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Default Extension="JPG" ContentType="image/jpe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pivotCache/pivotCacheDefinition1.xml" ContentType="application/vnd.openxmlformats-officedocument.spreadsheetml.pivotCacheDefinition+xml"/>
  <Override PartName="/xl/pivotCache/pivotCacheRecords1.xml" ContentType="application/vnd.openxmlformats-officedocument.spreadsheetml.pivotCacheRecords+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drawings/drawing2.xml" ContentType="application/vnd.openxmlformats-officedocument.drawing+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drawings/drawing3.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charts/chart2.xml" ContentType="application/vnd.openxmlformats-officedocument.drawingml.chart+xml"/>
  <Override PartName="/xl/charts/style2.xml" ContentType="application/vnd.ms-office.chartstyle+xml"/>
  <Override PartName="/xl/charts/colors2.xml" ContentType="application/vnd.ms-office.chartcolorstyle+xml"/>
  <Override PartName="/xl/charts/chart3.xml" ContentType="application/vnd.openxmlformats-officedocument.drawingml.chart+xml"/>
  <Override PartName="/xl/charts/style3.xml" ContentType="application/vnd.ms-office.chartstyle+xml"/>
  <Override PartName="/xl/charts/colors3.xml" ContentType="application/vnd.ms-office.chartcolorstyle+xml"/>
  <Override PartName="/xl/charts/chart4.xml" ContentType="application/vnd.openxmlformats-officedocument.drawingml.chart+xml"/>
  <Override PartName="/xl/charts/style4.xml" ContentType="application/vnd.ms-office.chartstyle+xml"/>
  <Override PartName="/xl/charts/colors4.xml" ContentType="application/vnd.ms-office.chartcolorstyle+xml"/>
  <Override PartName="/xl/charts/chart5.xml" ContentType="application/vnd.openxmlformats-officedocument.drawingml.chart+xml"/>
  <Override PartName="/xl/charts/style5.xml" ContentType="application/vnd.ms-office.chartstyle+xml"/>
  <Override PartName="/xl/charts/colors5.xml" ContentType="application/vnd.ms-office.chartcolorstyle+xml"/>
  <Override PartName="/xl/charts/chart6.xml" ContentType="application/vnd.openxmlformats-officedocument.drawingml.chart+xml"/>
  <Override PartName="/xl/charts/style6.xml" ContentType="application/vnd.ms-office.chartstyle+xml"/>
  <Override PartName="/xl/charts/colors6.xml" ContentType="application/vnd.ms-office.chartcolorstyle+xml"/>
  <Override PartName="/xl/charts/chart7.xml" ContentType="application/vnd.openxmlformats-officedocument.drawingml.chart+xml"/>
  <Override PartName="/xl/charts/style7.xml" ContentType="application/vnd.ms-office.chartstyle+xml"/>
  <Override PartName="/xl/charts/colors7.xml" ContentType="application/vnd.ms-office.chartcolorstyle+xml"/>
  <Override PartName="/xl/charts/chart8.xml" ContentType="application/vnd.openxmlformats-officedocument.drawingml.chart+xml"/>
  <Override PartName="/xl/charts/style8.xml" ContentType="application/vnd.ms-office.chartstyle+xml"/>
  <Override PartName="/xl/charts/colors8.xml" ContentType="application/vnd.ms-office.chartcolorstyle+xml"/>
  <Override PartName="/xl/charts/chart9.xml" ContentType="application/vnd.openxmlformats-officedocument.drawingml.chart+xml"/>
  <Override PartName="/xl/charts/style9.xml" ContentType="application/vnd.ms-office.chartstyle+xml"/>
  <Override PartName="/xl/charts/colors9.xml" ContentType="application/vnd.ms-office.chartcolorstyle+xml"/>
  <Override PartName="/xl/pivotTables/pivotTable1.xml" ContentType="application/vnd.openxmlformats-officedocument.spreadsheetml.pivotTable+xml"/>
  <Override PartName="/xl/drawings/drawing4.xml" ContentType="application/vnd.openxmlformats-officedocument.drawing+xml"/>
  <Override PartName="/xl/ctrlProps/ctrlProp27.xml" ContentType="application/vnd.ms-excel.controlproperties+xml"/>
  <Override PartName="/xl/ctrlProps/ctrlProp28.xml" ContentType="application/vnd.ms-excel.controlproperties+xml"/>
  <Override PartName="/xl/ctrlProps/ctrlProp29.xml" ContentType="application/vnd.ms-excel.controlproperties+xml"/>
  <Override PartName="/xl/ctrlProps/ctrlProp30.xml" ContentType="application/vnd.ms-excel.controlproperties+xml"/>
  <Override PartName="/xl/tables/table1.xml" ContentType="application/vnd.openxmlformats-officedocument.spreadsheetml.table+xml"/>
  <Override PartName="/xl/drawings/drawing5.xml" ContentType="application/vnd.openxmlformats-officedocument.drawing+xml"/>
  <Override PartName="/xl/ctrlProps/ctrlProp31.xml" ContentType="application/vnd.ms-excel.controlproperties+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tables/table13.xml" ContentType="application/vnd.openxmlformats-officedocument.spreadsheetml.table+xml"/>
  <Override PartName="/xl/tables/table14.xml" ContentType="application/vnd.openxmlformats-officedocument.spreadsheetml.table+xml"/>
  <Override PartName="/xl/tables/table15.xml" ContentType="application/vnd.openxmlformats-officedocument.spreadsheetml.table+xml"/>
  <Override PartName="/xl/tables/table16.xml" ContentType="application/vnd.openxmlformats-officedocument.spreadsheetml.table+xml"/>
  <Override PartName="/xl/tables/table17.xml" ContentType="application/vnd.openxmlformats-officedocument.spreadsheetml.table+xml"/>
  <Override PartName="/xl/tables/table18.xml" ContentType="application/vnd.openxmlformats-officedocument.spreadsheetml.table+xml"/>
  <Override PartName="/xl/tables/table19.xml" ContentType="application/vnd.openxmlformats-officedocument.spreadsheetml.table+xml"/>
  <Override PartName="/xl/tables/table20.xml" ContentType="application/vnd.openxmlformats-officedocument.spreadsheetml.table+xml"/>
  <Override PartName="/xl/tables/table21.xml" ContentType="application/vnd.openxmlformats-officedocument.spreadsheetml.table+xml"/>
  <Override PartName="/xl/tables/table22.xml" ContentType="application/vnd.openxmlformats-officedocument.spreadsheetml.table+xml"/>
  <Override PartName="/xl/tables/table23.xml" ContentType="application/vnd.openxmlformats-officedocument.spreadsheetml.table+xml"/>
  <Override PartName="/xl/tables/table24.xml" ContentType="application/vnd.openxmlformats-officedocument.spreadsheetml.table+xml"/>
  <Override PartName="/xl/tables/table25.xml" ContentType="application/vnd.openxmlformats-officedocument.spreadsheetml.table+xml"/>
  <Override PartName="/xl/tables/table26.xml" ContentType="application/vnd.openxmlformats-officedocument.spreadsheetml.table+xml"/>
  <Override PartName="/xl/tables/table27.xml" ContentType="application/vnd.openxmlformats-officedocument.spreadsheetml.table+xml"/>
  <Override PartName="/xl/tables/table28.xml" ContentType="application/vnd.openxmlformats-officedocument.spreadsheetml.table+xml"/>
  <Override PartName="/xl/tables/table29.xml" ContentType="application/vnd.openxmlformats-officedocument.spreadsheetml.table+xml"/>
  <Override PartName="/xl/tables/table30.xml" ContentType="application/vnd.openxmlformats-officedocument.spreadsheetml.table+xml"/>
  <Override PartName="/xl/tables/table31.xml" ContentType="application/vnd.openxmlformats-officedocument.spreadsheetml.table+xml"/>
  <Override PartName="/xl/drawings/drawing6.xml" ContentType="application/vnd.openxmlformats-officedocument.drawing+xml"/>
  <Override PartName="/xl/ctrlProps/ctrlProp32.xml" ContentType="application/vnd.ms-excel.controlproperties+xml"/>
  <Override PartName="/xl/ctrlProps/ctrlProp33.xml" ContentType="application/vnd.ms-excel.controlproperties+xml"/>
  <Override PartName="/xl/tables/table32.xml" ContentType="application/vnd.openxmlformats-officedocument.spreadsheetml.table+xml"/>
  <Override PartName="/xl/drawings/drawing7.xml" ContentType="application/vnd.openxmlformats-officedocument.drawing+xml"/>
  <Override PartName="/xl/ctrlProps/ctrlProp34.xml" ContentType="application/vnd.ms-excel.controlproperties+xml"/>
  <Override PartName="/xl/tables/table33.xml" ContentType="application/vnd.openxmlformats-officedocument.spreadsheetml.table+xml"/>
  <Override PartName="/xl/charts/chart10.xml" ContentType="application/vnd.openxmlformats-officedocument.drawingml.chart+xml"/>
  <Override PartName="/xl/charts/style10.xml" ContentType="application/vnd.ms-office.chartstyle+xml"/>
  <Override PartName="/xl/charts/colors10.xml" ContentType="application/vnd.ms-office.chartcolorstyle+xml"/>
  <Override PartName="/xl/drawings/drawing8.xml" ContentType="application/vnd.openxmlformats-officedocument.drawing+xml"/>
  <Override PartName="/xl/ctrlProps/ctrlProp35.xml" ContentType="application/vnd.ms-excel.controlproperties+xml"/>
  <Override PartName="/xl/charts/chart11.xml" ContentType="application/vnd.openxmlformats-officedocument.drawingml.chart+xml"/>
  <Override PartName="/xl/charts/style11.xml" ContentType="application/vnd.ms-office.chartstyle+xml"/>
  <Override PartName="/xl/charts/colors11.xml" ContentType="application/vnd.ms-office.chartcolorstyle+xml"/>
  <Override PartName="/xl/charts/chart12.xml" ContentType="application/vnd.openxmlformats-officedocument.drawingml.chart+xml"/>
  <Override PartName="/xl/charts/style12.xml" ContentType="application/vnd.ms-office.chartstyle+xml"/>
  <Override PartName="/xl/charts/colors12.xml" ContentType="application/vnd.ms-office.chartcolorstyle+xml"/>
  <Override PartName="/xl/drawings/drawing9.xml" ContentType="application/vnd.openxmlformats-officedocument.drawing+xml"/>
  <Override PartName="/xl/ctrlProps/ctrlProp36.xml" ContentType="application/vnd.ms-excel.controlproperties+xml"/>
  <Override PartName="/xl/ctrlProps/ctrlProp37.xml" ContentType="application/vnd.ms-excel.controlproperties+xml"/>
  <Override PartName="/xl/tables/table34.xml" ContentType="application/vnd.openxmlformats-officedocument.spreadsheetml.table+xml"/>
  <Override PartName="/xl/charts/chart13.xml" ContentType="application/vnd.openxmlformats-officedocument.drawingml.chart+xml"/>
  <Override PartName="/xl/charts/style13.xml" ContentType="application/vnd.ms-office.chartstyle+xml"/>
  <Override PartName="/xl/charts/colors13.xml" ContentType="application/vnd.ms-office.chartcolorstyle+xml"/>
  <Override PartName="/xl/drawings/drawing10.xml" ContentType="application/vnd.openxmlformats-officedocument.drawing+xml"/>
  <Override PartName="/xl/ctrlProps/ctrlProp38.xml" ContentType="application/vnd.ms-excel.controlproperties+xml"/>
  <Override PartName="/xl/tables/table35.xml" ContentType="application/vnd.openxmlformats-officedocument.spreadsheetml.table+xml"/>
  <Override PartName="/xl/charts/chart14.xml" ContentType="application/vnd.openxmlformats-officedocument.drawingml.chart+xml"/>
  <Override PartName="/xl/charts/style14.xml" ContentType="application/vnd.ms-office.chartstyle+xml"/>
  <Override PartName="/xl/charts/colors14.xml" ContentType="application/vnd.ms-office.chartcolorstyle+xml"/>
  <Override PartName="/xl/drawings/drawing11.xml" ContentType="application/vnd.openxmlformats-officedocument.drawing+xml"/>
  <Override PartName="/xl/ctrlProps/ctrlProp39.xml" ContentType="application/vnd.ms-excel.controlproperties+xml"/>
  <Override PartName="/xl/tables/table36.xml" ContentType="application/vnd.openxmlformats-officedocument.spreadsheetml.table+xml"/>
  <Override PartName="/xl/drawings/drawing12.xml" ContentType="application/vnd.openxmlformats-officedocument.drawing+xml"/>
  <Override PartName="/xl/ctrlProps/ctrlProp40.xml" ContentType="application/vnd.ms-excel.controlproperties+xml"/>
  <Override PartName="/xl/tables/table37.xml" ContentType="application/vnd.openxmlformats-officedocument.spreadsheetml.table+xml"/>
  <Override PartName="/xl/charts/chart15.xml" ContentType="application/vnd.openxmlformats-officedocument.drawingml.chart+xml"/>
  <Override PartName="/xl/charts/style15.xml" ContentType="application/vnd.ms-office.chartstyle+xml"/>
  <Override PartName="/xl/charts/colors15.xml" ContentType="application/vnd.ms-office.chartcolorstyle+xml"/>
  <Override PartName="/xl/drawings/drawing13.xml" ContentType="application/vnd.openxmlformats-officedocument.drawing+xml"/>
  <Override PartName="/xl/ctrlProps/ctrlProp41.xml" ContentType="application/vnd.ms-excel.controlproperties+xml"/>
  <Override PartName="/xl/tables/table38.xml" ContentType="application/vnd.openxmlformats-officedocument.spreadsheetml.table+xml"/>
  <Override PartName="/xl/charts/chart16.xml" ContentType="application/vnd.openxmlformats-officedocument.drawingml.chart+xml"/>
  <Override PartName="/xl/charts/style16.xml" ContentType="application/vnd.ms-office.chartstyle+xml"/>
  <Override PartName="/xl/charts/colors16.xml" ContentType="application/vnd.ms-office.chartcolorstyle+xml"/>
  <Override PartName="/xl/drawings/drawing14.xml" ContentType="application/vnd.openxmlformats-officedocument.drawing+xml"/>
  <Override PartName="/xl/ctrlProps/ctrlProp42.xml" ContentType="application/vnd.ms-excel.controlproperties+xml"/>
  <Override PartName="/xl/charts/chart17.xml" ContentType="application/vnd.openxmlformats-officedocument.drawingml.chart+xml"/>
  <Override PartName="/xl/charts/style17.xml" ContentType="application/vnd.ms-office.chartstyle+xml"/>
  <Override PartName="/xl/charts/colors17.xml" ContentType="application/vnd.ms-office.chartcolorstyle+xml"/>
  <Override PartName="/xl/charts/chart18.xml" ContentType="application/vnd.openxmlformats-officedocument.drawingml.chart+xml"/>
  <Override PartName="/xl/charts/style18.xml" ContentType="application/vnd.ms-office.chartstyle+xml"/>
  <Override PartName="/xl/charts/colors18.xml" ContentType="application/vnd.ms-office.chartcolorstyle+xml"/>
  <Override PartName="/xl/drawings/drawing15.xml" ContentType="application/vnd.openxmlformats-officedocument.drawing+xml"/>
  <Override PartName="/xl/tables/table39.xml" ContentType="application/vnd.openxmlformats-officedocument.spreadsheetml.table+xml"/>
  <Override PartName="/xl/charts/chart19.xml" ContentType="application/vnd.openxmlformats-officedocument.drawingml.chart+xml"/>
  <Override PartName="/xl/charts/style19.xml" ContentType="application/vnd.ms-office.chartstyle+xml"/>
  <Override PartName="/xl/charts/colors19.xml" ContentType="application/vnd.ms-office.chartcolorstyle+xml"/>
  <Override PartName="/xl/charts/chart20.xml" ContentType="application/vnd.openxmlformats-officedocument.drawingml.chart+xml"/>
  <Override PartName="/xl/charts/style20.xml" ContentType="application/vnd.ms-office.chartstyle+xml"/>
  <Override PartName="/xl/charts/colors20.xml" ContentType="application/vnd.ms-office.chartcolorstyle+xml"/>
  <Override PartName="/xl/drawings/drawing16.xml" ContentType="application/vnd.openxmlformats-officedocument.drawing+xml"/>
  <Override PartName="/xl/ctrlProps/ctrlProp43.xml" ContentType="application/vnd.ms-excel.controlproperties+xml"/>
  <Override PartName="/xl/tables/table40.xml" ContentType="application/vnd.openxmlformats-officedocument.spreadsheetml.table+xml"/>
  <Override PartName="/xl/charts/chart21.xml" ContentType="application/vnd.openxmlformats-officedocument.drawingml.chart+xml"/>
  <Override PartName="/xl/charts/style21.xml" ContentType="application/vnd.ms-office.chartstyle+xml"/>
  <Override PartName="/xl/charts/colors21.xml" ContentType="application/vnd.ms-office.chartcolorstyle+xml"/>
  <Override PartName="/xl/drawings/drawing17.xml" ContentType="application/vnd.openxmlformats-officedocument.drawing+xml"/>
  <Override PartName="/xl/ctrlProps/ctrlProp44.xml" ContentType="application/vnd.ms-excel.controlproperties+xml"/>
  <Override PartName="/xl/tables/table41.xml" ContentType="application/vnd.openxmlformats-officedocument.spreadsheetml.table+xml"/>
  <Override PartName="/xl/tables/table42.xml" ContentType="application/vnd.openxmlformats-officedocument.spreadsheetml.table+xml"/>
  <Override PartName="/xl/tables/table43.xml" ContentType="application/vnd.openxmlformats-officedocument.spreadsheetml.table+xml"/>
  <Override PartName="/xl/charts/chart22.xml" ContentType="application/vnd.openxmlformats-officedocument.drawingml.chart+xml"/>
  <Override PartName="/xl/charts/style22.xml" ContentType="application/vnd.ms-office.chartstyle+xml"/>
  <Override PartName="/xl/charts/colors22.xml" ContentType="application/vnd.ms-office.chartcolorstyle+xml"/>
  <Override PartName="/xl/drawings/drawing18.xml" ContentType="application/vnd.openxmlformats-officedocument.drawing+xml"/>
  <Override PartName="/xl/ctrlProps/ctrlProp45.xml" ContentType="application/vnd.ms-excel.controlproperties+xml"/>
  <Override PartName="/xl/charts/chart23.xml" ContentType="application/vnd.openxmlformats-officedocument.drawingml.chart+xml"/>
  <Override PartName="/xl/charts/style23.xml" ContentType="application/vnd.ms-office.chartstyle+xml"/>
  <Override PartName="/xl/charts/colors23.xml" ContentType="application/vnd.ms-office.chartcolorstyle+xml"/>
  <Override PartName="/xl/charts/chart24.xml" ContentType="application/vnd.openxmlformats-officedocument.drawingml.chart+xml"/>
  <Override PartName="/xl/charts/style24.xml" ContentType="application/vnd.ms-office.chartstyle+xml"/>
  <Override PartName="/xl/charts/colors24.xml" ContentType="application/vnd.ms-office.chartcolorstyle+xml"/>
  <Override PartName="/xl/charts/chart25.xml" ContentType="application/vnd.openxmlformats-officedocument.drawingml.chart+xml"/>
  <Override PartName="/xl/charts/style25.xml" ContentType="application/vnd.ms-office.chartstyle+xml"/>
  <Override PartName="/xl/charts/colors25.xml" ContentType="application/vnd.ms-office.chartcolorstyle+xml"/>
  <Override PartName="/xl/drawings/drawing19.xml" ContentType="application/vnd.openxmlformats-officedocument.drawing+xml"/>
  <Override PartName="/xl/ctrlProps/ctrlProp46.xml" ContentType="application/vnd.ms-excel.controlproperties+xml"/>
  <Override PartName="/xl/drawings/drawing20.xml" ContentType="application/vnd.openxmlformats-officedocument.drawing+xml"/>
  <Override PartName="/xl/ctrlProps/ctrlProp47.xml" ContentType="application/vnd.ms-excel.controlproperties+xml"/>
  <Override PartName="/xl/drawings/drawing21.xml" ContentType="application/vnd.openxmlformats-officedocument.drawing+xml"/>
  <Override PartName="/xl/ctrlProps/ctrlProp48.xml" ContentType="application/vnd.ms-excel.controlproperties+xml"/>
  <Override PartName="/xl/tables/table44.xml" ContentType="application/vnd.openxmlformats-officedocument.spreadsheetml.table+xml"/>
  <Override PartName="/xl/tables/table45.xml" ContentType="application/vnd.openxmlformats-officedocument.spreadsheetml.table+xml"/>
  <Override PartName="/xl/tables/table46.xml" ContentType="application/vnd.openxmlformats-officedocument.spreadsheetml.table+xml"/>
  <Override PartName="/xl/tables/table47.xml" ContentType="application/vnd.openxmlformats-officedocument.spreadsheetml.table+xml"/>
  <Override PartName="/xl/charts/chart26.xml" ContentType="application/vnd.openxmlformats-officedocument.drawingml.chart+xml"/>
  <Override PartName="/xl/charts/style26.xml" ContentType="application/vnd.ms-office.chartstyle+xml"/>
  <Override PartName="/xl/charts/colors26.xml" ContentType="application/vnd.ms-office.chartcolorstyle+xml"/>
  <Override PartName="/xl/charts/chart27.xml" ContentType="application/vnd.openxmlformats-officedocument.drawingml.chart+xml"/>
  <Override PartName="/xl/charts/style27.xml" ContentType="application/vnd.ms-office.chartstyle+xml"/>
  <Override PartName="/xl/charts/colors27.xml" ContentType="application/vnd.ms-office.chartcolorstyle+xml"/>
  <Override PartName="/xl/charts/chart28.xml" ContentType="application/vnd.openxmlformats-officedocument.drawingml.chart+xml"/>
  <Override PartName="/xl/charts/chart29.xml" ContentType="application/vnd.openxmlformats-officedocument.drawingml.chart+xml"/>
  <Override PartName="/xl/charts/style28.xml" ContentType="application/vnd.ms-office.chartstyle+xml"/>
  <Override PartName="/xl/charts/colors28.xml" ContentType="application/vnd.ms-office.chartcolorstyle+xml"/>
  <Override PartName="/xl/charts/chart30.xml" ContentType="application/vnd.openxmlformats-officedocument.drawingml.chart+xml"/>
  <Override PartName="/xl/charts/style29.xml" ContentType="application/vnd.ms-office.chartstyle+xml"/>
  <Override PartName="/xl/charts/colors29.xml" ContentType="application/vnd.ms-office.chartcolorstyle+xml"/>
  <Override PartName="/xl/charts/chart31.xml" ContentType="application/vnd.openxmlformats-officedocument.drawingml.chart+xml"/>
  <Override PartName="/xl/charts/style30.xml" ContentType="application/vnd.ms-office.chartstyle+xml"/>
  <Override PartName="/xl/charts/colors30.xml" ContentType="application/vnd.ms-office.chartcolorstyle+xml"/>
  <Override PartName="/xl/charts/chart32.xml" ContentType="application/vnd.openxmlformats-officedocument.drawingml.chart+xml"/>
  <Override PartName="/xl/charts/style31.xml" ContentType="application/vnd.ms-office.chartstyle+xml"/>
  <Override PartName="/xl/charts/colors31.xml" ContentType="application/vnd.ms-office.chartcolorstyle+xml"/>
  <Override PartName="/xl/charts/chart33.xml" ContentType="application/vnd.openxmlformats-officedocument.drawingml.chart+xml"/>
  <Override PartName="/xl/charts/style32.xml" ContentType="application/vnd.ms-office.chartstyle+xml"/>
  <Override PartName="/xl/charts/colors32.xml" ContentType="application/vnd.ms-office.chartcolorstyle+xml"/>
  <Override PartName="/xl/charts/chart34.xml" ContentType="application/vnd.openxmlformats-officedocument.drawingml.chart+xml"/>
  <Override PartName="/xl/charts/style33.xml" ContentType="application/vnd.ms-office.chartstyle+xml"/>
  <Override PartName="/xl/charts/colors33.xml" ContentType="application/vnd.ms-office.chartcolorstyle+xml"/>
  <Override PartName="/xl/charts/chart35.xml" ContentType="application/vnd.openxmlformats-officedocument.drawingml.chart+xml"/>
  <Override PartName="/xl/theme/themeOverride1.xml" ContentType="application/vnd.openxmlformats-officedocument.themeOverride+xml"/>
  <Override PartName="/xl/charts/chart36.xml" ContentType="application/vnd.openxmlformats-officedocument.drawingml.chart+xml"/>
  <Override PartName="/xl/charts/style34.xml" ContentType="application/vnd.ms-office.chartstyle+xml"/>
  <Override PartName="/xl/charts/colors34.xml" ContentType="application/vnd.ms-office.chartcolorstyle+xml"/>
  <Override PartName="/xl/drawings/drawing22.xml" ContentType="application/vnd.openxmlformats-officedocument.drawing+xml"/>
  <Override PartName="/xl/ctrlProps/ctrlProp49.xml" ContentType="application/vnd.ms-excel.controlproperties+xml"/>
  <Override PartName="/xl/drawings/drawing23.xml" ContentType="application/vnd.openxmlformats-officedocument.drawing+xml"/>
  <Override PartName="/xl/ctrlProps/ctrlProp50.xml" ContentType="application/vnd.ms-excel.controlproperties+xml"/>
  <Override PartName="/xl/tables/table48.xml" ContentType="application/vnd.openxmlformats-officedocument.spreadsheetml.table+xml"/>
  <Override PartName="/xl/drawings/drawing24.xml" ContentType="application/vnd.openxmlformats-officedocument.drawing+xml"/>
  <Override PartName="/xl/ctrlProps/ctrlProp51.xml" ContentType="application/vnd.ms-excel.controlproperties+xml"/>
  <Override PartName="/xl/tables/table49.xml" ContentType="application/vnd.openxmlformats-officedocument.spreadsheetml.table+xml"/>
  <Override PartName="/xl/drawings/drawing25.xml" ContentType="application/vnd.openxmlformats-officedocument.drawing+xml"/>
  <Override PartName="/xl/tables/table50.xml" ContentType="application/vnd.openxmlformats-officedocument.spreadsheetml.table+xml"/>
  <Override PartName="/xl/tables/table51.xml" ContentType="application/vnd.openxmlformats-officedocument.spreadsheetml.table+xml"/>
  <Override PartName="/xl/tables/table52.xml" ContentType="application/vnd.openxmlformats-officedocument.spreadsheetml.table+xml"/>
  <Override PartName="/xl/tables/table53.xml" ContentType="application/vnd.openxmlformats-officedocument.spreadsheetml.table+xml"/>
  <Override PartName="/xl/tables/table54.xml" ContentType="application/vnd.openxmlformats-officedocument.spreadsheetml.table+xml"/>
  <Override PartName="/xl/tables/table55.xml" ContentType="application/vnd.openxmlformats-officedocument.spreadsheetml.table+xml"/>
  <Override PartName="/xl/tables/table56.xml" ContentType="application/vnd.openxmlformats-officedocument.spreadsheetml.table+xml"/>
  <Override PartName="/xl/charts/chart37.xml" ContentType="application/vnd.openxmlformats-officedocument.drawingml.chart+xml"/>
  <Override PartName="/xl/charts/style35.xml" ContentType="application/vnd.ms-office.chartstyle+xml"/>
  <Override PartName="/xl/charts/colors35.xml" ContentType="application/vnd.ms-office.chartcolorstyle+xml"/>
  <Override PartName="/xl/charts/chart38.xml" ContentType="application/vnd.openxmlformats-officedocument.drawingml.chart+xml"/>
  <Override PartName="/xl/charts/style36.xml" ContentType="application/vnd.ms-office.chartstyle+xml"/>
  <Override PartName="/xl/charts/colors36.xml" ContentType="application/vnd.ms-office.chartcolorstyle+xml"/>
  <Override PartName="/xl/charts/chart39.xml" ContentType="application/vnd.openxmlformats-officedocument.drawingml.chart+xml"/>
  <Override PartName="/xl/charts/style37.xml" ContentType="application/vnd.ms-office.chartstyle+xml"/>
  <Override PartName="/xl/charts/colors37.xml" ContentType="application/vnd.ms-office.chartcolorstyle+xml"/>
  <Override PartName="/xl/charts/chart40.xml" ContentType="application/vnd.openxmlformats-officedocument.drawingml.chart+xml"/>
  <Override PartName="/xl/charts/style38.xml" ContentType="application/vnd.ms-office.chartstyle+xml"/>
  <Override PartName="/xl/charts/colors38.xml" ContentType="application/vnd.ms-office.chartcolorstyle+xml"/>
  <Override PartName="/xl/charts/chart41.xml" ContentType="application/vnd.openxmlformats-officedocument.drawingml.chart+xml"/>
  <Override PartName="/xl/charts/style39.xml" ContentType="application/vnd.ms-office.chartstyle+xml"/>
  <Override PartName="/xl/charts/colors39.xml" ContentType="application/vnd.ms-office.chartcolorstyle+xml"/>
  <Override PartName="/xl/charts/chart42.xml" ContentType="application/vnd.openxmlformats-officedocument.drawingml.chart+xml"/>
  <Override PartName="/xl/charts/style40.xml" ContentType="application/vnd.ms-office.chartstyle+xml"/>
  <Override PartName="/xl/charts/colors40.xml" ContentType="application/vnd.ms-office.chartcolorstyle+xml"/>
  <Override PartName="/xl/charts/chart43.xml" ContentType="application/vnd.openxmlformats-officedocument.drawingml.chart+xml"/>
  <Override PartName="/xl/charts/style41.xml" ContentType="application/vnd.ms-office.chartstyle+xml"/>
  <Override PartName="/xl/charts/colors41.xml" ContentType="application/vnd.ms-office.chartcolorstyle+xml"/>
  <Override PartName="/xl/charts/chart44.xml" ContentType="application/vnd.openxmlformats-officedocument.drawingml.chart+xml"/>
  <Override PartName="/xl/charts/style42.xml" ContentType="application/vnd.ms-office.chartstyle+xml"/>
  <Override PartName="/xl/charts/colors42.xml" ContentType="application/vnd.ms-office.chartcolorstyle+xml"/>
  <Override PartName="/xl/charts/chart45.xml" ContentType="application/vnd.openxmlformats-officedocument.drawingml.chart+xml"/>
  <Override PartName="/xl/charts/style43.xml" ContentType="application/vnd.ms-office.chartstyle+xml"/>
  <Override PartName="/xl/charts/colors43.xml" ContentType="application/vnd.ms-office.chartcolorstyle+xml"/>
  <Override PartName="/xl/drawings/drawing26.xml" ContentType="application/vnd.openxmlformats-officedocument.drawing+xml"/>
  <Override PartName="/xl/ctrlProps/ctrlProp52.xml" ContentType="application/vnd.ms-excel.controlproperties+xml"/>
  <Override PartName="/xl/tables/table57.xml" ContentType="application/vnd.openxmlformats-officedocument.spreadsheetml.table+xml"/>
  <Override PartName="/xl/drawings/drawing27.xml" ContentType="application/vnd.openxmlformats-officedocument.drawing+xml"/>
  <Override PartName="/xl/ctrlProps/ctrlProp53.xml" ContentType="application/vnd.ms-excel.controlproperties+xml"/>
  <Override PartName="/xl/drawings/drawing28.xml" ContentType="application/vnd.openxmlformats-officedocument.drawing+xml"/>
  <Override PartName="/xl/ctrlProps/ctrlProp54.xml" ContentType="application/vnd.ms-excel.controlproperties+xml"/>
  <Override PartName="/xl/tables/table58.xml" ContentType="application/vnd.openxmlformats-officedocument.spreadsheetml.table+xml"/>
  <Override PartName="/xl/drawings/drawing29.xml" ContentType="application/vnd.openxmlformats-officedocument.drawing+xml"/>
  <Override PartName="/xl/ctrlProps/ctrlProp55.xml" ContentType="application/vnd.ms-excel.controlproperties+xml"/>
  <Override PartName="/xl/tables/table59.xml" ContentType="application/vnd.openxmlformats-officedocument.spreadsheetml.table+xml"/>
  <Override PartName="/xl/tables/table60.xml" ContentType="application/vnd.openxmlformats-officedocument.spreadsheetml.table+xml"/>
  <Override PartName="/xl/tables/table61.xml" ContentType="application/vnd.openxmlformats-officedocument.spreadsheetml.table+xml"/>
  <Override PartName="/xl/tables/table62.xml" ContentType="application/vnd.openxmlformats-officedocument.spreadsheetml.table+xml"/>
  <Override PartName="/xl/tables/table63.xml" ContentType="application/vnd.openxmlformats-officedocument.spreadsheetml.table+xml"/>
  <Override PartName="/xl/tables/table64.xml" ContentType="application/vnd.openxmlformats-officedocument.spreadsheetml.table+xml"/>
  <Override PartName="/xl/tables/table65.xml" ContentType="application/vnd.openxmlformats-officedocument.spreadsheetml.table+xml"/>
  <Override PartName="/xl/tables/table66.xml" ContentType="application/vnd.openxmlformats-officedocument.spreadsheetml.table+xml"/>
  <Override PartName="/xl/tables/table67.xml" ContentType="application/vnd.openxmlformats-officedocument.spreadsheetml.table+xml"/>
  <Override PartName="/xl/tables/table68.xml" ContentType="application/vnd.openxmlformats-officedocument.spreadsheetml.table+xml"/>
  <Override PartName="/xl/tables/table69.xml" ContentType="application/vnd.openxmlformats-officedocument.spreadsheetml.table+xml"/>
  <Override PartName="/xl/tables/table70.xml" ContentType="application/vnd.openxmlformats-officedocument.spreadsheetml.table+xml"/>
  <Override PartName="/xl/tables/table71.xml" ContentType="application/vnd.openxmlformats-officedocument.spreadsheetml.table+xml"/>
  <Override PartName="/xl/tables/table7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730" codeName="{3D1A710C-6663-3D7B-7F91-EC182F24A4BC}"/>
  <workbookPr codeName="ThisWorkbook"/>
  <mc:AlternateContent xmlns:mc="http://schemas.openxmlformats.org/markup-compatibility/2006">
    <mc:Choice Requires="x15">
      <x15ac:absPath xmlns:x15ac="http://schemas.microsoft.com/office/spreadsheetml/2010/11/ac" url="C:\Users\utilisateur\Dropbox\AFC\Saison 2018-2019\"/>
    </mc:Choice>
  </mc:AlternateContent>
  <xr:revisionPtr revIDLastSave="0" documentId="13_ncr:1_{AE6EF0DD-2386-4C0F-954C-18BC91B91EB4}" xr6:coauthVersionLast="36" xr6:coauthVersionMax="36" xr10:uidLastSave="{00000000-0000-0000-0000-000000000000}"/>
  <bookViews>
    <workbookView xWindow="0" yWindow="465" windowWidth="25605" windowHeight="14175" tabRatio="784" firstSheet="1" activeTab="2" xr2:uid="{00000000-000D-0000-FFFF-FFFF00000000}"/>
  </bookViews>
  <sheets>
    <sheet name="Guide" sheetId="16" state="hidden" r:id="rId1"/>
    <sheet name="Accueil" sheetId="63" r:id="rId2"/>
    <sheet name="Tableau de bord" sheetId="65" r:id="rId3"/>
    <sheet name="TDC Nb Tranningg" sheetId="67" state="hidden" r:id="rId4"/>
    <sheet name="Séance" sheetId="64" state="hidden" r:id="rId5"/>
    <sheet name="Parametre Model de jeu" sheetId="66" state="hidden" r:id="rId6"/>
    <sheet name="Entrainement" sheetId="22" state="hidden" r:id="rId7"/>
    <sheet name="Bilan Entrainement - Annuel" sheetId="60" state="hidden" r:id="rId8"/>
    <sheet name="Bilan Entrainement - Mensuel" sheetId="62" state="hidden" r:id="rId9"/>
    <sheet name="Forme" sheetId="29" state="hidden" r:id="rId10"/>
    <sheet name="RPE" sheetId="23" state="hidden" r:id="rId11"/>
    <sheet name="Victoire" sheetId="58" state="hidden" r:id="rId12"/>
    <sheet name="Plaisir" sheetId="30" state="hidden" r:id="rId13"/>
    <sheet name="Perfo." sheetId="31" state="hidden" r:id="rId14"/>
    <sheet name="Bilan Victoire - Mensuel" sheetId="68" state="hidden" r:id="rId15"/>
    <sheet name="Bilan mental" sheetId="32" state="hidden" r:id="rId16"/>
    <sheet name="Charges individuel" sheetId="48" state="hidden" r:id="rId17"/>
    <sheet name="Charges collective" sheetId="39" state="hidden" r:id="rId18"/>
    <sheet name="Graphique des charges" sheetId="49" state="hidden" r:id="rId19"/>
    <sheet name="Poid - Taille" sheetId="44" state="hidden" r:id="rId20"/>
    <sheet name="Match" sheetId="37" state="hidden" r:id="rId21"/>
    <sheet name="Fiche joueur" sheetId="4" state="hidden" r:id="rId22"/>
    <sheet name="Fiche pointage" sheetId="41" state="hidden" r:id="rId23"/>
    <sheet name="VAK" sheetId="43" state="hidden" r:id="rId24"/>
    <sheet name="Mentaux" sheetId="46" state="hidden" r:id="rId25"/>
    <sheet name="Fiche collective" sheetId="40" state="hidden" r:id="rId26"/>
    <sheet name="Bilan entretiens" sheetId="51" state="hidden" r:id="rId27"/>
    <sheet name="Fiche entretien" sheetId="50" state="hidden" r:id="rId28"/>
    <sheet name="BDD - Joueurs" sheetId="19" state="hidden" r:id="rId29"/>
    <sheet name="Paramétres" sheetId="17" state="hidden" r:id="rId30"/>
  </sheets>
  <definedNames>
    <definedName name="_xlnm._FilterDatabase" localSheetId="6" hidden="1">Entrainement!$B$6:$B$137</definedName>
    <definedName name="_xlnm._FilterDatabase" localSheetId="11" hidden="1">Victoire!$C$4:$AF$4</definedName>
    <definedName name="Anticiper_la_profondeur_quand_le_porteur_n’est_pas_cadrer">Tableau67[Anticiper_la_profondeur_quand_le_porteur_n’est_pas_cadrer]</definedName>
    <definedName name="Anticiper_s_ajuster_pour_intervenir">Tableau74[Anticiper_s_ajuster_pour_intervenir]</definedName>
    <definedName name="Athlétique">TAbMDJAthletique[Athlétique]</definedName>
    <definedName name="CatégoriesDépenses">#REF!</definedName>
    <definedName name="Conserver_pour_progresser">TabMDJConserverPourProgresser[Conserver_pour_progresser]</definedName>
    <definedName name="Couvrir_son_partenaire_dans_l’action_défensive">Tableau72[Couvrir_son_partenaire_dans_l’action_défensive]</definedName>
    <definedName name="Créer_et_utiliser_des_espaces">Tableau55[Créer_et_utiliser_des_espaces]</definedName>
    <definedName name="DEF">MDJPrincipeDEF[DEF]</definedName>
    <definedName name="Défendre_son_but_récupérer_ou_dégager_le_ballon">Tableau73[Défendre_son_but_récupérer_ou_dégager_le_ballon]</definedName>
    <definedName name="Densifier_et_être_actif_dans_le_CJD">Tableau70[Densifier_et_être_actif_dans_le_CJD]</definedName>
    <definedName name="Déséquilibrer_le_bloc_adverse">TAbMDCDesequilibrerleblocadverse[Déséquilibrer_le_bloc_adverse]</definedName>
    <definedName name="Finir_l_action">TabMDJFinirlaction[Finir_l_action]</definedName>
    <definedName name="Freiner_la_progression_et_organiser_la_prise_en_charge">Tableau66[Freiner_la_progression_et_organiser_la_prise_en_charge]</definedName>
    <definedName name="Jeu_combiné_à_2__à_3__enchainer_les_actions">Tableau57[Jeu_combiné_à_2,_à_3,_enchainer_les_actions]</definedName>
    <definedName name="Jouer_à_l’opposé_après_avoir_fixé_collectivement">Tableau63[Jouer_à_l’opposé_après_avoir_fixé_collectivement]</definedName>
    <definedName name="Jouer_combiné_pour_créer_un_surnombre">Tableau60[Jouer_combiné_pour_créer_un_surnombre]</definedName>
    <definedName name="Jouer_dans_l_intervalle_et_entre_les_lignes">Tableau56[Jouer_dans_l''intervalle_et_entre_les_lignes]</definedName>
    <definedName name="Jouer_en_profondeur_après_un_décalage">Tableau62[Jouer_en_profondeur_après_un_décalage]</definedName>
    <definedName name="MDJPhase">TabMDJPhase[Phase]</definedName>
    <definedName name="Mental">TabMDJMental[Mental]</definedName>
    <definedName name="OFF">TabMDJPrincipeOff[OFF]</definedName>
    <definedName name="Organiser_la_pression_collective_sur_le_temps_de_passe">Tableau71[Organiser_la_pression_collective_sur_le_temps_de_passe]</definedName>
    <definedName name="Protéger_le_CJD_et_organiser_ou_réorganiser_les_alignements">Tableau68[Protéger_le_CJD_et_organiser_ou_réorganiser_les_alignements]</definedName>
    <definedName name="Protéger_son_but">Tableau54[Protéger_son_but]</definedName>
    <definedName name="Rechercher_un_joueur_lancé_en_profondeur_dans_le_dos_de_la_défense">Tableau61[Rechercher_un_joueur_lancé_en_profondeur_dans_le_dos_de_la_défense]</definedName>
    <definedName name="RPE">L2C16</definedName>
    <definedName name="S_opposer_à_la_progression">Tableau52[S''opposer_à_la_progression]</definedName>
    <definedName name="S_organiser_pour_récupérer">Tableau53[S''organiser_pour_récupérer]</definedName>
    <definedName name="S’ajuster_ou_se_réajuster_pour_finir">Tableau65[S’ajuster_ou_se_réajuster_pour_finir]</definedName>
    <definedName name="S’organiser_en_déséquilibre">Tableau69[S’organiser_en_déséquilibre]</definedName>
    <definedName name="Se_démarquer_pour_fixer_et_élimine_ou_prendre_de_la_vitesse">Tableau59[Se_démarquer_pour_fixer_et_élimine_ou_prendre_de_la_vitesse]</definedName>
    <definedName name="Se_démarquer_pour_fixer_et_éliminer__passer_ou_finir">Tableau64[Se_démarquer_pour_fixer_et_éliminer,_passer_ou_finir]</definedName>
    <definedName name="_xlnm.Print_Area" localSheetId="6">Entrainement!$A$75</definedName>
  </definedNames>
  <calcPr calcId="179021"/>
  <pivotCaches>
    <pivotCache cacheId="0" r:id="rId31"/>
  </pivotCaches>
  <extLst>
    <ext xmlns:x14="http://schemas.microsoft.com/office/spreadsheetml/2009/9/main" uri="{79F54976-1DA5-4618-B147-4CDE4B953A38}">
      <x14:workbookPr defaultImageDpi="32767"/>
    </ext>
    <ext xmlns:xcalcf="http://schemas.microsoft.com/office/spreadsheetml/2018/calcfeatures" uri="{B58B0392-4F1F-4190-BB64-5DF3571DCE5F}">
      <xcalcf:calcFeatures>
        <xcalcf:feature name="microsoft.com:RD"/>
      </xcalcf:calcFeatures>
    </ext>
    <ext xmlns:mx="http://schemas.microsoft.com/office/mac/excel/2008/main" uri="{7523E5D3-25F3-A5E0-1632-64F254C22452}">
      <mx:ArchID Flags="2"/>
    </ext>
  </extLst>
</workbook>
</file>

<file path=xl/calcChain.xml><?xml version="1.0" encoding="utf-8"?>
<calcChain xmlns="http://schemas.openxmlformats.org/spreadsheetml/2006/main">
  <c r="M13" i="39" l="1"/>
  <c r="M14" i="39"/>
  <c r="M15" i="39"/>
  <c r="M16" i="39"/>
  <c r="M17" i="39"/>
  <c r="M18" i="39"/>
  <c r="M19" i="39"/>
  <c r="M20" i="39"/>
  <c r="M21" i="39"/>
  <c r="M22" i="39"/>
  <c r="M23" i="39"/>
  <c r="M24" i="39"/>
  <c r="M25" i="39"/>
  <c r="M26" i="39"/>
  <c r="M27" i="39"/>
  <c r="M28" i="39"/>
  <c r="M29" i="39"/>
  <c r="M30" i="39"/>
  <c r="M31" i="39"/>
  <c r="M32" i="39"/>
  <c r="M33" i="39"/>
  <c r="M34" i="39"/>
  <c r="M35" i="39"/>
  <c r="M36" i="39"/>
  <c r="M37" i="39"/>
  <c r="M38" i="39"/>
  <c r="M39" i="39"/>
  <c r="M40" i="39"/>
  <c r="M41" i="39"/>
  <c r="M42" i="39"/>
  <c r="M43" i="39"/>
  <c r="M44" i="39"/>
  <c r="M45" i="39"/>
  <c r="M46" i="39"/>
  <c r="M12" i="39"/>
  <c r="AJ25" i="68" l="1"/>
  <c r="AJ26" i="68" s="1"/>
  <c r="AI25" i="68"/>
  <c r="AI26" i="68" s="1"/>
  <c r="AH25" i="68"/>
  <c r="AH26" i="68" s="1"/>
  <c r="AG25" i="68"/>
  <c r="AG26" i="68" s="1"/>
  <c r="AF25" i="68"/>
  <c r="AF26" i="68" s="1"/>
  <c r="AE25" i="68"/>
  <c r="AE26" i="68" s="1"/>
  <c r="AD25" i="68"/>
  <c r="AD26" i="68" s="1"/>
  <c r="AC25" i="68"/>
  <c r="AC26" i="68" s="1"/>
  <c r="AB25" i="68"/>
  <c r="AB26" i="68" s="1"/>
  <c r="L25" i="68"/>
  <c r="L26" i="68" s="1"/>
  <c r="K25" i="68"/>
  <c r="K26" i="68" s="1"/>
  <c r="D23" i="68"/>
  <c r="C23" i="68"/>
  <c r="D21" i="68"/>
  <c r="C21" i="68"/>
  <c r="D19" i="68"/>
  <c r="C19" i="68"/>
  <c r="D17" i="68"/>
  <c r="C17" i="68"/>
  <c r="D15" i="68"/>
  <c r="C15" i="68"/>
  <c r="D13" i="68"/>
  <c r="C13" i="68"/>
  <c r="D11" i="68"/>
  <c r="C11" i="68"/>
  <c r="D9" i="68"/>
  <c r="C9" i="68"/>
  <c r="D7" i="68"/>
  <c r="C7" i="68"/>
  <c r="D5" i="68"/>
  <c r="C5" i="68"/>
  <c r="L1" i="41"/>
  <c r="J4" i="68"/>
  <c r="A11" i="41"/>
  <c r="A19" i="41"/>
  <c r="E15" i="68"/>
  <c r="A17" i="41"/>
  <c r="A8" i="41"/>
  <c r="AD4" i="68"/>
  <c r="AJ4" i="68"/>
  <c r="Q4" i="68"/>
  <c r="E21" i="68"/>
  <c r="A6" i="41"/>
  <c r="K4" i="68"/>
  <c r="L4" i="68"/>
  <c r="E19" i="68"/>
  <c r="M4" i="68"/>
  <c r="E17" i="68"/>
  <c r="AC4" i="68"/>
  <c r="A12" i="41"/>
  <c r="A15" i="41"/>
  <c r="A16" i="41"/>
  <c r="A7" i="41"/>
  <c r="Z4" i="68"/>
  <c r="A3" i="41"/>
  <c r="Y4" i="68"/>
  <c r="E23" i="68"/>
  <c r="N4" i="68"/>
  <c r="AE4" i="68"/>
  <c r="A13" i="41"/>
  <c r="P4" i="68"/>
  <c r="S4" i="68"/>
  <c r="H4" i="68"/>
  <c r="A4" i="41"/>
  <c r="E7" i="68"/>
  <c r="A18" i="41"/>
  <c r="A5" i="41"/>
  <c r="AH4" i="68"/>
  <c r="AB4" i="68"/>
  <c r="V4" i="68"/>
  <c r="A14" i="41"/>
  <c r="AA4" i="68"/>
  <c r="W4" i="68"/>
  <c r="AF4" i="68"/>
  <c r="A10" i="41"/>
  <c r="AI4" i="68"/>
  <c r="U4" i="68"/>
  <c r="E11" i="68"/>
  <c r="A23" i="41"/>
  <c r="R4" i="68"/>
  <c r="C4" i="58"/>
  <c r="E5" i="68"/>
  <c r="AG4" i="68"/>
  <c r="E9" i="68"/>
  <c r="A20" i="41"/>
  <c r="X4" i="68"/>
  <c r="A9" i="41"/>
  <c r="O4" i="68"/>
  <c r="A22" i="41"/>
  <c r="A21" i="41"/>
  <c r="E25" i="68"/>
  <c r="E13" i="68"/>
  <c r="T4" i="68"/>
  <c r="I4" i="68"/>
  <c r="G4" i="68"/>
  <c r="L15" i="68" l="1"/>
  <c r="L16" i="68" s="1"/>
  <c r="AH5" i="68"/>
  <c r="AH6" i="68" s="1"/>
  <c r="AD5" i="68"/>
  <c r="AD6" i="68" s="1"/>
  <c r="AI5" i="68"/>
  <c r="AI6" i="68" s="1"/>
  <c r="AE5" i="68"/>
  <c r="AE6" i="68" s="1"/>
  <c r="AJ5" i="68"/>
  <c r="AJ6" i="68" s="1"/>
  <c r="AF5" i="68"/>
  <c r="AF6" i="68" s="1"/>
  <c r="AB5" i="68"/>
  <c r="AB6" i="68" s="1"/>
  <c r="AG5" i="68"/>
  <c r="AG6" i="68" s="1"/>
  <c r="AC5" i="68"/>
  <c r="AC6" i="68" s="1"/>
  <c r="AI9" i="68"/>
  <c r="AI10" i="68" s="1"/>
  <c r="AE9" i="68"/>
  <c r="AE10" i="68" s="1"/>
  <c r="AJ9" i="68"/>
  <c r="AJ10" i="68" s="1"/>
  <c r="AF9" i="68"/>
  <c r="AF10" i="68" s="1"/>
  <c r="AB9" i="68"/>
  <c r="AB10" i="68" s="1"/>
  <c r="AG9" i="68"/>
  <c r="AG10" i="68" s="1"/>
  <c r="AC9" i="68"/>
  <c r="AC10" i="68" s="1"/>
  <c r="AH9" i="68"/>
  <c r="AH10" i="68" s="1"/>
  <c r="AD9" i="68"/>
  <c r="AD10" i="68" s="1"/>
  <c r="AG13" i="68"/>
  <c r="AG14" i="68" s="1"/>
  <c r="AC13" i="68"/>
  <c r="AC14" i="68" s="1"/>
  <c r="AH13" i="68"/>
  <c r="AH14" i="68" s="1"/>
  <c r="AD13" i="68"/>
  <c r="AD14" i="68" s="1"/>
  <c r="AI13" i="68"/>
  <c r="AI14" i="68" s="1"/>
  <c r="AE13" i="68"/>
  <c r="AE14" i="68" s="1"/>
  <c r="AJ13" i="68"/>
  <c r="AJ14" i="68" s="1"/>
  <c r="AF13" i="68"/>
  <c r="AF14" i="68" s="1"/>
  <c r="AB13" i="68"/>
  <c r="AB14" i="68" s="1"/>
  <c r="AI17" i="68"/>
  <c r="AI18" i="68" s="1"/>
  <c r="AE17" i="68"/>
  <c r="AE18" i="68" s="1"/>
  <c r="AJ17" i="68"/>
  <c r="AJ18" i="68" s="1"/>
  <c r="AF17" i="68"/>
  <c r="AF18" i="68" s="1"/>
  <c r="AB17" i="68"/>
  <c r="AB18" i="68" s="1"/>
  <c r="AG17" i="68"/>
  <c r="AG18" i="68" s="1"/>
  <c r="AC17" i="68"/>
  <c r="AC18" i="68" s="1"/>
  <c r="AH17" i="68"/>
  <c r="AH18" i="68" s="1"/>
  <c r="AD17" i="68"/>
  <c r="AD18" i="68" s="1"/>
  <c r="AG21" i="68"/>
  <c r="AG22" i="68" s="1"/>
  <c r="AC21" i="68"/>
  <c r="AC22" i="68" s="1"/>
  <c r="AH21" i="68"/>
  <c r="AH22" i="68" s="1"/>
  <c r="AD21" i="68"/>
  <c r="AD22" i="68" s="1"/>
  <c r="AI21" i="68"/>
  <c r="AI22" i="68" s="1"/>
  <c r="AE21" i="68"/>
  <c r="AE22" i="68" s="1"/>
  <c r="AJ21" i="68"/>
  <c r="AJ22" i="68" s="1"/>
  <c r="AF21" i="68"/>
  <c r="AF22" i="68" s="1"/>
  <c r="AB21" i="68"/>
  <c r="AB22" i="68" s="1"/>
  <c r="K5" i="68"/>
  <c r="K6" i="68" s="1"/>
  <c r="K19" i="68"/>
  <c r="K20" i="68" s="1"/>
  <c r="K11" i="68"/>
  <c r="K12" i="68" s="1"/>
  <c r="L17" i="68"/>
  <c r="L18" i="68" s="1"/>
  <c r="L9" i="68"/>
  <c r="L10" i="68" s="1"/>
  <c r="K17" i="68"/>
  <c r="K18" i="68" s="1"/>
  <c r="K9" i="68"/>
  <c r="K10" i="68" s="1"/>
  <c r="L23" i="68"/>
  <c r="L24" i="68" s="1"/>
  <c r="L7" i="68"/>
  <c r="L8" i="68" s="1"/>
  <c r="AJ7" i="68"/>
  <c r="AJ8" i="68" s="1"/>
  <c r="AF7" i="68"/>
  <c r="AF8" i="68" s="1"/>
  <c r="AB7" i="68"/>
  <c r="AB8" i="68" s="1"/>
  <c r="AG7" i="68"/>
  <c r="AG8" i="68" s="1"/>
  <c r="AC7" i="68"/>
  <c r="AC8" i="68" s="1"/>
  <c r="AH7" i="68"/>
  <c r="AH8" i="68" s="1"/>
  <c r="AD7" i="68"/>
  <c r="AD8" i="68" s="1"/>
  <c r="AI7" i="68"/>
  <c r="AI8" i="68" s="1"/>
  <c r="AE7" i="68"/>
  <c r="AE8" i="68" s="1"/>
  <c r="AH11" i="68"/>
  <c r="AH12" i="68" s="1"/>
  <c r="AD11" i="68"/>
  <c r="AD12" i="68" s="1"/>
  <c r="AI11" i="68"/>
  <c r="AI12" i="68" s="1"/>
  <c r="AE11" i="68"/>
  <c r="AE12" i="68" s="1"/>
  <c r="AJ11" i="68"/>
  <c r="AJ12" i="68" s="1"/>
  <c r="AF11" i="68"/>
  <c r="AF12" i="68" s="1"/>
  <c r="AB11" i="68"/>
  <c r="AB12" i="68" s="1"/>
  <c r="AG11" i="68"/>
  <c r="AG12" i="68" s="1"/>
  <c r="AC11" i="68"/>
  <c r="AC12" i="68" s="1"/>
  <c r="AJ15" i="68"/>
  <c r="AJ16" i="68" s="1"/>
  <c r="AF15" i="68"/>
  <c r="AF16" i="68" s="1"/>
  <c r="AB15" i="68"/>
  <c r="AB16" i="68" s="1"/>
  <c r="AG15" i="68"/>
  <c r="AG16" i="68" s="1"/>
  <c r="AC15" i="68"/>
  <c r="AC16" i="68" s="1"/>
  <c r="AH15" i="68"/>
  <c r="AH16" i="68" s="1"/>
  <c r="AD15" i="68"/>
  <c r="AD16" i="68" s="1"/>
  <c r="AI15" i="68"/>
  <c r="AI16" i="68" s="1"/>
  <c r="AE15" i="68"/>
  <c r="AE16" i="68" s="1"/>
  <c r="AH19" i="68"/>
  <c r="AH20" i="68" s="1"/>
  <c r="AD19" i="68"/>
  <c r="AD20" i="68" s="1"/>
  <c r="AI19" i="68"/>
  <c r="AI20" i="68" s="1"/>
  <c r="AE19" i="68"/>
  <c r="AE20" i="68" s="1"/>
  <c r="AJ19" i="68"/>
  <c r="AJ20" i="68" s="1"/>
  <c r="AF19" i="68"/>
  <c r="AF20" i="68" s="1"/>
  <c r="AB19" i="68"/>
  <c r="AB20" i="68" s="1"/>
  <c r="AG19" i="68"/>
  <c r="AG20" i="68" s="1"/>
  <c r="AC19" i="68"/>
  <c r="AC20" i="68" s="1"/>
  <c r="AJ23" i="68"/>
  <c r="AJ24" i="68" s="1"/>
  <c r="AF23" i="68"/>
  <c r="AF24" i="68" s="1"/>
  <c r="AB23" i="68"/>
  <c r="AB24" i="68" s="1"/>
  <c r="AG23" i="68"/>
  <c r="AG24" i="68" s="1"/>
  <c r="AC23" i="68"/>
  <c r="AC24" i="68" s="1"/>
  <c r="AH23" i="68"/>
  <c r="AH24" i="68" s="1"/>
  <c r="AD23" i="68"/>
  <c r="AD24" i="68" s="1"/>
  <c r="AI23" i="68"/>
  <c r="AI24" i="68" s="1"/>
  <c r="AE23" i="68"/>
  <c r="AE24" i="68" s="1"/>
  <c r="K23" i="68"/>
  <c r="K24" i="68" s="1"/>
  <c r="K15" i="68"/>
  <c r="K16" i="68" s="1"/>
  <c r="K7" i="68"/>
  <c r="K8" i="68" s="1"/>
  <c r="L21" i="68"/>
  <c r="L22" i="68" s="1"/>
  <c r="L13" i="68"/>
  <c r="L14" i="68" s="1"/>
  <c r="K21" i="68"/>
  <c r="K22" i="68" s="1"/>
  <c r="K13" i="68"/>
  <c r="K14" i="68" s="1"/>
  <c r="L5" i="68"/>
  <c r="L6" i="68" s="1"/>
  <c r="L19" i="68"/>
  <c r="L20" i="68" s="1"/>
  <c r="L11" i="68"/>
  <c r="L12" i="68" s="1"/>
  <c r="Q60" i="65" l="1"/>
  <c r="Q61" i="65"/>
  <c r="Q62" i="65"/>
  <c r="Q63" i="65"/>
  <c r="Q64" i="65"/>
  <c r="Q59" i="65"/>
  <c r="I60" i="65"/>
  <c r="I61" i="65"/>
  <c r="I62" i="65"/>
  <c r="I63" i="65"/>
  <c r="I64" i="65"/>
  <c r="I65" i="65"/>
  <c r="I66" i="65"/>
  <c r="I67" i="65"/>
  <c r="I68" i="65"/>
  <c r="I59" i="65"/>
  <c r="Q53" i="65"/>
  <c r="Q52" i="65"/>
  <c r="M53" i="65"/>
  <c r="M54" i="65"/>
  <c r="M55" i="65"/>
  <c r="M52" i="65"/>
  <c r="I53" i="65"/>
  <c r="I54" i="65"/>
  <c r="I52" i="65"/>
  <c r="Q44" i="65"/>
  <c r="Q43" i="65"/>
  <c r="M44" i="65"/>
  <c r="M45" i="65"/>
  <c r="M46" i="65"/>
  <c r="M47" i="65"/>
  <c r="M43" i="65"/>
  <c r="I44" i="65"/>
  <c r="I45" i="65"/>
  <c r="I43" i="65"/>
  <c r="M36" i="65" l="1"/>
  <c r="M37" i="65"/>
  <c r="M38" i="65"/>
  <c r="M35" i="65"/>
  <c r="M32" i="65"/>
  <c r="M33" i="65"/>
  <c r="M34" i="65"/>
  <c r="M31" i="65"/>
  <c r="I32" i="65"/>
  <c r="I31" i="65"/>
  <c r="E31" i="65"/>
  <c r="E8" i="65"/>
  <c r="Q9" i="65"/>
  <c r="Q10" i="65"/>
  <c r="Q8" i="65"/>
  <c r="D3" i="19"/>
  <c r="D4" i="19"/>
  <c r="D5" i="19"/>
  <c r="D6" i="19"/>
  <c r="D7" i="19"/>
  <c r="D8" i="19"/>
  <c r="D9" i="19"/>
  <c r="D10" i="19"/>
  <c r="D11" i="19"/>
  <c r="D12" i="19"/>
  <c r="D13" i="19"/>
  <c r="D14" i="19"/>
  <c r="D15" i="19"/>
  <c r="D16" i="19"/>
  <c r="D17" i="19"/>
  <c r="D18" i="19"/>
  <c r="D19" i="19"/>
  <c r="D20" i="19"/>
  <c r="D21" i="19"/>
  <c r="D22" i="19"/>
  <c r="D23" i="19"/>
  <c r="D24" i="19"/>
  <c r="D25" i="19"/>
  <c r="D26" i="19"/>
  <c r="D27" i="19"/>
  <c r="D28" i="19"/>
  <c r="D29" i="19"/>
  <c r="D30" i="19"/>
  <c r="D31" i="19"/>
  <c r="D2" i="19"/>
  <c r="I9" i="65"/>
  <c r="I10" i="65"/>
  <c r="I8" i="65"/>
  <c r="U9" i="65"/>
  <c r="U10" i="65"/>
  <c r="U11" i="65"/>
  <c r="U8" i="65"/>
  <c r="E5" i="62"/>
  <c r="E26" i="62"/>
  <c r="E29" i="62"/>
  <c r="E17" i="62"/>
  <c r="E35" i="62"/>
  <c r="E32" i="62"/>
  <c r="E8" i="62"/>
  <c r="E23" i="62"/>
  <c r="E11" i="62"/>
  <c r="E20" i="62"/>
  <c r="E14" i="62"/>
  <c r="M9" i="65" l="1"/>
  <c r="M8" i="65"/>
  <c r="D136" i="64"/>
  <c r="E37" i="65" s="1"/>
  <c r="C8" i="22"/>
  <c r="C9" i="22"/>
  <c r="C10" i="22"/>
  <c r="C11" i="22"/>
  <c r="C12" i="22"/>
  <c r="C13" i="22"/>
  <c r="C14" i="22"/>
  <c r="C15" i="22"/>
  <c r="C16" i="22"/>
  <c r="C17" i="22"/>
  <c r="C18" i="22"/>
  <c r="C19" i="22"/>
  <c r="C20" i="22"/>
  <c r="C21" i="22"/>
  <c r="C22" i="22"/>
  <c r="C23" i="22"/>
  <c r="C24" i="22"/>
  <c r="C25" i="22"/>
  <c r="C26" i="22"/>
  <c r="C27" i="22"/>
  <c r="C28" i="22"/>
  <c r="C29" i="22"/>
  <c r="C30" i="22"/>
  <c r="C31" i="22"/>
  <c r="C32" i="22"/>
  <c r="C33" i="22"/>
  <c r="C34" i="22"/>
  <c r="C35" i="22"/>
  <c r="C36" i="22"/>
  <c r="C37" i="22"/>
  <c r="C38" i="22"/>
  <c r="C39" i="22"/>
  <c r="C40" i="22"/>
  <c r="C41" i="22"/>
  <c r="C42" i="22"/>
  <c r="C43" i="22"/>
  <c r="C44" i="22"/>
  <c r="C45" i="22"/>
  <c r="C46" i="22"/>
  <c r="C47" i="22"/>
  <c r="C48" i="22"/>
  <c r="C49" i="22"/>
  <c r="C50" i="22"/>
  <c r="C51" i="22"/>
  <c r="C52" i="22"/>
  <c r="C53" i="22"/>
  <c r="C54" i="22"/>
  <c r="C55" i="22"/>
  <c r="C56" i="22"/>
  <c r="C57" i="22"/>
  <c r="C58" i="22"/>
  <c r="C59" i="22"/>
  <c r="C60" i="22"/>
  <c r="C61" i="22"/>
  <c r="C62" i="22"/>
  <c r="C63" i="22"/>
  <c r="C64" i="22"/>
  <c r="C65" i="22"/>
  <c r="C66" i="22"/>
  <c r="C67" i="22"/>
  <c r="C68" i="22"/>
  <c r="C69" i="22"/>
  <c r="C70" i="22"/>
  <c r="C71" i="22"/>
  <c r="C72" i="22"/>
  <c r="C73" i="22"/>
  <c r="C74" i="22"/>
  <c r="C75" i="22"/>
  <c r="C76" i="22"/>
  <c r="C77" i="22"/>
  <c r="C78" i="22"/>
  <c r="C79" i="22"/>
  <c r="C80" i="22"/>
  <c r="C81" i="22"/>
  <c r="C82" i="22"/>
  <c r="C83" i="22"/>
  <c r="C84" i="22"/>
  <c r="C85" i="22"/>
  <c r="C86" i="22"/>
  <c r="C87" i="22"/>
  <c r="C88" i="22"/>
  <c r="C89" i="22"/>
  <c r="C90" i="22"/>
  <c r="C91" i="22"/>
  <c r="C92" i="22"/>
  <c r="C93" i="22"/>
  <c r="C94" i="22"/>
  <c r="C95" i="22"/>
  <c r="C96" i="22"/>
  <c r="C97" i="22"/>
  <c r="C98" i="22"/>
  <c r="C99" i="22"/>
  <c r="C100" i="22"/>
  <c r="C101" i="22"/>
  <c r="C102" i="22"/>
  <c r="C103" i="22"/>
  <c r="C104" i="22"/>
  <c r="C105" i="22"/>
  <c r="C106" i="22"/>
  <c r="C107" i="22"/>
  <c r="C108" i="22"/>
  <c r="C109" i="22"/>
  <c r="C110" i="22"/>
  <c r="C111" i="22"/>
  <c r="C112" i="22"/>
  <c r="C113" i="22"/>
  <c r="C114" i="22"/>
  <c r="C115" i="22"/>
  <c r="C116" i="22"/>
  <c r="C117" i="22"/>
  <c r="C118" i="22"/>
  <c r="C119" i="22"/>
  <c r="C120" i="22"/>
  <c r="C121" i="22"/>
  <c r="C122" i="22"/>
  <c r="C123" i="22"/>
  <c r="C124" i="22"/>
  <c r="C125" i="22"/>
  <c r="C126" i="22"/>
  <c r="C127" i="22"/>
  <c r="C128" i="22"/>
  <c r="C129" i="22"/>
  <c r="C130" i="22"/>
  <c r="C131" i="22"/>
  <c r="C132" i="22"/>
  <c r="C133" i="22"/>
  <c r="C134" i="22"/>
  <c r="C135" i="22"/>
  <c r="C136" i="22"/>
  <c r="C137" i="22"/>
  <c r="C7" i="22"/>
  <c r="B7" i="22"/>
  <c r="B28" i="22"/>
  <c r="B29" i="22"/>
  <c r="B30" i="22"/>
  <c r="B31" i="22"/>
  <c r="B32" i="22"/>
  <c r="B33" i="22"/>
  <c r="B34" i="22"/>
  <c r="B35" i="22"/>
  <c r="B36" i="22"/>
  <c r="B37" i="22"/>
  <c r="B38" i="22"/>
  <c r="B39" i="22"/>
  <c r="B40" i="22"/>
  <c r="B41" i="22"/>
  <c r="B42" i="22"/>
  <c r="B43" i="22"/>
  <c r="B44" i="22"/>
  <c r="B45" i="22"/>
  <c r="B46" i="22"/>
  <c r="B47" i="22"/>
  <c r="B48" i="22"/>
  <c r="B49" i="22"/>
  <c r="B50" i="22"/>
  <c r="B51" i="22"/>
  <c r="B52" i="22"/>
  <c r="B53" i="22"/>
  <c r="B54" i="22"/>
  <c r="B55" i="22"/>
  <c r="B56" i="22"/>
  <c r="B57" i="22"/>
  <c r="B58" i="22"/>
  <c r="B59" i="22"/>
  <c r="B60" i="22"/>
  <c r="B61" i="22"/>
  <c r="B62" i="22"/>
  <c r="B63" i="22"/>
  <c r="B64" i="22"/>
  <c r="B65" i="22"/>
  <c r="B66" i="22"/>
  <c r="B67" i="22"/>
  <c r="B68" i="22"/>
  <c r="B69" i="22"/>
  <c r="B70" i="22"/>
  <c r="B71" i="22"/>
  <c r="B72" i="22"/>
  <c r="B73" i="22"/>
  <c r="B74" i="22"/>
  <c r="B75" i="22"/>
  <c r="B76" i="22"/>
  <c r="B77" i="22"/>
  <c r="B78" i="22"/>
  <c r="B79" i="22"/>
  <c r="B80" i="22"/>
  <c r="B81" i="22"/>
  <c r="B82" i="22"/>
  <c r="B83" i="22"/>
  <c r="B84" i="22"/>
  <c r="B85" i="22"/>
  <c r="B86" i="22"/>
  <c r="B87" i="22"/>
  <c r="B88" i="22"/>
  <c r="B89" i="22"/>
  <c r="B90" i="22"/>
  <c r="B91" i="22"/>
  <c r="B92" i="22"/>
  <c r="B93" i="22"/>
  <c r="B94" i="22"/>
  <c r="B95" i="22"/>
  <c r="B96" i="22"/>
  <c r="B97" i="22"/>
  <c r="B98" i="22"/>
  <c r="B99" i="22"/>
  <c r="B100" i="22"/>
  <c r="B101" i="22"/>
  <c r="B102" i="22"/>
  <c r="B103" i="22"/>
  <c r="B104" i="22"/>
  <c r="B105" i="22"/>
  <c r="B106" i="22"/>
  <c r="B107" i="22"/>
  <c r="B108" i="22"/>
  <c r="B109" i="22"/>
  <c r="B110" i="22"/>
  <c r="B111" i="22"/>
  <c r="B112" i="22"/>
  <c r="B113" i="22"/>
  <c r="B114" i="22"/>
  <c r="B115" i="22"/>
  <c r="B116" i="22"/>
  <c r="B117" i="22"/>
  <c r="B118" i="22"/>
  <c r="B119" i="22"/>
  <c r="B120" i="22"/>
  <c r="B121" i="22"/>
  <c r="B122" i="22"/>
  <c r="B123" i="22"/>
  <c r="B124" i="22"/>
  <c r="B125" i="22"/>
  <c r="B126" i="22"/>
  <c r="B127" i="22"/>
  <c r="B128" i="22"/>
  <c r="B129" i="22"/>
  <c r="B130" i="22"/>
  <c r="B131" i="22"/>
  <c r="B132" i="22"/>
  <c r="B133" i="22"/>
  <c r="B134" i="22"/>
  <c r="B135" i="22"/>
  <c r="B136" i="22"/>
  <c r="B137" i="22"/>
  <c r="B8" i="22"/>
  <c r="B9" i="22"/>
  <c r="B10" i="22"/>
  <c r="B11" i="22"/>
  <c r="B12" i="22"/>
  <c r="B13" i="22"/>
  <c r="B14" i="22"/>
  <c r="B15" i="22"/>
  <c r="B16" i="22"/>
  <c r="B17" i="22"/>
  <c r="B18" i="22"/>
  <c r="B19" i="22"/>
  <c r="B20" i="22"/>
  <c r="B21" i="22"/>
  <c r="B22" i="22"/>
  <c r="B23" i="22"/>
  <c r="B24" i="22"/>
  <c r="B25" i="22"/>
  <c r="B26" i="22"/>
  <c r="B27" i="22"/>
  <c r="AF4" i="32"/>
  <c r="J4" i="32"/>
  <c r="G4" i="32"/>
  <c r="X4" i="32"/>
  <c r="T4" i="32"/>
  <c r="Z4" i="32"/>
  <c r="S4" i="32"/>
  <c r="W4" i="32"/>
  <c r="R4" i="32"/>
  <c r="V4" i="32"/>
  <c r="D4" i="32"/>
  <c r="M4" i="32"/>
  <c r="L4" i="32"/>
  <c r="F4" i="32"/>
  <c r="P4" i="32"/>
  <c r="Y4" i="32"/>
  <c r="E4" i="32"/>
  <c r="AC4" i="32"/>
  <c r="N4" i="32"/>
  <c r="AB4" i="32"/>
  <c r="C4" i="32"/>
  <c r="AA4" i="32"/>
  <c r="AE4" i="32"/>
  <c r="I4" i="32"/>
  <c r="O4" i="32"/>
  <c r="Q4" i="32"/>
  <c r="AD4" i="32"/>
  <c r="K4" i="32"/>
  <c r="H4" i="32"/>
  <c r="U4" i="32"/>
  <c r="C5" i="62" l="1"/>
  <c r="D5" i="62"/>
  <c r="G5" i="62" l="1"/>
  <c r="J5" i="62"/>
  <c r="Q5" i="62"/>
  <c r="Y5" i="62"/>
  <c r="AG5" i="62"/>
  <c r="K6" i="62"/>
  <c r="S6" i="62"/>
  <c r="AA6" i="62"/>
  <c r="AI6" i="62"/>
  <c r="AG6" i="62"/>
  <c r="L5" i="62"/>
  <c r="T5" i="62"/>
  <c r="AB5" i="62"/>
  <c r="AJ5" i="62"/>
  <c r="N6" i="62"/>
  <c r="V6" i="62"/>
  <c r="AD6" i="62"/>
  <c r="H5" i="62"/>
  <c r="M5" i="62"/>
  <c r="U5" i="62"/>
  <c r="AC5" i="62"/>
  <c r="G6" i="62"/>
  <c r="O6" i="62"/>
  <c r="W6" i="62"/>
  <c r="AE6" i="62"/>
  <c r="I5" i="62"/>
  <c r="P5" i="62"/>
  <c r="X5" i="62"/>
  <c r="AF5" i="62"/>
  <c r="J6" i="62"/>
  <c r="R6" i="62"/>
  <c r="Z6" i="62"/>
  <c r="AH6" i="62"/>
  <c r="AH5" i="62"/>
  <c r="H6" i="62"/>
  <c r="L6" i="62"/>
  <c r="P6" i="62"/>
  <c r="T6" i="62"/>
  <c r="X6" i="62"/>
  <c r="AB6" i="62"/>
  <c r="AF6" i="62"/>
  <c r="AJ6" i="62"/>
  <c r="N5" i="62"/>
  <c r="N7" i="62" s="1"/>
  <c r="R5" i="62"/>
  <c r="V5" i="62"/>
  <c r="Z5" i="62"/>
  <c r="AD5" i="62"/>
  <c r="K5" i="62"/>
  <c r="O5" i="62"/>
  <c r="S5" i="62"/>
  <c r="W5" i="62"/>
  <c r="AA5" i="62"/>
  <c r="AA7" i="62" s="1"/>
  <c r="AE5" i="62"/>
  <c r="AE7" i="62" s="1"/>
  <c r="AI5" i="62"/>
  <c r="I6" i="62"/>
  <c r="M6" i="62"/>
  <c r="Q6" i="62"/>
  <c r="U6" i="62"/>
  <c r="Y6" i="62"/>
  <c r="AC6" i="62"/>
  <c r="D32" i="62"/>
  <c r="D29" i="62"/>
  <c r="D26" i="62"/>
  <c r="D23" i="62"/>
  <c r="D20" i="62"/>
  <c r="D17" i="62"/>
  <c r="D14" i="62"/>
  <c r="D11" i="62"/>
  <c r="D8" i="62"/>
  <c r="C32" i="62"/>
  <c r="C29" i="62"/>
  <c r="C26" i="62"/>
  <c r="C23" i="62"/>
  <c r="C20" i="62"/>
  <c r="C17" i="62"/>
  <c r="C14" i="62"/>
  <c r="C11" i="62"/>
  <c r="C8" i="62"/>
  <c r="AJ27" i="62" l="1"/>
  <c r="AF27" i="62"/>
  <c r="AB27" i="62"/>
  <c r="X27" i="62"/>
  <c r="T27" i="62"/>
  <c r="P27" i="62"/>
  <c r="L27" i="62"/>
  <c r="H27" i="62"/>
  <c r="AH26" i="62"/>
  <c r="AD26" i="62"/>
  <c r="Z26" i="62"/>
  <c r="V26" i="62"/>
  <c r="R26" i="62"/>
  <c r="N26" i="62"/>
  <c r="J26" i="62"/>
  <c r="AH27" i="62"/>
  <c r="AD27" i="62"/>
  <c r="Z27" i="62"/>
  <c r="V27" i="62"/>
  <c r="R27" i="62"/>
  <c r="N27" i="62"/>
  <c r="J27" i="62"/>
  <c r="AJ26" i="62"/>
  <c r="AF26" i="62"/>
  <c r="AB26" i="62"/>
  <c r="X26" i="62"/>
  <c r="T26" i="62"/>
  <c r="P26" i="62"/>
  <c r="L26" i="62"/>
  <c r="H26" i="62"/>
  <c r="AE27" i="62"/>
  <c r="W27" i="62"/>
  <c r="O27" i="62"/>
  <c r="G27" i="62"/>
  <c r="AC26" i="62"/>
  <c r="U26" i="62"/>
  <c r="M26" i="62"/>
  <c r="AC27" i="62"/>
  <c r="U27" i="62"/>
  <c r="M27" i="62"/>
  <c r="AI26" i="62"/>
  <c r="AA26" i="62"/>
  <c r="S26" i="62"/>
  <c r="K26" i="62"/>
  <c r="AI27" i="62"/>
  <c r="AA27" i="62"/>
  <c r="S27" i="62"/>
  <c r="K27" i="62"/>
  <c r="AG26" i="62"/>
  <c r="Y26" i="62"/>
  <c r="Q26" i="62"/>
  <c r="I26" i="62"/>
  <c r="AG27" i="62"/>
  <c r="Y27" i="62"/>
  <c r="Q27" i="62"/>
  <c r="I27" i="62"/>
  <c r="AE26" i="62"/>
  <c r="W26" i="62"/>
  <c r="O26" i="62"/>
  <c r="G26" i="62"/>
  <c r="AJ18" i="62"/>
  <c r="AF18" i="62"/>
  <c r="AB18" i="62"/>
  <c r="X18" i="62"/>
  <c r="T18" i="62"/>
  <c r="P18" i="62"/>
  <c r="L18" i="62"/>
  <c r="H18" i="62"/>
  <c r="AH17" i="62"/>
  <c r="AD17" i="62"/>
  <c r="Z17" i="62"/>
  <c r="V17" i="62"/>
  <c r="R17" i="62"/>
  <c r="N17" i="62"/>
  <c r="J17" i="62"/>
  <c r="AH18" i="62"/>
  <c r="AD18" i="62"/>
  <c r="Z18" i="62"/>
  <c r="V18" i="62"/>
  <c r="R18" i="62"/>
  <c r="N18" i="62"/>
  <c r="J18" i="62"/>
  <c r="AJ17" i="62"/>
  <c r="AF17" i="62"/>
  <c r="AB17" i="62"/>
  <c r="X17" i="62"/>
  <c r="T17" i="62"/>
  <c r="P17" i="62"/>
  <c r="L17" i="62"/>
  <c r="H17" i="62"/>
  <c r="AE18" i="62"/>
  <c r="W18" i="62"/>
  <c r="O18" i="62"/>
  <c r="G18" i="62"/>
  <c r="AC17" i="62"/>
  <c r="U17" i="62"/>
  <c r="M17" i="62"/>
  <c r="AC18" i="62"/>
  <c r="U18" i="62"/>
  <c r="M18" i="62"/>
  <c r="AI17" i="62"/>
  <c r="AA17" i="62"/>
  <c r="S17" i="62"/>
  <c r="K17" i="62"/>
  <c r="AI18" i="62"/>
  <c r="AA18" i="62"/>
  <c r="S18" i="62"/>
  <c r="K18" i="62"/>
  <c r="AG17" i="62"/>
  <c r="Y17" i="62"/>
  <c r="Q17" i="62"/>
  <c r="I17" i="62"/>
  <c r="AG18" i="62"/>
  <c r="Y18" i="62"/>
  <c r="Q18" i="62"/>
  <c r="I18" i="62"/>
  <c r="AE17" i="62"/>
  <c r="W17" i="62"/>
  <c r="O17" i="62"/>
  <c r="G17" i="62"/>
  <c r="AJ30" i="62"/>
  <c r="AF30" i="62"/>
  <c r="AB30" i="62"/>
  <c r="X30" i="62"/>
  <c r="T30" i="62"/>
  <c r="P30" i="62"/>
  <c r="L30" i="62"/>
  <c r="H30" i="62"/>
  <c r="AH29" i="62"/>
  <c r="AD29" i="62"/>
  <c r="Z29" i="62"/>
  <c r="V29" i="62"/>
  <c r="R29" i="62"/>
  <c r="N29" i="62"/>
  <c r="J29" i="62"/>
  <c r="AH30" i="62"/>
  <c r="AD30" i="62"/>
  <c r="Z30" i="62"/>
  <c r="V30" i="62"/>
  <c r="R30" i="62"/>
  <c r="N30" i="62"/>
  <c r="J30" i="62"/>
  <c r="AJ29" i="62"/>
  <c r="AF29" i="62"/>
  <c r="AB29" i="62"/>
  <c r="X29" i="62"/>
  <c r="T29" i="62"/>
  <c r="P29" i="62"/>
  <c r="L29" i="62"/>
  <c r="H29" i="62"/>
  <c r="AI30" i="62"/>
  <c r="AA30" i="62"/>
  <c r="S30" i="62"/>
  <c r="K30" i="62"/>
  <c r="AG29" i="62"/>
  <c r="Y29" i="62"/>
  <c r="Q29" i="62"/>
  <c r="I29" i="62"/>
  <c r="AE30" i="62"/>
  <c r="W30" i="62"/>
  <c r="O30" i="62"/>
  <c r="G30" i="62"/>
  <c r="AC29" i="62"/>
  <c r="U29" i="62"/>
  <c r="M29" i="62"/>
  <c r="Y30" i="62"/>
  <c r="I30" i="62"/>
  <c r="W29" i="62"/>
  <c r="W31" i="62" s="1"/>
  <c r="G29" i="62"/>
  <c r="U30" i="62"/>
  <c r="AI29" i="62"/>
  <c r="AI31" i="62" s="1"/>
  <c r="S29" i="62"/>
  <c r="AG30" i="62"/>
  <c r="Q30" i="62"/>
  <c r="AE29" i="62"/>
  <c r="AE31" i="62" s="1"/>
  <c r="O29" i="62"/>
  <c r="AC30" i="62"/>
  <c r="M30" i="62"/>
  <c r="AA29" i="62"/>
  <c r="K29" i="62"/>
  <c r="AJ21" i="62"/>
  <c r="AF21" i="62"/>
  <c r="AB21" i="62"/>
  <c r="X21" i="62"/>
  <c r="T21" i="62"/>
  <c r="P21" i="62"/>
  <c r="L21" i="62"/>
  <c r="H21" i="62"/>
  <c r="AH20" i="62"/>
  <c r="AD20" i="62"/>
  <c r="Z20" i="62"/>
  <c r="V20" i="62"/>
  <c r="R20" i="62"/>
  <c r="N20" i="62"/>
  <c r="J20" i="62"/>
  <c r="AH21" i="62"/>
  <c r="AD21" i="62"/>
  <c r="Z21" i="62"/>
  <c r="V21" i="62"/>
  <c r="R21" i="62"/>
  <c r="N21" i="62"/>
  <c r="J21" i="62"/>
  <c r="AJ20" i="62"/>
  <c r="AF20" i="62"/>
  <c r="AB20" i="62"/>
  <c r="X20" i="62"/>
  <c r="T20" i="62"/>
  <c r="P20" i="62"/>
  <c r="L20" i="62"/>
  <c r="H20" i="62"/>
  <c r="AI21" i="62"/>
  <c r="AA21" i="62"/>
  <c r="S21" i="62"/>
  <c r="K21" i="62"/>
  <c r="AG20" i="62"/>
  <c r="Y20" i="62"/>
  <c r="Q20" i="62"/>
  <c r="I20" i="62"/>
  <c r="AG21" i="62"/>
  <c r="Y21" i="62"/>
  <c r="Q21" i="62"/>
  <c r="I21" i="62"/>
  <c r="AE20" i="62"/>
  <c r="W20" i="62"/>
  <c r="O20" i="62"/>
  <c r="AE21" i="62"/>
  <c r="W21" i="62"/>
  <c r="O21" i="62"/>
  <c r="G21" i="62"/>
  <c r="AC20" i="62"/>
  <c r="U20" i="62"/>
  <c r="M20" i="62"/>
  <c r="AC21" i="62"/>
  <c r="U21" i="62"/>
  <c r="M21" i="62"/>
  <c r="AI20" i="62"/>
  <c r="AA20" i="62"/>
  <c r="S20" i="62"/>
  <c r="K20" i="62"/>
  <c r="G20" i="62"/>
  <c r="AJ33" i="62"/>
  <c r="AF33" i="62"/>
  <c r="AB33" i="62"/>
  <c r="X33" i="62"/>
  <c r="T33" i="62"/>
  <c r="P33" i="62"/>
  <c r="L33" i="62"/>
  <c r="H33" i="62"/>
  <c r="AH32" i="62"/>
  <c r="AD32" i="62"/>
  <c r="Z32" i="62"/>
  <c r="V32" i="62"/>
  <c r="R32" i="62"/>
  <c r="N32" i="62"/>
  <c r="J32" i="62"/>
  <c r="AH33" i="62"/>
  <c r="AD33" i="62"/>
  <c r="Z33" i="62"/>
  <c r="V33" i="62"/>
  <c r="R33" i="62"/>
  <c r="N33" i="62"/>
  <c r="J33" i="62"/>
  <c r="AJ32" i="62"/>
  <c r="AF32" i="62"/>
  <c r="AB32" i="62"/>
  <c r="X32" i="62"/>
  <c r="T32" i="62"/>
  <c r="P32" i="62"/>
  <c r="L32" i="62"/>
  <c r="H32" i="62"/>
  <c r="AI33" i="62"/>
  <c r="AA33" i="62"/>
  <c r="S33" i="62"/>
  <c r="K33" i="62"/>
  <c r="AG32" i="62"/>
  <c r="Y32" i="62"/>
  <c r="Q32" i="62"/>
  <c r="I32" i="62"/>
  <c r="AG33" i="62"/>
  <c r="Y33" i="62"/>
  <c r="Q33" i="62"/>
  <c r="I33" i="62"/>
  <c r="AE32" i="62"/>
  <c r="W32" i="62"/>
  <c r="O32" i="62"/>
  <c r="G32" i="62"/>
  <c r="AE33" i="62"/>
  <c r="W33" i="62"/>
  <c r="O33" i="62"/>
  <c r="G33" i="62"/>
  <c r="AC32" i="62"/>
  <c r="U32" i="62"/>
  <c r="M32" i="62"/>
  <c r="AC33" i="62"/>
  <c r="U33" i="62"/>
  <c r="M33" i="62"/>
  <c r="AI32" i="62"/>
  <c r="AA32" i="62"/>
  <c r="S32" i="62"/>
  <c r="K32" i="62"/>
  <c r="AJ24" i="62"/>
  <c r="AF24" i="62"/>
  <c r="AB24" i="62"/>
  <c r="X24" i="62"/>
  <c r="T24" i="62"/>
  <c r="P24" i="62"/>
  <c r="L24" i="62"/>
  <c r="H24" i="62"/>
  <c r="AH24" i="62"/>
  <c r="AD24" i="62"/>
  <c r="Z24" i="62"/>
  <c r="V24" i="62"/>
  <c r="R24" i="62"/>
  <c r="N24" i="62"/>
  <c r="J24" i="62"/>
  <c r="AJ23" i="62"/>
  <c r="AF23" i="62"/>
  <c r="AB23" i="62"/>
  <c r="AE24" i="62"/>
  <c r="W24" i="62"/>
  <c r="O24" i="62"/>
  <c r="G24" i="62"/>
  <c r="AE23" i="62"/>
  <c r="AE25" i="62" s="1"/>
  <c r="Z23" i="62"/>
  <c r="V23" i="62"/>
  <c r="R23" i="62"/>
  <c r="N23" i="62"/>
  <c r="J23" i="62"/>
  <c r="AI24" i="62"/>
  <c r="AA24" i="62"/>
  <c r="S24" i="62"/>
  <c r="K24" i="62"/>
  <c r="AH23" i="62"/>
  <c r="AH25" i="62" s="1"/>
  <c r="AC23" i="62"/>
  <c r="X23" i="62"/>
  <c r="T23" i="62"/>
  <c r="P23" i="62"/>
  <c r="L23" i="62"/>
  <c r="H23" i="62"/>
  <c r="U24" i="62"/>
  <c r="AI23" i="62"/>
  <c r="AI25" i="62" s="1"/>
  <c r="Y23" i="62"/>
  <c r="Q23" i="62"/>
  <c r="I23" i="62"/>
  <c r="AG24" i="62"/>
  <c r="Q24" i="62"/>
  <c r="AG23" i="62"/>
  <c r="W23" i="62"/>
  <c r="W25" i="62" s="1"/>
  <c r="O23" i="62"/>
  <c r="O25" i="62" s="1"/>
  <c r="G23" i="62"/>
  <c r="G25" i="62" s="1"/>
  <c r="AC24" i="62"/>
  <c r="M24" i="62"/>
  <c r="AD23" i="62"/>
  <c r="U23" i="62"/>
  <c r="M23" i="62"/>
  <c r="Y24" i="62"/>
  <c r="I24" i="62"/>
  <c r="AA23" i="62"/>
  <c r="AA25" i="62" s="1"/>
  <c r="S23" i="62"/>
  <c r="K23" i="62"/>
  <c r="AJ36" i="62"/>
  <c r="AF36" i="62"/>
  <c r="AB36" i="62"/>
  <c r="X36" i="62"/>
  <c r="T36" i="62"/>
  <c r="P36" i="62"/>
  <c r="L36" i="62"/>
  <c r="H36" i="62"/>
  <c r="AH35" i="62"/>
  <c r="AD35" i="62"/>
  <c r="Z35" i="62"/>
  <c r="V35" i="62"/>
  <c r="R35" i="62"/>
  <c r="N35" i="62"/>
  <c r="J35" i="62"/>
  <c r="AH36" i="62"/>
  <c r="AD36" i="62"/>
  <c r="Z36" i="62"/>
  <c r="V36" i="62"/>
  <c r="R36" i="62"/>
  <c r="N36" i="62"/>
  <c r="J36" i="62"/>
  <c r="AJ35" i="62"/>
  <c r="AF35" i="62"/>
  <c r="AB35" i="62"/>
  <c r="X35" i="62"/>
  <c r="T35" i="62"/>
  <c r="P35" i="62"/>
  <c r="L35" i="62"/>
  <c r="H35" i="62"/>
  <c r="AE36" i="62"/>
  <c r="W36" i="62"/>
  <c r="O36" i="62"/>
  <c r="G36" i="62"/>
  <c r="AC35" i="62"/>
  <c r="U35" i="62"/>
  <c r="M35" i="62"/>
  <c r="AI36" i="62"/>
  <c r="AA36" i="62"/>
  <c r="S36" i="62"/>
  <c r="K36" i="62"/>
  <c r="AG35" i="62"/>
  <c r="Y35" i="62"/>
  <c r="Q35" i="62"/>
  <c r="I35" i="62"/>
  <c r="AG36" i="62"/>
  <c r="Y36" i="62"/>
  <c r="Q36" i="62"/>
  <c r="I36" i="62"/>
  <c r="AE35" i="62"/>
  <c r="W35" i="62"/>
  <c r="AI35" i="62"/>
  <c r="K35" i="62"/>
  <c r="K37" i="62" s="1"/>
  <c r="AC36" i="62"/>
  <c r="AA35" i="62"/>
  <c r="G35" i="62"/>
  <c r="U36" i="62"/>
  <c r="S35" i="62"/>
  <c r="M36" i="62"/>
  <c r="O35" i="62"/>
  <c r="AH15" i="62"/>
  <c r="AD15" i="62"/>
  <c r="Z15" i="62"/>
  <c r="V15" i="62"/>
  <c r="R15" i="62"/>
  <c r="N15" i="62"/>
  <c r="J15" i="62"/>
  <c r="AJ14" i="62"/>
  <c r="AF14" i="62"/>
  <c r="AB14" i="62"/>
  <c r="X14" i="62"/>
  <c r="T14" i="62"/>
  <c r="P14" i="62"/>
  <c r="L14" i="62"/>
  <c r="H14" i="62"/>
  <c r="AC15" i="62"/>
  <c r="Y15" i="62"/>
  <c r="U15" i="62"/>
  <c r="Q15" i="62"/>
  <c r="M15" i="62"/>
  <c r="I15" i="62"/>
  <c r="AI14" i="62"/>
  <c r="AE14" i="62"/>
  <c r="AA14" i="62"/>
  <c r="W14" i="62"/>
  <c r="S14" i="62"/>
  <c r="O14" i="62"/>
  <c r="K14" i="62"/>
  <c r="G14" i="62"/>
  <c r="AG15" i="62"/>
  <c r="AJ15" i="62"/>
  <c r="AF15" i="62"/>
  <c r="AB15" i="62"/>
  <c r="X15" i="62"/>
  <c r="T15" i="62"/>
  <c r="P15" i="62"/>
  <c r="L15" i="62"/>
  <c r="H15" i="62"/>
  <c r="AH14" i="62"/>
  <c r="AD14" i="62"/>
  <c r="Z14" i="62"/>
  <c r="V14" i="62"/>
  <c r="R14" i="62"/>
  <c r="N14" i="62"/>
  <c r="J14" i="62"/>
  <c r="AI15" i="62"/>
  <c r="AE15" i="62"/>
  <c r="AA15" i="62"/>
  <c r="W15" i="62"/>
  <c r="S15" i="62"/>
  <c r="O15" i="62"/>
  <c r="K15" i="62"/>
  <c r="G15" i="62"/>
  <c r="AG14" i="62"/>
  <c r="AG16" i="62" s="1"/>
  <c r="AC14" i="62"/>
  <c r="Y14" i="62"/>
  <c r="U14" i="62"/>
  <c r="Q14" i="62"/>
  <c r="M14" i="62"/>
  <c r="I14" i="62"/>
  <c r="R7" i="62"/>
  <c r="L7" i="62"/>
  <c r="X7" i="62"/>
  <c r="Y7" i="62"/>
  <c r="S7" i="62"/>
  <c r="O7" i="62"/>
  <c r="V7" i="62"/>
  <c r="G7" i="62"/>
  <c r="AI12" i="62"/>
  <c r="AE12" i="62"/>
  <c r="AA12" i="62"/>
  <c r="W12" i="62"/>
  <c r="S12" i="62"/>
  <c r="O12" i="62"/>
  <c r="K12" i="62"/>
  <c r="G12" i="62"/>
  <c r="AG11" i="62"/>
  <c r="AC11" i="62"/>
  <c r="Y11" i="62"/>
  <c r="U11" i="62"/>
  <c r="Q11" i="62"/>
  <c r="M11" i="62"/>
  <c r="I11" i="62"/>
  <c r="AH12" i="62"/>
  <c r="AD12" i="62"/>
  <c r="Z12" i="62"/>
  <c r="V12" i="62"/>
  <c r="R12" i="62"/>
  <c r="N12" i="62"/>
  <c r="J12" i="62"/>
  <c r="AJ11" i="62"/>
  <c r="AF11" i="62"/>
  <c r="AB11" i="62"/>
  <c r="X11" i="62"/>
  <c r="T11" i="62"/>
  <c r="L11" i="62"/>
  <c r="AG12" i="62"/>
  <c r="AC12" i="62"/>
  <c r="Y12" i="62"/>
  <c r="U12" i="62"/>
  <c r="Q12" i="62"/>
  <c r="M12" i="62"/>
  <c r="I12" i="62"/>
  <c r="AI11" i="62"/>
  <c r="AE11" i="62"/>
  <c r="AA11" i="62"/>
  <c r="W11" i="62"/>
  <c r="S11" i="62"/>
  <c r="O11" i="62"/>
  <c r="K11" i="62"/>
  <c r="G11" i="62"/>
  <c r="AJ12" i="62"/>
  <c r="AF12" i="62"/>
  <c r="AB12" i="62"/>
  <c r="X12" i="62"/>
  <c r="T12" i="62"/>
  <c r="P12" i="62"/>
  <c r="L12" i="62"/>
  <c r="H12" i="62"/>
  <c r="AH11" i="62"/>
  <c r="AH13" i="62" s="1"/>
  <c r="AD11" i="62"/>
  <c r="AD13" i="62" s="1"/>
  <c r="Z11" i="62"/>
  <c r="Z13" i="62" s="1"/>
  <c r="V11" i="62"/>
  <c r="V13" i="62" s="1"/>
  <c r="R11" i="62"/>
  <c r="R13" i="62" s="1"/>
  <c r="N11" i="62"/>
  <c r="N13" i="62" s="1"/>
  <c r="J11" i="62"/>
  <c r="J13" i="62" s="1"/>
  <c r="P11" i="62"/>
  <c r="H11" i="62"/>
  <c r="AI7" i="62"/>
  <c r="Z7" i="62"/>
  <c r="AH7" i="62"/>
  <c r="I7" i="62"/>
  <c r="H7" i="62"/>
  <c r="AJ7" i="62"/>
  <c r="J7" i="62"/>
  <c r="AF7" i="62"/>
  <c r="AG7" i="62"/>
  <c r="AC7" i="62"/>
  <c r="K7" i="62"/>
  <c r="AB7" i="62"/>
  <c r="U7" i="62"/>
  <c r="T7" i="62"/>
  <c r="W7" i="62"/>
  <c r="AD7" i="62"/>
  <c r="P7" i="62"/>
  <c r="M7" i="62"/>
  <c r="Q7" i="62"/>
  <c r="AJ9" i="62"/>
  <c r="AF9" i="62"/>
  <c r="AB9" i="62"/>
  <c r="X9" i="62"/>
  <c r="T9" i="62"/>
  <c r="P9" i="62"/>
  <c r="L9" i="62"/>
  <c r="H9" i="62"/>
  <c r="AH8" i="62"/>
  <c r="AD8" i="62"/>
  <c r="Z8" i="62"/>
  <c r="V8" i="62"/>
  <c r="R8" i="62"/>
  <c r="N8" i="62"/>
  <c r="J8" i="62"/>
  <c r="AI9" i="62"/>
  <c r="AE9" i="62"/>
  <c r="AA9" i="62"/>
  <c r="W9" i="62"/>
  <c r="S9" i="62"/>
  <c r="O9" i="62"/>
  <c r="K9" i="62"/>
  <c r="G9" i="62"/>
  <c r="AG8" i="62"/>
  <c r="AC8" i="62"/>
  <c r="Y8" i="62"/>
  <c r="U8" i="62"/>
  <c r="Q8" i="62"/>
  <c r="M8" i="62"/>
  <c r="I8" i="62"/>
  <c r="AH9" i="62"/>
  <c r="AD9" i="62"/>
  <c r="Z9" i="62"/>
  <c r="V9" i="62"/>
  <c r="R9" i="62"/>
  <c r="N9" i="62"/>
  <c r="J9" i="62"/>
  <c r="AJ8" i="62"/>
  <c r="AF8" i="62"/>
  <c r="AB8" i="62"/>
  <c r="X8" i="62"/>
  <c r="T8" i="62"/>
  <c r="P8" i="62"/>
  <c r="L8" i="62"/>
  <c r="H8" i="62"/>
  <c r="AG9" i="62"/>
  <c r="AC9" i="62"/>
  <c r="Y9" i="62"/>
  <c r="U9" i="62"/>
  <c r="Q9" i="62"/>
  <c r="M9" i="62"/>
  <c r="I9" i="62"/>
  <c r="AI8" i="62"/>
  <c r="AE8" i="62"/>
  <c r="AA8" i="62"/>
  <c r="W8" i="62"/>
  <c r="S8" i="62"/>
  <c r="O8" i="62"/>
  <c r="K8" i="62"/>
  <c r="G8" i="62"/>
  <c r="E138" i="58"/>
  <c r="F138" i="58"/>
  <c r="G138" i="58"/>
  <c r="H138" i="58"/>
  <c r="I138" i="58"/>
  <c r="J138" i="58"/>
  <c r="K138" i="58"/>
  <c r="L138" i="58"/>
  <c r="M138" i="58"/>
  <c r="N138" i="58"/>
  <c r="O138" i="58"/>
  <c r="P138" i="58"/>
  <c r="Q138" i="58"/>
  <c r="R138" i="58"/>
  <c r="S138" i="58"/>
  <c r="T138" i="58"/>
  <c r="U138" i="58"/>
  <c r="V138" i="58"/>
  <c r="W138" i="58"/>
  <c r="X138" i="58"/>
  <c r="Y138" i="58"/>
  <c r="Z138" i="58"/>
  <c r="AA138" i="58"/>
  <c r="AB138" i="58"/>
  <c r="AC138" i="58"/>
  <c r="AD138" i="58"/>
  <c r="AE138" i="58"/>
  <c r="AF138" i="58"/>
  <c r="D138" i="58"/>
  <c r="C138" i="58"/>
  <c r="D138" i="22"/>
  <c r="AH7" i="22"/>
  <c r="M5" i="64" s="1"/>
  <c r="I20" i="4"/>
  <c r="I19" i="4"/>
  <c r="I18" i="4"/>
  <c r="I17" i="4"/>
  <c r="I16" i="4"/>
  <c r="I15" i="4"/>
  <c r="I14" i="4"/>
  <c r="I13" i="4"/>
  <c r="I12" i="4"/>
  <c r="B5" i="60"/>
  <c r="F5" i="60"/>
  <c r="F14" i="60" s="1"/>
  <c r="G5" i="60"/>
  <c r="G14" i="60" s="1"/>
  <c r="H5" i="60"/>
  <c r="H14" i="60" s="1"/>
  <c r="I5" i="60"/>
  <c r="I14" i="60" s="1"/>
  <c r="J5" i="60"/>
  <c r="J14" i="60" s="1"/>
  <c r="K5" i="60"/>
  <c r="K14" i="60" s="1"/>
  <c r="L5" i="60"/>
  <c r="L14" i="60" s="1"/>
  <c r="M5" i="60"/>
  <c r="M14" i="60" s="1"/>
  <c r="N5" i="60"/>
  <c r="N14" i="60" s="1"/>
  <c r="O5" i="60"/>
  <c r="O14" i="60" s="1"/>
  <c r="P5" i="60"/>
  <c r="P14" i="60" s="1"/>
  <c r="Q5" i="60"/>
  <c r="Q14" i="60" s="1"/>
  <c r="R5" i="60"/>
  <c r="R14" i="60" s="1"/>
  <c r="S5" i="60"/>
  <c r="S14" i="60" s="1"/>
  <c r="T5" i="60"/>
  <c r="T14" i="60" s="1"/>
  <c r="U5" i="60"/>
  <c r="U14" i="60" s="1"/>
  <c r="V5" i="60"/>
  <c r="V14" i="60" s="1"/>
  <c r="W5" i="60"/>
  <c r="W14" i="60" s="1"/>
  <c r="X5" i="60"/>
  <c r="X14" i="60" s="1"/>
  <c r="Y5" i="60"/>
  <c r="Y14" i="60" s="1"/>
  <c r="Z5" i="60"/>
  <c r="Z14" i="60" s="1"/>
  <c r="AA5" i="60"/>
  <c r="AA14" i="60" s="1"/>
  <c r="AB5" i="60"/>
  <c r="AB14" i="60" s="1"/>
  <c r="AC5" i="60"/>
  <c r="AC14" i="60" s="1"/>
  <c r="AD5" i="60"/>
  <c r="AD14" i="60" s="1"/>
  <c r="AE5" i="60"/>
  <c r="AE14" i="60" s="1"/>
  <c r="AF5" i="60"/>
  <c r="AF14" i="60" s="1"/>
  <c r="F6" i="60"/>
  <c r="F15" i="60" s="1"/>
  <c r="G6" i="60"/>
  <c r="G15" i="60" s="1"/>
  <c r="H6" i="60"/>
  <c r="H15" i="60" s="1"/>
  <c r="I6" i="60"/>
  <c r="I15" i="60" s="1"/>
  <c r="J6" i="60"/>
  <c r="J15" i="60" s="1"/>
  <c r="K6" i="60"/>
  <c r="K15" i="60" s="1"/>
  <c r="L6" i="60"/>
  <c r="L15" i="60" s="1"/>
  <c r="M6" i="60"/>
  <c r="M15" i="60" s="1"/>
  <c r="N6" i="60"/>
  <c r="N15" i="60" s="1"/>
  <c r="O6" i="60"/>
  <c r="O15" i="60" s="1"/>
  <c r="P6" i="60"/>
  <c r="P15" i="60" s="1"/>
  <c r="Q6" i="60"/>
  <c r="Q15" i="60" s="1"/>
  <c r="R6" i="60"/>
  <c r="R15" i="60" s="1"/>
  <c r="S6" i="60"/>
  <c r="S15" i="60" s="1"/>
  <c r="T6" i="60"/>
  <c r="T15" i="60" s="1"/>
  <c r="U6" i="60"/>
  <c r="U15" i="60" s="1"/>
  <c r="V6" i="60"/>
  <c r="V15" i="60" s="1"/>
  <c r="W6" i="60"/>
  <c r="W15" i="60" s="1"/>
  <c r="X6" i="60"/>
  <c r="X15" i="60" s="1"/>
  <c r="Y6" i="60"/>
  <c r="Y15" i="60" s="1"/>
  <c r="Z6" i="60"/>
  <c r="Z15" i="60" s="1"/>
  <c r="AA6" i="60"/>
  <c r="AA15" i="60" s="1"/>
  <c r="AB6" i="60"/>
  <c r="AB15" i="60" s="1"/>
  <c r="AC6" i="60"/>
  <c r="AC15" i="60" s="1"/>
  <c r="AD6" i="60"/>
  <c r="AD15" i="60" s="1"/>
  <c r="AE6" i="60"/>
  <c r="AE15" i="60" s="1"/>
  <c r="AF6" i="60"/>
  <c r="AF15" i="60" s="1"/>
  <c r="F7" i="60"/>
  <c r="G7" i="60"/>
  <c r="H7" i="60"/>
  <c r="I7" i="60"/>
  <c r="J7" i="60"/>
  <c r="K7" i="60"/>
  <c r="L7" i="60"/>
  <c r="M7" i="60"/>
  <c r="N7" i="60"/>
  <c r="O7" i="60"/>
  <c r="P7" i="60"/>
  <c r="Q7" i="60"/>
  <c r="R7" i="60"/>
  <c r="S7" i="60"/>
  <c r="T7" i="60"/>
  <c r="U7" i="60"/>
  <c r="V7" i="60"/>
  <c r="W7" i="60"/>
  <c r="X7" i="60"/>
  <c r="Y7" i="60"/>
  <c r="Z7" i="60"/>
  <c r="AA7" i="60"/>
  <c r="AB7" i="60"/>
  <c r="AC7" i="60"/>
  <c r="AD7" i="60"/>
  <c r="AE7" i="60"/>
  <c r="AF7" i="60"/>
  <c r="F8" i="60"/>
  <c r="G8" i="60"/>
  <c r="H8" i="60"/>
  <c r="I8" i="60"/>
  <c r="J8" i="60"/>
  <c r="K8" i="60"/>
  <c r="L8" i="60"/>
  <c r="M8" i="60"/>
  <c r="N8" i="60"/>
  <c r="O8" i="60"/>
  <c r="P8" i="60"/>
  <c r="Q8" i="60"/>
  <c r="R8" i="60"/>
  <c r="S8" i="60"/>
  <c r="T8" i="60"/>
  <c r="U8" i="60"/>
  <c r="V8" i="60"/>
  <c r="W8" i="60"/>
  <c r="X8" i="60"/>
  <c r="Y8" i="60"/>
  <c r="Z8" i="60"/>
  <c r="AA8" i="60"/>
  <c r="AB8" i="60"/>
  <c r="AC8" i="60"/>
  <c r="AD8" i="60"/>
  <c r="AE8" i="60"/>
  <c r="AF8" i="60"/>
  <c r="F9" i="60"/>
  <c r="G9" i="60"/>
  <c r="H9" i="60"/>
  <c r="I9" i="60"/>
  <c r="J9" i="60"/>
  <c r="K9" i="60"/>
  <c r="L9" i="60"/>
  <c r="M9" i="60"/>
  <c r="N9" i="60"/>
  <c r="O9" i="60"/>
  <c r="P9" i="60"/>
  <c r="Q9" i="60"/>
  <c r="R9" i="60"/>
  <c r="S9" i="60"/>
  <c r="T9" i="60"/>
  <c r="U9" i="60"/>
  <c r="V9" i="60"/>
  <c r="W9" i="60"/>
  <c r="X9" i="60"/>
  <c r="Y9" i="60"/>
  <c r="Z9" i="60"/>
  <c r="AA9" i="60"/>
  <c r="AB9" i="60"/>
  <c r="AC9" i="60"/>
  <c r="AD9" i="60"/>
  <c r="AE9" i="60"/>
  <c r="AF9" i="60"/>
  <c r="F10" i="60"/>
  <c r="G10" i="60"/>
  <c r="H10" i="60"/>
  <c r="I10" i="60"/>
  <c r="J10" i="60"/>
  <c r="K10" i="60"/>
  <c r="L10" i="60"/>
  <c r="M10" i="60"/>
  <c r="N10" i="60"/>
  <c r="O10" i="60"/>
  <c r="P10" i="60"/>
  <c r="Q10" i="60"/>
  <c r="R10" i="60"/>
  <c r="S10" i="60"/>
  <c r="T10" i="60"/>
  <c r="U10" i="60"/>
  <c r="V10" i="60"/>
  <c r="W10" i="60"/>
  <c r="X10" i="60"/>
  <c r="Y10" i="60"/>
  <c r="Z10" i="60"/>
  <c r="AA10" i="60"/>
  <c r="AB10" i="60"/>
  <c r="AC10" i="60"/>
  <c r="AD10" i="60"/>
  <c r="AE10" i="60"/>
  <c r="AF10" i="60"/>
  <c r="F11" i="60"/>
  <c r="G11" i="60"/>
  <c r="H11" i="60"/>
  <c r="I11" i="60"/>
  <c r="J11" i="60"/>
  <c r="K11" i="60"/>
  <c r="L11" i="60"/>
  <c r="M11" i="60"/>
  <c r="N11" i="60"/>
  <c r="O11" i="60"/>
  <c r="P11" i="60"/>
  <c r="Q11" i="60"/>
  <c r="R11" i="60"/>
  <c r="S11" i="60"/>
  <c r="T11" i="60"/>
  <c r="U11" i="60"/>
  <c r="V11" i="60"/>
  <c r="W11" i="60"/>
  <c r="X11" i="60"/>
  <c r="Y11" i="60"/>
  <c r="Z11" i="60"/>
  <c r="AA11" i="60"/>
  <c r="AB11" i="60"/>
  <c r="AC11" i="60"/>
  <c r="AD11" i="60"/>
  <c r="AE11" i="60"/>
  <c r="AF11" i="60"/>
  <c r="F12" i="60"/>
  <c r="G12" i="60"/>
  <c r="H12" i="60"/>
  <c r="I12" i="60"/>
  <c r="J12" i="60"/>
  <c r="K12" i="60"/>
  <c r="L12" i="60"/>
  <c r="M12" i="60"/>
  <c r="N12" i="60"/>
  <c r="O12" i="60"/>
  <c r="P12" i="60"/>
  <c r="Q12" i="60"/>
  <c r="R12" i="60"/>
  <c r="S12" i="60"/>
  <c r="T12" i="60"/>
  <c r="U12" i="60"/>
  <c r="V12" i="60"/>
  <c r="W12" i="60"/>
  <c r="X12" i="60"/>
  <c r="Y12" i="60"/>
  <c r="Z12" i="60"/>
  <c r="AA12" i="60"/>
  <c r="AB12" i="60"/>
  <c r="AC12" i="60"/>
  <c r="AD12" i="60"/>
  <c r="AE12" i="60"/>
  <c r="AF12" i="60"/>
  <c r="F13" i="60"/>
  <c r="G13" i="60"/>
  <c r="H13" i="60"/>
  <c r="I13" i="60"/>
  <c r="J13" i="60"/>
  <c r="K13" i="60"/>
  <c r="L13" i="60"/>
  <c r="M13" i="60"/>
  <c r="N13" i="60"/>
  <c r="O13" i="60"/>
  <c r="P13" i="60"/>
  <c r="Q13" i="60"/>
  <c r="R13" i="60"/>
  <c r="S13" i="60"/>
  <c r="T13" i="60"/>
  <c r="U13" i="60"/>
  <c r="V13" i="60"/>
  <c r="W13" i="60"/>
  <c r="X13" i="60"/>
  <c r="Y13" i="60"/>
  <c r="Z13" i="60"/>
  <c r="AA13" i="60"/>
  <c r="AB13" i="60"/>
  <c r="AC13" i="60"/>
  <c r="AD13" i="60"/>
  <c r="AE13" i="60"/>
  <c r="AF13" i="60"/>
  <c r="E5" i="60"/>
  <c r="E14" i="60" s="1"/>
  <c r="E6" i="60"/>
  <c r="E15" i="60" s="1"/>
  <c r="E7" i="60"/>
  <c r="E8" i="60"/>
  <c r="E9" i="60"/>
  <c r="E10" i="60"/>
  <c r="E11" i="60"/>
  <c r="E12" i="60"/>
  <c r="E13" i="60"/>
  <c r="D5" i="60"/>
  <c r="D14" i="60" s="1"/>
  <c r="D6" i="60"/>
  <c r="D15" i="60" s="1"/>
  <c r="D7" i="60"/>
  <c r="D8" i="60"/>
  <c r="D9" i="60"/>
  <c r="D10" i="60"/>
  <c r="D11" i="60"/>
  <c r="D12" i="60"/>
  <c r="D13" i="60"/>
  <c r="C13" i="60"/>
  <c r="C12" i="60"/>
  <c r="C11" i="60"/>
  <c r="C10" i="60"/>
  <c r="C9" i="60"/>
  <c r="C8" i="60"/>
  <c r="C7" i="60"/>
  <c r="C6" i="60"/>
  <c r="C15" i="60" s="1"/>
  <c r="C5" i="60"/>
  <c r="C14" i="60" s="1"/>
  <c r="B13" i="60"/>
  <c r="B12" i="60"/>
  <c r="B11" i="60"/>
  <c r="B10" i="60"/>
  <c r="B9" i="60"/>
  <c r="B8" i="60"/>
  <c r="B7" i="60"/>
  <c r="B6" i="60"/>
  <c r="B22" i="29"/>
  <c r="B8" i="58"/>
  <c r="B9" i="58"/>
  <c r="B10" i="58"/>
  <c r="B11" i="58"/>
  <c r="B12" i="58"/>
  <c r="B13" i="58"/>
  <c r="B14" i="58"/>
  <c r="B15" i="58"/>
  <c r="B16" i="58"/>
  <c r="B17" i="58"/>
  <c r="B18" i="58"/>
  <c r="B19" i="58"/>
  <c r="B20" i="58"/>
  <c r="B21" i="58"/>
  <c r="B22" i="58"/>
  <c r="B23" i="58"/>
  <c r="B24" i="58"/>
  <c r="B25" i="58"/>
  <c r="B26" i="58"/>
  <c r="B27" i="58"/>
  <c r="B28" i="58"/>
  <c r="B29" i="58"/>
  <c r="B30" i="58"/>
  <c r="B31" i="58"/>
  <c r="B32" i="58"/>
  <c r="B33" i="58"/>
  <c r="B34" i="58"/>
  <c r="B35" i="58"/>
  <c r="B36" i="58"/>
  <c r="B37" i="58"/>
  <c r="B38" i="58"/>
  <c r="B39" i="58"/>
  <c r="B40" i="58"/>
  <c r="B41" i="58"/>
  <c r="B42" i="58"/>
  <c r="B43" i="58"/>
  <c r="B44" i="58"/>
  <c r="B45" i="58"/>
  <c r="B46" i="58"/>
  <c r="B47" i="58"/>
  <c r="B48" i="58"/>
  <c r="B49" i="58"/>
  <c r="B50" i="58"/>
  <c r="B51" i="58"/>
  <c r="B52" i="58"/>
  <c r="B53" i="58"/>
  <c r="B54" i="58"/>
  <c r="B55" i="58"/>
  <c r="B56" i="58"/>
  <c r="B57" i="58"/>
  <c r="B58" i="58"/>
  <c r="B59" i="58"/>
  <c r="B60" i="58"/>
  <c r="B61" i="58"/>
  <c r="B62" i="58"/>
  <c r="B63" i="58"/>
  <c r="B64" i="58"/>
  <c r="B65" i="58"/>
  <c r="B66" i="58"/>
  <c r="B67" i="58"/>
  <c r="B68" i="58"/>
  <c r="B69" i="58"/>
  <c r="B70" i="58"/>
  <c r="B71" i="58"/>
  <c r="B72" i="58"/>
  <c r="B73" i="58"/>
  <c r="B74" i="58"/>
  <c r="B75" i="58"/>
  <c r="B76" i="58"/>
  <c r="B77" i="58"/>
  <c r="B78" i="58"/>
  <c r="B79" i="58"/>
  <c r="B80" i="58"/>
  <c r="B81" i="58"/>
  <c r="B82" i="58"/>
  <c r="B83" i="58"/>
  <c r="B84" i="58"/>
  <c r="B85" i="58"/>
  <c r="B86" i="58"/>
  <c r="B87" i="58"/>
  <c r="B88" i="58"/>
  <c r="B89" i="58"/>
  <c r="B90" i="58"/>
  <c r="B91" i="58"/>
  <c r="B92" i="58"/>
  <c r="B93" i="58"/>
  <c r="B94" i="58"/>
  <c r="B95" i="58"/>
  <c r="B96" i="58"/>
  <c r="B97" i="58"/>
  <c r="B98" i="58"/>
  <c r="B99" i="58"/>
  <c r="B100" i="58"/>
  <c r="B101" i="58"/>
  <c r="B102" i="58"/>
  <c r="B103" i="58"/>
  <c r="B104" i="58"/>
  <c r="B105" i="58"/>
  <c r="B106" i="58"/>
  <c r="B107" i="58"/>
  <c r="B108" i="58"/>
  <c r="B109" i="58"/>
  <c r="B110" i="58"/>
  <c r="B111" i="58"/>
  <c r="B112" i="58"/>
  <c r="B113" i="58"/>
  <c r="B114" i="58"/>
  <c r="B115" i="58"/>
  <c r="B116" i="58"/>
  <c r="B117" i="58"/>
  <c r="B118" i="58"/>
  <c r="B119" i="58"/>
  <c r="B120" i="58"/>
  <c r="B121" i="58"/>
  <c r="B122" i="58"/>
  <c r="B123" i="58"/>
  <c r="B124" i="58"/>
  <c r="B125" i="58"/>
  <c r="B126" i="58"/>
  <c r="B127" i="58"/>
  <c r="B128" i="58"/>
  <c r="B129" i="58"/>
  <c r="B130" i="58"/>
  <c r="B131" i="58"/>
  <c r="B132" i="58"/>
  <c r="B133" i="58"/>
  <c r="B134" i="58"/>
  <c r="B135" i="58"/>
  <c r="B136" i="58"/>
  <c r="B137" i="58"/>
  <c r="B7" i="58"/>
  <c r="T25" i="68" l="1"/>
  <c r="T26" i="68" s="1"/>
  <c r="Z25" i="68"/>
  <c r="Z26" i="68" s="1"/>
  <c r="J25" i="68"/>
  <c r="J26" i="68" s="1"/>
  <c r="T13" i="68"/>
  <c r="T14" i="68" s="1"/>
  <c r="Z17" i="68"/>
  <c r="Z18" i="68" s="1"/>
  <c r="J21" i="68"/>
  <c r="J22" i="68" s="1"/>
  <c r="J5" i="68"/>
  <c r="J6" i="68" s="1"/>
  <c r="T11" i="68"/>
  <c r="T12" i="68" s="1"/>
  <c r="Z7" i="68"/>
  <c r="Z8" i="68" s="1"/>
  <c r="T5" i="68"/>
  <c r="T6" i="68" s="1"/>
  <c r="J15" i="68"/>
  <c r="J16" i="68" s="1"/>
  <c r="T17" i="68"/>
  <c r="T18" i="68" s="1"/>
  <c r="Z11" i="68"/>
  <c r="Z12" i="68" s="1"/>
  <c r="T19" i="68"/>
  <c r="T20" i="68" s="1"/>
  <c r="T7" i="68"/>
  <c r="T8" i="68" s="1"/>
  <c r="T21" i="68"/>
  <c r="T22" i="68" s="1"/>
  <c r="J13" i="68"/>
  <c r="J14" i="68" s="1"/>
  <c r="J19" i="68"/>
  <c r="J20" i="68" s="1"/>
  <c r="Z5" i="68"/>
  <c r="Z6" i="68" s="1"/>
  <c r="Z9" i="68"/>
  <c r="Z10" i="68" s="1"/>
  <c r="Z21" i="68"/>
  <c r="Z22" i="68" s="1"/>
  <c r="T15" i="68"/>
  <c r="T16" i="68" s="1"/>
  <c r="T23" i="68"/>
  <c r="T24" i="68" s="1"/>
  <c r="J17" i="68"/>
  <c r="J18" i="68" s="1"/>
  <c r="T9" i="68"/>
  <c r="T10" i="68" s="1"/>
  <c r="Z15" i="68"/>
  <c r="Z16" i="68" s="1"/>
  <c r="Z23" i="68"/>
  <c r="Z24" i="68" s="1"/>
  <c r="J9" i="68"/>
  <c r="J10" i="68" s="1"/>
  <c r="J23" i="68"/>
  <c r="J24" i="68" s="1"/>
  <c r="Z13" i="68"/>
  <c r="Z14" i="68" s="1"/>
  <c r="J11" i="68"/>
  <c r="J12" i="68" s="1"/>
  <c r="Z19" i="68"/>
  <c r="Z20" i="68" s="1"/>
  <c r="J7" i="68"/>
  <c r="J8" i="68" s="1"/>
  <c r="Y25" i="68"/>
  <c r="Y26" i="68" s="1"/>
  <c r="Y13" i="68"/>
  <c r="Y14" i="68" s="1"/>
  <c r="Y17" i="68"/>
  <c r="Y18" i="68" s="1"/>
  <c r="Y7" i="68"/>
  <c r="Y8" i="68" s="1"/>
  <c r="Y15" i="68"/>
  <c r="Y16" i="68" s="1"/>
  <c r="Y23" i="68"/>
  <c r="Y24" i="68" s="1"/>
  <c r="Y5" i="68"/>
  <c r="Y6" i="68" s="1"/>
  <c r="Y9" i="68"/>
  <c r="Y10" i="68" s="1"/>
  <c r="Y21" i="68"/>
  <c r="Y22" i="68" s="1"/>
  <c r="Y11" i="68"/>
  <c r="Y12" i="68" s="1"/>
  <c r="Y19" i="68"/>
  <c r="Y20" i="68" s="1"/>
  <c r="D16" i="60"/>
  <c r="Z16" i="60"/>
  <c r="R16" i="60"/>
  <c r="J16" i="60"/>
  <c r="F16" i="60"/>
  <c r="H25" i="68"/>
  <c r="H26" i="68" s="1"/>
  <c r="H15" i="68"/>
  <c r="H16" i="68" s="1"/>
  <c r="H13" i="68"/>
  <c r="H14" i="68" s="1"/>
  <c r="H7" i="68"/>
  <c r="H8" i="68" s="1"/>
  <c r="H5" i="68"/>
  <c r="H6" i="68" s="1"/>
  <c r="H17" i="68"/>
  <c r="H18" i="68" s="1"/>
  <c r="H19" i="68"/>
  <c r="H20" i="68" s="1"/>
  <c r="H9" i="68"/>
  <c r="H10" i="68" s="1"/>
  <c r="H23" i="68"/>
  <c r="H24" i="68" s="1"/>
  <c r="H21" i="68"/>
  <c r="H22" i="68" s="1"/>
  <c r="H11" i="68"/>
  <c r="H12" i="68" s="1"/>
  <c r="V25" i="68"/>
  <c r="V26" i="68" s="1"/>
  <c r="W25" i="68"/>
  <c r="W26" i="68" s="1"/>
  <c r="M25" i="68"/>
  <c r="M26" i="68" s="1"/>
  <c r="N25" i="68"/>
  <c r="N26" i="68" s="1"/>
  <c r="U25" i="68"/>
  <c r="U26" i="68" s="1"/>
  <c r="U7" i="68"/>
  <c r="U8" i="68" s="1"/>
  <c r="V9" i="68"/>
  <c r="V10" i="68" s="1"/>
  <c r="N17" i="68"/>
  <c r="N18" i="68" s="1"/>
  <c r="M7" i="68"/>
  <c r="M8" i="68" s="1"/>
  <c r="M13" i="68"/>
  <c r="M14" i="68" s="1"/>
  <c r="V7" i="68"/>
  <c r="V8" i="68" s="1"/>
  <c r="U11" i="68"/>
  <c r="U12" i="68" s="1"/>
  <c r="V15" i="68"/>
  <c r="V16" i="68" s="1"/>
  <c r="U19" i="68"/>
  <c r="U20" i="68" s="1"/>
  <c r="V23" i="68"/>
  <c r="V24" i="68" s="1"/>
  <c r="M19" i="68"/>
  <c r="M20" i="68" s="1"/>
  <c r="U21" i="68"/>
  <c r="U22" i="68" s="1"/>
  <c r="N23" i="68"/>
  <c r="N24" i="68" s="1"/>
  <c r="U15" i="68"/>
  <c r="U16" i="68" s="1"/>
  <c r="W11" i="68"/>
  <c r="W12" i="68" s="1"/>
  <c r="W9" i="68"/>
  <c r="W10" i="68" s="1"/>
  <c r="U17" i="68"/>
  <c r="U18" i="68" s="1"/>
  <c r="W21" i="68"/>
  <c r="W22" i="68" s="1"/>
  <c r="N21" i="68"/>
  <c r="N22" i="68" s="1"/>
  <c r="U13" i="68"/>
  <c r="U14" i="68" s="1"/>
  <c r="N5" i="68"/>
  <c r="N6" i="68" s="1"/>
  <c r="M11" i="68"/>
  <c r="M12" i="68" s="1"/>
  <c r="V5" i="68"/>
  <c r="V6" i="68" s="1"/>
  <c r="N13" i="68"/>
  <c r="N14" i="68" s="1"/>
  <c r="V21" i="68"/>
  <c r="V22" i="68" s="1"/>
  <c r="N9" i="68"/>
  <c r="N10" i="68" s="1"/>
  <c r="V17" i="68"/>
  <c r="V18" i="68" s="1"/>
  <c r="M23" i="68"/>
  <c r="M24" i="68" s="1"/>
  <c r="N11" i="68"/>
  <c r="N12" i="68" s="1"/>
  <c r="V19" i="68"/>
  <c r="V20" i="68" s="1"/>
  <c r="N19" i="68"/>
  <c r="N20" i="68" s="1"/>
  <c r="N15" i="68"/>
  <c r="N16" i="68" s="1"/>
  <c r="V11" i="68"/>
  <c r="V12" i="68" s="1"/>
  <c r="M17" i="68"/>
  <c r="M18" i="68" s="1"/>
  <c r="W5" i="68"/>
  <c r="W6" i="68" s="1"/>
  <c r="U23" i="68"/>
  <c r="U24" i="68" s="1"/>
  <c r="U5" i="68"/>
  <c r="U6" i="68" s="1"/>
  <c r="U9" i="68"/>
  <c r="U10" i="68" s="1"/>
  <c r="W13" i="68"/>
  <c r="W14" i="68" s="1"/>
  <c r="W17" i="68"/>
  <c r="W18" i="68" s="1"/>
  <c r="M15" i="68"/>
  <c r="M16" i="68" s="1"/>
  <c r="W19" i="68"/>
  <c r="W20" i="68" s="1"/>
  <c r="M21" i="68"/>
  <c r="M22" i="68" s="1"/>
  <c r="N7" i="68"/>
  <c r="N8" i="68" s="1"/>
  <c r="V13" i="68"/>
  <c r="V14" i="68" s="1"/>
  <c r="W7" i="68"/>
  <c r="W8" i="68" s="1"/>
  <c r="W15" i="68"/>
  <c r="W16" i="68" s="1"/>
  <c r="W23" i="68"/>
  <c r="W24" i="68" s="1"/>
  <c r="M5" i="68"/>
  <c r="M6" i="68" s="1"/>
  <c r="M9" i="68"/>
  <c r="M10" i="68" s="1"/>
  <c r="AC16" i="60"/>
  <c r="U16" i="60"/>
  <c r="M16" i="60"/>
  <c r="I16" i="60"/>
  <c r="R25" i="68"/>
  <c r="R26" i="68" s="1"/>
  <c r="P25" i="68"/>
  <c r="P26" i="68" s="1"/>
  <c r="P13" i="68"/>
  <c r="P14" i="68" s="1"/>
  <c r="R9" i="68"/>
  <c r="R10" i="68" s="1"/>
  <c r="P23" i="68"/>
  <c r="P24" i="68" s="1"/>
  <c r="R23" i="68"/>
  <c r="R24" i="68" s="1"/>
  <c r="R21" i="68"/>
  <c r="R22" i="68" s="1"/>
  <c r="P5" i="68"/>
  <c r="P6" i="68" s="1"/>
  <c r="R5" i="68"/>
  <c r="R6" i="68" s="1"/>
  <c r="P19" i="68"/>
  <c r="P20" i="68" s="1"/>
  <c r="P21" i="68"/>
  <c r="P22" i="68" s="1"/>
  <c r="P11" i="68"/>
  <c r="P12" i="68" s="1"/>
  <c r="R13" i="68"/>
  <c r="R14" i="68" s="1"/>
  <c r="P9" i="68"/>
  <c r="P10" i="68" s="1"/>
  <c r="R11" i="68"/>
  <c r="R12" i="68" s="1"/>
  <c r="P17" i="68"/>
  <c r="P18" i="68" s="1"/>
  <c r="R19" i="68"/>
  <c r="R20" i="68" s="1"/>
  <c r="R15" i="68"/>
  <c r="R16" i="68" s="1"/>
  <c r="R17" i="68"/>
  <c r="R18" i="68" s="1"/>
  <c r="P7" i="68"/>
  <c r="P8" i="68" s="1"/>
  <c r="R7" i="68"/>
  <c r="R8" i="68" s="1"/>
  <c r="P15" i="68"/>
  <c r="P16" i="68" s="1"/>
  <c r="AA25" i="68"/>
  <c r="AA26" i="68" s="1"/>
  <c r="X25" i="68"/>
  <c r="X26" i="68" s="1"/>
  <c r="Q25" i="68"/>
  <c r="Q26" i="68" s="1"/>
  <c r="O25" i="68"/>
  <c r="O26" i="68" s="1"/>
  <c r="I25" i="68"/>
  <c r="I26" i="68" s="1"/>
  <c r="G25" i="68"/>
  <c r="G26" i="68" s="1"/>
  <c r="S25" i="68"/>
  <c r="S26" i="68" s="1"/>
  <c r="Q5" i="68"/>
  <c r="Q6" i="68" s="1"/>
  <c r="X9" i="68"/>
  <c r="X10" i="68" s="1"/>
  <c r="X21" i="68"/>
  <c r="X22" i="68" s="1"/>
  <c r="G19" i="68"/>
  <c r="G20" i="68" s="1"/>
  <c r="I23" i="68"/>
  <c r="I24" i="68" s="1"/>
  <c r="O11" i="68"/>
  <c r="O12" i="68" s="1"/>
  <c r="Q13" i="68"/>
  <c r="Q14" i="68" s="1"/>
  <c r="G7" i="68"/>
  <c r="G8" i="68" s="1"/>
  <c r="O19" i="68"/>
  <c r="O20" i="68" s="1"/>
  <c r="Q9" i="68"/>
  <c r="Q10" i="68" s="1"/>
  <c r="S11" i="68"/>
  <c r="S12" i="68" s="1"/>
  <c r="S7" i="68"/>
  <c r="S8" i="68" s="1"/>
  <c r="X7" i="68"/>
  <c r="X8" i="68" s="1"/>
  <c r="S15" i="68"/>
  <c r="S16" i="68" s="1"/>
  <c r="X15" i="68"/>
  <c r="X16" i="68" s="1"/>
  <c r="S23" i="68"/>
  <c r="S24" i="68" s="1"/>
  <c r="X23" i="68"/>
  <c r="X24" i="68" s="1"/>
  <c r="O17" i="68"/>
  <c r="O18" i="68" s="1"/>
  <c r="Q17" i="68"/>
  <c r="Q18" i="68" s="1"/>
  <c r="S19" i="68"/>
  <c r="S20" i="68" s="1"/>
  <c r="G13" i="68"/>
  <c r="G14" i="68" s="1"/>
  <c r="I17" i="68"/>
  <c r="I18" i="68" s="1"/>
  <c r="Q15" i="68"/>
  <c r="Q16" i="68" s="1"/>
  <c r="S17" i="68"/>
  <c r="S18" i="68" s="1"/>
  <c r="AA5" i="68"/>
  <c r="AA6" i="68" s="1"/>
  <c r="AA9" i="68"/>
  <c r="AA10" i="68" s="1"/>
  <c r="AA21" i="68"/>
  <c r="AA22" i="68" s="1"/>
  <c r="G11" i="68"/>
  <c r="G12" i="68" s="1"/>
  <c r="I15" i="68"/>
  <c r="I16" i="68" s="1"/>
  <c r="G17" i="68"/>
  <c r="G18" i="68" s="1"/>
  <c r="O9" i="68"/>
  <c r="O10" i="68" s="1"/>
  <c r="O7" i="68"/>
  <c r="O8" i="68" s="1"/>
  <c r="Q11" i="68"/>
  <c r="Q12" i="68" s="1"/>
  <c r="O15" i="68"/>
  <c r="O16" i="68" s="1"/>
  <c r="Q19" i="68"/>
  <c r="Q20" i="68" s="1"/>
  <c r="O23" i="68"/>
  <c r="O24" i="68" s="1"/>
  <c r="G15" i="68"/>
  <c r="G16" i="68" s="1"/>
  <c r="I5" i="68"/>
  <c r="I6" i="68" s="1"/>
  <c r="Q7" i="68"/>
  <c r="Q8" i="68" s="1"/>
  <c r="S9" i="68"/>
  <c r="S10" i="68" s="1"/>
  <c r="I9" i="68"/>
  <c r="I10" i="68" s="1"/>
  <c r="X5" i="68"/>
  <c r="X6" i="68" s="1"/>
  <c r="X13" i="68"/>
  <c r="X14" i="68" s="1"/>
  <c r="X17" i="68"/>
  <c r="X18" i="68" s="1"/>
  <c r="I7" i="68"/>
  <c r="I8" i="68" s="1"/>
  <c r="G9" i="68"/>
  <c r="G10" i="68" s="1"/>
  <c r="I21" i="68"/>
  <c r="I22" i="68" s="1"/>
  <c r="AA11" i="68"/>
  <c r="AA12" i="68" s="1"/>
  <c r="AA19" i="68"/>
  <c r="AA20" i="68" s="1"/>
  <c r="G23" i="68"/>
  <c r="G24" i="68" s="1"/>
  <c r="I19" i="68"/>
  <c r="I20" i="68" s="1"/>
  <c r="O13" i="68"/>
  <c r="O14" i="68" s="1"/>
  <c r="AA13" i="68"/>
  <c r="AA14" i="68" s="1"/>
  <c r="AA17" i="68"/>
  <c r="AA18" i="68" s="1"/>
  <c r="G5" i="68"/>
  <c r="G6" i="68" s="1"/>
  <c r="O21" i="68"/>
  <c r="O22" i="68" s="1"/>
  <c r="Q23" i="68"/>
  <c r="Q24" i="68" s="1"/>
  <c r="S13" i="68"/>
  <c r="S14" i="68" s="1"/>
  <c r="I13" i="68"/>
  <c r="I14" i="68" s="1"/>
  <c r="Q21" i="68"/>
  <c r="Q22" i="68" s="1"/>
  <c r="S21" i="68"/>
  <c r="S22" i="68" s="1"/>
  <c r="AA7" i="68"/>
  <c r="AA8" i="68" s="1"/>
  <c r="X11" i="68"/>
  <c r="X12" i="68" s="1"/>
  <c r="AA15" i="68"/>
  <c r="AA16" i="68" s="1"/>
  <c r="X19" i="68"/>
  <c r="X20" i="68" s="1"/>
  <c r="AA23" i="68"/>
  <c r="AA24" i="68" s="1"/>
  <c r="I11" i="68"/>
  <c r="I12" i="68" s="1"/>
  <c r="O5" i="68"/>
  <c r="O6" i="68" s="1"/>
  <c r="G21" i="68"/>
  <c r="G22" i="68" s="1"/>
  <c r="S5" i="68"/>
  <c r="S6" i="68" s="1"/>
  <c r="AF16" i="60"/>
  <c r="AB16" i="60"/>
  <c r="X16" i="60"/>
  <c r="T16" i="60"/>
  <c r="P16" i="60"/>
  <c r="L16" i="60"/>
  <c r="H16" i="60"/>
  <c r="AD16" i="60"/>
  <c r="V16" i="60"/>
  <c r="N16" i="60"/>
  <c r="E16" i="60"/>
  <c r="Y16" i="60"/>
  <c r="Q16" i="60"/>
  <c r="C16" i="60"/>
  <c r="AE16" i="60"/>
  <c r="AA16" i="60"/>
  <c r="W16" i="60"/>
  <c r="S16" i="60"/>
  <c r="O16" i="60"/>
  <c r="K16" i="60"/>
  <c r="G16" i="60"/>
  <c r="S25" i="62"/>
  <c r="S31" i="62"/>
  <c r="K25" i="62"/>
  <c r="AJ25" i="62"/>
  <c r="G22" i="62"/>
  <c r="T25" i="62"/>
  <c r="O31" i="62"/>
  <c r="I16" i="62"/>
  <c r="Y16" i="62"/>
  <c r="O37" i="62"/>
  <c r="U37" i="62"/>
  <c r="I25" i="62"/>
  <c r="H16" i="62"/>
  <c r="AC37" i="62"/>
  <c r="J37" i="62"/>
  <c r="Z37" i="62"/>
  <c r="Q25" i="62"/>
  <c r="AH16" i="62"/>
  <c r="T37" i="62"/>
  <c r="AJ37" i="62"/>
  <c r="AG25" i="62"/>
  <c r="S34" i="62"/>
  <c r="T34" i="62"/>
  <c r="AJ34" i="62"/>
  <c r="T22" i="62"/>
  <c r="AJ22" i="62"/>
  <c r="AC31" i="62"/>
  <c r="AG31" i="62"/>
  <c r="T31" i="62"/>
  <c r="AJ31" i="62"/>
  <c r="O19" i="62"/>
  <c r="T19" i="62"/>
  <c r="AJ19" i="62"/>
  <c r="O28" i="62"/>
  <c r="AJ28" i="62"/>
  <c r="N37" i="62"/>
  <c r="AD37" i="62"/>
  <c r="N34" i="62"/>
  <c r="AD34" i="62"/>
  <c r="AC22" i="62"/>
  <c r="N22" i="62"/>
  <c r="AD22" i="62"/>
  <c r="N31" i="62"/>
  <c r="AD31" i="62"/>
  <c r="N19" i="62"/>
  <c r="AD19" i="62"/>
  <c r="N28" i="62"/>
  <c r="T28" i="62"/>
  <c r="S22" i="62"/>
  <c r="R16" i="62"/>
  <c r="R25" i="62"/>
  <c r="W37" i="62"/>
  <c r="M25" i="62"/>
  <c r="H25" i="62"/>
  <c r="X25" i="62"/>
  <c r="N25" i="62"/>
  <c r="AC34" i="62"/>
  <c r="J34" i="62"/>
  <c r="Z34" i="62"/>
  <c r="K22" i="62"/>
  <c r="U22" i="62"/>
  <c r="AE22" i="62"/>
  <c r="J22" i="62"/>
  <c r="Z22" i="62"/>
  <c r="AA31" i="62"/>
  <c r="J31" i="62"/>
  <c r="Z31" i="62"/>
  <c r="AC19" i="62"/>
  <c r="J19" i="62"/>
  <c r="Z19" i="62"/>
  <c r="AC28" i="62"/>
  <c r="J28" i="62"/>
  <c r="Z28" i="62"/>
  <c r="S37" i="62"/>
  <c r="H37" i="62"/>
  <c r="U25" i="62"/>
  <c r="H34" i="62"/>
  <c r="X34" i="62"/>
  <c r="H22" i="62"/>
  <c r="X22" i="62"/>
  <c r="H31" i="62"/>
  <c r="X31" i="62"/>
  <c r="W19" i="62"/>
  <c r="AA19" i="62"/>
  <c r="H19" i="62"/>
  <c r="X19" i="62"/>
  <c r="W28" i="62"/>
  <c r="H28" i="62"/>
  <c r="X28" i="62"/>
  <c r="AD28" i="62"/>
  <c r="X37" i="62"/>
  <c r="Y25" i="62"/>
  <c r="AA34" i="62"/>
  <c r="G34" i="62"/>
  <c r="Y37" i="62"/>
  <c r="AE34" i="62"/>
  <c r="AG34" i="62"/>
  <c r="Q19" i="62"/>
  <c r="S19" i="62"/>
  <c r="AC25" i="62"/>
  <c r="I34" i="62"/>
  <c r="N16" i="62"/>
  <c r="AD16" i="62"/>
  <c r="T16" i="62"/>
  <c r="AJ16" i="62"/>
  <c r="G37" i="62"/>
  <c r="AI37" i="62"/>
  <c r="Q37" i="62"/>
  <c r="P37" i="62"/>
  <c r="AF37" i="62"/>
  <c r="V37" i="62"/>
  <c r="J25" i="62"/>
  <c r="Z25" i="62"/>
  <c r="K34" i="62"/>
  <c r="U34" i="62"/>
  <c r="W34" i="62"/>
  <c r="Y34" i="62"/>
  <c r="P34" i="62"/>
  <c r="AF34" i="62"/>
  <c r="V34" i="62"/>
  <c r="AI22" i="62"/>
  <c r="M22" i="62"/>
  <c r="W22" i="62"/>
  <c r="Y22" i="62"/>
  <c r="P22" i="62"/>
  <c r="AF22" i="62"/>
  <c r="V22" i="62"/>
  <c r="K31" i="62"/>
  <c r="U31" i="62"/>
  <c r="Y31" i="62"/>
  <c r="P31" i="62"/>
  <c r="AF31" i="62"/>
  <c r="V31" i="62"/>
  <c r="G19" i="62"/>
  <c r="I19" i="62"/>
  <c r="K19" i="62"/>
  <c r="U19" i="62"/>
  <c r="P19" i="62"/>
  <c r="AF19" i="62"/>
  <c r="V19" i="62"/>
  <c r="G28" i="62"/>
  <c r="I28" i="62"/>
  <c r="K28" i="62"/>
  <c r="U28" i="62"/>
  <c r="P28" i="62"/>
  <c r="AF28" i="62"/>
  <c r="V28" i="62"/>
  <c r="AG22" i="62"/>
  <c r="Q28" i="62"/>
  <c r="S28" i="62"/>
  <c r="Q16" i="62"/>
  <c r="AE37" i="62"/>
  <c r="AG37" i="62"/>
  <c r="L25" i="62"/>
  <c r="AB25" i="62"/>
  <c r="I22" i="62"/>
  <c r="I31" i="62"/>
  <c r="Y19" i="62"/>
  <c r="Y28" i="62"/>
  <c r="AA28" i="62"/>
  <c r="U16" i="62"/>
  <c r="J16" i="62"/>
  <c r="Z16" i="62"/>
  <c r="I37" i="62"/>
  <c r="M37" i="62"/>
  <c r="L37" i="62"/>
  <c r="AB37" i="62"/>
  <c r="R37" i="62"/>
  <c r="AH37" i="62"/>
  <c r="AD25" i="62"/>
  <c r="P25" i="62"/>
  <c r="V25" i="62"/>
  <c r="AF25" i="62"/>
  <c r="AI34" i="62"/>
  <c r="M34" i="62"/>
  <c r="O34" i="62"/>
  <c r="Q34" i="62"/>
  <c r="L34" i="62"/>
  <c r="AB34" i="62"/>
  <c r="R34" i="62"/>
  <c r="AH34" i="62"/>
  <c r="AA22" i="62"/>
  <c r="O22" i="62"/>
  <c r="Q22" i="62"/>
  <c r="L22" i="62"/>
  <c r="AB22" i="62"/>
  <c r="R22" i="62"/>
  <c r="AH22" i="62"/>
  <c r="G31" i="62"/>
  <c r="M31" i="62"/>
  <c r="Q31" i="62"/>
  <c r="L31" i="62"/>
  <c r="AB31" i="62"/>
  <c r="R31" i="62"/>
  <c r="AH31" i="62"/>
  <c r="AE19" i="62"/>
  <c r="AG19" i="62"/>
  <c r="AI19" i="62"/>
  <c r="M19" i="62"/>
  <c r="L19" i="62"/>
  <c r="AB19" i="62"/>
  <c r="R19" i="62"/>
  <c r="AH19" i="62"/>
  <c r="AE28" i="62"/>
  <c r="AG28" i="62"/>
  <c r="AI28" i="62"/>
  <c r="M28" i="62"/>
  <c r="L28" i="62"/>
  <c r="AB28" i="62"/>
  <c r="R28" i="62"/>
  <c r="AH28" i="62"/>
  <c r="M16" i="62"/>
  <c r="AC16" i="62"/>
  <c r="O16" i="62"/>
  <c r="AE16" i="62"/>
  <c r="X16" i="62"/>
  <c r="K16" i="62"/>
  <c r="AA16" i="62"/>
  <c r="V16" i="62"/>
  <c r="S16" i="62"/>
  <c r="AI16" i="62"/>
  <c r="L16" i="62"/>
  <c r="AB16" i="62"/>
  <c r="G16" i="62"/>
  <c r="W16" i="62"/>
  <c r="P16" i="62"/>
  <c r="AF16" i="62"/>
  <c r="G10" i="62"/>
  <c r="W10" i="62"/>
  <c r="L10" i="62"/>
  <c r="AB10" i="62"/>
  <c r="H13" i="62"/>
  <c r="L13" i="62"/>
  <c r="O13" i="62"/>
  <c r="AE13" i="62"/>
  <c r="AB13" i="62"/>
  <c r="K13" i="62"/>
  <c r="AA13" i="62"/>
  <c r="O10" i="62"/>
  <c r="AE10" i="62"/>
  <c r="T10" i="62"/>
  <c r="AJ10" i="62"/>
  <c r="S13" i="62"/>
  <c r="Q10" i="62"/>
  <c r="AG10" i="62"/>
  <c r="V10" i="62"/>
  <c r="P13" i="62"/>
  <c r="G13" i="62"/>
  <c r="W13" i="62"/>
  <c r="T13" i="62"/>
  <c r="AJ13" i="62"/>
  <c r="I13" i="62"/>
  <c r="Y13" i="62"/>
  <c r="Q13" i="62"/>
  <c r="AG13" i="62"/>
  <c r="AI13" i="62"/>
  <c r="AF13" i="62"/>
  <c r="U13" i="62"/>
  <c r="X13" i="62"/>
  <c r="M13" i="62"/>
  <c r="AC13" i="62"/>
  <c r="K10" i="62"/>
  <c r="AA10" i="62"/>
  <c r="P10" i="62"/>
  <c r="AF10" i="62"/>
  <c r="U10" i="62"/>
  <c r="J10" i="62"/>
  <c r="Z10" i="62"/>
  <c r="I10" i="62"/>
  <c r="Y10" i="62"/>
  <c r="N10" i="62"/>
  <c r="AD10" i="62"/>
  <c r="S10" i="62"/>
  <c r="AI10" i="62"/>
  <c r="H10" i="62"/>
  <c r="X10" i="62"/>
  <c r="M10" i="62"/>
  <c r="AC10" i="62"/>
  <c r="R10" i="62"/>
  <c r="AH10" i="62"/>
  <c r="B18" i="4"/>
  <c r="B19" i="4"/>
  <c r="B20" i="4"/>
  <c r="B21" i="4"/>
  <c r="B22" i="4"/>
  <c r="B23" i="4"/>
  <c r="B24" i="4"/>
  <c r="B25" i="4"/>
  <c r="B26" i="4"/>
  <c r="B27" i="4"/>
  <c r="B28" i="4"/>
  <c r="B29" i="4"/>
  <c r="B30" i="4"/>
  <c r="B31" i="4"/>
  <c r="B32" i="4"/>
  <c r="B33" i="4"/>
  <c r="B34" i="4"/>
  <c r="B35" i="4"/>
  <c r="B36" i="4"/>
  <c r="B37" i="4"/>
  <c r="B38" i="4"/>
  <c r="B39" i="4"/>
  <c r="B40" i="4"/>
  <c r="B41" i="4"/>
  <c r="B42" i="4"/>
  <c r="B43" i="4"/>
  <c r="B44" i="4"/>
  <c r="B45" i="4"/>
  <c r="B46" i="4"/>
  <c r="B47" i="4"/>
  <c r="B48" i="4"/>
  <c r="B49" i="4"/>
  <c r="B50" i="4"/>
  <c r="B51" i="4"/>
  <c r="B52" i="4"/>
  <c r="B53" i="4"/>
  <c r="B54" i="4"/>
  <c r="B55" i="4"/>
  <c r="B56" i="4"/>
  <c r="B57" i="4"/>
  <c r="B58" i="4"/>
  <c r="B59" i="4"/>
  <c r="B60" i="4"/>
  <c r="B61" i="4"/>
  <c r="B62" i="4"/>
  <c r="B63" i="4"/>
  <c r="B64" i="4"/>
  <c r="B65" i="4"/>
  <c r="B66" i="4"/>
  <c r="B67" i="4"/>
  <c r="B68" i="4"/>
  <c r="B69" i="4"/>
  <c r="B70" i="4"/>
  <c r="B71" i="4"/>
  <c r="B72" i="4"/>
  <c r="B73" i="4"/>
  <c r="B74" i="4"/>
  <c r="B75" i="4"/>
  <c r="B76" i="4"/>
  <c r="B77" i="4"/>
  <c r="B78" i="4"/>
  <c r="B79" i="4"/>
  <c r="B80" i="4"/>
  <c r="B81" i="4"/>
  <c r="B82" i="4"/>
  <c r="B83" i="4"/>
  <c r="B84" i="4"/>
  <c r="B85" i="4"/>
  <c r="B86" i="4"/>
  <c r="B87" i="4"/>
  <c r="B88" i="4"/>
  <c r="B89" i="4"/>
  <c r="B90" i="4"/>
  <c r="B91" i="4"/>
  <c r="B92" i="4"/>
  <c r="B93" i="4"/>
  <c r="B94" i="4"/>
  <c r="B95" i="4"/>
  <c r="B96" i="4"/>
  <c r="B97" i="4"/>
  <c r="B98" i="4"/>
  <c r="B99" i="4"/>
  <c r="B100" i="4"/>
  <c r="B101" i="4"/>
  <c r="B102" i="4"/>
  <c r="B103" i="4"/>
  <c r="B104" i="4"/>
  <c r="B105" i="4"/>
  <c r="B106" i="4"/>
  <c r="B107" i="4"/>
  <c r="B108" i="4"/>
  <c r="B109" i="4"/>
  <c r="B110" i="4"/>
  <c r="B111" i="4"/>
  <c r="B112" i="4"/>
  <c r="B113" i="4"/>
  <c r="B114" i="4"/>
  <c r="B115" i="4"/>
  <c r="B116" i="4"/>
  <c r="B117" i="4"/>
  <c r="B118" i="4"/>
  <c r="B119" i="4"/>
  <c r="B120" i="4"/>
  <c r="B121" i="4"/>
  <c r="B122" i="4"/>
  <c r="B123" i="4"/>
  <c r="B124" i="4"/>
  <c r="B125" i="4"/>
  <c r="B126" i="4"/>
  <c r="B127" i="4"/>
  <c r="B128" i="4"/>
  <c r="B129" i="4"/>
  <c r="B130" i="4"/>
  <c r="B131" i="4"/>
  <c r="B132" i="4"/>
  <c r="B133" i="4"/>
  <c r="B134" i="4"/>
  <c r="B135" i="4"/>
  <c r="B136" i="4"/>
  <c r="B137" i="4"/>
  <c r="B138" i="4"/>
  <c r="B139" i="4"/>
  <c r="B140" i="4"/>
  <c r="B141" i="4"/>
  <c r="B142" i="4"/>
  <c r="B13" i="4"/>
  <c r="B14" i="4"/>
  <c r="B15" i="4"/>
  <c r="B16" i="4"/>
  <c r="B17" i="4"/>
  <c r="B12" i="4"/>
  <c r="O4" i="58"/>
  <c r="T4" i="31"/>
  <c r="W4" i="31"/>
  <c r="N4" i="31"/>
  <c r="AE4" i="31"/>
  <c r="AA4" i="23"/>
  <c r="B11" i="37"/>
  <c r="C4" i="30"/>
  <c r="K4" i="58"/>
  <c r="B31" i="37"/>
  <c r="AD4" i="29"/>
  <c r="F4" i="31"/>
  <c r="Q4" i="23"/>
  <c r="H4" i="58"/>
  <c r="S4" i="30"/>
  <c r="U4" i="58"/>
  <c r="L4" i="58"/>
  <c r="B36" i="37"/>
  <c r="AA4" i="22"/>
  <c r="D4" i="30"/>
  <c r="E4" i="30"/>
  <c r="C4" i="48"/>
  <c r="J4" i="30"/>
  <c r="B35" i="37"/>
  <c r="M4" i="29"/>
  <c r="T4" i="58"/>
  <c r="P4" i="30"/>
  <c r="J4" i="58"/>
  <c r="B18" i="37"/>
  <c r="B24" i="37"/>
  <c r="AC4" i="31"/>
  <c r="R4" i="30"/>
  <c r="Z4" i="29"/>
  <c r="J4" i="29"/>
  <c r="B30" i="37"/>
  <c r="AC4" i="58"/>
  <c r="G4" i="31"/>
  <c r="U4" i="23"/>
  <c r="Y4" i="23"/>
  <c r="AB4" i="23"/>
  <c r="AD4" i="23"/>
  <c r="U4" i="31"/>
  <c r="C4" i="23"/>
  <c r="U4" i="22"/>
  <c r="K4" i="48"/>
  <c r="I4" i="31"/>
  <c r="X4" i="22"/>
  <c r="N4" i="29"/>
  <c r="AA4" i="58"/>
  <c r="E4" i="22"/>
  <c r="AC4" i="29"/>
  <c r="T4" i="23"/>
  <c r="W4" i="29"/>
  <c r="U4" i="30"/>
  <c r="H4" i="29"/>
  <c r="L4" i="23"/>
  <c r="P4" i="23"/>
  <c r="J4" i="31"/>
  <c r="X4" i="58"/>
  <c r="G4" i="48"/>
  <c r="G4" i="30"/>
  <c r="AD4" i="22"/>
  <c r="B21" i="37"/>
  <c r="O4" i="23"/>
  <c r="B29" i="37"/>
  <c r="AE4" i="23"/>
  <c r="AB4" i="22"/>
  <c r="U4" i="29"/>
  <c r="N4" i="22"/>
  <c r="B25" i="37"/>
  <c r="K4" i="23"/>
  <c r="M4" i="22"/>
  <c r="N4" i="30"/>
  <c r="E4" i="48"/>
  <c r="P4" i="29"/>
  <c r="I4" i="22"/>
  <c r="Y4" i="30"/>
  <c r="E4" i="23"/>
  <c r="K4" i="30"/>
  <c r="Z4" i="23"/>
  <c r="H4" i="22"/>
  <c r="AF4" i="31"/>
  <c r="AF4" i="30"/>
  <c r="AE4" i="48"/>
  <c r="R4" i="22"/>
  <c r="B15" i="37"/>
  <c r="V4" i="31"/>
  <c r="AD4" i="48"/>
  <c r="O4" i="22"/>
  <c r="Z4" i="22"/>
  <c r="Y4" i="29"/>
  <c r="B39" i="37"/>
  <c r="J4" i="48"/>
  <c r="AC4" i="22"/>
  <c r="AA4" i="30"/>
  <c r="S4" i="31"/>
  <c r="AC4" i="30"/>
  <c r="B33" i="37"/>
  <c r="B20" i="37"/>
  <c r="B13" i="37"/>
  <c r="M4" i="48"/>
  <c r="T4" i="48"/>
  <c r="X4" i="31"/>
  <c r="K4" i="31"/>
  <c r="X4" i="29"/>
  <c r="L4" i="31"/>
  <c r="V4" i="29"/>
  <c r="R4" i="23"/>
  <c r="L4" i="22"/>
  <c r="AE4" i="58"/>
  <c r="B27" i="37"/>
  <c r="AF4" i="48"/>
  <c r="T4" i="30"/>
  <c r="V4" i="58"/>
  <c r="I4" i="58"/>
  <c r="AD4" i="30"/>
  <c r="B34" i="37"/>
  <c r="W4" i="23"/>
  <c r="O4" i="48"/>
  <c r="P4" i="58"/>
  <c r="D4" i="23"/>
  <c r="H4" i="30"/>
  <c r="AB4" i="29"/>
  <c r="E4" i="29"/>
  <c r="F4" i="22"/>
  <c r="D4" i="22"/>
  <c r="Y4" i="31"/>
  <c r="F4" i="58"/>
  <c r="V4" i="48"/>
  <c r="I4" i="29"/>
  <c r="B38" i="37"/>
  <c r="R4" i="29"/>
  <c r="B32" i="37"/>
  <c r="Q4" i="48"/>
  <c r="AF4" i="58"/>
  <c r="F4" i="23"/>
  <c r="AB4" i="48"/>
  <c r="R4" i="31"/>
  <c r="P4" i="22"/>
  <c r="F4" i="29"/>
  <c r="W4" i="30"/>
  <c r="Q4" i="31"/>
  <c r="E4" i="58"/>
  <c r="B12" i="37"/>
  <c r="AE4" i="22"/>
  <c r="X4" i="30"/>
  <c r="S4" i="22"/>
  <c r="AB4" i="31"/>
  <c r="D4" i="58"/>
  <c r="S4" i="23"/>
  <c r="P4" i="48"/>
  <c r="M4" i="23"/>
  <c r="E4" i="31"/>
  <c r="W4" i="48"/>
  <c r="Y4" i="22"/>
  <c r="K4" i="22"/>
  <c r="I4" i="30"/>
  <c r="W4" i="22"/>
  <c r="M4" i="30"/>
  <c r="Z4" i="48"/>
  <c r="W4" i="58"/>
  <c r="Q4" i="22"/>
  <c r="Z4" i="58"/>
  <c r="B22" i="37"/>
  <c r="AB4" i="58"/>
  <c r="Q4" i="29"/>
  <c r="R4" i="58"/>
  <c r="O4" i="31"/>
  <c r="L4" i="30"/>
  <c r="G4" i="58"/>
  <c r="I4" i="48"/>
  <c r="B10" i="37"/>
  <c r="B19" i="37"/>
  <c r="AD4" i="58"/>
  <c r="B28" i="37"/>
  <c r="Y4" i="58"/>
  <c r="B16" i="37"/>
  <c r="N4" i="23"/>
  <c r="V4" i="23"/>
  <c r="H4" i="31"/>
  <c r="T4" i="29"/>
  <c r="Q4" i="58"/>
  <c r="C4" i="29"/>
  <c r="S4" i="58"/>
  <c r="AE4" i="29"/>
  <c r="J4" i="22"/>
  <c r="D4" i="48"/>
  <c r="AA4" i="31"/>
  <c r="G4" i="23"/>
  <c r="S4" i="29"/>
  <c r="B17" i="37"/>
  <c r="K4" i="29"/>
  <c r="AA4" i="29"/>
  <c r="N4" i="58"/>
  <c r="X4" i="48"/>
  <c r="I4" i="23"/>
  <c r="C4" i="31"/>
  <c r="F4" i="48"/>
  <c r="N4" i="48"/>
  <c r="AB4" i="30"/>
  <c r="D4" i="31"/>
  <c r="AA4" i="48"/>
  <c r="Q4" i="30"/>
  <c r="M4" i="31"/>
  <c r="G4" i="22"/>
  <c r="AG4" i="22"/>
  <c r="D4" i="29"/>
  <c r="R4" i="48"/>
  <c r="J4" i="23"/>
  <c r="H4" i="23"/>
  <c r="O4" i="30"/>
  <c r="Z4" i="31"/>
  <c r="O4" i="29"/>
  <c r="T4" i="22"/>
  <c r="B23" i="37"/>
  <c r="B37" i="37"/>
  <c r="P4" i="31"/>
  <c r="B14" i="37"/>
  <c r="L4" i="48"/>
  <c r="X4" i="23"/>
  <c r="L4" i="29"/>
  <c r="Z4" i="30"/>
  <c r="V4" i="30"/>
  <c r="AC4" i="23"/>
  <c r="G4" i="29"/>
  <c r="S4" i="48"/>
  <c r="U4" i="48"/>
  <c r="V4" i="22"/>
  <c r="H4" i="48"/>
  <c r="Y4" i="48"/>
  <c r="M4" i="58"/>
  <c r="B26" i="37"/>
  <c r="AF4" i="22"/>
  <c r="AE4" i="30"/>
  <c r="F4" i="30"/>
  <c r="AD4" i="31"/>
  <c r="AF4" i="29"/>
  <c r="AC4" i="48"/>
  <c r="AF4" i="23"/>
  <c r="AA37" i="62" l="1"/>
  <c r="C19" i="48"/>
  <c r="D19" i="48"/>
  <c r="LZ39" i="37"/>
  <c r="LP39" i="37"/>
  <c r="LF39" i="37"/>
  <c r="KV39" i="37"/>
  <c r="KL39" i="37"/>
  <c r="KB39" i="37"/>
  <c r="JR39" i="37"/>
  <c r="JH39" i="37"/>
  <c r="IX39" i="37"/>
  <c r="IN39" i="37"/>
  <c r="ID39" i="37"/>
  <c r="HT39" i="37"/>
  <c r="HJ39" i="37"/>
  <c r="GZ39" i="37"/>
  <c r="GP39" i="37"/>
  <c r="GF39" i="37"/>
  <c r="FV39" i="37"/>
  <c r="FL39" i="37"/>
  <c r="FB39" i="37"/>
  <c r="ER39" i="37"/>
  <c r="EH39" i="37"/>
  <c r="DX39" i="37"/>
  <c r="DN39" i="37"/>
  <c r="DD39" i="37"/>
  <c r="CT39" i="37"/>
  <c r="CJ39" i="37"/>
  <c r="BZ39" i="37"/>
  <c r="BP39" i="37"/>
  <c r="BF39" i="37"/>
  <c r="AV39" i="37"/>
  <c r="AL39" i="37"/>
  <c r="LZ38" i="37"/>
  <c r="LP38" i="37"/>
  <c r="LF38" i="37"/>
  <c r="KV38" i="37"/>
  <c r="KL38" i="37"/>
  <c r="KB38" i="37"/>
  <c r="JR38" i="37"/>
  <c r="JH38" i="37"/>
  <c r="IX38" i="37"/>
  <c r="IN38" i="37"/>
  <c r="ID38" i="37"/>
  <c r="HT38" i="37"/>
  <c r="HJ38" i="37"/>
  <c r="GZ38" i="37"/>
  <c r="GP38" i="37"/>
  <c r="GF38" i="37"/>
  <c r="FV38" i="37"/>
  <c r="FL38" i="37"/>
  <c r="FB38" i="37"/>
  <c r="ER38" i="37"/>
  <c r="EH38" i="37"/>
  <c r="DX38" i="37"/>
  <c r="DN38" i="37"/>
  <c r="DD38" i="37"/>
  <c r="CT38" i="37"/>
  <c r="CJ38" i="37"/>
  <c r="BZ38" i="37"/>
  <c r="BP38" i="37"/>
  <c r="BF38" i="37"/>
  <c r="AV38" i="37"/>
  <c r="AL38" i="37"/>
  <c r="LZ37" i="37"/>
  <c r="LP37" i="37"/>
  <c r="LF37" i="37"/>
  <c r="KV37" i="37"/>
  <c r="KL37" i="37"/>
  <c r="KB37" i="37"/>
  <c r="JR37" i="37"/>
  <c r="JH37" i="37"/>
  <c r="IX37" i="37"/>
  <c r="IN37" i="37"/>
  <c r="ID37" i="37"/>
  <c r="HT37" i="37"/>
  <c r="HJ37" i="37"/>
  <c r="GZ37" i="37"/>
  <c r="GP37" i="37"/>
  <c r="GF37" i="37"/>
  <c r="FV37" i="37"/>
  <c r="FL37" i="37"/>
  <c r="FB37" i="37"/>
  <c r="ER37" i="37"/>
  <c r="EH37" i="37"/>
  <c r="DX37" i="37"/>
  <c r="DN37" i="37"/>
  <c r="DD37" i="37"/>
  <c r="CT37" i="37"/>
  <c r="CJ37" i="37"/>
  <c r="BZ37" i="37"/>
  <c r="BP37" i="37"/>
  <c r="BF37" i="37"/>
  <c r="AV37" i="37"/>
  <c r="AL37" i="37"/>
  <c r="LZ36" i="37"/>
  <c r="LP36" i="37"/>
  <c r="LF36" i="37"/>
  <c r="KV36" i="37"/>
  <c r="KL36" i="37"/>
  <c r="KB36" i="37"/>
  <c r="JR36" i="37"/>
  <c r="JH36" i="37"/>
  <c r="IX36" i="37"/>
  <c r="IN36" i="37"/>
  <c r="ID36" i="37"/>
  <c r="HT36" i="37"/>
  <c r="HJ36" i="37"/>
  <c r="GZ36" i="37"/>
  <c r="GP36" i="37"/>
  <c r="GF36" i="37"/>
  <c r="FV36" i="37"/>
  <c r="FL36" i="37"/>
  <c r="FB36" i="37"/>
  <c r="ER36" i="37"/>
  <c r="EH36" i="37"/>
  <c r="DX36" i="37"/>
  <c r="DN36" i="37"/>
  <c r="DD36" i="37"/>
  <c r="CT36" i="37"/>
  <c r="CJ36" i="37"/>
  <c r="BZ36" i="37"/>
  <c r="BP36" i="37"/>
  <c r="BF36" i="37"/>
  <c r="AV36" i="37"/>
  <c r="AL36" i="37"/>
  <c r="LZ35" i="37"/>
  <c r="LP35" i="37"/>
  <c r="LF35" i="37"/>
  <c r="KV35" i="37"/>
  <c r="KL35" i="37"/>
  <c r="KB35" i="37"/>
  <c r="JR35" i="37"/>
  <c r="JH35" i="37"/>
  <c r="IX35" i="37"/>
  <c r="IN35" i="37"/>
  <c r="ID35" i="37"/>
  <c r="HT35" i="37"/>
  <c r="HJ35" i="37"/>
  <c r="GZ35" i="37"/>
  <c r="GP35" i="37"/>
  <c r="GF35" i="37"/>
  <c r="FV35" i="37"/>
  <c r="FL35" i="37"/>
  <c r="FB35" i="37"/>
  <c r="ER35" i="37"/>
  <c r="EH35" i="37"/>
  <c r="DX35" i="37"/>
  <c r="DN35" i="37"/>
  <c r="DD35" i="37"/>
  <c r="CT35" i="37"/>
  <c r="CJ35" i="37"/>
  <c r="BZ35" i="37"/>
  <c r="BP35" i="37"/>
  <c r="BF35" i="37"/>
  <c r="AV35" i="37"/>
  <c r="AL35" i="37"/>
  <c r="LZ34" i="37"/>
  <c r="LP34" i="37"/>
  <c r="LF34" i="37"/>
  <c r="KV34" i="37"/>
  <c r="KL34" i="37"/>
  <c r="KB34" i="37"/>
  <c r="JR34" i="37"/>
  <c r="JH34" i="37"/>
  <c r="IX34" i="37"/>
  <c r="IN34" i="37"/>
  <c r="ID34" i="37"/>
  <c r="HT34" i="37"/>
  <c r="HJ34" i="37"/>
  <c r="GZ34" i="37"/>
  <c r="GP34" i="37"/>
  <c r="GF34" i="37"/>
  <c r="FV34" i="37"/>
  <c r="FL34" i="37"/>
  <c r="FB34" i="37"/>
  <c r="ER34" i="37"/>
  <c r="EH34" i="37"/>
  <c r="DX34" i="37"/>
  <c r="DN34" i="37"/>
  <c r="DD34" i="37"/>
  <c r="CT34" i="37"/>
  <c r="CJ34" i="37"/>
  <c r="BZ34" i="37"/>
  <c r="BP34" i="37"/>
  <c r="BF34" i="37"/>
  <c r="AV34" i="37"/>
  <c r="AL34" i="37"/>
  <c r="LZ33" i="37"/>
  <c r="LP33" i="37"/>
  <c r="LF33" i="37"/>
  <c r="KV33" i="37"/>
  <c r="KL33" i="37"/>
  <c r="KB33" i="37"/>
  <c r="JR33" i="37"/>
  <c r="JH33" i="37"/>
  <c r="IX33" i="37"/>
  <c r="IN33" i="37"/>
  <c r="ID33" i="37"/>
  <c r="HT33" i="37"/>
  <c r="HJ33" i="37"/>
  <c r="GZ33" i="37"/>
  <c r="GP33" i="37"/>
  <c r="GF33" i="37"/>
  <c r="FV33" i="37"/>
  <c r="FL33" i="37"/>
  <c r="FB33" i="37"/>
  <c r="ER33" i="37"/>
  <c r="EH33" i="37"/>
  <c r="DX33" i="37"/>
  <c r="DN33" i="37"/>
  <c r="DD33" i="37"/>
  <c r="CT33" i="37"/>
  <c r="CJ33" i="37"/>
  <c r="BZ33" i="37"/>
  <c r="BP33" i="37"/>
  <c r="BF33" i="37"/>
  <c r="AV33" i="37"/>
  <c r="AL33" i="37"/>
  <c r="LZ32" i="37"/>
  <c r="LP32" i="37"/>
  <c r="LF32" i="37"/>
  <c r="KV32" i="37"/>
  <c r="KL32" i="37"/>
  <c r="KB32" i="37"/>
  <c r="JR32" i="37"/>
  <c r="JH32" i="37"/>
  <c r="IX32" i="37"/>
  <c r="IN32" i="37"/>
  <c r="ID32" i="37"/>
  <c r="HT32" i="37"/>
  <c r="HJ32" i="37"/>
  <c r="GZ32" i="37"/>
  <c r="GP32" i="37"/>
  <c r="GF32" i="37"/>
  <c r="FV32" i="37"/>
  <c r="FL32" i="37"/>
  <c r="FB32" i="37"/>
  <c r="ER32" i="37"/>
  <c r="EH32" i="37"/>
  <c r="DX32" i="37"/>
  <c r="DN32" i="37"/>
  <c r="DD32" i="37"/>
  <c r="CT32" i="37"/>
  <c r="CJ32" i="37"/>
  <c r="BZ32" i="37"/>
  <c r="BP32" i="37"/>
  <c r="BF32" i="37"/>
  <c r="AV32" i="37"/>
  <c r="AL32" i="37"/>
  <c r="LZ31" i="37"/>
  <c r="LP31" i="37"/>
  <c r="LF31" i="37"/>
  <c r="KV31" i="37"/>
  <c r="KL31" i="37"/>
  <c r="KB31" i="37"/>
  <c r="JR31" i="37"/>
  <c r="JH31" i="37"/>
  <c r="IX31" i="37"/>
  <c r="IN31" i="37"/>
  <c r="ID31" i="37"/>
  <c r="HT31" i="37"/>
  <c r="HJ31" i="37"/>
  <c r="GZ31" i="37"/>
  <c r="GP31" i="37"/>
  <c r="GF31" i="37"/>
  <c r="FV31" i="37"/>
  <c r="FL31" i="37"/>
  <c r="FB31" i="37"/>
  <c r="ER31" i="37"/>
  <c r="EH31" i="37"/>
  <c r="DX31" i="37"/>
  <c r="DN31" i="37"/>
  <c r="DD31" i="37"/>
  <c r="CT31" i="37"/>
  <c r="CJ31" i="37"/>
  <c r="BZ31" i="37"/>
  <c r="BP31" i="37"/>
  <c r="BF31" i="37"/>
  <c r="AV31" i="37"/>
  <c r="AL31" i="37"/>
  <c r="LZ30" i="37"/>
  <c r="LP30" i="37"/>
  <c r="LF30" i="37"/>
  <c r="KV30" i="37"/>
  <c r="KL30" i="37"/>
  <c r="KB30" i="37"/>
  <c r="JR30" i="37"/>
  <c r="JH30" i="37"/>
  <c r="IX30" i="37"/>
  <c r="IN30" i="37"/>
  <c r="ID30" i="37"/>
  <c r="HT30" i="37"/>
  <c r="HJ30" i="37"/>
  <c r="GZ30" i="37"/>
  <c r="GP30" i="37"/>
  <c r="GF30" i="37"/>
  <c r="FV30" i="37"/>
  <c r="FL30" i="37"/>
  <c r="FB30" i="37"/>
  <c r="ER30" i="37"/>
  <c r="EH30" i="37"/>
  <c r="DX30" i="37"/>
  <c r="DN30" i="37"/>
  <c r="DD30" i="37"/>
  <c r="CT30" i="37"/>
  <c r="CJ30" i="37"/>
  <c r="BZ30" i="37"/>
  <c r="BP30" i="37"/>
  <c r="BF30" i="37"/>
  <c r="AV30" i="37"/>
  <c r="AL30" i="37"/>
  <c r="LZ29" i="37"/>
  <c r="LP29" i="37"/>
  <c r="LF29" i="37"/>
  <c r="KV29" i="37"/>
  <c r="KL29" i="37"/>
  <c r="KB29" i="37"/>
  <c r="JR29" i="37"/>
  <c r="JH29" i="37"/>
  <c r="IX29" i="37"/>
  <c r="IN29" i="37"/>
  <c r="ID29" i="37"/>
  <c r="HT29" i="37"/>
  <c r="HJ29" i="37"/>
  <c r="GZ29" i="37"/>
  <c r="GP29" i="37"/>
  <c r="GF29" i="37"/>
  <c r="FV29" i="37"/>
  <c r="FL29" i="37"/>
  <c r="FB29" i="37"/>
  <c r="ER29" i="37"/>
  <c r="EH29" i="37"/>
  <c r="DX29" i="37"/>
  <c r="DN29" i="37"/>
  <c r="DD29" i="37"/>
  <c r="CT29" i="37"/>
  <c r="CJ29" i="37"/>
  <c r="BZ29" i="37"/>
  <c r="BP29" i="37"/>
  <c r="BF29" i="37"/>
  <c r="AV29" i="37"/>
  <c r="AL29" i="37"/>
  <c r="LZ28" i="37"/>
  <c r="LP28" i="37"/>
  <c r="LF28" i="37"/>
  <c r="KV28" i="37"/>
  <c r="KL28" i="37"/>
  <c r="KB28" i="37"/>
  <c r="JR28" i="37"/>
  <c r="JH28" i="37"/>
  <c r="IX28" i="37"/>
  <c r="IN28" i="37"/>
  <c r="ID28" i="37"/>
  <c r="HT28" i="37"/>
  <c r="HJ28" i="37"/>
  <c r="GZ28" i="37"/>
  <c r="GP28" i="37"/>
  <c r="GF28" i="37"/>
  <c r="FV28" i="37"/>
  <c r="FL28" i="37"/>
  <c r="FB28" i="37"/>
  <c r="ER28" i="37"/>
  <c r="EH28" i="37"/>
  <c r="DX28" i="37"/>
  <c r="DN28" i="37"/>
  <c r="DD28" i="37"/>
  <c r="CT28" i="37"/>
  <c r="CJ28" i="37"/>
  <c r="BZ28" i="37"/>
  <c r="BP28" i="37"/>
  <c r="BF28" i="37"/>
  <c r="AV28" i="37"/>
  <c r="AL28" i="37"/>
  <c r="LZ27" i="37"/>
  <c r="LP27" i="37"/>
  <c r="LF27" i="37"/>
  <c r="KV27" i="37"/>
  <c r="KL27" i="37"/>
  <c r="KB27" i="37"/>
  <c r="JR27" i="37"/>
  <c r="JH27" i="37"/>
  <c r="IX27" i="37"/>
  <c r="IN27" i="37"/>
  <c r="ID27" i="37"/>
  <c r="HT27" i="37"/>
  <c r="HJ27" i="37"/>
  <c r="GZ27" i="37"/>
  <c r="GP27" i="37"/>
  <c r="GF27" i="37"/>
  <c r="FV27" i="37"/>
  <c r="FL27" i="37"/>
  <c r="FB27" i="37"/>
  <c r="ER27" i="37"/>
  <c r="EH27" i="37"/>
  <c r="DX27" i="37"/>
  <c r="DN27" i="37"/>
  <c r="DD27" i="37"/>
  <c r="CT27" i="37"/>
  <c r="CJ27" i="37"/>
  <c r="BZ27" i="37"/>
  <c r="BP27" i="37"/>
  <c r="BF27" i="37"/>
  <c r="AV27" i="37"/>
  <c r="AL27" i="37"/>
  <c r="LZ26" i="37"/>
  <c r="LP26" i="37"/>
  <c r="LF26" i="37"/>
  <c r="KV26" i="37"/>
  <c r="KL26" i="37"/>
  <c r="KB26" i="37"/>
  <c r="JR26" i="37"/>
  <c r="JH26" i="37"/>
  <c r="IX26" i="37"/>
  <c r="IN26" i="37"/>
  <c r="ID26" i="37"/>
  <c r="HT26" i="37"/>
  <c r="HJ26" i="37"/>
  <c r="GZ26" i="37"/>
  <c r="GP26" i="37"/>
  <c r="GF26" i="37"/>
  <c r="FV26" i="37"/>
  <c r="FL26" i="37"/>
  <c r="FB26" i="37"/>
  <c r="ER26" i="37"/>
  <c r="EH26" i="37"/>
  <c r="DX26" i="37"/>
  <c r="DN26" i="37"/>
  <c r="DD26" i="37"/>
  <c r="CT26" i="37"/>
  <c r="CJ26" i="37"/>
  <c r="BZ26" i="37"/>
  <c r="BP26" i="37"/>
  <c r="BF26" i="37"/>
  <c r="AV26" i="37"/>
  <c r="AL26" i="37"/>
  <c r="LZ25" i="37"/>
  <c r="LP25" i="37"/>
  <c r="LF25" i="37"/>
  <c r="KV25" i="37"/>
  <c r="KL25" i="37"/>
  <c r="KB25" i="37"/>
  <c r="JR25" i="37"/>
  <c r="JH25" i="37"/>
  <c r="IX25" i="37"/>
  <c r="IN25" i="37"/>
  <c r="ID25" i="37"/>
  <c r="HT25" i="37"/>
  <c r="HJ25" i="37"/>
  <c r="GZ25" i="37"/>
  <c r="GP25" i="37"/>
  <c r="GF25" i="37"/>
  <c r="FV25" i="37"/>
  <c r="FL25" i="37"/>
  <c r="FB25" i="37"/>
  <c r="ER25" i="37"/>
  <c r="EH25" i="37"/>
  <c r="DX25" i="37"/>
  <c r="DN25" i="37"/>
  <c r="DD25" i="37"/>
  <c r="CT25" i="37"/>
  <c r="CJ25" i="37"/>
  <c r="BZ25" i="37"/>
  <c r="BP25" i="37"/>
  <c r="BF25" i="37"/>
  <c r="AV25" i="37"/>
  <c r="AL25" i="37"/>
  <c r="LZ24" i="37"/>
  <c r="LP24" i="37"/>
  <c r="LF24" i="37"/>
  <c r="KV24" i="37"/>
  <c r="KL24" i="37"/>
  <c r="KB24" i="37"/>
  <c r="JR24" i="37"/>
  <c r="JH24" i="37"/>
  <c r="IX24" i="37"/>
  <c r="IN24" i="37"/>
  <c r="ID24" i="37"/>
  <c r="HT24" i="37"/>
  <c r="HJ24" i="37"/>
  <c r="GZ24" i="37"/>
  <c r="GP24" i="37"/>
  <c r="GF24" i="37"/>
  <c r="FV24" i="37"/>
  <c r="FL24" i="37"/>
  <c r="FB24" i="37"/>
  <c r="ER24" i="37"/>
  <c r="EH24" i="37"/>
  <c r="DX24" i="37"/>
  <c r="DN24" i="37"/>
  <c r="DD24" i="37"/>
  <c r="CT24" i="37"/>
  <c r="CJ24" i="37"/>
  <c r="BZ24" i="37"/>
  <c r="BP24" i="37"/>
  <c r="BF24" i="37"/>
  <c r="AV24" i="37"/>
  <c r="AL24" i="37"/>
  <c r="LZ23" i="37"/>
  <c r="LP23" i="37"/>
  <c r="LF23" i="37"/>
  <c r="KV23" i="37"/>
  <c r="KL23" i="37"/>
  <c r="KB23" i="37"/>
  <c r="JR23" i="37"/>
  <c r="JH23" i="37"/>
  <c r="IX23" i="37"/>
  <c r="IN23" i="37"/>
  <c r="ID23" i="37"/>
  <c r="HT23" i="37"/>
  <c r="HJ23" i="37"/>
  <c r="GZ23" i="37"/>
  <c r="GP23" i="37"/>
  <c r="GF23" i="37"/>
  <c r="FV23" i="37"/>
  <c r="FL23" i="37"/>
  <c r="FB23" i="37"/>
  <c r="ER23" i="37"/>
  <c r="EH23" i="37"/>
  <c r="DX23" i="37"/>
  <c r="DN23" i="37"/>
  <c r="DD23" i="37"/>
  <c r="CT23" i="37"/>
  <c r="CJ23" i="37"/>
  <c r="BZ23" i="37"/>
  <c r="BP23" i="37"/>
  <c r="BF23" i="37"/>
  <c r="AV23" i="37"/>
  <c r="AL23" i="37"/>
  <c r="LZ22" i="37"/>
  <c r="LP22" i="37"/>
  <c r="LF22" i="37"/>
  <c r="KV22" i="37"/>
  <c r="KL22" i="37"/>
  <c r="KB22" i="37"/>
  <c r="JR22" i="37"/>
  <c r="JH22" i="37"/>
  <c r="IX22" i="37"/>
  <c r="IN22" i="37"/>
  <c r="ID22" i="37"/>
  <c r="HT22" i="37"/>
  <c r="HJ22" i="37"/>
  <c r="GZ22" i="37"/>
  <c r="GP22" i="37"/>
  <c r="GF22" i="37"/>
  <c r="FV22" i="37"/>
  <c r="FL22" i="37"/>
  <c r="FB22" i="37"/>
  <c r="ER22" i="37"/>
  <c r="EH22" i="37"/>
  <c r="DX22" i="37"/>
  <c r="DN22" i="37"/>
  <c r="DD22" i="37"/>
  <c r="CT22" i="37"/>
  <c r="CJ22" i="37"/>
  <c r="BZ22" i="37"/>
  <c r="BP22" i="37"/>
  <c r="BF22" i="37"/>
  <c r="AV22" i="37"/>
  <c r="AL22" i="37"/>
  <c r="LZ21" i="37"/>
  <c r="LP21" i="37"/>
  <c r="LF21" i="37"/>
  <c r="KV21" i="37"/>
  <c r="KL21" i="37"/>
  <c r="KB21" i="37"/>
  <c r="JR21" i="37"/>
  <c r="JH21" i="37"/>
  <c r="IX21" i="37"/>
  <c r="IN21" i="37"/>
  <c r="ID21" i="37"/>
  <c r="HT21" i="37"/>
  <c r="HJ21" i="37"/>
  <c r="GZ21" i="37"/>
  <c r="GP21" i="37"/>
  <c r="GF21" i="37"/>
  <c r="FV21" i="37"/>
  <c r="FL21" i="37"/>
  <c r="FB21" i="37"/>
  <c r="ER21" i="37"/>
  <c r="EH21" i="37"/>
  <c r="DX21" i="37"/>
  <c r="DN21" i="37"/>
  <c r="DD21" i="37"/>
  <c r="CT21" i="37"/>
  <c r="CJ21" i="37"/>
  <c r="BZ21" i="37"/>
  <c r="BP21" i="37"/>
  <c r="BF21" i="37"/>
  <c r="AV21" i="37"/>
  <c r="AL21" i="37"/>
  <c r="LZ20" i="37"/>
  <c r="LP20" i="37"/>
  <c r="LF20" i="37"/>
  <c r="KV20" i="37"/>
  <c r="KL20" i="37"/>
  <c r="KB20" i="37"/>
  <c r="JR20" i="37"/>
  <c r="JH20" i="37"/>
  <c r="IX20" i="37"/>
  <c r="IN20" i="37"/>
  <c r="ID20" i="37"/>
  <c r="HT20" i="37"/>
  <c r="HJ20" i="37"/>
  <c r="GZ20" i="37"/>
  <c r="GP20" i="37"/>
  <c r="GF20" i="37"/>
  <c r="FV20" i="37"/>
  <c r="FL20" i="37"/>
  <c r="FB20" i="37"/>
  <c r="ER20" i="37"/>
  <c r="EH20" i="37"/>
  <c r="DX20" i="37"/>
  <c r="DN20" i="37"/>
  <c r="DD20" i="37"/>
  <c r="CT20" i="37"/>
  <c r="CJ20" i="37"/>
  <c r="BZ20" i="37"/>
  <c r="BP20" i="37"/>
  <c r="BF20" i="37"/>
  <c r="AV20" i="37"/>
  <c r="AL20" i="37"/>
  <c r="LZ19" i="37"/>
  <c r="LP19" i="37"/>
  <c r="LF19" i="37"/>
  <c r="KV19" i="37"/>
  <c r="KL19" i="37"/>
  <c r="KB19" i="37"/>
  <c r="JR19" i="37"/>
  <c r="JH19" i="37"/>
  <c r="IX19" i="37"/>
  <c r="IN19" i="37"/>
  <c r="ID19" i="37"/>
  <c r="HT19" i="37"/>
  <c r="HJ19" i="37"/>
  <c r="GZ19" i="37"/>
  <c r="GP19" i="37"/>
  <c r="GF19" i="37"/>
  <c r="FV19" i="37"/>
  <c r="FL19" i="37"/>
  <c r="FB19" i="37"/>
  <c r="ER19" i="37"/>
  <c r="EH19" i="37"/>
  <c r="DX19" i="37"/>
  <c r="DN19" i="37"/>
  <c r="DD19" i="37"/>
  <c r="CT19" i="37"/>
  <c r="CJ19" i="37"/>
  <c r="BZ19" i="37"/>
  <c r="BP19" i="37"/>
  <c r="BF19" i="37"/>
  <c r="AV19" i="37"/>
  <c r="AL19" i="37"/>
  <c r="LZ18" i="37"/>
  <c r="LP18" i="37"/>
  <c r="LF18" i="37"/>
  <c r="KV18" i="37"/>
  <c r="KL18" i="37"/>
  <c r="KB18" i="37"/>
  <c r="JR18" i="37"/>
  <c r="JH18" i="37"/>
  <c r="IX18" i="37"/>
  <c r="IN18" i="37"/>
  <c r="ID18" i="37"/>
  <c r="HT18" i="37"/>
  <c r="HJ18" i="37"/>
  <c r="GZ18" i="37"/>
  <c r="GP18" i="37"/>
  <c r="GF18" i="37"/>
  <c r="FV18" i="37"/>
  <c r="FL18" i="37"/>
  <c r="FB18" i="37"/>
  <c r="ER18" i="37"/>
  <c r="EH18" i="37"/>
  <c r="DX18" i="37"/>
  <c r="DN18" i="37"/>
  <c r="DD18" i="37"/>
  <c r="CT18" i="37"/>
  <c r="CJ18" i="37"/>
  <c r="BZ18" i="37"/>
  <c r="BP18" i="37"/>
  <c r="BF18" i="37"/>
  <c r="AV18" i="37"/>
  <c r="AL18" i="37"/>
  <c r="LZ17" i="37"/>
  <c r="LP17" i="37"/>
  <c r="LF17" i="37"/>
  <c r="KV17" i="37"/>
  <c r="KL17" i="37"/>
  <c r="KB17" i="37"/>
  <c r="JR17" i="37"/>
  <c r="JH17" i="37"/>
  <c r="IX17" i="37"/>
  <c r="IN17" i="37"/>
  <c r="ID17" i="37"/>
  <c r="HT17" i="37"/>
  <c r="HJ17" i="37"/>
  <c r="GZ17" i="37"/>
  <c r="GP17" i="37"/>
  <c r="GF17" i="37"/>
  <c r="FV17" i="37"/>
  <c r="FL17" i="37"/>
  <c r="FB17" i="37"/>
  <c r="ER17" i="37"/>
  <c r="EH17" i="37"/>
  <c r="DX17" i="37"/>
  <c r="DN17" i="37"/>
  <c r="DD17" i="37"/>
  <c r="CT17" i="37"/>
  <c r="CJ17" i="37"/>
  <c r="BZ17" i="37"/>
  <c r="BP17" i="37"/>
  <c r="BF17" i="37"/>
  <c r="AV17" i="37"/>
  <c r="AL17" i="37"/>
  <c r="LZ16" i="37"/>
  <c r="LP16" i="37"/>
  <c r="LF16" i="37"/>
  <c r="KV16" i="37"/>
  <c r="KL16" i="37"/>
  <c r="KB16" i="37"/>
  <c r="JR16" i="37"/>
  <c r="JH16" i="37"/>
  <c r="IX16" i="37"/>
  <c r="IN16" i="37"/>
  <c r="ID16" i="37"/>
  <c r="HT16" i="37"/>
  <c r="HJ16" i="37"/>
  <c r="GZ16" i="37"/>
  <c r="GP16" i="37"/>
  <c r="GF16" i="37"/>
  <c r="FV16" i="37"/>
  <c r="FL16" i="37"/>
  <c r="FB16" i="37"/>
  <c r="ER16" i="37"/>
  <c r="EH16" i="37"/>
  <c r="DX16" i="37"/>
  <c r="DN16" i="37"/>
  <c r="DD16" i="37"/>
  <c r="CT16" i="37"/>
  <c r="CJ16" i="37"/>
  <c r="BZ16" i="37"/>
  <c r="BP16" i="37"/>
  <c r="BF16" i="37"/>
  <c r="AV16" i="37"/>
  <c r="AL16" i="37"/>
  <c r="LZ15" i="37"/>
  <c r="LP15" i="37"/>
  <c r="LF15" i="37"/>
  <c r="KV15" i="37"/>
  <c r="KL15" i="37"/>
  <c r="KB15" i="37"/>
  <c r="JR15" i="37"/>
  <c r="JH15" i="37"/>
  <c r="IX15" i="37"/>
  <c r="IN15" i="37"/>
  <c r="ID15" i="37"/>
  <c r="HT15" i="37"/>
  <c r="HJ15" i="37"/>
  <c r="GZ15" i="37"/>
  <c r="GP15" i="37"/>
  <c r="GF15" i="37"/>
  <c r="FV15" i="37"/>
  <c r="FL15" i="37"/>
  <c r="FB15" i="37"/>
  <c r="ER15" i="37"/>
  <c r="EH15" i="37"/>
  <c r="DX15" i="37"/>
  <c r="DN15" i="37"/>
  <c r="DD15" i="37"/>
  <c r="CT15" i="37"/>
  <c r="CJ15" i="37"/>
  <c r="BZ15" i="37"/>
  <c r="BP15" i="37"/>
  <c r="BF15" i="37"/>
  <c r="AV15" i="37"/>
  <c r="AL15" i="37"/>
  <c r="LZ14" i="37"/>
  <c r="LP14" i="37"/>
  <c r="LF14" i="37"/>
  <c r="KV14" i="37"/>
  <c r="KL14" i="37"/>
  <c r="KB14" i="37"/>
  <c r="JR14" i="37"/>
  <c r="JH14" i="37"/>
  <c r="IX14" i="37"/>
  <c r="IN14" i="37"/>
  <c r="ID14" i="37"/>
  <c r="HT14" i="37"/>
  <c r="HJ14" i="37"/>
  <c r="GZ14" i="37"/>
  <c r="GP14" i="37"/>
  <c r="GF14" i="37"/>
  <c r="FV14" i="37"/>
  <c r="FL14" i="37"/>
  <c r="FB14" i="37"/>
  <c r="ER14" i="37"/>
  <c r="EH14" i="37"/>
  <c r="DX14" i="37"/>
  <c r="DN14" i="37"/>
  <c r="DD14" i="37"/>
  <c r="CT14" i="37"/>
  <c r="CJ14" i="37"/>
  <c r="BZ14" i="37"/>
  <c r="BP14" i="37"/>
  <c r="BF14" i="37"/>
  <c r="AV14" i="37"/>
  <c r="AL14" i="37"/>
  <c r="LZ13" i="37"/>
  <c r="LP13" i="37"/>
  <c r="LF13" i="37"/>
  <c r="KV13" i="37"/>
  <c r="KL13" i="37"/>
  <c r="KB13" i="37"/>
  <c r="JR13" i="37"/>
  <c r="JH13" i="37"/>
  <c r="IX13" i="37"/>
  <c r="IN13" i="37"/>
  <c r="ID13" i="37"/>
  <c r="HT13" i="37"/>
  <c r="HJ13" i="37"/>
  <c r="GZ13" i="37"/>
  <c r="GP13" i="37"/>
  <c r="GF13" i="37"/>
  <c r="FV13" i="37"/>
  <c r="FL13" i="37"/>
  <c r="FB13" i="37"/>
  <c r="ER13" i="37"/>
  <c r="EH13" i="37"/>
  <c r="DX13" i="37"/>
  <c r="DN13" i="37"/>
  <c r="DD13" i="37"/>
  <c r="CT13" i="37"/>
  <c r="CJ13" i="37"/>
  <c r="BZ13" i="37"/>
  <c r="BP13" i="37"/>
  <c r="BF13" i="37"/>
  <c r="AV13" i="37"/>
  <c r="AL13" i="37"/>
  <c r="LZ12" i="37"/>
  <c r="LP12" i="37"/>
  <c r="LF12" i="37"/>
  <c r="KV12" i="37"/>
  <c r="KL12" i="37"/>
  <c r="KB12" i="37"/>
  <c r="JR12" i="37"/>
  <c r="JH12" i="37"/>
  <c r="IX12" i="37"/>
  <c r="IN12" i="37"/>
  <c r="ID12" i="37"/>
  <c r="HT12" i="37"/>
  <c r="HJ12" i="37"/>
  <c r="GZ12" i="37"/>
  <c r="GP12" i="37"/>
  <c r="GF12" i="37"/>
  <c r="FV12" i="37"/>
  <c r="FL12" i="37"/>
  <c r="FB12" i="37"/>
  <c r="ER12" i="37"/>
  <c r="EH12" i="37"/>
  <c r="DX12" i="37"/>
  <c r="DN12" i="37"/>
  <c r="DD12" i="37"/>
  <c r="CT12" i="37"/>
  <c r="CJ12" i="37"/>
  <c r="BZ12" i="37"/>
  <c r="BP12" i="37"/>
  <c r="BF12" i="37"/>
  <c r="AV12" i="37"/>
  <c r="AL12" i="37"/>
  <c r="LZ11" i="37"/>
  <c r="LP11" i="37"/>
  <c r="LF11" i="37"/>
  <c r="KV11" i="37"/>
  <c r="KL11" i="37"/>
  <c r="KB11" i="37"/>
  <c r="JR11" i="37"/>
  <c r="JH11" i="37"/>
  <c r="IX11" i="37"/>
  <c r="IN11" i="37"/>
  <c r="ID11" i="37"/>
  <c r="HT11" i="37"/>
  <c r="HJ11" i="37"/>
  <c r="GZ11" i="37"/>
  <c r="GP11" i="37"/>
  <c r="GF11" i="37"/>
  <c r="FV11" i="37"/>
  <c r="FL11" i="37"/>
  <c r="FB11" i="37"/>
  <c r="ER11" i="37"/>
  <c r="EH11" i="37"/>
  <c r="DX11" i="37"/>
  <c r="DN11" i="37"/>
  <c r="DD11" i="37"/>
  <c r="CT11" i="37"/>
  <c r="CJ11" i="37"/>
  <c r="BZ11" i="37"/>
  <c r="BP11" i="37"/>
  <c r="BF11" i="37"/>
  <c r="AV11" i="37"/>
  <c r="AL11" i="37"/>
  <c r="LZ10" i="37"/>
  <c r="LP10" i="37"/>
  <c r="LF10" i="37"/>
  <c r="KV10" i="37"/>
  <c r="KL10" i="37"/>
  <c r="KB10" i="37"/>
  <c r="KB40" i="37" s="1"/>
  <c r="U37" i="39" s="1"/>
  <c r="JR10" i="37"/>
  <c r="JH10" i="37"/>
  <c r="IX10" i="37"/>
  <c r="IN10" i="37"/>
  <c r="ID10" i="37"/>
  <c r="HT10" i="37"/>
  <c r="HJ10" i="37"/>
  <c r="GZ10" i="37"/>
  <c r="GP10" i="37"/>
  <c r="GF10" i="37"/>
  <c r="FV10" i="37"/>
  <c r="FL10" i="37"/>
  <c r="FB10" i="37"/>
  <c r="ER10" i="37"/>
  <c r="EH10" i="37"/>
  <c r="DX10" i="37"/>
  <c r="DN10" i="37"/>
  <c r="DD10" i="37"/>
  <c r="CT10" i="37"/>
  <c r="CJ10" i="37"/>
  <c r="BZ10" i="37"/>
  <c r="BP10" i="37"/>
  <c r="BF10" i="37"/>
  <c r="AV10" i="37"/>
  <c r="AL10" i="37"/>
  <c r="O5" i="39"/>
  <c r="L5" i="39"/>
  <c r="I5" i="39"/>
  <c r="F5" i="39"/>
  <c r="C5" i="39"/>
  <c r="N89" i="39"/>
  <c r="M89" i="39"/>
  <c r="K89" i="39"/>
  <c r="J89" i="39"/>
  <c r="H89" i="39"/>
  <c r="Q89" i="39"/>
  <c r="B174" i="40"/>
  <c r="B140" i="40"/>
  <c r="F1" i="50"/>
  <c r="F2" i="50" s="1"/>
  <c r="B30" i="51"/>
  <c r="B29" i="51"/>
  <c r="B28" i="51"/>
  <c r="B27" i="51"/>
  <c r="B26" i="51"/>
  <c r="B25" i="51"/>
  <c r="B24" i="51"/>
  <c r="B23" i="51"/>
  <c r="B22" i="51"/>
  <c r="B21" i="51"/>
  <c r="B20" i="51"/>
  <c r="B19" i="51"/>
  <c r="B18" i="51"/>
  <c r="B17" i="51"/>
  <c r="B16" i="51"/>
  <c r="B15" i="51"/>
  <c r="B14" i="51"/>
  <c r="B13" i="51"/>
  <c r="B12" i="51"/>
  <c r="B11" i="51"/>
  <c r="B10" i="51"/>
  <c r="B9" i="51"/>
  <c r="B8" i="51"/>
  <c r="B7" i="51"/>
  <c r="B6" i="51"/>
  <c r="B5" i="51"/>
  <c r="B4" i="51"/>
  <c r="B3" i="51"/>
  <c r="S42" i="39"/>
  <c r="S41" i="39"/>
  <c r="S40" i="39"/>
  <c r="S39" i="39"/>
  <c r="S38" i="39"/>
  <c r="S37" i="39"/>
  <c r="S36" i="39"/>
  <c r="S35" i="39"/>
  <c r="S34" i="39"/>
  <c r="S33" i="39"/>
  <c r="S32" i="39"/>
  <c r="S31" i="39"/>
  <c r="S30" i="39"/>
  <c r="S29" i="39"/>
  <c r="S28" i="39"/>
  <c r="S27" i="39"/>
  <c r="S26" i="39"/>
  <c r="S25" i="39"/>
  <c r="S24" i="39"/>
  <c r="S23" i="39"/>
  <c r="S22" i="39"/>
  <c r="S21" i="39"/>
  <c r="S20" i="39"/>
  <c r="S19" i="39"/>
  <c r="S18" i="39"/>
  <c r="R18" i="39"/>
  <c r="S17" i="39"/>
  <c r="S16" i="39"/>
  <c r="R16" i="39"/>
  <c r="S15" i="39"/>
  <c r="S14" i="39"/>
  <c r="S13" i="39"/>
  <c r="S12" i="39"/>
  <c r="S11" i="39"/>
  <c r="R11" i="39"/>
  <c r="AB10" i="37"/>
  <c r="G2" i="4"/>
  <c r="J12" i="4" s="1"/>
  <c r="AB11" i="37"/>
  <c r="C11" i="39"/>
  <c r="C12" i="39"/>
  <c r="AG20" i="23"/>
  <c r="C13" i="39"/>
  <c r="AG21" i="23"/>
  <c r="AH21" i="23" s="1"/>
  <c r="C14" i="39"/>
  <c r="AG22" i="23"/>
  <c r="D14" i="39" s="1"/>
  <c r="C15" i="39"/>
  <c r="AG23" i="23"/>
  <c r="C16" i="39"/>
  <c r="AG24" i="23"/>
  <c r="F16" i="32" s="1"/>
  <c r="C17" i="39"/>
  <c r="AG25" i="23"/>
  <c r="D17" i="39" s="1"/>
  <c r="C18" i="39"/>
  <c r="AG26" i="23"/>
  <c r="F18" i="32" s="1"/>
  <c r="C19" i="39"/>
  <c r="AG27" i="23"/>
  <c r="D19" i="39" s="1"/>
  <c r="C20" i="39"/>
  <c r="AG28" i="23"/>
  <c r="F20" i="32" s="1"/>
  <c r="C21" i="39"/>
  <c r="AG29" i="23"/>
  <c r="F21" i="32" s="1"/>
  <c r="C22" i="39"/>
  <c r="AG30" i="23"/>
  <c r="D22" i="39" s="1"/>
  <c r="C23" i="39"/>
  <c r="AG31" i="23"/>
  <c r="D23" i="39" s="1"/>
  <c r="C24" i="39"/>
  <c r="AG32" i="23"/>
  <c r="D24" i="39" s="1"/>
  <c r="C25" i="39"/>
  <c r="AG33" i="23"/>
  <c r="F25" i="32" s="1"/>
  <c r="C26" i="39"/>
  <c r="AG34" i="23"/>
  <c r="AH34" i="23" s="1"/>
  <c r="C27" i="39"/>
  <c r="AG35" i="23"/>
  <c r="C28" i="39"/>
  <c r="AG36" i="23"/>
  <c r="F28" i="32" s="1"/>
  <c r="C29" i="39"/>
  <c r="AG37" i="23"/>
  <c r="D29" i="39" s="1"/>
  <c r="C30" i="39"/>
  <c r="AG38" i="23"/>
  <c r="C31" i="39"/>
  <c r="AG39" i="23"/>
  <c r="C32" i="39"/>
  <c r="AG40" i="23"/>
  <c r="C33" i="39"/>
  <c r="AG41" i="23"/>
  <c r="C34" i="39"/>
  <c r="AG42" i="23"/>
  <c r="AH42" i="23" s="1"/>
  <c r="C35" i="39"/>
  <c r="E35" i="39" s="1"/>
  <c r="AG43" i="23"/>
  <c r="AH43" i="23" s="1"/>
  <c r="C36" i="39"/>
  <c r="E36" i="39" s="1"/>
  <c r="C37" i="39"/>
  <c r="E37" i="39" s="1"/>
  <c r="AG45" i="23"/>
  <c r="AH45" i="23" s="1"/>
  <c r="C38" i="39"/>
  <c r="E38" i="39" s="1"/>
  <c r="C39" i="39"/>
  <c r="E39" i="39" s="1"/>
  <c r="AG47" i="23"/>
  <c r="D39" i="39" s="1"/>
  <c r="C40" i="39"/>
  <c r="E40" i="39" s="1"/>
  <c r="AG48" i="23"/>
  <c r="C41" i="39"/>
  <c r="E41" i="39" s="1"/>
  <c r="AG49" i="23"/>
  <c r="AH49" i="23" s="1"/>
  <c r="C42" i="39"/>
  <c r="E42" i="39" s="1"/>
  <c r="AG50" i="23"/>
  <c r="C43" i="39"/>
  <c r="E43" i="39" s="1"/>
  <c r="AG51" i="23"/>
  <c r="F43" i="32" s="1"/>
  <c r="C44" i="39"/>
  <c r="E44" i="39" s="1"/>
  <c r="AG52" i="23"/>
  <c r="C45" i="39"/>
  <c r="E45" i="39" s="1"/>
  <c r="AG53" i="23"/>
  <c r="AH53" i="23" s="1"/>
  <c r="C46" i="39"/>
  <c r="E46" i="39" s="1"/>
  <c r="AG54" i="23"/>
  <c r="F46" i="32" s="1"/>
  <c r="C47" i="39"/>
  <c r="E47" i="39" s="1"/>
  <c r="AG55" i="23"/>
  <c r="AH55" i="23" s="1"/>
  <c r="C48" i="39"/>
  <c r="E48" i="39" s="1"/>
  <c r="AG56" i="23"/>
  <c r="F48" i="32" s="1"/>
  <c r="C49" i="39"/>
  <c r="E49" i="39" s="1"/>
  <c r="AG57" i="23"/>
  <c r="F49" i="32" s="1"/>
  <c r="C50" i="39"/>
  <c r="E50" i="39" s="1"/>
  <c r="AG58" i="23"/>
  <c r="C51" i="39"/>
  <c r="E51" i="39" s="1"/>
  <c r="C52" i="39"/>
  <c r="E52" i="39" s="1"/>
  <c r="C53" i="39"/>
  <c r="E53" i="39" s="1"/>
  <c r="C54" i="39"/>
  <c r="E54" i="39" s="1"/>
  <c r="C55" i="39"/>
  <c r="E55" i="39" s="1"/>
  <c r="AG63" i="23"/>
  <c r="D55" i="39" s="1"/>
  <c r="C56" i="39"/>
  <c r="E56" i="39" s="1"/>
  <c r="AG64" i="23"/>
  <c r="AH64" i="23" s="1"/>
  <c r="C57" i="39"/>
  <c r="E57" i="39" s="1"/>
  <c r="AG65" i="23"/>
  <c r="D57" i="39" s="1"/>
  <c r="C58" i="39"/>
  <c r="E58" i="39" s="1"/>
  <c r="C59" i="39"/>
  <c r="E59" i="39" s="1"/>
  <c r="C60" i="39"/>
  <c r="E60" i="39" s="1"/>
  <c r="AG68" i="23"/>
  <c r="F60" i="32" s="1"/>
  <c r="C61" i="39"/>
  <c r="E61" i="39" s="1"/>
  <c r="AG69" i="23"/>
  <c r="AH69" i="23" s="1"/>
  <c r="C62" i="39"/>
  <c r="E62" i="39" s="1"/>
  <c r="AG70" i="23"/>
  <c r="AH70" i="23" s="1"/>
  <c r="C63" i="39"/>
  <c r="E63" i="39" s="1"/>
  <c r="C64" i="39"/>
  <c r="E64" i="39" s="1"/>
  <c r="C65" i="39"/>
  <c r="E65" i="39" s="1"/>
  <c r="C66" i="39"/>
  <c r="E66" i="39" s="1"/>
  <c r="C67" i="39"/>
  <c r="E67" i="39" s="1"/>
  <c r="C68" i="39"/>
  <c r="E68" i="39" s="1"/>
  <c r="C69" i="39"/>
  <c r="E69" i="39" s="1"/>
  <c r="C70" i="39"/>
  <c r="E70" i="39" s="1"/>
  <c r="C71" i="39"/>
  <c r="E71" i="39" s="1"/>
  <c r="C72" i="39"/>
  <c r="E72" i="39" s="1"/>
  <c r="C73" i="39"/>
  <c r="E73" i="39" s="1"/>
  <c r="C74" i="39"/>
  <c r="E74" i="39" s="1"/>
  <c r="C75" i="39"/>
  <c r="E75" i="39" s="1"/>
  <c r="C76" i="39"/>
  <c r="E76" i="39" s="1"/>
  <c r="C77" i="39"/>
  <c r="E77" i="39" s="1"/>
  <c r="C78" i="39"/>
  <c r="E78" i="39" s="1"/>
  <c r="C79" i="39"/>
  <c r="E79" i="39" s="1"/>
  <c r="C80" i="39"/>
  <c r="E80" i="39" s="1"/>
  <c r="C81" i="39"/>
  <c r="E81" i="39" s="1"/>
  <c r="C82" i="39"/>
  <c r="E82" i="39" s="1"/>
  <c r="C83" i="39"/>
  <c r="E83" i="39" s="1"/>
  <c r="C84" i="39"/>
  <c r="E84" i="39" s="1"/>
  <c r="C85" i="39"/>
  <c r="E85" i="39" s="1"/>
  <c r="C86" i="39"/>
  <c r="E86" i="39" s="1"/>
  <c r="C87" i="39"/>
  <c r="E87" i="39" s="1"/>
  <c r="C88" i="39"/>
  <c r="E88" i="39" s="1"/>
  <c r="C89" i="39"/>
  <c r="E89" i="39" s="1"/>
  <c r="C90" i="39"/>
  <c r="E90" i="39" s="1"/>
  <c r="C91" i="39"/>
  <c r="E91" i="39" s="1"/>
  <c r="C92" i="39"/>
  <c r="E92" i="39" s="1"/>
  <c r="C93" i="39"/>
  <c r="E93" i="39" s="1"/>
  <c r="C94" i="39"/>
  <c r="E94" i="39" s="1"/>
  <c r="C95" i="39"/>
  <c r="E95" i="39" s="1"/>
  <c r="C96" i="39"/>
  <c r="E96" i="39" s="1"/>
  <c r="C97" i="39"/>
  <c r="E97" i="39" s="1"/>
  <c r="C98" i="39"/>
  <c r="E98" i="39" s="1"/>
  <c r="C99" i="39"/>
  <c r="E99" i="39" s="1"/>
  <c r="C100" i="39"/>
  <c r="E100" i="39" s="1"/>
  <c r="C101" i="39"/>
  <c r="E101" i="39" s="1"/>
  <c r="C102" i="39"/>
  <c r="E102" i="39" s="1"/>
  <c r="C103" i="39"/>
  <c r="E103" i="39" s="1"/>
  <c r="C104" i="39"/>
  <c r="E104" i="39" s="1"/>
  <c r="C105" i="39"/>
  <c r="E105" i="39" s="1"/>
  <c r="C106" i="39"/>
  <c r="E106" i="39" s="1"/>
  <c r="C107" i="39"/>
  <c r="E107" i="39" s="1"/>
  <c r="C108" i="39"/>
  <c r="E108" i="39" s="1"/>
  <c r="C109" i="39"/>
  <c r="E109" i="39" s="1"/>
  <c r="C110" i="39"/>
  <c r="E110" i="39" s="1"/>
  <c r="C111" i="39"/>
  <c r="E111" i="39" s="1"/>
  <c r="C112" i="39"/>
  <c r="E112" i="39" s="1"/>
  <c r="C113" i="39"/>
  <c r="E113" i="39" s="1"/>
  <c r="C114" i="39"/>
  <c r="E114" i="39" s="1"/>
  <c r="C115" i="39"/>
  <c r="E115" i="39" s="1"/>
  <c r="C116" i="39"/>
  <c r="E116" i="39" s="1"/>
  <c r="C117" i="39"/>
  <c r="E117" i="39" s="1"/>
  <c r="C118" i="39"/>
  <c r="E118" i="39" s="1"/>
  <c r="C119" i="39"/>
  <c r="E119" i="39" s="1"/>
  <c r="C120" i="39"/>
  <c r="E120" i="39" s="1"/>
  <c r="C121" i="39"/>
  <c r="E121" i="39" s="1"/>
  <c r="C122" i="39"/>
  <c r="E122" i="39" s="1"/>
  <c r="C123" i="39"/>
  <c r="E123" i="39" s="1"/>
  <c r="C124" i="39"/>
  <c r="E124" i="39" s="1"/>
  <c r="C125" i="39"/>
  <c r="E125" i="39" s="1"/>
  <c r="C126" i="39"/>
  <c r="E126" i="39" s="1"/>
  <c r="C127" i="39"/>
  <c r="E127" i="39" s="1"/>
  <c r="C128" i="39"/>
  <c r="E128" i="39" s="1"/>
  <c r="C129" i="39"/>
  <c r="E129" i="39" s="1"/>
  <c r="C130" i="39"/>
  <c r="E130" i="39" s="1"/>
  <c r="C131" i="39"/>
  <c r="E131" i="39" s="1"/>
  <c r="C132" i="39"/>
  <c r="E132" i="39" s="1"/>
  <c r="C133" i="39"/>
  <c r="E133" i="39" s="1"/>
  <c r="C134" i="39"/>
  <c r="E134" i="39" s="1"/>
  <c r="C135" i="39"/>
  <c r="E135" i="39" s="1"/>
  <c r="C136" i="39"/>
  <c r="E136" i="39" s="1"/>
  <c r="C137" i="39"/>
  <c r="E137" i="39" s="1"/>
  <c r="C138" i="39"/>
  <c r="E138" i="39" s="1"/>
  <c r="C139" i="39"/>
  <c r="E139" i="39" s="1"/>
  <c r="C140" i="39"/>
  <c r="E140" i="39" s="1"/>
  <c r="C141" i="39"/>
  <c r="E141" i="39" s="1"/>
  <c r="F19" i="48"/>
  <c r="F20" i="48"/>
  <c r="F21" i="48"/>
  <c r="F22" i="48"/>
  <c r="F23" i="48"/>
  <c r="F24" i="48"/>
  <c r="F25" i="48"/>
  <c r="F26" i="48"/>
  <c r="F27" i="48"/>
  <c r="F28" i="48"/>
  <c r="F29" i="48"/>
  <c r="F30" i="48"/>
  <c r="F31" i="48"/>
  <c r="F32" i="48"/>
  <c r="F33" i="48"/>
  <c r="F34" i="48"/>
  <c r="F35" i="48"/>
  <c r="F36" i="48"/>
  <c r="F37" i="48"/>
  <c r="F38" i="48"/>
  <c r="F39" i="48"/>
  <c r="F40" i="48"/>
  <c r="F41" i="48"/>
  <c r="F42" i="48"/>
  <c r="F43" i="48"/>
  <c r="F44" i="48"/>
  <c r="F45" i="48"/>
  <c r="F46" i="48"/>
  <c r="F47" i="48"/>
  <c r="F48" i="48"/>
  <c r="F49" i="48"/>
  <c r="F50" i="48"/>
  <c r="F51" i="48"/>
  <c r="F52" i="48"/>
  <c r="F53" i="48"/>
  <c r="F54" i="48"/>
  <c r="F55" i="48"/>
  <c r="F56" i="48"/>
  <c r="F57" i="48"/>
  <c r="F58" i="48"/>
  <c r="F59" i="48"/>
  <c r="F60" i="48"/>
  <c r="F61" i="48"/>
  <c r="F62" i="48"/>
  <c r="F63" i="48"/>
  <c r="F64" i="48"/>
  <c r="F65" i="48"/>
  <c r="F66" i="48"/>
  <c r="F67" i="48"/>
  <c r="F68" i="48"/>
  <c r="F69" i="48"/>
  <c r="F70" i="48"/>
  <c r="F71" i="48"/>
  <c r="F72" i="48"/>
  <c r="F73" i="48"/>
  <c r="F74" i="48"/>
  <c r="F75" i="48"/>
  <c r="F76" i="48"/>
  <c r="F77" i="48"/>
  <c r="F78" i="48"/>
  <c r="F79" i="48"/>
  <c r="F80" i="48"/>
  <c r="F81" i="48"/>
  <c r="F82" i="48"/>
  <c r="F83" i="48"/>
  <c r="F84" i="48"/>
  <c r="F85" i="48"/>
  <c r="F86" i="48"/>
  <c r="F87" i="48"/>
  <c r="F88" i="48"/>
  <c r="F89" i="48"/>
  <c r="F90" i="48"/>
  <c r="F91" i="48"/>
  <c r="F92" i="48"/>
  <c r="F93" i="48"/>
  <c r="F94" i="48"/>
  <c r="F95" i="48"/>
  <c r="F96" i="48"/>
  <c r="F97" i="48"/>
  <c r="F98" i="48"/>
  <c r="F99" i="48"/>
  <c r="F100" i="48"/>
  <c r="F101" i="48"/>
  <c r="F102" i="48"/>
  <c r="F103" i="48"/>
  <c r="F104" i="48"/>
  <c r="F105" i="48"/>
  <c r="F106" i="48"/>
  <c r="F107" i="48"/>
  <c r="F108" i="48"/>
  <c r="F109" i="48"/>
  <c r="F110" i="48"/>
  <c r="F111" i="48"/>
  <c r="F112" i="48"/>
  <c r="F113" i="48"/>
  <c r="F114" i="48"/>
  <c r="F115" i="48"/>
  <c r="F116" i="48"/>
  <c r="F117" i="48"/>
  <c r="F118" i="48"/>
  <c r="F119" i="48"/>
  <c r="F120" i="48"/>
  <c r="F121" i="48"/>
  <c r="F122" i="48"/>
  <c r="F123" i="48"/>
  <c r="F124" i="48"/>
  <c r="F125" i="48"/>
  <c r="F126" i="48"/>
  <c r="F127" i="48"/>
  <c r="F128" i="48"/>
  <c r="F129" i="48"/>
  <c r="F130" i="48"/>
  <c r="F131" i="48"/>
  <c r="F132" i="48"/>
  <c r="F133" i="48"/>
  <c r="F134" i="48"/>
  <c r="F135" i="48"/>
  <c r="F136" i="48"/>
  <c r="F137" i="48"/>
  <c r="F138" i="48"/>
  <c r="F139" i="48"/>
  <c r="F140" i="48"/>
  <c r="F141" i="48"/>
  <c r="F142" i="48"/>
  <c r="F143" i="48"/>
  <c r="F144" i="48"/>
  <c r="F145" i="48"/>
  <c r="F146" i="48"/>
  <c r="F147" i="48"/>
  <c r="F148" i="48"/>
  <c r="F149" i="48"/>
  <c r="J47" i="39"/>
  <c r="K47" i="39"/>
  <c r="L12" i="39"/>
  <c r="L13" i="39"/>
  <c r="L14" i="39"/>
  <c r="L15" i="39"/>
  <c r="L16" i="39"/>
  <c r="L17" i="39"/>
  <c r="L18" i="39"/>
  <c r="L19" i="39"/>
  <c r="L20" i="39"/>
  <c r="L21" i="39"/>
  <c r="L22" i="39"/>
  <c r="L23" i="39"/>
  <c r="L24" i="39"/>
  <c r="L25" i="39"/>
  <c r="L26" i="39"/>
  <c r="L27" i="39"/>
  <c r="L28" i="39"/>
  <c r="L29" i="39"/>
  <c r="L30" i="39"/>
  <c r="L31" i="39"/>
  <c r="L32" i="39"/>
  <c r="L33" i="39"/>
  <c r="L34" i="39"/>
  <c r="L35" i="39"/>
  <c r="L36" i="39"/>
  <c r="L37" i="39"/>
  <c r="L38" i="39"/>
  <c r="L39" i="39"/>
  <c r="L40" i="39"/>
  <c r="L41" i="39"/>
  <c r="L42" i="39"/>
  <c r="L43" i="39"/>
  <c r="L44" i="39"/>
  <c r="L45" i="39"/>
  <c r="L46" i="39"/>
  <c r="L11" i="39"/>
  <c r="AB12" i="37"/>
  <c r="AB13" i="37"/>
  <c r="AB14" i="37"/>
  <c r="AB15" i="37"/>
  <c r="AB16" i="37"/>
  <c r="AB17" i="37"/>
  <c r="AB18" i="37"/>
  <c r="AB19" i="37"/>
  <c r="AB20" i="37"/>
  <c r="AB21" i="37"/>
  <c r="AB22" i="37"/>
  <c r="AB23" i="37"/>
  <c r="AB24" i="37"/>
  <c r="AB25" i="37"/>
  <c r="AB26" i="37"/>
  <c r="AB27" i="37"/>
  <c r="AB28" i="37"/>
  <c r="AB29" i="37"/>
  <c r="AB30" i="37"/>
  <c r="AB31" i="37"/>
  <c r="AB32" i="37"/>
  <c r="AB33" i="37"/>
  <c r="AB34" i="37"/>
  <c r="AB35" i="37"/>
  <c r="AB36" i="37"/>
  <c r="AB37" i="37"/>
  <c r="AB38" i="37"/>
  <c r="AB39" i="37"/>
  <c r="P12" i="37"/>
  <c r="C124" i="40" s="1"/>
  <c r="Q12" i="37"/>
  <c r="AG44" i="23"/>
  <c r="F36" i="32" s="1"/>
  <c r="AG46" i="23"/>
  <c r="AH46" i="23" s="1"/>
  <c r="AG59" i="23"/>
  <c r="F51" i="32" s="1"/>
  <c r="AG60" i="23"/>
  <c r="D52" i="39" s="1"/>
  <c r="AG61" i="23"/>
  <c r="F53" i="32" s="1"/>
  <c r="AG62" i="23"/>
  <c r="D54" i="39" s="1"/>
  <c r="AG66" i="23"/>
  <c r="AG67" i="23"/>
  <c r="F59" i="32" s="1"/>
  <c r="AG71" i="23"/>
  <c r="F63" i="32" s="1"/>
  <c r="AG72" i="23"/>
  <c r="F64" i="32" s="1"/>
  <c r="AG73" i="23"/>
  <c r="AH73" i="23" s="1"/>
  <c r="AG74" i="23"/>
  <c r="D66" i="39" s="1"/>
  <c r="AG75" i="23"/>
  <c r="AG76" i="23"/>
  <c r="AG77" i="23"/>
  <c r="D69" i="39" s="1"/>
  <c r="AG78" i="23"/>
  <c r="D70" i="39" s="1"/>
  <c r="AG79" i="23"/>
  <c r="AG80" i="23"/>
  <c r="D72" i="39" s="1"/>
  <c r="AG81" i="23"/>
  <c r="AH81" i="23" s="1"/>
  <c r="AG82" i="23"/>
  <c r="F74" i="32" s="1"/>
  <c r="AG83" i="23"/>
  <c r="D75" i="39" s="1"/>
  <c r="AG84" i="23"/>
  <c r="AH84" i="23" s="1"/>
  <c r="AG85" i="23"/>
  <c r="D77" i="39" s="1"/>
  <c r="AG86" i="23"/>
  <c r="AG87" i="23"/>
  <c r="AG88" i="23"/>
  <c r="F80" i="32" s="1"/>
  <c r="AG89" i="23"/>
  <c r="F81" i="32" s="1"/>
  <c r="AG90" i="23"/>
  <c r="F82" i="32" s="1"/>
  <c r="AG91" i="23"/>
  <c r="AG92" i="23"/>
  <c r="D84" i="39" s="1"/>
  <c r="AG93" i="23"/>
  <c r="D85" i="39" s="1"/>
  <c r="AG94" i="23"/>
  <c r="AG95" i="23"/>
  <c r="D87" i="39" s="1"/>
  <c r="AG96" i="23"/>
  <c r="F88" i="32" s="1"/>
  <c r="AG97" i="23"/>
  <c r="AG98" i="23"/>
  <c r="AG99" i="23"/>
  <c r="D91" i="39" s="1"/>
  <c r="AG100" i="23"/>
  <c r="F92" i="32" s="1"/>
  <c r="AG101" i="23"/>
  <c r="D93" i="39" s="1"/>
  <c r="AG102" i="23"/>
  <c r="AG103" i="23"/>
  <c r="F95" i="32" s="1"/>
  <c r="AG104" i="23"/>
  <c r="F96" i="32" s="1"/>
  <c r="K19" i="48"/>
  <c r="K20" i="48"/>
  <c r="K21" i="48"/>
  <c r="K22" i="48"/>
  <c r="K23" i="48"/>
  <c r="K24" i="48"/>
  <c r="K25" i="48"/>
  <c r="K26" i="48"/>
  <c r="K27" i="48"/>
  <c r="K28" i="48"/>
  <c r="K29" i="48"/>
  <c r="K30" i="48"/>
  <c r="K31" i="48"/>
  <c r="K32" i="48"/>
  <c r="K33" i="48"/>
  <c r="K34" i="48"/>
  <c r="K35" i="48"/>
  <c r="K36" i="48"/>
  <c r="K37" i="48"/>
  <c r="K38" i="48"/>
  <c r="K39" i="48"/>
  <c r="K40" i="48"/>
  <c r="K41" i="48"/>
  <c r="K42" i="48"/>
  <c r="K43" i="48"/>
  <c r="K44" i="48"/>
  <c r="K45" i="48"/>
  <c r="K46" i="48"/>
  <c r="K47" i="48"/>
  <c r="K48" i="48"/>
  <c r="K49" i="48"/>
  <c r="K50" i="48"/>
  <c r="K51" i="48"/>
  <c r="K52" i="48"/>
  <c r="K53" i="48"/>
  <c r="K54" i="48"/>
  <c r="K55" i="48"/>
  <c r="K56" i="48"/>
  <c r="K57" i="48"/>
  <c r="K58" i="48"/>
  <c r="K59" i="48"/>
  <c r="K60" i="48"/>
  <c r="K61" i="48"/>
  <c r="K62" i="48"/>
  <c r="K63" i="48"/>
  <c r="K64" i="48"/>
  <c r="K65" i="48"/>
  <c r="K66" i="48"/>
  <c r="K67" i="48"/>
  <c r="K68" i="48"/>
  <c r="K69" i="48"/>
  <c r="K70" i="48"/>
  <c r="K71" i="48"/>
  <c r="K72" i="48"/>
  <c r="K73" i="48"/>
  <c r="K74" i="48"/>
  <c r="K75" i="48"/>
  <c r="K76" i="48"/>
  <c r="K77" i="48"/>
  <c r="K78" i="48"/>
  <c r="K79" i="48"/>
  <c r="K80" i="48"/>
  <c r="K81" i="48"/>
  <c r="K82" i="48"/>
  <c r="K83" i="48"/>
  <c r="K84" i="48"/>
  <c r="K85" i="48"/>
  <c r="K86" i="48"/>
  <c r="K87" i="48"/>
  <c r="K88" i="48"/>
  <c r="K89" i="48"/>
  <c r="K90" i="48"/>
  <c r="K91" i="48"/>
  <c r="K92" i="48"/>
  <c r="K93" i="48"/>
  <c r="K94" i="48"/>
  <c r="K95" i="48"/>
  <c r="K96" i="48"/>
  <c r="K97" i="48"/>
  <c r="K98" i="48"/>
  <c r="K99" i="48"/>
  <c r="K100" i="48"/>
  <c r="K101" i="48"/>
  <c r="K102" i="48"/>
  <c r="K103" i="48"/>
  <c r="K104" i="48"/>
  <c r="K105" i="48"/>
  <c r="K106" i="48"/>
  <c r="K107" i="48"/>
  <c r="K108" i="48"/>
  <c r="K109" i="48"/>
  <c r="K110" i="48"/>
  <c r="K111" i="48"/>
  <c r="K112" i="48"/>
  <c r="K113" i="48"/>
  <c r="K114" i="48"/>
  <c r="K115" i="48"/>
  <c r="K116" i="48"/>
  <c r="K117" i="48"/>
  <c r="K118" i="48"/>
  <c r="K119" i="48"/>
  <c r="K120" i="48"/>
  <c r="K121" i="48"/>
  <c r="K122" i="48"/>
  <c r="K123" i="48"/>
  <c r="K124" i="48"/>
  <c r="K125" i="48"/>
  <c r="K126" i="48"/>
  <c r="K127" i="48"/>
  <c r="K128" i="48"/>
  <c r="K129" i="48"/>
  <c r="K130" i="48"/>
  <c r="K131" i="48"/>
  <c r="K132" i="48"/>
  <c r="K133" i="48"/>
  <c r="K134" i="48"/>
  <c r="K135" i="48"/>
  <c r="K136" i="48"/>
  <c r="K137" i="48"/>
  <c r="K138" i="48"/>
  <c r="K139" i="48"/>
  <c r="K140" i="48"/>
  <c r="K141" i="48"/>
  <c r="K142" i="48"/>
  <c r="K143" i="48"/>
  <c r="K144" i="48"/>
  <c r="K145" i="48"/>
  <c r="K146" i="48"/>
  <c r="K147" i="48"/>
  <c r="K148" i="48"/>
  <c r="K149" i="48"/>
  <c r="J19" i="48"/>
  <c r="J20" i="48"/>
  <c r="J21" i="48"/>
  <c r="J22" i="48"/>
  <c r="J23" i="48"/>
  <c r="J24" i="48"/>
  <c r="J25" i="48"/>
  <c r="J26" i="48"/>
  <c r="J27" i="48"/>
  <c r="J28" i="48"/>
  <c r="J29" i="48"/>
  <c r="J30" i="48"/>
  <c r="J31" i="48"/>
  <c r="J32" i="48"/>
  <c r="J33" i="48"/>
  <c r="J34" i="48"/>
  <c r="J35" i="48"/>
  <c r="J36" i="48"/>
  <c r="J37" i="48"/>
  <c r="J38" i="48"/>
  <c r="J39" i="48"/>
  <c r="J40" i="48"/>
  <c r="J41" i="48"/>
  <c r="J42" i="48"/>
  <c r="J43" i="48"/>
  <c r="J44" i="48"/>
  <c r="J45" i="48"/>
  <c r="J46" i="48"/>
  <c r="J47" i="48"/>
  <c r="J48" i="48"/>
  <c r="J49" i="48"/>
  <c r="J50" i="48"/>
  <c r="J51" i="48"/>
  <c r="J52" i="48"/>
  <c r="J53" i="48"/>
  <c r="J54" i="48"/>
  <c r="J55" i="48"/>
  <c r="J56" i="48"/>
  <c r="J57" i="48"/>
  <c r="J58" i="48"/>
  <c r="J59" i="48"/>
  <c r="J60" i="48"/>
  <c r="J61" i="48"/>
  <c r="J62" i="48"/>
  <c r="J63" i="48"/>
  <c r="J64" i="48"/>
  <c r="J65" i="48"/>
  <c r="J66" i="48"/>
  <c r="J67" i="48"/>
  <c r="J68" i="48"/>
  <c r="J69" i="48"/>
  <c r="J70" i="48"/>
  <c r="J71" i="48"/>
  <c r="J72" i="48"/>
  <c r="J73" i="48"/>
  <c r="J74" i="48"/>
  <c r="J75" i="48"/>
  <c r="J76" i="48"/>
  <c r="J77" i="48"/>
  <c r="J78" i="48"/>
  <c r="J79" i="48"/>
  <c r="J80" i="48"/>
  <c r="J81" i="48"/>
  <c r="J82" i="48"/>
  <c r="J83" i="48"/>
  <c r="J84" i="48"/>
  <c r="J85" i="48"/>
  <c r="J86" i="48"/>
  <c r="J87" i="48"/>
  <c r="J88" i="48"/>
  <c r="J89" i="48"/>
  <c r="J90" i="48"/>
  <c r="J91" i="48"/>
  <c r="J92" i="48"/>
  <c r="J93" i="48"/>
  <c r="J94" i="48"/>
  <c r="J95" i="48"/>
  <c r="J96" i="48"/>
  <c r="J97" i="48"/>
  <c r="J98" i="48"/>
  <c r="J99" i="48"/>
  <c r="J100" i="48"/>
  <c r="J101" i="48"/>
  <c r="J102" i="48"/>
  <c r="J103" i="48"/>
  <c r="J104" i="48"/>
  <c r="J105" i="48"/>
  <c r="J106" i="48"/>
  <c r="J107" i="48"/>
  <c r="J108" i="48"/>
  <c r="J109" i="48"/>
  <c r="J110" i="48"/>
  <c r="J111" i="48"/>
  <c r="J112" i="48"/>
  <c r="J113" i="48"/>
  <c r="J114" i="48"/>
  <c r="J115" i="48"/>
  <c r="J116" i="48"/>
  <c r="J117" i="48"/>
  <c r="J118" i="48"/>
  <c r="J119" i="48"/>
  <c r="J120" i="48"/>
  <c r="J121" i="48"/>
  <c r="J122" i="48"/>
  <c r="J123" i="48"/>
  <c r="J124" i="48"/>
  <c r="J125" i="48"/>
  <c r="J126" i="48"/>
  <c r="J127" i="48"/>
  <c r="J128" i="48"/>
  <c r="J129" i="48"/>
  <c r="J130" i="48"/>
  <c r="J131" i="48"/>
  <c r="J132" i="48"/>
  <c r="J133" i="48"/>
  <c r="J134" i="48"/>
  <c r="J135" i="48"/>
  <c r="J136" i="48"/>
  <c r="J137" i="48"/>
  <c r="J138" i="48"/>
  <c r="J139" i="48"/>
  <c r="J140" i="48"/>
  <c r="J141" i="48"/>
  <c r="J142" i="48"/>
  <c r="J143" i="48"/>
  <c r="J144" i="48"/>
  <c r="J145" i="48"/>
  <c r="J146" i="48"/>
  <c r="J147" i="48"/>
  <c r="J148" i="48"/>
  <c r="J149" i="48"/>
  <c r="I19" i="48"/>
  <c r="I20" i="48"/>
  <c r="I21" i="48"/>
  <c r="I22" i="48"/>
  <c r="I23" i="48"/>
  <c r="I24" i="48"/>
  <c r="I25" i="48"/>
  <c r="I26" i="48"/>
  <c r="I27" i="48"/>
  <c r="I28" i="48"/>
  <c r="I29" i="48"/>
  <c r="I30" i="48"/>
  <c r="I31" i="48"/>
  <c r="I32" i="48"/>
  <c r="I33" i="48"/>
  <c r="I34" i="48"/>
  <c r="I35" i="48"/>
  <c r="I36" i="48"/>
  <c r="I37" i="48"/>
  <c r="I38" i="48"/>
  <c r="I39" i="48"/>
  <c r="I40" i="48"/>
  <c r="I41" i="48"/>
  <c r="I42" i="48"/>
  <c r="I43" i="48"/>
  <c r="I44" i="48"/>
  <c r="I45" i="48"/>
  <c r="I46" i="48"/>
  <c r="I47" i="48"/>
  <c r="I48" i="48"/>
  <c r="I49" i="48"/>
  <c r="I50" i="48"/>
  <c r="I51" i="48"/>
  <c r="I52" i="48"/>
  <c r="I53" i="48"/>
  <c r="I54" i="48"/>
  <c r="I55" i="48"/>
  <c r="I56" i="48"/>
  <c r="I57" i="48"/>
  <c r="I58" i="48"/>
  <c r="I59" i="48"/>
  <c r="I60" i="48"/>
  <c r="I61" i="48"/>
  <c r="I62" i="48"/>
  <c r="I63" i="48"/>
  <c r="I64" i="48"/>
  <c r="I65" i="48"/>
  <c r="I66" i="48"/>
  <c r="I67" i="48"/>
  <c r="I68" i="48"/>
  <c r="I69" i="48"/>
  <c r="I70" i="48"/>
  <c r="I71" i="48"/>
  <c r="I72" i="48"/>
  <c r="I73" i="48"/>
  <c r="I74" i="48"/>
  <c r="I75" i="48"/>
  <c r="I76" i="48"/>
  <c r="I77" i="48"/>
  <c r="I78" i="48"/>
  <c r="I79" i="48"/>
  <c r="I80" i="48"/>
  <c r="I81" i="48"/>
  <c r="I82" i="48"/>
  <c r="I83" i="48"/>
  <c r="I84" i="48"/>
  <c r="I85" i="48"/>
  <c r="I86" i="48"/>
  <c r="I87" i="48"/>
  <c r="I88" i="48"/>
  <c r="I89" i="48"/>
  <c r="I90" i="48"/>
  <c r="I91" i="48"/>
  <c r="I92" i="48"/>
  <c r="I93" i="48"/>
  <c r="I94" i="48"/>
  <c r="I95" i="48"/>
  <c r="I96" i="48"/>
  <c r="I97" i="48"/>
  <c r="I98" i="48"/>
  <c r="I99" i="48"/>
  <c r="I100" i="48"/>
  <c r="I101" i="48"/>
  <c r="I102" i="48"/>
  <c r="I103" i="48"/>
  <c r="I104" i="48"/>
  <c r="I105" i="48"/>
  <c r="I106" i="48"/>
  <c r="I107" i="48"/>
  <c r="I108" i="48"/>
  <c r="I109" i="48"/>
  <c r="I110" i="48"/>
  <c r="I111" i="48"/>
  <c r="I112" i="48"/>
  <c r="I113" i="48"/>
  <c r="I114" i="48"/>
  <c r="I115" i="48"/>
  <c r="I116" i="48"/>
  <c r="I117" i="48"/>
  <c r="I118" i="48"/>
  <c r="I119" i="48"/>
  <c r="I120" i="48"/>
  <c r="I121" i="48"/>
  <c r="I122" i="48"/>
  <c r="I123" i="48"/>
  <c r="I124" i="48"/>
  <c r="I125" i="48"/>
  <c r="I126" i="48"/>
  <c r="I127" i="48"/>
  <c r="I128" i="48"/>
  <c r="I129" i="48"/>
  <c r="I130" i="48"/>
  <c r="I131" i="48"/>
  <c r="I132" i="48"/>
  <c r="I133" i="48"/>
  <c r="I134" i="48"/>
  <c r="I135" i="48"/>
  <c r="I136" i="48"/>
  <c r="I137" i="48"/>
  <c r="I138" i="48"/>
  <c r="I139" i="48"/>
  <c r="I140" i="48"/>
  <c r="I141" i="48"/>
  <c r="I142" i="48"/>
  <c r="I143" i="48"/>
  <c r="I144" i="48"/>
  <c r="I145" i="48"/>
  <c r="I146" i="48"/>
  <c r="I147" i="48"/>
  <c r="I148" i="48"/>
  <c r="I149" i="48"/>
  <c r="H19" i="48"/>
  <c r="H20" i="48"/>
  <c r="H21" i="48"/>
  <c r="H22" i="48"/>
  <c r="H23" i="48"/>
  <c r="H24" i="48"/>
  <c r="H25" i="48"/>
  <c r="H26" i="48"/>
  <c r="H27" i="48"/>
  <c r="H28" i="48"/>
  <c r="H29" i="48"/>
  <c r="H30" i="48"/>
  <c r="H31" i="48"/>
  <c r="H32" i="48"/>
  <c r="H33" i="48"/>
  <c r="H34" i="48"/>
  <c r="H35" i="48"/>
  <c r="H36" i="48"/>
  <c r="H37" i="48"/>
  <c r="H38" i="48"/>
  <c r="H39" i="48"/>
  <c r="H40" i="48"/>
  <c r="H41" i="48"/>
  <c r="H42" i="48"/>
  <c r="H43" i="48"/>
  <c r="H44" i="48"/>
  <c r="H45" i="48"/>
  <c r="H46" i="48"/>
  <c r="H47" i="48"/>
  <c r="H48" i="48"/>
  <c r="H49" i="48"/>
  <c r="H50" i="48"/>
  <c r="H51" i="48"/>
  <c r="H52" i="48"/>
  <c r="H53" i="48"/>
  <c r="H54" i="48"/>
  <c r="H55" i="48"/>
  <c r="H56" i="48"/>
  <c r="H57" i="48"/>
  <c r="H58" i="48"/>
  <c r="H59" i="48"/>
  <c r="H60" i="48"/>
  <c r="H61" i="48"/>
  <c r="H62" i="48"/>
  <c r="H63" i="48"/>
  <c r="H64" i="48"/>
  <c r="H65" i="48"/>
  <c r="H66" i="48"/>
  <c r="H67" i="48"/>
  <c r="H68" i="48"/>
  <c r="H69" i="48"/>
  <c r="H70" i="48"/>
  <c r="H71" i="48"/>
  <c r="H72" i="48"/>
  <c r="H73" i="48"/>
  <c r="H74" i="48"/>
  <c r="H75" i="48"/>
  <c r="H76" i="48"/>
  <c r="H77" i="48"/>
  <c r="H78" i="48"/>
  <c r="H79" i="48"/>
  <c r="H80" i="48"/>
  <c r="H81" i="48"/>
  <c r="H82" i="48"/>
  <c r="H83" i="48"/>
  <c r="H84" i="48"/>
  <c r="H85" i="48"/>
  <c r="H86" i="48"/>
  <c r="H87" i="48"/>
  <c r="H88" i="48"/>
  <c r="H89" i="48"/>
  <c r="H90" i="48"/>
  <c r="H91" i="48"/>
  <c r="H92" i="48"/>
  <c r="H93" i="48"/>
  <c r="H94" i="48"/>
  <c r="H95" i="48"/>
  <c r="H96" i="48"/>
  <c r="H97" i="48"/>
  <c r="H98" i="48"/>
  <c r="H99" i="48"/>
  <c r="H100" i="48"/>
  <c r="H101" i="48"/>
  <c r="H102" i="48"/>
  <c r="H103" i="48"/>
  <c r="H104" i="48"/>
  <c r="H105" i="48"/>
  <c r="H106" i="48"/>
  <c r="H107" i="48"/>
  <c r="H108" i="48"/>
  <c r="H109" i="48"/>
  <c r="H110" i="48"/>
  <c r="H111" i="48"/>
  <c r="H112" i="48"/>
  <c r="H113" i="48"/>
  <c r="H114" i="48"/>
  <c r="H115" i="48"/>
  <c r="H116" i="48"/>
  <c r="H117" i="48"/>
  <c r="H118" i="48"/>
  <c r="H119" i="48"/>
  <c r="H120" i="48"/>
  <c r="H121" i="48"/>
  <c r="H122" i="48"/>
  <c r="H123" i="48"/>
  <c r="H124" i="48"/>
  <c r="H125" i="48"/>
  <c r="H126" i="48"/>
  <c r="H127" i="48"/>
  <c r="H128" i="48"/>
  <c r="H129" i="48"/>
  <c r="H130" i="48"/>
  <c r="H131" i="48"/>
  <c r="H132" i="48"/>
  <c r="H133" i="48"/>
  <c r="H134" i="48"/>
  <c r="H135" i="48"/>
  <c r="H136" i="48"/>
  <c r="H137" i="48"/>
  <c r="H138" i="48"/>
  <c r="H139" i="48"/>
  <c r="H140" i="48"/>
  <c r="H141" i="48"/>
  <c r="H142" i="48"/>
  <c r="H143" i="48"/>
  <c r="H144" i="48"/>
  <c r="H145" i="48"/>
  <c r="H146" i="48"/>
  <c r="H147" i="48"/>
  <c r="H148" i="48"/>
  <c r="H149" i="48"/>
  <c r="G19" i="48"/>
  <c r="G20" i="48"/>
  <c r="G21" i="48"/>
  <c r="G22" i="48"/>
  <c r="G23" i="48"/>
  <c r="G24" i="48"/>
  <c r="G25" i="48"/>
  <c r="G26" i="48"/>
  <c r="G27" i="48"/>
  <c r="G28" i="48"/>
  <c r="G29" i="48"/>
  <c r="G30" i="48"/>
  <c r="G31" i="48"/>
  <c r="G32" i="48"/>
  <c r="G33" i="48"/>
  <c r="G34" i="48"/>
  <c r="G35" i="48"/>
  <c r="G36" i="48"/>
  <c r="G37" i="48"/>
  <c r="G38" i="48"/>
  <c r="G39" i="48"/>
  <c r="G40" i="48"/>
  <c r="G41" i="48"/>
  <c r="G42" i="48"/>
  <c r="G43" i="48"/>
  <c r="G44" i="48"/>
  <c r="G45" i="48"/>
  <c r="G46" i="48"/>
  <c r="G47" i="48"/>
  <c r="G48" i="48"/>
  <c r="G49" i="48"/>
  <c r="G50" i="48"/>
  <c r="G51" i="48"/>
  <c r="G52" i="48"/>
  <c r="G53" i="48"/>
  <c r="G54" i="48"/>
  <c r="G55" i="48"/>
  <c r="G56" i="48"/>
  <c r="G57" i="48"/>
  <c r="G58" i="48"/>
  <c r="G59" i="48"/>
  <c r="G60" i="48"/>
  <c r="G61" i="48"/>
  <c r="G62" i="48"/>
  <c r="G63" i="48"/>
  <c r="G64" i="48"/>
  <c r="G65" i="48"/>
  <c r="G66" i="48"/>
  <c r="G67" i="48"/>
  <c r="G68" i="48"/>
  <c r="G69" i="48"/>
  <c r="G70" i="48"/>
  <c r="G71" i="48"/>
  <c r="G72" i="48"/>
  <c r="G73" i="48"/>
  <c r="G74" i="48"/>
  <c r="G75" i="48"/>
  <c r="G76" i="48"/>
  <c r="G77" i="48"/>
  <c r="G78" i="48"/>
  <c r="G79" i="48"/>
  <c r="G80" i="48"/>
  <c r="G81" i="48"/>
  <c r="G82" i="48"/>
  <c r="G83" i="48"/>
  <c r="G84" i="48"/>
  <c r="G85" i="48"/>
  <c r="G86" i="48"/>
  <c r="G87" i="48"/>
  <c r="G88" i="48"/>
  <c r="G89" i="48"/>
  <c r="G90" i="48"/>
  <c r="G91" i="48"/>
  <c r="G92" i="48"/>
  <c r="G93" i="48"/>
  <c r="G94" i="48"/>
  <c r="G95" i="48"/>
  <c r="G96" i="48"/>
  <c r="G97" i="48"/>
  <c r="G98" i="48"/>
  <c r="G99" i="48"/>
  <c r="G100" i="48"/>
  <c r="G101" i="48"/>
  <c r="G102" i="48"/>
  <c r="G103" i="48"/>
  <c r="G104" i="48"/>
  <c r="G105" i="48"/>
  <c r="G106" i="48"/>
  <c r="G107" i="48"/>
  <c r="G108" i="48"/>
  <c r="G109" i="48"/>
  <c r="G110" i="48"/>
  <c r="G111" i="48"/>
  <c r="G112" i="48"/>
  <c r="G113" i="48"/>
  <c r="G114" i="48"/>
  <c r="G115" i="48"/>
  <c r="G116" i="48"/>
  <c r="G117" i="48"/>
  <c r="G118" i="48"/>
  <c r="G119" i="48"/>
  <c r="G120" i="48"/>
  <c r="G121" i="48"/>
  <c r="G122" i="48"/>
  <c r="G123" i="48"/>
  <c r="G124" i="48"/>
  <c r="G125" i="48"/>
  <c r="G126" i="48"/>
  <c r="G127" i="48"/>
  <c r="G128" i="48"/>
  <c r="G129" i="48"/>
  <c r="G130" i="48"/>
  <c r="G131" i="48"/>
  <c r="G132" i="48"/>
  <c r="G133" i="48"/>
  <c r="G134" i="48"/>
  <c r="G135" i="48"/>
  <c r="G136" i="48"/>
  <c r="G137" i="48"/>
  <c r="G138" i="48"/>
  <c r="G139" i="48"/>
  <c r="G140" i="48"/>
  <c r="G141" i="48"/>
  <c r="G142" i="48"/>
  <c r="G143" i="48"/>
  <c r="G144" i="48"/>
  <c r="G145" i="48"/>
  <c r="G146" i="48"/>
  <c r="G147" i="48"/>
  <c r="G148" i="48"/>
  <c r="G149" i="48"/>
  <c r="L19" i="48"/>
  <c r="L20" i="48"/>
  <c r="L21" i="48"/>
  <c r="L22" i="48"/>
  <c r="L23" i="48"/>
  <c r="L24" i="48"/>
  <c r="L25" i="48"/>
  <c r="L26" i="48"/>
  <c r="L27" i="48"/>
  <c r="L28" i="48"/>
  <c r="L29" i="48"/>
  <c r="L30" i="48"/>
  <c r="L31" i="48"/>
  <c r="L32" i="48"/>
  <c r="L33" i="48"/>
  <c r="L34" i="48"/>
  <c r="L35" i="48"/>
  <c r="L36" i="48"/>
  <c r="L37" i="48"/>
  <c r="L38" i="48"/>
  <c r="L39" i="48"/>
  <c r="L40" i="48"/>
  <c r="L41" i="48"/>
  <c r="L42" i="48"/>
  <c r="L43" i="48"/>
  <c r="L44" i="48"/>
  <c r="L45" i="48"/>
  <c r="L46" i="48"/>
  <c r="L47" i="48"/>
  <c r="L48" i="48"/>
  <c r="L49" i="48"/>
  <c r="L50" i="48"/>
  <c r="L51" i="48"/>
  <c r="L52" i="48"/>
  <c r="L53" i="48"/>
  <c r="L54" i="48"/>
  <c r="L55" i="48"/>
  <c r="L56" i="48"/>
  <c r="L57" i="48"/>
  <c r="L58" i="48"/>
  <c r="L59" i="48"/>
  <c r="L60" i="48"/>
  <c r="L61" i="48"/>
  <c r="L62" i="48"/>
  <c r="L63" i="48"/>
  <c r="L64" i="48"/>
  <c r="L65" i="48"/>
  <c r="L66" i="48"/>
  <c r="L67" i="48"/>
  <c r="E67" i="48"/>
  <c r="L68" i="48"/>
  <c r="L69" i="48"/>
  <c r="L70" i="48"/>
  <c r="L71" i="48"/>
  <c r="L72" i="48"/>
  <c r="L73" i="48"/>
  <c r="L74" i="48"/>
  <c r="L75" i="48"/>
  <c r="L76" i="48"/>
  <c r="L77" i="48"/>
  <c r="L78" i="48"/>
  <c r="L79" i="48"/>
  <c r="L80" i="48"/>
  <c r="L81" i="48"/>
  <c r="L82" i="48"/>
  <c r="L83" i="48"/>
  <c r="L84" i="48"/>
  <c r="L85" i="48"/>
  <c r="L86" i="48"/>
  <c r="L87" i="48"/>
  <c r="L88" i="48"/>
  <c r="L89" i="48"/>
  <c r="L90" i="48"/>
  <c r="L91" i="48"/>
  <c r="L92" i="48"/>
  <c r="L93" i="48"/>
  <c r="L94" i="48"/>
  <c r="L95" i="48"/>
  <c r="L96" i="48"/>
  <c r="L97" i="48"/>
  <c r="L98" i="48"/>
  <c r="L99" i="48"/>
  <c r="L100" i="48"/>
  <c r="L101" i="48"/>
  <c r="L102" i="48"/>
  <c r="L103" i="48"/>
  <c r="L104" i="48"/>
  <c r="L105" i="48"/>
  <c r="L106" i="48"/>
  <c r="L107" i="48"/>
  <c r="L108" i="48"/>
  <c r="L109" i="48"/>
  <c r="L110" i="48"/>
  <c r="L111" i="48"/>
  <c r="L112" i="48"/>
  <c r="L113" i="48"/>
  <c r="L114" i="48"/>
  <c r="L115" i="48"/>
  <c r="L116" i="48"/>
  <c r="L117" i="48"/>
  <c r="L118" i="48"/>
  <c r="L119" i="48"/>
  <c r="L120" i="48"/>
  <c r="L121" i="48"/>
  <c r="L122" i="48"/>
  <c r="L123" i="48"/>
  <c r="L124" i="48"/>
  <c r="L125" i="48"/>
  <c r="L126" i="48"/>
  <c r="L127" i="48"/>
  <c r="L128" i="48"/>
  <c r="L129" i="48"/>
  <c r="L130" i="48"/>
  <c r="L131" i="48"/>
  <c r="L132" i="48"/>
  <c r="L133" i="48"/>
  <c r="L134" i="48"/>
  <c r="L135" i="48"/>
  <c r="L136" i="48"/>
  <c r="L137" i="48"/>
  <c r="L138" i="48"/>
  <c r="L139" i="48"/>
  <c r="L140" i="48"/>
  <c r="L141" i="48"/>
  <c r="L142" i="48"/>
  <c r="L143" i="48"/>
  <c r="L144" i="48"/>
  <c r="L145" i="48"/>
  <c r="L146" i="48"/>
  <c r="L147" i="48"/>
  <c r="L148" i="48"/>
  <c r="L149" i="48"/>
  <c r="M19" i="48"/>
  <c r="M20" i="48"/>
  <c r="M21" i="48"/>
  <c r="M22" i="48"/>
  <c r="M23" i="48"/>
  <c r="M24" i="48"/>
  <c r="M25" i="48"/>
  <c r="M26" i="48"/>
  <c r="M27" i="48"/>
  <c r="M28" i="48"/>
  <c r="M29" i="48"/>
  <c r="M30" i="48"/>
  <c r="M31" i="48"/>
  <c r="M32" i="48"/>
  <c r="M33" i="48"/>
  <c r="M34" i="48"/>
  <c r="M35" i="48"/>
  <c r="M36" i="48"/>
  <c r="M37" i="48"/>
  <c r="M38" i="48"/>
  <c r="M39" i="48"/>
  <c r="M40" i="48"/>
  <c r="M41" i="48"/>
  <c r="M42" i="48"/>
  <c r="M43" i="48"/>
  <c r="M44" i="48"/>
  <c r="M45" i="48"/>
  <c r="M46" i="48"/>
  <c r="M47" i="48"/>
  <c r="M48" i="48"/>
  <c r="M49" i="48"/>
  <c r="M50" i="48"/>
  <c r="M51" i="48"/>
  <c r="M52" i="48"/>
  <c r="M53" i="48"/>
  <c r="M54" i="48"/>
  <c r="M55" i="48"/>
  <c r="M56" i="48"/>
  <c r="M57" i="48"/>
  <c r="M58" i="48"/>
  <c r="M59" i="48"/>
  <c r="M60" i="48"/>
  <c r="M61" i="48"/>
  <c r="M62" i="48"/>
  <c r="M63" i="48"/>
  <c r="M64" i="48"/>
  <c r="M65" i="48"/>
  <c r="M66" i="48"/>
  <c r="M67" i="48"/>
  <c r="M68" i="48"/>
  <c r="M69" i="48"/>
  <c r="M70" i="48"/>
  <c r="M71" i="48"/>
  <c r="M72" i="48"/>
  <c r="M73" i="48"/>
  <c r="M74" i="48"/>
  <c r="M75" i="48"/>
  <c r="M76" i="48"/>
  <c r="M77" i="48"/>
  <c r="M78" i="48"/>
  <c r="M79" i="48"/>
  <c r="M80" i="48"/>
  <c r="M81" i="48"/>
  <c r="M82" i="48"/>
  <c r="M83" i="48"/>
  <c r="M84" i="48"/>
  <c r="M85" i="48"/>
  <c r="M86" i="48"/>
  <c r="M87" i="48"/>
  <c r="M88" i="48"/>
  <c r="M89" i="48"/>
  <c r="M90" i="48"/>
  <c r="M91" i="48"/>
  <c r="M92" i="48"/>
  <c r="M93" i="48"/>
  <c r="M94" i="48"/>
  <c r="M95" i="48"/>
  <c r="M96" i="48"/>
  <c r="M97" i="48"/>
  <c r="M98" i="48"/>
  <c r="M99" i="48"/>
  <c r="M100" i="48"/>
  <c r="M101" i="48"/>
  <c r="M102" i="48"/>
  <c r="M103" i="48"/>
  <c r="M104" i="48"/>
  <c r="M105" i="48"/>
  <c r="M106" i="48"/>
  <c r="M107" i="48"/>
  <c r="M108" i="48"/>
  <c r="M109" i="48"/>
  <c r="M110" i="48"/>
  <c r="M111" i="48"/>
  <c r="M112" i="48"/>
  <c r="M113" i="48"/>
  <c r="M114" i="48"/>
  <c r="M115" i="48"/>
  <c r="M116" i="48"/>
  <c r="M117" i="48"/>
  <c r="M118" i="48"/>
  <c r="M119" i="48"/>
  <c r="M120" i="48"/>
  <c r="M121" i="48"/>
  <c r="M122" i="48"/>
  <c r="M123" i="48"/>
  <c r="M124" i="48"/>
  <c r="M125" i="48"/>
  <c r="M126" i="48"/>
  <c r="M127" i="48"/>
  <c r="M128" i="48"/>
  <c r="M129" i="48"/>
  <c r="M130" i="48"/>
  <c r="M131" i="48"/>
  <c r="M132" i="48"/>
  <c r="M133" i="48"/>
  <c r="M134" i="48"/>
  <c r="M135" i="48"/>
  <c r="M136" i="48"/>
  <c r="M137" i="48"/>
  <c r="M138" i="48"/>
  <c r="M139" i="48"/>
  <c r="M140" i="48"/>
  <c r="M141" i="48"/>
  <c r="M142" i="48"/>
  <c r="M143" i="48"/>
  <c r="M144" i="48"/>
  <c r="M145" i="48"/>
  <c r="M146" i="48"/>
  <c r="M147" i="48"/>
  <c r="M148" i="48"/>
  <c r="M149" i="48"/>
  <c r="N19" i="48"/>
  <c r="N20" i="48"/>
  <c r="N21" i="48"/>
  <c r="N22" i="48"/>
  <c r="N23" i="48"/>
  <c r="N24" i="48"/>
  <c r="N25" i="48"/>
  <c r="N26" i="48"/>
  <c r="N27" i="48"/>
  <c r="N28" i="48"/>
  <c r="N29" i="48"/>
  <c r="N30" i="48"/>
  <c r="N31" i="48"/>
  <c r="N32" i="48"/>
  <c r="N33" i="48"/>
  <c r="N34" i="48"/>
  <c r="N35" i="48"/>
  <c r="N36" i="48"/>
  <c r="N37" i="48"/>
  <c r="N38" i="48"/>
  <c r="N39" i="48"/>
  <c r="N40" i="48"/>
  <c r="N41" i="48"/>
  <c r="N42" i="48"/>
  <c r="N43" i="48"/>
  <c r="N44" i="48"/>
  <c r="N45" i="48"/>
  <c r="N46" i="48"/>
  <c r="N47" i="48"/>
  <c r="N48" i="48"/>
  <c r="N49" i="48"/>
  <c r="N50" i="48"/>
  <c r="N51" i="48"/>
  <c r="N52" i="48"/>
  <c r="N53" i="48"/>
  <c r="N54" i="48"/>
  <c r="N55" i="48"/>
  <c r="N56" i="48"/>
  <c r="N57" i="48"/>
  <c r="N58" i="48"/>
  <c r="N59" i="48"/>
  <c r="N60" i="48"/>
  <c r="N61" i="48"/>
  <c r="N62" i="48"/>
  <c r="N63" i="48"/>
  <c r="N64" i="48"/>
  <c r="N65" i="48"/>
  <c r="N66" i="48"/>
  <c r="N67" i="48"/>
  <c r="N68" i="48"/>
  <c r="N69" i="48"/>
  <c r="N70" i="48"/>
  <c r="N71" i="48"/>
  <c r="N72" i="48"/>
  <c r="N73" i="48"/>
  <c r="N74" i="48"/>
  <c r="N75" i="48"/>
  <c r="N76" i="48"/>
  <c r="N77" i="48"/>
  <c r="N78" i="48"/>
  <c r="N79" i="48"/>
  <c r="N80" i="48"/>
  <c r="N81" i="48"/>
  <c r="N82" i="48"/>
  <c r="N83" i="48"/>
  <c r="N84" i="48"/>
  <c r="N85" i="48"/>
  <c r="N86" i="48"/>
  <c r="N87" i="48"/>
  <c r="N88" i="48"/>
  <c r="N89" i="48"/>
  <c r="N90" i="48"/>
  <c r="N91" i="48"/>
  <c r="N92" i="48"/>
  <c r="N93" i="48"/>
  <c r="N94" i="48"/>
  <c r="N95" i="48"/>
  <c r="N96" i="48"/>
  <c r="N97" i="48"/>
  <c r="N98" i="48"/>
  <c r="N99" i="48"/>
  <c r="N100" i="48"/>
  <c r="N101" i="48"/>
  <c r="N102" i="48"/>
  <c r="N103" i="48"/>
  <c r="N104" i="48"/>
  <c r="N105" i="48"/>
  <c r="N106" i="48"/>
  <c r="N107" i="48"/>
  <c r="N108" i="48"/>
  <c r="N109" i="48"/>
  <c r="N110" i="48"/>
  <c r="N111" i="48"/>
  <c r="N112" i="48"/>
  <c r="N113" i="48"/>
  <c r="N114" i="48"/>
  <c r="N115" i="48"/>
  <c r="N116" i="48"/>
  <c r="N117" i="48"/>
  <c r="N118" i="48"/>
  <c r="N119" i="48"/>
  <c r="N120" i="48"/>
  <c r="N121" i="48"/>
  <c r="N122" i="48"/>
  <c r="N123" i="48"/>
  <c r="N124" i="48"/>
  <c r="N125" i="48"/>
  <c r="N126" i="48"/>
  <c r="N127" i="48"/>
  <c r="N128" i="48"/>
  <c r="N129" i="48"/>
  <c r="N130" i="48"/>
  <c r="N131" i="48"/>
  <c r="N132" i="48"/>
  <c r="N133" i="48"/>
  <c r="N134" i="48"/>
  <c r="N135" i="48"/>
  <c r="N136" i="48"/>
  <c r="N137" i="48"/>
  <c r="N138" i="48"/>
  <c r="N139" i="48"/>
  <c r="N140" i="48"/>
  <c r="N141" i="48"/>
  <c r="N142" i="48"/>
  <c r="N143" i="48"/>
  <c r="N144" i="48"/>
  <c r="N145" i="48"/>
  <c r="N146" i="48"/>
  <c r="N147" i="48"/>
  <c r="N148" i="48"/>
  <c r="N149" i="48"/>
  <c r="O20" i="48"/>
  <c r="O21" i="48"/>
  <c r="O22" i="48"/>
  <c r="O23" i="48"/>
  <c r="O24" i="48"/>
  <c r="O25" i="48"/>
  <c r="O26" i="48"/>
  <c r="O27" i="48"/>
  <c r="O28" i="48"/>
  <c r="O29" i="48"/>
  <c r="O30" i="48"/>
  <c r="O31" i="48"/>
  <c r="O32" i="48"/>
  <c r="O33" i="48"/>
  <c r="O34" i="48"/>
  <c r="O35" i="48"/>
  <c r="O36" i="48"/>
  <c r="O37" i="48"/>
  <c r="O38" i="48"/>
  <c r="O39" i="48"/>
  <c r="O40" i="48"/>
  <c r="O41" i="48"/>
  <c r="O42" i="48"/>
  <c r="O43" i="48"/>
  <c r="O44" i="48"/>
  <c r="O45" i="48"/>
  <c r="O46" i="48"/>
  <c r="O47" i="48"/>
  <c r="O48" i="48"/>
  <c r="O49" i="48"/>
  <c r="O50" i="48"/>
  <c r="O51" i="48"/>
  <c r="O52" i="48"/>
  <c r="O53" i="48"/>
  <c r="O54" i="48"/>
  <c r="O55" i="48"/>
  <c r="O56" i="48"/>
  <c r="O57" i="48"/>
  <c r="O58" i="48"/>
  <c r="O59" i="48"/>
  <c r="O60" i="48"/>
  <c r="O61" i="48"/>
  <c r="O62" i="48"/>
  <c r="O63" i="48"/>
  <c r="O64" i="48"/>
  <c r="O65" i="48"/>
  <c r="O66" i="48"/>
  <c r="O67" i="48"/>
  <c r="O68" i="48"/>
  <c r="O69" i="48"/>
  <c r="O70" i="48"/>
  <c r="O71" i="48"/>
  <c r="O72" i="48"/>
  <c r="O73" i="48"/>
  <c r="O74" i="48"/>
  <c r="O75" i="48"/>
  <c r="O76" i="48"/>
  <c r="O77" i="48"/>
  <c r="O78" i="48"/>
  <c r="O79" i="48"/>
  <c r="O80" i="48"/>
  <c r="O81" i="48"/>
  <c r="O82" i="48"/>
  <c r="O83" i="48"/>
  <c r="O84" i="48"/>
  <c r="O85" i="48"/>
  <c r="O86" i="48"/>
  <c r="O87" i="48"/>
  <c r="O88" i="48"/>
  <c r="O89" i="48"/>
  <c r="O90" i="48"/>
  <c r="O91" i="48"/>
  <c r="O92" i="48"/>
  <c r="O93" i="48"/>
  <c r="O94" i="48"/>
  <c r="O95" i="48"/>
  <c r="O96" i="48"/>
  <c r="O97" i="48"/>
  <c r="O98" i="48"/>
  <c r="O99" i="48"/>
  <c r="O100" i="48"/>
  <c r="O101" i="48"/>
  <c r="O102" i="48"/>
  <c r="O103" i="48"/>
  <c r="O104" i="48"/>
  <c r="O105" i="48"/>
  <c r="O106" i="48"/>
  <c r="O107" i="48"/>
  <c r="O108" i="48"/>
  <c r="O109" i="48"/>
  <c r="O110" i="48"/>
  <c r="O111" i="48"/>
  <c r="O112" i="48"/>
  <c r="O113" i="48"/>
  <c r="O114" i="48"/>
  <c r="O115" i="48"/>
  <c r="O116" i="48"/>
  <c r="O117" i="48"/>
  <c r="O118" i="48"/>
  <c r="O119" i="48"/>
  <c r="O120" i="48"/>
  <c r="O121" i="48"/>
  <c r="O122" i="48"/>
  <c r="O123" i="48"/>
  <c r="O124" i="48"/>
  <c r="O125" i="48"/>
  <c r="O126" i="48"/>
  <c r="O127" i="48"/>
  <c r="O128" i="48"/>
  <c r="O129" i="48"/>
  <c r="O130" i="48"/>
  <c r="O131" i="48"/>
  <c r="O132" i="48"/>
  <c r="O133" i="48"/>
  <c r="O134" i="48"/>
  <c r="O135" i="48"/>
  <c r="O136" i="48"/>
  <c r="O137" i="48"/>
  <c r="O138" i="48"/>
  <c r="O139" i="48"/>
  <c r="O140" i="48"/>
  <c r="O141" i="48"/>
  <c r="O142" i="48"/>
  <c r="O143" i="48"/>
  <c r="O144" i="48"/>
  <c r="O145" i="48"/>
  <c r="O146" i="48"/>
  <c r="O147" i="48"/>
  <c r="O148" i="48"/>
  <c r="O149" i="48"/>
  <c r="P19" i="48"/>
  <c r="P20" i="48"/>
  <c r="P21" i="48"/>
  <c r="P22" i="48"/>
  <c r="P23" i="48"/>
  <c r="P24" i="48"/>
  <c r="Q24" i="48"/>
  <c r="D24" i="48"/>
  <c r="P25" i="48"/>
  <c r="P26" i="48"/>
  <c r="P27" i="48"/>
  <c r="P28" i="48"/>
  <c r="P29" i="48"/>
  <c r="P30" i="48"/>
  <c r="P31" i="48"/>
  <c r="P32" i="48"/>
  <c r="P33" i="48"/>
  <c r="P34" i="48"/>
  <c r="P35" i="48"/>
  <c r="P36" i="48"/>
  <c r="P37" i="48"/>
  <c r="P38" i="48"/>
  <c r="P39" i="48"/>
  <c r="P40" i="48"/>
  <c r="P41" i="48"/>
  <c r="P42" i="48"/>
  <c r="P43" i="48"/>
  <c r="P44" i="48"/>
  <c r="P45" i="48"/>
  <c r="P46" i="48"/>
  <c r="Q46" i="48"/>
  <c r="D46" i="48"/>
  <c r="P47" i="48"/>
  <c r="P48" i="48"/>
  <c r="P49" i="48"/>
  <c r="P50" i="48"/>
  <c r="P51" i="48"/>
  <c r="P52" i="48"/>
  <c r="P53" i="48"/>
  <c r="P54" i="48"/>
  <c r="P55" i="48"/>
  <c r="P56" i="48"/>
  <c r="P57" i="48"/>
  <c r="P58" i="48"/>
  <c r="P59" i="48"/>
  <c r="P60" i="48"/>
  <c r="P61" i="48"/>
  <c r="P62" i="48"/>
  <c r="P63" i="48"/>
  <c r="P64" i="48"/>
  <c r="P65" i="48"/>
  <c r="P66" i="48"/>
  <c r="P67" i="48"/>
  <c r="P68" i="48"/>
  <c r="P69" i="48"/>
  <c r="P70" i="48"/>
  <c r="P71" i="48"/>
  <c r="P72" i="48"/>
  <c r="P73" i="48"/>
  <c r="P74" i="48"/>
  <c r="P75" i="48"/>
  <c r="P76" i="48"/>
  <c r="P77" i="48"/>
  <c r="P78" i="48"/>
  <c r="P79" i="48"/>
  <c r="P80" i="48"/>
  <c r="P81" i="48"/>
  <c r="P82" i="48"/>
  <c r="P83" i="48"/>
  <c r="P84" i="48"/>
  <c r="P85" i="48"/>
  <c r="P86" i="48"/>
  <c r="P87" i="48"/>
  <c r="P88" i="48"/>
  <c r="P89" i="48"/>
  <c r="P90" i="48"/>
  <c r="P91" i="48"/>
  <c r="P92" i="48"/>
  <c r="P93" i="48"/>
  <c r="P94" i="48"/>
  <c r="P95" i="48"/>
  <c r="P96" i="48"/>
  <c r="P97" i="48"/>
  <c r="P98" i="48"/>
  <c r="P99" i="48"/>
  <c r="P100" i="48"/>
  <c r="P101" i="48"/>
  <c r="P102" i="48"/>
  <c r="P103" i="48"/>
  <c r="P104" i="48"/>
  <c r="P105" i="48"/>
  <c r="P106" i="48"/>
  <c r="P107" i="48"/>
  <c r="P108" i="48"/>
  <c r="P109" i="48"/>
  <c r="P110" i="48"/>
  <c r="P111" i="48"/>
  <c r="P112" i="48"/>
  <c r="P113" i="48"/>
  <c r="P114" i="48"/>
  <c r="P115" i="48"/>
  <c r="P116" i="48"/>
  <c r="P117" i="48"/>
  <c r="P118" i="48"/>
  <c r="P119" i="48"/>
  <c r="P120" i="48"/>
  <c r="P121" i="48"/>
  <c r="P122" i="48"/>
  <c r="P123" i="48"/>
  <c r="P124" i="48"/>
  <c r="P125" i="48"/>
  <c r="P126" i="48"/>
  <c r="P127" i="48"/>
  <c r="P128" i="48"/>
  <c r="P129" i="48"/>
  <c r="P130" i="48"/>
  <c r="P131" i="48"/>
  <c r="P132" i="48"/>
  <c r="P133" i="48"/>
  <c r="P134" i="48"/>
  <c r="P135" i="48"/>
  <c r="P136" i="48"/>
  <c r="P137" i="48"/>
  <c r="P138" i="48"/>
  <c r="P139" i="48"/>
  <c r="P140" i="48"/>
  <c r="P141" i="48"/>
  <c r="P142" i="48"/>
  <c r="P143" i="48"/>
  <c r="P144" i="48"/>
  <c r="P145" i="48"/>
  <c r="P146" i="48"/>
  <c r="P147" i="48"/>
  <c r="P148" i="48"/>
  <c r="P149" i="48"/>
  <c r="Q101" i="48"/>
  <c r="D101" i="48"/>
  <c r="Q144" i="48"/>
  <c r="D144" i="48"/>
  <c r="Q19" i="48"/>
  <c r="Q20" i="48"/>
  <c r="Q21" i="48"/>
  <c r="Q22" i="48"/>
  <c r="Q23" i="48"/>
  <c r="Q25" i="48"/>
  <c r="Q26" i="48"/>
  <c r="Q27" i="48"/>
  <c r="Q28" i="48"/>
  <c r="Q29" i="48"/>
  <c r="Q30" i="48"/>
  <c r="Q31" i="48"/>
  <c r="Q32" i="48"/>
  <c r="Q33" i="48"/>
  <c r="Q34" i="48"/>
  <c r="Q35" i="48"/>
  <c r="Q36" i="48"/>
  <c r="Q37" i="48"/>
  <c r="Q38" i="48"/>
  <c r="Q39" i="48"/>
  <c r="Q40" i="48"/>
  <c r="Q41" i="48"/>
  <c r="Q42" i="48"/>
  <c r="Q43" i="48"/>
  <c r="Q44" i="48"/>
  <c r="Q45" i="48"/>
  <c r="Q47" i="48"/>
  <c r="Q48" i="48"/>
  <c r="Q49" i="48"/>
  <c r="Q50" i="48"/>
  <c r="Q51" i="48"/>
  <c r="Q52" i="48"/>
  <c r="Q53" i="48"/>
  <c r="Q54" i="48"/>
  <c r="Q55" i="48"/>
  <c r="Q56" i="48"/>
  <c r="Q57" i="48"/>
  <c r="Q58" i="48"/>
  <c r="Q59" i="48"/>
  <c r="Q60" i="48"/>
  <c r="Q61" i="48"/>
  <c r="Q62" i="48"/>
  <c r="Q63" i="48"/>
  <c r="Q64" i="48"/>
  <c r="Q65" i="48"/>
  <c r="Q66" i="48"/>
  <c r="Q67" i="48"/>
  <c r="Q68" i="48"/>
  <c r="Q69" i="48"/>
  <c r="Q70" i="48"/>
  <c r="Q71" i="48"/>
  <c r="Q72" i="48"/>
  <c r="Q73" i="48"/>
  <c r="Q74" i="48"/>
  <c r="Q75" i="48"/>
  <c r="Q76" i="48"/>
  <c r="Q77" i="48"/>
  <c r="Q78" i="48"/>
  <c r="Q79" i="48"/>
  <c r="Q80" i="48"/>
  <c r="Q81" i="48"/>
  <c r="Q82" i="48"/>
  <c r="Q83" i="48"/>
  <c r="Q84" i="48"/>
  <c r="Q85" i="48"/>
  <c r="Q86" i="48"/>
  <c r="Q87" i="48"/>
  <c r="Q88" i="48"/>
  <c r="Q89" i="48"/>
  <c r="Q90" i="48"/>
  <c r="Q91" i="48"/>
  <c r="Q92" i="48"/>
  <c r="Q93" i="48"/>
  <c r="Q94" i="48"/>
  <c r="Q95" i="48"/>
  <c r="Q96" i="48"/>
  <c r="Q97" i="48"/>
  <c r="Q98" i="48"/>
  <c r="Q99" i="48"/>
  <c r="Q100" i="48"/>
  <c r="Q102" i="48"/>
  <c r="Q103" i="48"/>
  <c r="Q104" i="48"/>
  <c r="Q105" i="48"/>
  <c r="Q106" i="48"/>
  <c r="Q107" i="48"/>
  <c r="Q108" i="48"/>
  <c r="Q109" i="48"/>
  <c r="Q110" i="48"/>
  <c r="Q111" i="48"/>
  <c r="Q112" i="48"/>
  <c r="Q113" i="48"/>
  <c r="Q114" i="48"/>
  <c r="Q115" i="48"/>
  <c r="Q116" i="48"/>
  <c r="Q117" i="48"/>
  <c r="Q118" i="48"/>
  <c r="Q119" i="48"/>
  <c r="Q120" i="48"/>
  <c r="Q121" i="48"/>
  <c r="Q122" i="48"/>
  <c r="Q123" i="48"/>
  <c r="Q124" i="48"/>
  <c r="Q125" i="48"/>
  <c r="Q126" i="48"/>
  <c r="Q127" i="48"/>
  <c r="Q128" i="48"/>
  <c r="Q129" i="48"/>
  <c r="Q130" i="48"/>
  <c r="Q131" i="48"/>
  <c r="Q132" i="48"/>
  <c r="Q133" i="48"/>
  <c r="Q134" i="48"/>
  <c r="Q135" i="48"/>
  <c r="Q136" i="48"/>
  <c r="Q137" i="48"/>
  <c r="Q138" i="48"/>
  <c r="Q139" i="48"/>
  <c r="Q140" i="48"/>
  <c r="Q141" i="48"/>
  <c r="Q142" i="48"/>
  <c r="Q143" i="48"/>
  <c r="Q145" i="48"/>
  <c r="Q146" i="48"/>
  <c r="Q147" i="48"/>
  <c r="Q148" i="48"/>
  <c r="Q149" i="48"/>
  <c r="R19" i="48"/>
  <c r="R20" i="48"/>
  <c r="R21" i="48"/>
  <c r="R22" i="48"/>
  <c r="R23" i="48"/>
  <c r="R24" i="48"/>
  <c r="R25" i="48"/>
  <c r="R26" i="48"/>
  <c r="R27" i="48"/>
  <c r="R28" i="48"/>
  <c r="R29" i="48"/>
  <c r="R30" i="48"/>
  <c r="R31" i="48"/>
  <c r="R32" i="48"/>
  <c r="R33" i="48"/>
  <c r="R34" i="48"/>
  <c r="R35" i="48"/>
  <c r="R36" i="48"/>
  <c r="R37" i="48"/>
  <c r="R38" i="48"/>
  <c r="R39" i="48"/>
  <c r="R40" i="48"/>
  <c r="R41" i="48"/>
  <c r="R42" i="48"/>
  <c r="R43" i="48"/>
  <c r="R44" i="48"/>
  <c r="R45" i="48"/>
  <c r="R46" i="48"/>
  <c r="R47" i="48"/>
  <c r="R48" i="48"/>
  <c r="R49" i="48"/>
  <c r="R50" i="48"/>
  <c r="R51" i="48"/>
  <c r="R52" i="48"/>
  <c r="R53" i="48"/>
  <c r="R54" i="48"/>
  <c r="R55" i="48"/>
  <c r="R56" i="48"/>
  <c r="R57" i="48"/>
  <c r="R58" i="48"/>
  <c r="R59" i="48"/>
  <c r="R60" i="48"/>
  <c r="R61" i="48"/>
  <c r="R62" i="48"/>
  <c r="R63" i="48"/>
  <c r="R64" i="48"/>
  <c r="R65" i="48"/>
  <c r="R66" i="48"/>
  <c r="R67" i="48"/>
  <c r="R68" i="48"/>
  <c r="R69" i="48"/>
  <c r="R70" i="48"/>
  <c r="R71" i="48"/>
  <c r="R72" i="48"/>
  <c r="R73" i="48"/>
  <c r="R74" i="48"/>
  <c r="R75" i="48"/>
  <c r="R76" i="48"/>
  <c r="R77" i="48"/>
  <c r="R78" i="48"/>
  <c r="R79" i="48"/>
  <c r="R80" i="48"/>
  <c r="R81" i="48"/>
  <c r="R82" i="48"/>
  <c r="R83" i="48"/>
  <c r="R84" i="48"/>
  <c r="R85" i="48"/>
  <c r="R86" i="48"/>
  <c r="R87" i="48"/>
  <c r="R88" i="48"/>
  <c r="R89" i="48"/>
  <c r="R90" i="48"/>
  <c r="R91" i="48"/>
  <c r="R92" i="48"/>
  <c r="R93" i="48"/>
  <c r="R94" i="48"/>
  <c r="R95" i="48"/>
  <c r="R96" i="48"/>
  <c r="R97" i="48"/>
  <c r="R98" i="48"/>
  <c r="R99" i="48"/>
  <c r="R100" i="48"/>
  <c r="R101" i="48"/>
  <c r="R102" i="48"/>
  <c r="R103" i="48"/>
  <c r="R104" i="48"/>
  <c r="R105" i="48"/>
  <c r="R106" i="48"/>
  <c r="R107" i="48"/>
  <c r="R108" i="48"/>
  <c r="R109" i="48"/>
  <c r="R110" i="48"/>
  <c r="R111" i="48"/>
  <c r="R112" i="48"/>
  <c r="R113" i="48"/>
  <c r="R114" i="48"/>
  <c r="R115" i="48"/>
  <c r="R116" i="48"/>
  <c r="R117" i="48"/>
  <c r="R118" i="48"/>
  <c r="R119" i="48"/>
  <c r="R120" i="48"/>
  <c r="R121" i="48"/>
  <c r="R122" i="48"/>
  <c r="R123" i="48"/>
  <c r="R124" i="48"/>
  <c r="R125" i="48"/>
  <c r="R126" i="48"/>
  <c r="R127" i="48"/>
  <c r="R128" i="48"/>
  <c r="R129" i="48"/>
  <c r="R130" i="48"/>
  <c r="R131" i="48"/>
  <c r="R132" i="48"/>
  <c r="R133" i="48"/>
  <c r="R134" i="48"/>
  <c r="R135" i="48"/>
  <c r="R136" i="48"/>
  <c r="R137" i="48"/>
  <c r="R138" i="48"/>
  <c r="R139" i="48"/>
  <c r="R140" i="48"/>
  <c r="R141" i="48"/>
  <c r="R142" i="48"/>
  <c r="R143" i="48"/>
  <c r="R144" i="48"/>
  <c r="R145" i="48"/>
  <c r="R146" i="48"/>
  <c r="R147" i="48"/>
  <c r="R148" i="48"/>
  <c r="R149" i="48"/>
  <c r="S19" i="48"/>
  <c r="S20" i="48"/>
  <c r="S21" i="48"/>
  <c r="S22" i="48"/>
  <c r="S23" i="48"/>
  <c r="S24" i="48"/>
  <c r="S25" i="48"/>
  <c r="S26" i="48"/>
  <c r="S27" i="48"/>
  <c r="S28" i="48"/>
  <c r="S29" i="48"/>
  <c r="S30" i="48"/>
  <c r="S31" i="48"/>
  <c r="S32" i="48"/>
  <c r="S33" i="48"/>
  <c r="S34" i="48"/>
  <c r="S35" i="48"/>
  <c r="S36" i="48"/>
  <c r="S37" i="48"/>
  <c r="S38" i="48"/>
  <c r="S39" i="48"/>
  <c r="S40" i="48"/>
  <c r="S41" i="48"/>
  <c r="S42" i="48"/>
  <c r="S43" i="48"/>
  <c r="S44" i="48"/>
  <c r="S45" i="48"/>
  <c r="S46" i="48"/>
  <c r="S47" i="48"/>
  <c r="S48" i="48"/>
  <c r="S49" i="48"/>
  <c r="S50" i="48"/>
  <c r="S51" i="48"/>
  <c r="S52" i="48"/>
  <c r="S53" i="48"/>
  <c r="S54" i="48"/>
  <c r="S55" i="48"/>
  <c r="S56" i="48"/>
  <c r="S57" i="48"/>
  <c r="S58" i="48"/>
  <c r="S59" i="48"/>
  <c r="S60" i="48"/>
  <c r="S61" i="48"/>
  <c r="S62" i="48"/>
  <c r="S63" i="48"/>
  <c r="S64" i="48"/>
  <c r="S65" i="48"/>
  <c r="S66" i="48"/>
  <c r="S67" i="48"/>
  <c r="S68" i="48"/>
  <c r="S69" i="48"/>
  <c r="S70" i="48"/>
  <c r="S71" i="48"/>
  <c r="S72" i="48"/>
  <c r="S73" i="48"/>
  <c r="S74" i="48"/>
  <c r="S75" i="48"/>
  <c r="S76" i="48"/>
  <c r="S77" i="48"/>
  <c r="S78" i="48"/>
  <c r="S79" i="48"/>
  <c r="S80" i="48"/>
  <c r="S81" i="48"/>
  <c r="S82" i="48"/>
  <c r="S83" i="48"/>
  <c r="S84" i="48"/>
  <c r="S85" i="48"/>
  <c r="S86" i="48"/>
  <c r="S87" i="48"/>
  <c r="S88" i="48"/>
  <c r="S89" i="48"/>
  <c r="S90" i="48"/>
  <c r="S91" i="48"/>
  <c r="S92" i="48"/>
  <c r="S93" i="48"/>
  <c r="S94" i="48"/>
  <c r="S95" i="48"/>
  <c r="S96" i="48"/>
  <c r="S97" i="48"/>
  <c r="S98" i="48"/>
  <c r="S99" i="48"/>
  <c r="S100" i="48"/>
  <c r="S101" i="48"/>
  <c r="S102" i="48"/>
  <c r="S103" i="48"/>
  <c r="S104" i="48"/>
  <c r="S105" i="48"/>
  <c r="S106" i="48"/>
  <c r="S107" i="48"/>
  <c r="S108" i="48"/>
  <c r="S109" i="48"/>
  <c r="S110" i="48"/>
  <c r="S111" i="48"/>
  <c r="S112" i="48"/>
  <c r="S113" i="48"/>
  <c r="S114" i="48"/>
  <c r="S115" i="48"/>
  <c r="S116" i="48"/>
  <c r="S117" i="48"/>
  <c r="S118" i="48"/>
  <c r="S119" i="48"/>
  <c r="S120" i="48"/>
  <c r="S121" i="48"/>
  <c r="S122" i="48"/>
  <c r="S123" i="48"/>
  <c r="S124" i="48"/>
  <c r="S125" i="48"/>
  <c r="S126" i="48"/>
  <c r="S127" i="48"/>
  <c r="S128" i="48"/>
  <c r="S129" i="48"/>
  <c r="S130" i="48"/>
  <c r="S131" i="48"/>
  <c r="S132" i="48"/>
  <c r="S133" i="48"/>
  <c r="S134" i="48"/>
  <c r="S135" i="48"/>
  <c r="S136" i="48"/>
  <c r="S137" i="48"/>
  <c r="S138" i="48"/>
  <c r="S139" i="48"/>
  <c r="S140" i="48"/>
  <c r="S141" i="48"/>
  <c r="S142" i="48"/>
  <c r="S143" i="48"/>
  <c r="S144" i="48"/>
  <c r="S145" i="48"/>
  <c r="S146" i="48"/>
  <c r="S147" i="48"/>
  <c r="S148" i="48"/>
  <c r="S149" i="48"/>
  <c r="T19" i="48"/>
  <c r="T20" i="48"/>
  <c r="T21" i="48"/>
  <c r="T22" i="48"/>
  <c r="T23" i="48"/>
  <c r="T24" i="48"/>
  <c r="T25" i="48"/>
  <c r="T26" i="48"/>
  <c r="T27" i="48"/>
  <c r="T28" i="48"/>
  <c r="T29" i="48"/>
  <c r="T30" i="48"/>
  <c r="T31" i="48"/>
  <c r="T32" i="48"/>
  <c r="T33" i="48"/>
  <c r="T34" i="48"/>
  <c r="T35" i="48"/>
  <c r="T36" i="48"/>
  <c r="T37" i="48"/>
  <c r="T38" i="48"/>
  <c r="T39" i="48"/>
  <c r="T40" i="48"/>
  <c r="T41" i="48"/>
  <c r="T42" i="48"/>
  <c r="T43" i="48"/>
  <c r="T44" i="48"/>
  <c r="T45" i="48"/>
  <c r="T46" i="48"/>
  <c r="T47" i="48"/>
  <c r="T48" i="48"/>
  <c r="T49" i="48"/>
  <c r="T50" i="48"/>
  <c r="T51" i="48"/>
  <c r="T52" i="48"/>
  <c r="T53" i="48"/>
  <c r="T54" i="48"/>
  <c r="T55" i="48"/>
  <c r="T56" i="48"/>
  <c r="T57" i="48"/>
  <c r="T58" i="48"/>
  <c r="T59" i="48"/>
  <c r="T60" i="48"/>
  <c r="T61" i="48"/>
  <c r="T62" i="48"/>
  <c r="T63" i="48"/>
  <c r="T64" i="48"/>
  <c r="T65" i="48"/>
  <c r="T66" i="48"/>
  <c r="T67" i="48"/>
  <c r="T68" i="48"/>
  <c r="T69" i="48"/>
  <c r="T70" i="48"/>
  <c r="T71" i="48"/>
  <c r="T72" i="48"/>
  <c r="T73" i="48"/>
  <c r="T74" i="48"/>
  <c r="T75" i="48"/>
  <c r="T76" i="48"/>
  <c r="T77" i="48"/>
  <c r="T78" i="48"/>
  <c r="T79" i="48"/>
  <c r="T80" i="48"/>
  <c r="T81" i="48"/>
  <c r="T82" i="48"/>
  <c r="T83" i="48"/>
  <c r="T84" i="48"/>
  <c r="T85" i="48"/>
  <c r="T86" i="48"/>
  <c r="T87" i="48"/>
  <c r="T88" i="48"/>
  <c r="T89" i="48"/>
  <c r="T90" i="48"/>
  <c r="T91" i="48"/>
  <c r="T92" i="48"/>
  <c r="T93" i="48"/>
  <c r="T94" i="48"/>
  <c r="T95" i="48"/>
  <c r="T96" i="48"/>
  <c r="T97" i="48"/>
  <c r="T98" i="48"/>
  <c r="T99" i="48"/>
  <c r="T100" i="48"/>
  <c r="T101" i="48"/>
  <c r="T102" i="48"/>
  <c r="T103" i="48"/>
  <c r="T104" i="48"/>
  <c r="T105" i="48"/>
  <c r="T106" i="48"/>
  <c r="T107" i="48"/>
  <c r="T108" i="48"/>
  <c r="T109" i="48"/>
  <c r="T110" i="48"/>
  <c r="T111" i="48"/>
  <c r="T112" i="48"/>
  <c r="T113" i="48"/>
  <c r="T114" i="48"/>
  <c r="T115" i="48"/>
  <c r="T116" i="48"/>
  <c r="T117" i="48"/>
  <c r="T118" i="48"/>
  <c r="T119" i="48"/>
  <c r="T120" i="48"/>
  <c r="T121" i="48"/>
  <c r="T122" i="48"/>
  <c r="T123" i="48"/>
  <c r="T124" i="48"/>
  <c r="T125" i="48"/>
  <c r="T126" i="48"/>
  <c r="T127" i="48"/>
  <c r="T128" i="48"/>
  <c r="T129" i="48"/>
  <c r="T130" i="48"/>
  <c r="T131" i="48"/>
  <c r="T132" i="48"/>
  <c r="T133" i="48"/>
  <c r="T134" i="48"/>
  <c r="T135" i="48"/>
  <c r="T136" i="48"/>
  <c r="T137" i="48"/>
  <c r="T138" i="48"/>
  <c r="T139" i="48"/>
  <c r="T140" i="48"/>
  <c r="T141" i="48"/>
  <c r="T142" i="48"/>
  <c r="T143" i="48"/>
  <c r="T144" i="48"/>
  <c r="T145" i="48"/>
  <c r="T146" i="48"/>
  <c r="T147" i="48"/>
  <c r="T148" i="48"/>
  <c r="T149" i="48"/>
  <c r="U19" i="48"/>
  <c r="U20" i="48"/>
  <c r="U21" i="48"/>
  <c r="U22" i="48"/>
  <c r="U23" i="48"/>
  <c r="U24" i="48"/>
  <c r="U25" i="48"/>
  <c r="U26" i="48"/>
  <c r="U27" i="48"/>
  <c r="U28" i="48"/>
  <c r="U29" i="48"/>
  <c r="U30" i="48"/>
  <c r="U31" i="48"/>
  <c r="U32" i="48"/>
  <c r="U33" i="48"/>
  <c r="U34" i="48"/>
  <c r="U35" i="48"/>
  <c r="U36" i="48"/>
  <c r="U37" i="48"/>
  <c r="U38" i="48"/>
  <c r="U39" i="48"/>
  <c r="U40" i="48"/>
  <c r="U41" i="48"/>
  <c r="U42" i="48"/>
  <c r="U43" i="48"/>
  <c r="U44" i="48"/>
  <c r="U45" i="48"/>
  <c r="U46" i="48"/>
  <c r="U47" i="48"/>
  <c r="U48" i="48"/>
  <c r="U49" i="48"/>
  <c r="U50" i="48"/>
  <c r="U51" i="48"/>
  <c r="U52" i="48"/>
  <c r="U53" i="48"/>
  <c r="U54" i="48"/>
  <c r="U55" i="48"/>
  <c r="U56" i="48"/>
  <c r="U57" i="48"/>
  <c r="U58" i="48"/>
  <c r="U59" i="48"/>
  <c r="U60" i="48"/>
  <c r="U61" i="48"/>
  <c r="U62" i="48"/>
  <c r="U63" i="48"/>
  <c r="U64" i="48"/>
  <c r="U65" i="48"/>
  <c r="U66" i="48"/>
  <c r="U67" i="48"/>
  <c r="U68" i="48"/>
  <c r="U69" i="48"/>
  <c r="U70" i="48"/>
  <c r="U71" i="48"/>
  <c r="U72" i="48"/>
  <c r="U73" i="48"/>
  <c r="U74" i="48"/>
  <c r="U75" i="48"/>
  <c r="U76" i="48"/>
  <c r="U77" i="48"/>
  <c r="U78" i="48"/>
  <c r="U79" i="48"/>
  <c r="U80" i="48"/>
  <c r="U81" i="48"/>
  <c r="U82" i="48"/>
  <c r="U83" i="48"/>
  <c r="U84" i="48"/>
  <c r="U85" i="48"/>
  <c r="U86" i="48"/>
  <c r="U87" i="48"/>
  <c r="U88" i="48"/>
  <c r="U89" i="48"/>
  <c r="U90" i="48"/>
  <c r="U91" i="48"/>
  <c r="U92" i="48"/>
  <c r="U93" i="48"/>
  <c r="U94" i="48"/>
  <c r="U95" i="48"/>
  <c r="U96" i="48"/>
  <c r="U97" i="48"/>
  <c r="U98" i="48"/>
  <c r="U99" i="48"/>
  <c r="U100" i="48"/>
  <c r="U101" i="48"/>
  <c r="U102" i="48"/>
  <c r="U103" i="48"/>
  <c r="U104" i="48"/>
  <c r="U105" i="48"/>
  <c r="U106" i="48"/>
  <c r="U107" i="48"/>
  <c r="U108" i="48"/>
  <c r="U109" i="48"/>
  <c r="U110" i="48"/>
  <c r="U111" i="48"/>
  <c r="U112" i="48"/>
  <c r="U113" i="48"/>
  <c r="U114" i="48"/>
  <c r="U115" i="48"/>
  <c r="U116" i="48"/>
  <c r="U117" i="48"/>
  <c r="U118" i="48"/>
  <c r="U119" i="48"/>
  <c r="U120" i="48"/>
  <c r="U121" i="48"/>
  <c r="U122" i="48"/>
  <c r="U123" i="48"/>
  <c r="U124" i="48"/>
  <c r="U125" i="48"/>
  <c r="U126" i="48"/>
  <c r="U127" i="48"/>
  <c r="U128" i="48"/>
  <c r="U129" i="48"/>
  <c r="U130" i="48"/>
  <c r="U131" i="48"/>
  <c r="U132" i="48"/>
  <c r="U133" i="48"/>
  <c r="U134" i="48"/>
  <c r="U135" i="48"/>
  <c r="U136" i="48"/>
  <c r="U137" i="48"/>
  <c r="U138" i="48"/>
  <c r="U139" i="48"/>
  <c r="U140" i="48"/>
  <c r="U141" i="48"/>
  <c r="U142" i="48"/>
  <c r="U143" i="48"/>
  <c r="U144" i="48"/>
  <c r="U145" i="48"/>
  <c r="U146" i="48"/>
  <c r="U147" i="48"/>
  <c r="U148" i="48"/>
  <c r="U149" i="48"/>
  <c r="V19" i="48"/>
  <c r="V20" i="48"/>
  <c r="V21" i="48"/>
  <c r="V22" i="48"/>
  <c r="V23" i="48"/>
  <c r="V24" i="48"/>
  <c r="V25" i="48"/>
  <c r="V26" i="48"/>
  <c r="V27" i="48"/>
  <c r="V28" i="48"/>
  <c r="V29" i="48"/>
  <c r="V30" i="48"/>
  <c r="V31" i="48"/>
  <c r="V32" i="48"/>
  <c r="V33" i="48"/>
  <c r="V34" i="48"/>
  <c r="V35" i="48"/>
  <c r="V36" i="48"/>
  <c r="V37" i="48"/>
  <c r="V38" i="48"/>
  <c r="V39" i="48"/>
  <c r="V40" i="48"/>
  <c r="V41" i="48"/>
  <c r="V42" i="48"/>
  <c r="V43" i="48"/>
  <c r="V44" i="48"/>
  <c r="V45" i="48"/>
  <c r="V46" i="48"/>
  <c r="V47" i="48"/>
  <c r="V48" i="48"/>
  <c r="V49" i="48"/>
  <c r="V50" i="48"/>
  <c r="V51" i="48"/>
  <c r="V52" i="48"/>
  <c r="V53" i="48"/>
  <c r="V54" i="48"/>
  <c r="V55" i="48"/>
  <c r="V56" i="48"/>
  <c r="V57" i="48"/>
  <c r="V58" i="48"/>
  <c r="V59" i="48"/>
  <c r="V60" i="48"/>
  <c r="V61" i="48"/>
  <c r="V62" i="48"/>
  <c r="V63" i="48"/>
  <c r="V64" i="48"/>
  <c r="V65" i="48"/>
  <c r="V66" i="48"/>
  <c r="V67" i="48"/>
  <c r="V68" i="48"/>
  <c r="V69" i="48"/>
  <c r="V70" i="48"/>
  <c r="V71" i="48"/>
  <c r="V72" i="48"/>
  <c r="V73" i="48"/>
  <c r="V74" i="48"/>
  <c r="V75" i="48"/>
  <c r="V76" i="48"/>
  <c r="V77" i="48"/>
  <c r="V78" i="48"/>
  <c r="V79" i="48"/>
  <c r="V80" i="48"/>
  <c r="V81" i="48"/>
  <c r="V82" i="48"/>
  <c r="V83" i="48"/>
  <c r="V84" i="48"/>
  <c r="V85" i="48"/>
  <c r="V86" i="48"/>
  <c r="V87" i="48"/>
  <c r="V88" i="48"/>
  <c r="V89" i="48"/>
  <c r="V90" i="48"/>
  <c r="V91" i="48"/>
  <c r="V92" i="48"/>
  <c r="V93" i="48"/>
  <c r="V94" i="48"/>
  <c r="V95" i="48"/>
  <c r="V96" i="48"/>
  <c r="V97" i="48"/>
  <c r="V98" i="48"/>
  <c r="V99" i="48"/>
  <c r="V100" i="48"/>
  <c r="V101" i="48"/>
  <c r="V102" i="48"/>
  <c r="V103" i="48"/>
  <c r="V104" i="48"/>
  <c r="V105" i="48"/>
  <c r="V106" i="48"/>
  <c r="V107" i="48"/>
  <c r="V108" i="48"/>
  <c r="V109" i="48"/>
  <c r="V110" i="48"/>
  <c r="V111" i="48"/>
  <c r="V112" i="48"/>
  <c r="V113" i="48"/>
  <c r="V114" i="48"/>
  <c r="V115" i="48"/>
  <c r="V116" i="48"/>
  <c r="V117" i="48"/>
  <c r="V118" i="48"/>
  <c r="V119" i="48"/>
  <c r="V120" i="48"/>
  <c r="V121" i="48"/>
  <c r="V122" i="48"/>
  <c r="V123" i="48"/>
  <c r="V124" i="48"/>
  <c r="V125" i="48"/>
  <c r="V126" i="48"/>
  <c r="V127" i="48"/>
  <c r="V128" i="48"/>
  <c r="V129" i="48"/>
  <c r="V130" i="48"/>
  <c r="V131" i="48"/>
  <c r="V132" i="48"/>
  <c r="V133" i="48"/>
  <c r="V134" i="48"/>
  <c r="V135" i="48"/>
  <c r="V136" i="48"/>
  <c r="V137" i="48"/>
  <c r="V138" i="48"/>
  <c r="V139" i="48"/>
  <c r="V140" i="48"/>
  <c r="V141" i="48"/>
  <c r="V142" i="48"/>
  <c r="V143" i="48"/>
  <c r="V144" i="48"/>
  <c r="V145" i="48"/>
  <c r="V146" i="48"/>
  <c r="V147" i="48"/>
  <c r="V148" i="48"/>
  <c r="V149" i="48"/>
  <c r="W19" i="48"/>
  <c r="W20" i="48"/>
  <c r="W21" i="48"/>
  <c r="W22" i="48"/>
  <c r="W23" i="48"/>
  <c r="W24" i="48"/>
  <c r="W25" i="48"/>
  <c r="W26" i="48"/>
  <c r="W27" i="48"/>
  <c r="W28" i="48"/>
  <c r="W29" i="48"/>
  <c r="W30" i="48"/>
  <c r="W31" i="48"/>
  <c r="W32" i="48"/>
  <c r="W33" i="48"/>
  <c r="W34" i="48"/>
  <c r="W35" i="48"/>
  <c r="W36" i="48"/>
  <c r="W37" i="48"/>
  <c r="W38" i="48"/>
  <c r="W39" i="48"/>
  <c r="W40" i="48"/>
  <c r="W41" i="48"/>
  <c r="W42" i="48"/>
  <c r="W43" i="48"/>
  <c r="W44" i="48"/>
  <c r="W45" i="48"/>
  <c r="W46" i="48"/>
  <c r="W47" i="48"/>
  <c r="W48" i="48"/>
  <c r="W49" i="48"/>
  <c r="W50" i="48"/>
  <c r="W51" i="48"/>
  <c r="W52" i="48"/>
  <c r="W53" i="48"/>
  <c r="W54" i="48"/>
  <c r="W55" i="48"/>
  <c r="W56" i="48"/>
  <c r="W57" i="48"/>
  <c r="W58" i="48"/>
  <c r="W59" i="48"/>
  <c r="W60" i="48"/>
  <c r="W61" i="48"/>
  <c r="W62" i="48"/>
  <c r="W63" i="48"/>
  <c r="W64" i="48"/>
  <c r="W65" i="48"/>
  <c r="W66" i="48"/>
  <c r="W67" i="48"/>
  <c r="W68" i="48"/>
  <c r="W69" i="48"/>
  <c r="W70" i="48"/>
  <c r="W71" i="48"/>
  <c r="W72" i="48"/>
  <c r="W73" i="48"/>
  <c r="W74" i="48"/>
  <c r="W75" i="48"/>
  <c r="W76" i="48"/>
  <c r="W77" i="48"/>
  <c r="W78" i="48"/>
  <c r="W79" i="48"/>
  <c r="W80" i="48"/>
  <c r="W81" i="48"/>
  <c r="W82" i="48"/>
  <c r="W83" i="48"/>
  <c r="W84" i="48"/>
  <c r="W85" i="48"/>
  <c r="W86" i="48"/>
  <c r="W87" i="48"/>
  <c r="W88" i="48"/>
  <c r="W89" i="48"/>
  <c r="W90" i="48"/>
  <c r="W91" i="48"/>
  <c r="W92" i="48"/>
  <c r="W93" i="48"/>
  <c r="W94" i="48"/>
  <c r="W95" i="48"/>
  <c r="W96" i="48"/>
  <c r="W97" i="48"/>
  <c r="W98" i="48"/>
  <c r="W99" i="48"/>
  <c r="W100" i="48"/>
  <c r="W101" i="48"/>
  <c r="W102" i="48"/>
  <c r="W103" i="48"/>
  <c r="W104" i="48"/>
  <c r="W105" i="48"/>
  <c r="W106" i="48"/>
  <c r="W107" i="48"/>
  <c r="W108" i="48"/>
  <c r="W109" i="48"/>
  <c r="W110" i="48"/>
  <c r="W111" i="48"/>
  <c r="W112" i="48"/>
  <c r="W113" i="48"/>
  <c r="W114" i="48"/>
  <c r="W115" i="48"/>
  <c r="W116" i="48"/>
  <c r="W117" i="48"/>
  <c r="W118" i="48"/>
  <c r="W119" i="48"/>
  <c r="W120" i="48"/>
  <c r="W121" i="48"/>
  <c r="W122" i="48"/>
  <c r="W123" i="48"/>
  <c r="W124" i="48"/>
  <c r="W125" i="48"/>
  <c r="W126" i="48"/>
  <c r="W127" i="48"/>
  <c r="W128" i="48"/>
  <c r="W129" i="48"/>
  <c r="W130" i="48"/>
  <c r="W131" i="48"/>
  <c r="W132" i="48"/>
  <c r="W133" i="48"/>
  <c r="W134" i="48"/>
  <c r="W135" i="48"/>
  <c r="W136" i="48"/>
  <c r="W137" i="48"/>
  <c r="W138" i="48"/>
  <c r="W139" i="48"/>
  <c r="W140" i="48"/>
  <c r="W141" i="48"/>
  <c r="W142" i="48"/>
  <c r="W143" i="48"/>
  <c r="W144" i="48"/>
  <c r="W145" i="48"/>
  <c r="W146" i="48"/>
  <c r="W147" i="48"/>
  <c r="W148" i="48"/>
  <c r="W149" i="48"/>
  <c r="X19" i="48"/>
  <c r="X20" i="48"/>
  <c r="X21" i="48"/>
  <c r="X22" i="48"/>
  <c r="X23" i="48"/>
  <c r="X24" i="48"/>
  <c r="X25" i="48"/>
  <c r="X26" i="48"/>
  <c r="X27" i="48"/>
  <c r="X28" i="48"/>
  <c r="X29" i="48"/>
  <c r="X30" i="48"/>
  <c r="X31" i="48"/>
  <c r="X32" i="48"/>
  <c r="X33" i="48"/>
  <c r="X34" i="48"/>
  <c r="X35" i="48"/>
  <c r="X36" i="48"/>
  <c r="X37" i="48"/>
  <c r="X38" i="48"/>
  <c r="X39" i="48"/>
  <c r="X40" i="48"/>
  <c r="X41" i="48"/>
  <c r="X42" i="48"/>
  <c r="X43" i="48"/>
  <c r="X44" i="48"/>
  <c r="X45" i="48"/>
  <c r="X46" i="48"/>
  <c r="X47" i="48"/>
  <c r="X48" i="48"/>
  <c r="X49" i="48"/>
  <c r="X50" i="48"/>
  <c r="X51" i="48"/>
  <c r="X52" i="48"/>
  <c r="X53" i="48"/>
  <c r="X54" i="48"/>
  <c r="X55" i="48"/>
  <c r="X56" i="48"/>
  <c r="X57" i="48"/>
  <c r="X58" i="48"/>
  <c r="X59" i="48"/>
  <c r="X60" i="48"/>
  <c r="X61" i="48"/>
  <c r="X62" i="48"/>
  <c r="X63" i="48"/>
  <c r="X64" i="48"/>
  <c r="X65" i="48"/>
  <c r="X66" i="48"/>
  <c r="X67" i="48"/>
  <c r="X68" i="48"/>
  <c r="X69" i="48"/>
  <c r="X70" i="48"/>
  <c r="X71" i="48"/>
  <c r="X72" i="48"/>
  <c r="X73" i="48"/>
  <c r="X74" i="48"/>
  <c r="X75" i="48"/>
  <c r="X76" i="48"/>
  <c r="X77" i="48"/>
  <c r="X78" i="48"/>
  <c r="X79" i="48"/>
  <c r="X80" i="48"/>
  <c r="X81" i="48"/>
  <c r="X82" i="48"/>
  <c r="X83" i="48"/>
  <c r="X84" i="48"/>
  <c r="X85" i="48"/>
  <c r="X86" i="48"/>
  <c r="X87" i="48"/>
  <c r="X88" i="48"/>
  <c r="X89" i="48"/>
  <c r="X90" i="48"/>
  <c r="X91" i="48"/>
  <c r="X92" i="48"/>
  <c r="X93" i="48"/>
  <c r="X94" i="48"/>
  <c r="X95" i="48"/>
  <c r="X96" i="48"/>
  <c r="X97" i="48"/>
  <c r="X98" i="48"/>
  <c r="X99" i="48"/>
  <c r="X100" i="48"/>
  <c r="X101" i="48"/>
  <c r="X102" i="48"/>
  <c r="X103" i="48"/>
  <c r="X104" i="48"/>
  <c r="X105" i="48"/>
  <c r="X106" i="48"/>
  <c r="X107" i="48"/>
  <c r="X108" i="48"/>
  <c r="X109" i="48"/>
  <c r="X110" i="48"/>
  <c r="X111" i="48"/>
  <c r="X112" i="48"/>
  <c r="X113" i="48"/>
  <c r="X114" i="48"/>
  <c r="X115" i="48"/>
  <c r="X116" i="48"/>
  <c r="X117" i="48"/>
  <c r="X118" i="48"/>
  <c r="X119" i="48"/>
  <c r="X120" i="48"/>
  <c r="X121" i="48"/>
  <c r="X122" i="48"/>
  <c r="X123" i="48"/>
  <c r="X124" i="48"/>
  <c r="X125" i="48"/>
  <c r="X126" i="48"/>
  <c r="X127" i="48"/>
  <c r="X128" i="48"/>
  <c r="X129" i="48"/>
  <c r="X130" i="48"/>
  <c r="X131" i="48"/>
  <c r="X132" i="48"/>
  <c r="X133" i="48"/>
  <c r="X134" i="48"/>
  <c r="X135" i="48"/>
  <c r="X136" i="48"/>
  <c r="X137" i="48"/>
  <c r="X138" i="48"/>
  <c r="X139" i="48"/>
  <c r="X140" i="48"/>
  <c r="X141" i="48"/>
  <c r="X142" i="48"/>
  <c r="X143" i="48"/>
  <c r="X144" i="48"/>
  <c r="X145" i="48"/>
  <c r="X146" i="48"/>
  <c r="X147" i="48"/>
  <c r="X148" i="48"/>
  <c r="X149" i="48"/>
  <c r="Y19" i="48"/>
  <c r="Y20" i="48"/>
  <c r="Y21" i="48"/>
  <c r="Y22" i="48"/>
  <c r="Y23" i="48"/>
  <c r="Y24" i="48"/>
  <c r="Y25" i="48"/>
  <c r="Y26" i="48"/>
  <c r="Y27" i="48"/>
  <c r="Y28" i="48"/>
  <c r="Y29" i="48"/>
  <c r="Y30" i="48"/>
  <c r="Y31" i="48"/>
  <c r="Y32" i="48"/>
  <c r="Y33" i="48"/>
  <c r="Y34" i="48"/>
  <c r="Y35" i="48"/>
  <c r="Y36" i="48"/>
  <c r="Y37" i="48"/>
  <c r="Y38" i="48"/>
  <c r="Y39" i="48"/>
  <c r="Y40" i="48"/>
  <c r="Y41" i="48"/>
  <c r="Y42" i="48"/>
  <c r="Y43" i="48"/>
  <c r="Y44" i="48"/>
  <c r="Y45" i="48"/>
  <c r="Y46" i="48"/>
  <c r="Y47" i="48"/>
  <c r="Y48" i="48"/>
  <c r="Y49" i="48"/>
  <c r="Y50" i="48"/>
  <c r="Y51" i="48"/>
  <c r="Y52" i="48"/>
  <c r="Y53" i="48"/>
  <c r="Y54" i="48"/>
  <c r="Y55" i="48"/>
  <c r="Y56" i="48"/>
  <c r="Y57" i="48"/>
  <c r="Y58" i="48"/>
  <c r="Y59" i="48"/>
  <c r="Y60" i="48"/>
  <c r="Y61" i="48"/>
  <c r="Y62" i="48"/>
  <c r="Y63" i="48"/>
  <c r="Y64" i="48"/>
  <c r="Y65" i="48"/>
  <c r="Y66" i="48"/>
  <c r="Y67" i="48"/>
  <c r="Y68" i="48"/>
  <c r="Y69" i="48"/>
  <c r="Y70" i="48"/>
  <c r="Y71" i="48"/>
  <c r="Y72" i="48"/>
  <c r="Y73" i="48"/>
  <c r="Y74" i="48"/>
  <c r="Y75" i="48"/>
  <c r="Y76" i="48"/>
  <c r="Y77" i="48"/>
  <c r="Y78" i="48"/>
  <c r="Y79" i="48"/>
  <c r="Y80" i="48"/>
  <c r="Y81" i="48"/>
  <c r="Y82" i="48"/>
  <c r="Y83" i="48"/>
  <c r="Y84" i="48"/>
  <c r="Y85" i="48"/>
  <c r="Y86" i="48"/>
  <c r="Y87" i="48"/>
  <c r="Y88" i="48"/>
  <c r="Y89" i="48"/>
  <c r="Y90" i="48"/>
  <c r="Y91" i="48"/>
  <c r="Y92" i="48"/>
  <c r="Y93" i="48"/>
  <c r="Y94" i="48"/>
  <c r="Y95" i="48"/>
  <c r="Y96" i="48"/>
  <c r="Y97" i="48"/>
  <c r="Y98" i="48"/>
  <c r="Y99" i="48"/>
  <c r="Y100" i="48"/>
  <c r="Y101" i="48"/>
  <c r="Y102" i="48"/>
  <c r="Y103" i="48"/>
  <c r="Y104" i="48"/>
  <c r="Y105" i="48"/>
  <c r="Y106" i="48"/>
  <c r="Y107" i="48"/>
  <c r="Y108" i="48"/>
  <c r="Y109" i="48"/>
  <c r="Y110" i="48"/>
  <c r="Y111" i="48"/>
  <c r="Y112" i="48"/>
  <c r="Y113" i="48"/>
  <c r="Y114" i="48"/>
  <c r="Y115" i="48"/>
  <c r="Y116" i="48"/>
  <c r="Y117" i="48"/>
  <c r="Y118" i="48"/>
  <c r="Y119" i="48"/>
  <c r="Y120" i="48"/>
  <c r="Y121" i="48"/>
  <c r="Y122" i="48"/>
  <c r="Y123" i="48"/>
  <c r="Y124" i="48"/>
  <c r="Y125" i="48"/>
  <c r="Y126" i="48"/>
  <c r="Y127" i="48"/>
  <c r="Y128" i="48"/>
  <c r="Y129" i="48"/>
  <c r="Y130" i="48"/>
  <c r="Y131" i="48"/>
  <c r="Y132" i="48"/>
  <c r="Y133" i="48"/>
  <c r="Y134" i="48"/>
  <c r="Y135" i="48"/>
  <c r="Y136" i="48"/>
  <c r="Y137" i="48"/>
  <c r="Y138" i="48"/>
  <c r="Y139" i="48"/>
  <c r="Y140" i="48"/>
  <c r="Y141" i="48"/>
  <c r="Y142" i="48"/>
  <c r="Y143" i="48"/>
  <c r="Y144" i="48"/>
  <c r="Y145" i="48"/>
  <c r="Y146" i="48"/>
  <c r="Y147" i="48"/>
  <c r="Y148" i="48"/>
  <c r="Y149" i="48"/>
  <c r="Z19" i="48"/>
  <c r="Z20" i="48"/>
  <c r="Z21" i="48"/>
  <c r="Z22" i="48"/>
  <c r="Z23" i="48"/>
  <c r="Z24" i="48"/>
  <c r="Z25" i="48"/>
  <c r="Z26" i="48"/>
  <c r="Z27" i="48"/>
  <c r="Z28" i="48"/>
  <c r="Z29" i="48"/>
  <c r="Z30" i="48"/>
  <c r="Z31" i="48"/>
  <c r="Z32" i="48"/>
  <c r="Z33" i="48"/>
  <c r="Z34" i="48"/>
  <c r="Z35" i="48"/>
  <c r="Z36" i="48"/>
  <c r="Z37" i="48"/>
  <c r="Z38" i="48"/>
  <c r="Z39" i="48"/>
  <c r="Z40" i="48"/>
  <c r="Z41" i="48"/>
  <c r="Z42" i="48"/>
  <c r="Z43" i="48"/>
  <c r="Z44" i="48"/>
  <c r="Z45" i="48"/>
  <c r="Z46" i="48"/>
  <c r="Z47" i="48"/>
  <c r="Z48" i="48"/>
  <c r="Z49" i="48"/>
  <c r="Z50" i="48"/>
  <c r="Z51" i="48"/>
  <c r="Z52" i="48"/>
  <c r="Z53" i="48"/>
  <c r="Z54" i="48"/>
  <c r="Z55" i="48"/>
  <c r="Z56" i="48"/>
  <c r="Z57" i="48"/>
  <c r="Z58" i="48"/>
  <c r="Z59" i="48"/>
  <c r="Z60" i="48"/>
  <c r="Z61" i="48"/>
  <c r="Z62" i="48"/>
  <c r="Z63" i="48"/>
  <c r="Z64" i="48"/>
  <c r="Z65" i="48"/>
  <c r="Z66" i="48"/>
  <c r="Z67" i="48"/>
  <c r="Z68" i="48"/>
  <c r="Z69" i="48"/>
  <c r="Z70" i="48"/>
  <c r="Z71" i="48"/>
  <c r="Z72" i="48"/>
  <c r="Z73" i="48"/>
  <c r="Z74" i="48"/>
  <c r="Z75" i="48"/>
  <c r="Z76" i="48"/>
  <c r="Z77" i="48"/>
  <c r="Z78" i="48"/>
  <c r="Z79" i="48"/>
  <c r="Z80" i="48"/>
  <c r="Z81" i="48"/>
  <c r="Z82" i="48"/>
  <c r="Z83" i="48"/>
  <c r="Z84" i="48"/>
  <c r="Z85" i="48"/>
  <c r="Z86" i="48"/>
  <c r="Z87" i="48"/>
  <c r="Z88" i="48"/>
  <c r="Z89" i="48"/>
  <c r="Z90" i="48"/>
  <c r="Z91" i="48"/>
  <c r="Z92" i="48"/>
  <c r="Z93" i="48"/>
  <c r="Z94" i="48"/>
  <c r="Z95" i="48"/>
  <c r="Z96" i="48"/>
  <c r="Z97" i="48"/>
  <c r="Z98" i="48"/>
  <c r="Z99" i="48"/>
  <c r="Z100" i="48"/>
  <c r="Z101" i="48"/>
  <c r="Z102" i="48"/>
  <c r="Z103" i="48"/>
  <c r="Z104" i="48"/>
  <c r="Z105" i="48"/>
  <c r="Z106" i="48"/>
  <c r="Z107" i="48"/>
  <c r="Z108" i="48"/>
  <c r="Z109" i="48"/>
  <c r="Z110" i="48"/>
  <c r="Z111" i="48"/>
  <c r="Z112" i="48"/>
  <c r="Z113" i="48"/>
  <c r="Z114" i="48"/>
  <c r="Z115" i="48"/>
  <c r="Z116" i="48"/>
  <c r="Z117" i="48"/>
  <c r="Z118" i="48"/>
  <c r="Z119" i="48"/>
  <c r="Z120" i="48"/>
  <c r="Z121" i="48"/>
  <c r="Z122" i="48"/>
  <c r="Z123" i="48"/>
  <c r="Z124" i="48"/>
  <c r="Z125" i="48"/>
  <c r="Z126" i="48"/>
  <c r="Z127" i="48"/>
  <c r="Z128" i="48"/>
  <c r="Z129" i="48"/>
  <c r="Z130" i="48"/>
  <c r="Z131" i="48"/>
  <c r="Z132" i="48"/>
  <c r="Z133" i="48"/>
  <c r="Z134" i="48"/>
  <c r="Z135" i="48"/>
  <c r="Z136" i="48"/>
  <c r="Z137" i="48"/>
  <c r="Z138" i="48"/>
  <c r="Z139" i="48"/>
  <c r="Z140" i="48"/>
  <c r="Z141" i="48"/>
  <c r="Z142" i="48"/>
  <c r="Z143" i="48"/>
  <c r="Z144" i="48"/>
  <c r="Z145" i="48"/>
  <c r="Z146" i="48"/>
  <c r="Z147" i="48"/>
  <c r="Z148" i="48"/>
  <c r="Z149" i="48"/>
  <c r="AA19" i="48"/>
  <c r="AA20" i="48"/>
  <c r="AA21" i="48"/>
  <c r="AA22" i="48"/>
  <c r="AA23" i="48"/>
  <c r="AA24" i="48"/>
  <c r="AA25" i="48"/>
  <c r="AA26" i="48"/>
  <c r="AA27" i="48"/>
  <c r="AA28" i="48"/>
  <c r="AA29" i="48"/>
  <c r="AA30" i="48"/>
  <c r="AA31" i="48"/>
  <c r="AA32" i="48"/>
  <c r="AA33" i="48"/>
  <c r="AA34" i="48"/>
  <c r="AA35" i="48"/>
  <c r="AA36" i="48"/>
  <c r="AA37" i="48"/>
  <c r="AA38" i="48"/>
  <c r="AA39" i="48"/>
  <c r="AA40" i="48"/>
  <c r="AA41" i="48"/>
  <c r="AA42" i="48"/>
  <c r="AA43" i="48"/>
  <c r="AA44" i="48"/>
  <c r="AA45" i="48"/>
  <c r="AA46" i="48"/>
  <c r="AA47" i="48"/>
  <c r="AA48" i="48"/>
  <c r="AA49" i="48"/>
  <c r="AA50" i="48"/>
  <c r="AA51" i="48"/>
  <c r="AA52" i="48"/>
  <c r="AA53" i="48"/>
  <c r="AA54" i="48"/>
  <c r="AA55" i="48"/>
  <c r="AA56" i="48"/>
  <c r="AA57" i="48"/>
  <c r="AA58" i="48"/>
  <c r="AA59" i="48"/>
  <c r="AA60" i="48"/>
  <c r="AA61" i="48"/>
  <c r="AA62" i="48"/>
  <c r="AA63" i="48"/>
  <c r="AA64" i="48"/>
  <c r="AA65" i="48"/>
  <c r="AA66" i="48"/>
  <c r="AA67" i="48"/>
  <c r="AA68" i="48"/>
  <c r="AA69" i="48"/>
  <c r="AA70" i="48"/>
  <c r="AA71" i="48"/>
  <c r="AA72" i="48"/>
  <c r="AA73" i="48"/>
  <c r="AA74" i="48"/>
  <c r="AA75" i="48"/>
  <c r="AA76" i="48"/>
  <c r="AA77" i="48"/>
  <c r="AA78" i="48"/>
  <c r="AA79" i="48"/>
  <c r="AA80" i="48"/>
  <c r="AA81" i="48"/>
  <c r="AA82" i="48"/>
  <c r="AA83" i="48"/>
  <c r="AA84" i="48"/>
  <c r="AA85" i="48"/>
  <c r="AA86" i="48"/>
  <c r="AA87" i="48"/>
  <c r="AA88" i="48"/>
  <c r="AA89" i="48"/>
  <c r="AA90" i="48"/>
  <c r="AA91" i="48"/>
  <c r="AA92" i="48"/>
  <c r="AA93" i="48"/>
  <c r="AA94" i="48"/>
  <c r="AA95" i="48"/>
  <c r="AA96" i="48"/>
  <c r="AA97" i="48"/>
  <c r="AA98" i="48"/>
  <c r="AA99" i="48"/>
  <c r="AA100" i="48"/>
  <c r="AA101" i="48"/>
  <c r="AA102" i="48"/>
  <c r="AA103" i="48"/>
  <c r="AA104" i="48"/>
  <c r="AA105" i="48"/>
  <c r="AA106" i="48"/>
  <c r="AA107" i="48"/>
  <c r="AA108" i="48"/>
  <c r="AA109" i="48"/>
  <c r="AA110" i="48"/>
  <c r="AA111" i="48"/>
  <c r="AA112" i="48"/>
  <c r="AA113" i="48"/>
  <c r="AA114" i="48"/>
  <c r="AA115" i="48"/>
  <c r="AA116" i="48"/>
  <c r="AA117" i="48"/>
  <c r="AA118" i="48"/>
  <c r="AA119" i="48"/>
  <c r="AA120" i="48"/>
  <c r="AA121" i="48"/>
  <c r="AA122" i="48"/>
  <c r="AA123" i="48"/>
  <c r="AA124" i="48"/>
  <c r="AA125" i="48"/>
  <c r="AA126" i="48"/>
  <c r="AA127" i="48"/>
  <c r="AA128" i="48"/>
  <c r="AA129" i="48"/>
  <c r="AA130" i="48"/>
  <c r="AA131" i="48"/>
  <c r="AA132" i="48"/>
  <c r="AA133" i="48"/>
  <c r="AA134" i="48"/>
  <c r="AA135" i="48"/>
  <c r="AA136" i="48"/>
  <c r="AA137" i="48"/>
  <c r="AA138" i="48"/>
  <c r="AA139" i="48"/>
  <c r="AA140" i="48"/>
  <c r="AA141" i="48"/>
  <c r="AA142" i="48"/>
  <c r="AA143" i="48"/>
  <c r="AA144" i="48"/>
  <c r="AA145" i="48"/>
  <c r="AA146" i="48"/>
  <c r="AA147" i="48"/>
  <c r="AA148" i="48"/>
  <c r="AA149" i="48"/>
  <c r="AB19" i="48"/>
  <c r="AB20" i="48"/>
  <c r="AB21" i="48"/>
  <c r="AB22" i="48"/>
  <c r="AB23" i="48"/>
  <c r="AB24" i="48"/>
  <c r="AB25" i="48"/>
  <c r="AB26" i="48"/>
  <c r="AB27" i="48"/>
  <c r="AB28" i="48"/>
  <c r="AB29" i="48"/>
  <c r="AB30" i="48"/>
  <c r="AB31" i="48"/>
  <c r="AB32" i="48"/>
  <c r="AB33" i="48"/>
  <c r="AB34" i="48"/>
  <c r="AB35" i="48"/>
  <c r="AB36" i="48"/>
  <c r="AB37" i="48"/>
  <c r="AB38" i="48"/>
  <c r="AB39" i="48"/>
  <c r="AB40" i="48"/>
  <c r="AB41" i="48"/>
  <c r="AB42" i="48"/>
  <c r="AB43" i="48"/>
  <c r="AB44" i="48"/>
  <c r="AB45" i="48"/>
  <c r="AB46" i="48"/>
  <c r="AB47" i="48"/>
  <c r="AB48" i="48"/>
  <c r="AB49" i="48"/>
  <c r="AB50" i="48"/>
  <c r="AB51" i="48"/>
  <c r="AB52" i="48"/>
  <c r="AB53" i="48"/>
  <c r="AB54" i="48"/>
  <c r="AB55" i="48"/>
  <c r="AB56" i="48"/>
  <c r="AB57" i="48"/>
  <c r="AB58" i="48"/>
  <c r="AB59" i="48"/>
  <c r="AB60" i="48"/>
  <c r="AB61" i="48"/>
  <c r="AB62" i="48"/>
  <c r="AB63" i="48"/>
  <c r="AB64" i="48"/>
  <c r="AB65" i="48"/>
  <c r="AB66" i="48"/>
  <c r="AB67" i="48"/>
  <c r="AB68" i="48"/>
  <c r="AB69" i="48"/>
  <c r="AB70" i="48"/>
  <c r="AB71" i="48"/>
  <c r="AB72" i="48"/>
  <c r="AB73" i="48"/>
  <c r="AB74" i="48"/>
  <c r="AB75" i="48"/>
  <c r="AB76" i="48"/>
  <c r="AB77" i="48"/>
  <c r="AB78" i="48"/>
  <c r="AB79" i="48"/>
  <c r="AB80" i="48"/>
  <c r="AB81" i="48"/>
  <c r="AB82" i="48"/>
  <c r="AB83" i="48"/>
  <c r="AB84" i="48"/>
  <c r="AB85" i="48"/>
  <c r="AB86" i="48"/>
  <c r="AB87" i="48"/>
  <c r="AB88" i="48"/>
  <c r="AB89" i="48"/>
  <c r="AB90" i="48"/>
  <c r="AB91" i="48"/>
  <c r="AB92" i="48"/>
  <c r="AB93" i="48"/>
  <c r="AB94" i="48"/>
  <c r="AB95" i="48"/>
  <c r="AB96" i="48"/>
  <c r="AB97" i="48"/>
  <c r="AB98" i="48"/>
  <c r="AB99" i="48"/>
  <c r="AB100" i="48"/>
  <c r="AB101" i="48"/>
  <c r="AB102" i="48"/>
  <c r="AB103" i="48"/>
  <c r="AB104" i="48"/>
  <c r="AB105" i="48"/>
  <c r="AB106" i="48"/>
  <c r="AB107" i="48"/>
  <c r="AB108" i="48"/>
  <c r="AB109" i="48"/>
  <c r="AB110" i="48"/>
  <c r="AB111" i="48"/>
  <c r="AB112" i="48"/>
  <c r="AB113" i="48"/>
  <c r="AB114" i="48"/>
  <c r="AB115" i="48"/>
  <c r="AB116" i="48"/>
  <c r="AB117" i="48"/>
  <c r="AB118" i="48"/>
  <c r="AB119" i="48"/>
  <c r="AB120" i="48"/>
  <c r="AB121" i="48"/>
  <c r="AB122" i="48"/>
  <c r="AB123" i="48"/>
  <c r="AB124" i="48"/>
  <c r="AB125" i="48"/>
  <c r="AB126" i="48"/>
  <c r="AB127" i="48"/>
  <c r="AB128" i="48"/>
  <c r="AB129" i="48"/>
  <c r="AB130" i="48"/>
  <c r="AB131" i="48"/>
  <c r="AB132" i="48"/>
  <c r="AB133" i="48"/>
  <c r="AB134" i="48"/>
  <c r="AB135" i="48"/>
  <c r="AB136" i="48"/>
  <c r="AB137" i="48"/>
  <c r="AB138" i="48"/>
  <c r="AB139" i="48"/>
  <c r="AB140" i="48"/>
  <c r="AB141" i="48"/>
  <c r="AB142" i="48"/>
  <c r="AB143" i="48"/>
  <c r="AB144" i="48"/>
  <c r="AB145" i="48"/>
  <c r="AB146" i="48"/>
  <c r="AB147" i="48"/>
  <c r="AB148" i="48"/>
  <c r="AB149" i="48"/>
  <c r="AC19" i="48"/>
  <c r="AC20" i="48"/>
  <c r="AC21" i="48"/>
  <c r="AC22" i="48"/>
  <c r="AC23" i="48"/>
  <c r="AC24" i="48"/>
  <c r="AC25" i="48"/>
  <c r="AC26" i="48"/>
  <c r="AC27" i="48"/>
  <c r="AC28" i="48"/>
  <c r="AC29" i="48"/>
  <c r="AC30" i="48"/>
  <c r="AC31" i="48"/>
  <c r="AC32" i="48"/>
  <c r="AC33" i="48"/>
  <c r="AC34" i="48"/>
  <c r="AC35" i="48"/>
  <c r="AC36" i="48"/>
  <c r="AC37" i="48"/>
  <c r="AC38" i="48"/>
  <c r="AC39" i="48"/>
  <c r="AC40" i="48"/>
  <c r="AC41" i="48"/>
  <c r="AC42" i="48"/>
  <c r="AC43" i="48"/>
  <c r="AC44" i="48"/>
  <c r="AC45" i="48"/>
  <c r="AC46" i="48"/>
  <c r="AC47" i="48"/>
  <c r="AC48" i="48"/>
  <c r="AC49" i="48"/>
  <c r="AC50" i="48"/>
  <c r="AC51" i="48"/>
  <c r="AC52" i="48"/>
  <c r="AC53" i="48"/>
  <c r="AC54" i="48"/>
  <c r="AC55" i="48"/>
  <c r="AC56" i="48"/>
  <c r="AC57" i="48"/>
  <c r="AC58" i="48"/>
  <c r="AC59" i="48"/>
  <c r="AC60" i="48"/>
  <c r="AC61" i="48"/>
  <c r="AC62" i="48"/>
  <c r="AC63" i="48"/>
  <c r="AC64" i="48"/>
  <c r="AC65" i="48"/>
  <c r="AC66" i="48"/>
  <c r="AC67" i="48"/>
  <c r="AC68" i="48"/>
  <c r="AC69" i="48"/>
  <c r="AC70" i="48"/>
  <c r="AC71" i="48"/>
  <c r="AC72" i="48"/>
  <c r="AC73" i="48"/>
  <c r="AC74" i="48"/>
  <c r="AC75" i="48"/>
  <c r="AC76" i="48"/>
  <c r="AC77" i="48"/>
  <c r="AC78" i="48"/>
  <c r="AC79" i="48"/>
  <c r="AC80" i="48"/>
  <c r="AC81" i="48"/>
  <c r="AC82" i="48"/>
  <c r="AC83" i="48"/>
  <c r="AC84" i="48"/>
  <c r="AC85" i="48"/>
  <c r="AC86" i="48"/>
  <c r="AC87" i="48"/>
  <c r="AC88" i="48"/>
  <c r="AC89" i="48"/>
  <c r="AC90" i="48"/>
  <c r="AC91" i="48"/>
  <c r="AC92" i="48"/>
  <c r="AC93" i="48"/>
  <c r="AC94" i="48"/>
  <c r="AC95" i="48"/>
  <c r="AC96" i="48"/>
  <c r="AC97" i="48"/>
  <c r="AC98" i="48"/>
  <c r="AC99" i="48"/>
  <c r="AC100" i="48"/>
  <c r="AC101" i="48"/>
  <c r="AC102" i="48"/>
  <c r="AC103" i="48"/>
  <c r="AC104" i="48"/>
  <c r="AC105" i="48"/>
  <c r="AC106" i="48"/>
  <c r="AC107" i="48"/>
  <c r="AC108" i="48"/>
  <c r="AC109" i="48"/>
  <c r="AC110" i="48"/>
  <c r="AC111" i="48"/>
  <c r="AC112" i="48"/>
  <c r="AC113" i="48"/>
  <c r="AC114" i="48"/>
  <c r="AC115" i="48"/>
  <c r="AC116" i="48"/>
  <c r="AC117" i="48"/>
  <c r="AC118" i="48"/>
  <c r="AC119" i="48"/>
  <c r="AC120" i="48"/>
  <c r="AC121" i="48"/>
  <c r="AC122" i="48"/>
  <c r="AC123" i="48"/>
  <c r="AC124" i="48"/>
  <c r="AC125" i="48"/>
  <c r="AC126" i="48"/>
  <c r="AC127" i="48"/>
  <c r="AC128" i="48"/>
  <c r="AC129" i="48"/>
  <c r="AC130" i="48"/>
  <c r="AC131" i="48"/>
  <c r="AC132" i="48"/>
  <c r="AC133" i="48"/>
  <c r="AC134" i="48"/>
  <c r="AC135" i="48"/>
  <c r="AC136" i="48"/>
  <c r="AC137" i="48"/>
  <c r="AC138" i="48"/>
  <c r="AC139" i="48"/>
  <c r="AC140" i="48"/>
  <c r="AC141" i="48"/>
  <c r="AC142" i="48"/>
  <c r="AC143" i="48"/>
  <c r="AC144" i="48"/>
  <c r="AC145" i="48"/>
  <c r="AC146" i="48"/>
  <c r="AC147" i="48"/>
  <c r="AC148" i="48"/>
  <c r="AC149" i="48"/>
  <c r="AD19" i="48"/>
  <c r="AD20" i="48"/>
  <c r="AD21" i="48"/>
  <c r="AD22" i="48"/>
  <c r="AD23" i="48"/>
  <c r="AD24" i="48"/>
  <c r="AD25" i="48"/>
  <c r="AD26" i="48"/>
  <c r="AD27" i="48"/>
  <c r="AD28" i="48"/>
  <c r="AD29" i="48"/>
  <c r="AD30" i="48"/>
  <c r="AD31" i="48"/>
  <c r="AD32" i="48"/>
  <c r="AD33" i="48"/>
  <c r="AD34" i="48"/>
  <c r="AD35" i="48"/>
  <c r="AD36" i="48"/>
  <c r="AD37" i="48"/>
  <c r="AD38" i="48"/>
  <c r="AD39" i="48"/>
  <c r="AD40" i="48"/>
  <c r="AD41" i="48"/>
  <c r="AD42" i="48"/>
  <c r="AD43" i="48"/>
  <c r="AD44" i="48"/>
  <c r="AD45" i="48"/>
  <c r="AD46" i="48"/>
  <c r="AD47" i="48"/>
  <c r="AD48" i="48"/>
  <c r="AD49" i="48"/>
  <c r="AD50" i="48"/>
  <c r="AD51" i="48"/>
  <c r="AD52" i="48"/>
  <c r="AD53" i="48"/>
  <c r="AD54" i="48"/>
  <c r="AD55" i="48"/>
  <c r="AD56" i="48"/>
  <c r="AD57" i="48"/>
  <c r="AD58" i="48"/>
  <c r="AD59" i="48"/>
  <c r="AD60" i="48"/>
  <c r="AD61" i="48"/>
  <c r="AD62" i="48"/>
  <c r="AD63" i="48"/>
  <c r="AD64" i="48"/>
  <c r="AD65" i="48"/>
  <c r="AD66" i="48"/>
  <c r="AD67" i="48"/>
  <c r="AD68" i="48"/>
  <c r="AD69" i="48"/>
  <c r="AD70" i="48"/>
  <c r="AD71" i="48"/>
  <c r="AD72" i="48"/>
  <c r="AD73" i="48"/>
  <c r="AD74" i="48"/>
  <c r="AD75" i="48"/>
  <c r="AD76" i="48"/>
  <c r="AD77" i="48"/>
  <c r="AD78" i="48"/>
  <c r="AD79" i="48"/>
  <c r="AD80" i="48"/>
  <c r="AD81" i="48"/>
  <c r="AD82" i="48"/>
  <c r="AD83" i="48"/>
  <c r="AD84" i="48"/>
  <c r="AD85" i="48"/>
  <c r="AD86" i="48"/>
  <c r="AD87" i="48"/>
  <c r="AD88" i="48"/>
  <c r="AD89" i="48"/>
  <c r="AD90" i="48"/>
  <c r="AD91" i="48"/>
  <c r="AD92" i="48"/>
  <c r="AD93" i="48"/>
  <c r="AD94" i="48"/>
  <c r="AD95" i="48"/>
  <c r="AD96" i="48"/>
  <c r="AD97" i="48"/>
  <c r="AD98" i="48"/>
  <c r="AD99" i="48"/>
  <c r="AD100" i="48"/>
  <c r="AD101" i="48"/>
  <c r="AD102" i="48"/>
  <c r="AD103" i="48"/>
  <c r="AD104" i="48"/>
  <c r="AD105" i="48"/>
  <c r="AD106" i="48"/>
  <c r="AD107" i="48"/>
  <c r="AD108" i="48"/>
  <c r="AD109" i="48"/>
  <c r="AD110" i="48"/>
  <c r="AD111" i="48"/>
  <c r="AD112" i="48"/>
  <c r="AD113" i="48"/>
  <c r="AD114" i="48"/>
  <c r="AD115" i="48"/>
  <c r="AD116" i="48"/>
  <c r="AD117" i="48"/>
  <c r="AD118" i="48"/>
  <c r="AD119" i="48"/>
  <c r="AD120" i="48"/>
  <c r="AD121" i="48"/>
  <c r="AD122" i="48"/>
  <c r="AD123" i="48"/>
  <c r="AD124" i="48"/>
  <c r="AD125" i="48"/>
  <c r="AD126" i="48"/>
  <c r="AD127" i="48"/>
  <c r="AD128" i="48"/>
  <c r="AD129" i="48"/>
  <c r="AD130" i="48"/>
  <c r="AD131" i="48"/>
  <c r="AD132" i="48"/>
  <c r="AD133" i="48"/>
  <c r="AD134" i="48"/>
  <c r="AD135" i="48"/>
  <c r="AD136" i="48"/>
  <c r="AD137" i="48"/>
  <c r="AD138" i="48"/>
  <c r="AD139" i="48"/>
  <c r="AD140" i="48"/>
  <c r="AD141" i="48"/>
  <c r="AD142" i="48"/>
  <c r="AD143" i="48"/>
  <c r="AD144" i="48"/>
  <c r="AD145" i="48"/>
  <c r="AD146" i="48"/>
  <c r="AD147" i="48"/>
  <c r="AD148" i="48"/>
  <c r="AD149" i="48"/>
  <c r="AE19" i="48"/>
  <c r="AE20" i="48"/>
  <c r="AE21" i="48"/>
  <c r="AE22" i="48"/>
  <c r="AE23" i="48"/>
  <c r="AE24" i="48"/>
  <c r="AE25" i="48"/>
  <c r="AE26" i="48"/>
  <c r="AE27" i="48"/>
  <c r="AE28" i="48"/>
  <c r="AE29" i="48"/>
  <c r="AE30" i="48"/>
  <c r="AE31" i="48"/>
  <c r="AE32" i="48"/>
  <c r="AE33" i="48"/>
  <c r="AE34" i="48"/>
  <c r="AE35" i="48"/>
  <c r="AE36" i="48"/>
  <c r="AE37" i="48"/>
  <c r="AE38" i="48"/>
  <c r="AE39" i="48"/>
  <c r="AE40" i="48"/>
  <c r="AE41" i="48"/>
  <c r="AE42" i="48"/>
  <c r="AE43" i="48"/>
  <c r="AE44" i="48"/>
  <c r="AE45" i="48"/>
  <c r="AE46" i="48"/>
  <c r="AE47" i="48"/>
  <c r="AE48" i="48"/>
  <c r="AE49" i="48"/>
  <c r="AE50" i="48"/>
  <c r="AE51" i="48"/>
  <c r="AE52" i="48"/>
  <c r="AE53" i="48"/>
  <c r="AE54" i="48"/>
  <c r="AE55" i="48"/>
  <c r="AE56" i="48"/>
  <c r="AE57" i="48"/>
  <c r="AE58" i="48"/>
  <c r="AE59" i="48"/>
  <c r="AE60" i="48"/>
  <c r="AE61" i="48"/>
  <c r="AE62" i="48"/>
  <c r="AE63" i="48"/>
  <c r="AE64" i="48"/>
  <c r="AE65" i="48"/>
  <c r="AE66" i="48"/>
  <c r="AE67" i="48"/>
  <c r="AE68" i="48"/>
  <c r="AE69" i="48"/>
  <c r="AE70" i="48"/>
  <c r="AE71" i="48"/>
  <c r="AE72" i="48"/>
  <c r="AE73" i="48"/>
  <c r="AE74" i="48"/>
  <c r="AE75" i="48"/>
  <c r="AE76" i="48"/>
  <c r="AE77" i="48"/>
  <c r="AE78" i="48"/>
  <c r="AE79" i="48"/>
  <c r="AE80" i="48"/>
  <c r="AE81" i="48"/>
  <c r="AE82" i="48"/>
  <c r="AE83" i="48"/>
  <c r="AE84" i="48"/>
  <c r="AE85" i="48"/>
  <c r="AE86" i="48"/>
  <c r="AE87" i="48"/>
  <c r="AE88" i="48"/>
  <c r="AE89" i="48"/>
  <c r="AE90" i="48"/>
  <c r="AE91" i="48"/>
  <c r="AE92" i="48"/>
  <c r="AE93" i="48"/>
  <c r="AE94" i="48"/>
  <c r="AE95" i="48"/>
  <c r="AE96" i="48"/>
  <c r="AE97" i="48"/>
  <c r="AE98" i="48"/>
  <c r="AE99" i="48"/>
  <c r="AE100" i="48"/>
  <c r="AE101" i="48"/>
  <c r="AE102" i="48"/>
  <c r="AE103" i="48"/>
  <c r="AE104" i="48"/>
  <c r="AE105" i="48"/>
  <c r="AE106" i="48"/>
  <c r="AE107" i="48"/>
  <c r="AE108" i="48"/>
  <c r="AE109" i="48"/>
  <c r="AE110" i="48"/>
  <c r="AE111" i="48"/>
  <c r="AE112" i="48"/>
  <c r="AE113" i="48"/>
  <c r="AE114" i="48"/>
  <c r="AE115" i="48"/>
  <c r="AE116" i="48"/>
  <c r="AE117" i="48"/>
  <c r="AE118" i="48"/>
  <c r="AE119" i="48"/>
  <c r="AE120" i="48"/>
  <c r="AE121" i="48"/>
  <c r="AE122" i="48"/>
  <c r="AE123" i="48"/>
  <c r="AE124" i="48"/>
  <c r="AE125" i="48"/>
  <c r="AE126" i="48"/>
  <c r="AE127" i="48"/>
  <c r="AE128" i="48"/>
  <c r="AE129" i="48"/>
  <c r="AE130" i="48"/>
  <c r="AE131" i="48"/>
  <c r="AE132" i="48"/>
  <c r="AE133" i="48"/>
  <c r="AE134" i="48"/>
  <c r="AE135" i="48"/>
  <c r="AE136" i="48"/>
  <c r="AE137" i="48"/>
  <c r="AE138" i="48"/>
  <c r="AE139" i="48"/>
  <c r="AE140" i="48"/>
  <c r="AE141" i="48"/>
  <c r="AE142" i="48"/>
  <c r="AE143" i="48"/>
  <c r="AE144" i="48"/>
  <c r="AE145" i="48"/>
  <c r="AE146" i="48"/>
  <c r="AE147" i="48"/>
  <c r="AE148" i="48"/>
  <c r="AE149" i="48"/>
  <c r="AF19" i="48"/>
  <c r="AF20" i="48"/>
  <c r="AF21" i="48"/>
  <c r="AF22" i="48"/>
  <c r="AF23" i="48"/>
  <c r="AF24" i="48"/>
  <c r="AF25" i="48"/>
  <c r="AF26" i="48"/>
  <c r="AF27" i="48"/>
  <c r="AF28" i="48"/>
  <c r="AF29" i="48"/>
  <c r="AF30" i="48"/>
  <c r="AF31" i="48"/>
  <c r="AF32" i="48"/>
  <c r="AF33" i="48"/>
  <c r="AF34" i="48"/>
  <c r="AF35" i="48"/>
  <c r="AF36" i="48"/>
  <c r="AF37" i="48"/>
  <c r="AF38" i="48"/>
  <c r="AF39" i="48"/>
  <c r="AF40" i="48"/>
  <c r="AF41" i="48"/>
  <c r="AF42" i="48"/>
  <c r="AF43" i="48"/>
  <c r="AF44" i="48"/>
  <c r="AF45" i="48"/>
  <c r="AF46" i="48"/>
  <c r="AF47" i="48"/>
  <c r="AF48" i="48"/>
  <c r="AF49" i="48"/>
  <c r="AF50" i="48"/>
  <c r="AF51" i="48"/>
  <c r="AF52" i="48"/>
  <c r="AF53" i="48"/>
  <c r="AF54" i="48"/>
  <c r="AF55" i="48"/>
  <c r="AF56" i="48"/>
  <c r="AF57" i="48"/>
  <c r="AF58" i="48"/>
  <c r="AF59" i="48"/>
  <c r="AF60" i="48"/>
  <c r="AF61" i="48"/>
  <c r="AF62" i="48"/>
  <c r="AF63" i="48"/>
  <c r="AF64" i="48"/>
  <c r="AF65" i="48"/>
  <c r="AF66" i="48"/>
  <c r="AF67" i="48"/>
  <c r="AF68" i="48"/>
  <c r="AF69" i="48"/>
  <c r="AF70" i="48"/>
  <c r="AF71" i="48"/>
  <c r="AF72" i="48"/>
  <c r="AF73" i="48"/>
  <c r="AF74" i="48"/>
  <c r="AF75" i="48"/>
  <c r="AF76" i="48"/>
  <c r="AF77" i="48"/>
  <c r="AF78" i="48"/>
  <c r="AF79" i="48"/>
  <c r="AF80" i="48"/>
  <c r="AF81" i="48"/>
  <c r="AF82" i="48"/>
  <c r="AF83" i="48"/>
  <c r="AF84" i="48"/>
  <c r="AF85" i="48"/>
  <c r="AF86" i="48"/>
  <c r="AF87" i="48"/>
  <c r="AF88" i="48"/>
  <c r="AF89" i="48"/>
  <c r="AF90" i="48"/>
  <c r="AF91" i="48"/>
  <c r="AF92" i="48"/>
  <c r="AF93" i="48"/>
  <c r="AF94" i="48"/>
  <c r="AF95" i="48"/>
  <c r="AF96" i="48"/>
  <c r="AF97" i="48"/>
  <c r="AF98" i="48"/>
  <c r="AF99" i="48"/>
  <c r="AF100" i="48"/>
  <c r="AF101" i="48"/>
  <c r="AF102" i="48"/>
  <c r="AF103" i="48"/>
  <c r="AF104" i="48"/>
  <c r="AF105" i="48"/>
  <c r="AF106" i="48"/>
  <c r="AF107" i="48"/>
  <c r="AF108" i="48"/>
  <c r="AF109" i="48"/>
  <c r="AF110" i="48"/>
  <c r="AF111" i="48"/>
  <c r="AF112" i="48"/>
  <c r="AF113" i="48"/>
  <c r="AF114" i="48"/>
  <c r="AF115" i="48"/>
  <c r="AF116" i="48"/>
  <c r="AF117" i="48"/>
  <c r="AF118" i="48"/>
  <c r="AF119" i="48"/>
  <c r="AF120" i="48"/>
  <c r="AF121" i="48"/>
  <c r="AF122" i="48"/>
  <c r="AF123" i="48"/>
  <c r="AF124" i="48"/>
  <c r="AF125" i="48"/>
  <c r="AF126" i="48"/>
  <c r="AF127" i="48"/>
  <c r="AF128" i="48"/>
  <c r="AF129" i="48"/>
  <c r="AF130" i="48"/>
  <c r="AF131" i="48"/>
  <c r="AF132" i="48"/>
  <c r="AF133" i="48"/>
  <c r="AF134" i="48"/>
  <c r="AF135" i="48"/>
  <c r="AF136" i="48"/>
  <c r="AF137" i="48"/>
  <c r="AF138" i="48"/>
  <c r="AF139" i="48"/>
  <c r="AF140" i="48"/>
  <c r="AF141" i="48"/>
  <c r="AF142" i="48"/>
  <c r="AF143" i="48"/>
  <c r="AF144" i="48"/>
  <c r="AF145" i="48"/>
  <c r="AF146" i="48"/>
  <c r="AF147" i="48"/>
  <c r="AF148" i="48"/>
  <c r="AF149" i="48"/>
  <c r="E19" i="48"/>
  <c r="E20" i="48"/>
  <c r="E21" i="48"/>
  <c r="E22" i="48"/>
  <c r="E23" i="48"/>
  <c r="E24" i="48"/>
  <c r="E25" i="48"/>
  <c r="E26" i="48"/>
  <c r="E27" i="48"/>
  <c r="E28" i="48"/>
  <c r="E29" i="48"/>
  <c r="E30" i="48"/>
  <c r="E31" i="48"/>
  <c r="E32" i="48"/>
  <c r="E33" i="48"/>
  <c r="E34" i="48"/>
  <c r="E35" i="48"/>
  <c r="E36" i="48"/>
  <c r="E37" i="48"/>
  <c r="E38" i="48"/>
  <c r="E39" i="48"/>
  <c r="E40" i="48"/>
  <c r="E41" i="48"/>
  <c r="E42" i="48"/>
  <c r="E43" i="48"/>
  <c r="E44" i="48"/>
  <c r="E45" i="48"/>
  <c r="E46" i="48"/>
  <c r="E47" i="48"/>
  <c r="E48" i="48"/>
  <c r="E49" i="48"/>
  <c r="E50" i="48"/>
  <c r="E51" i="48"/>
  <c r="E52" i="48"/>
  <c r="E53" i="48"/>
  <c r="E54" i="48"/>
  <c r="E55" i="48"/>
  <c r="E56" i="48"/>
  <c r="E57" i="48"/>
  <c r="E58" i="48"/>
  <c r="E59" i="48"/>
  <c r="E60" i="48"/>
  <c r="E61" i="48"/>
  <c r="E62" i="48"/>
  <c r="E63" i="48"/>
  <c r="E64" i="48"/>
  <c r="E65" i="48"/>
  <c r="E66" i="48"/>
  <c r="E68" i="48"/>
  <c r="E69" i="48"/>
  <c r="E70" i="48"/>
  <c r="E71" i="48"/>
  <c r="E72" i="48"/>
  <c r="E73" i="48"/>
  <c r="E74" i="48"/>
  <c r="E75" i="48"/>
  <c r="E76" i="48"/>
  <c r="E77" i="48"/>
  <c r="E78" i="48"/>
  <c r="E79" i="48"/>
  <c r="E80" i="48"/>
  <c r="E81" i="48"/>
  <c r="E82" i="48"/>
  <c r="E83" i="48"/>
  <c r="E84" i="48"/>
  <c r="E85" i="48"/>
  <c r="E86" i="48"/>
  <c r="E87" i="48"/>
  <c r="E88" i="48"/>
  <c r="E89" i="48"/>
  <c r="E90" i="48"/>
  <c r="E91" i="48"/>
  <c r="E92" i="48"/>
  <c r="E93" i="48"/>
  <c r="E94" i="48"/>
  <c r="E95" i="48"/>
  <c r="E96" i="48"/>
  <c r="E97" i="48"/>
  <c r="E98" i="48"/>
  <c r="E99" i="48"/>
  <c r="E100" i="48"/>
  <c r="E101" i="48"/>
  <c r="E102" i="48"/>
  <c r="E103" i="48"/>
  <c r="E104" i="48"/>
  <c r="E105" i="48"/>
  <c r="E106" i="48"/>
  <c r="E107" i="48"/>
  <c r="E108" i="48"/>
  <c r="E109" i="48"/>
  <c r="E110" i="48"/>
  <c r="E111" i="48"/>
  <c r="E112" i="48"/>
  <c r="E113" i="48"/>
  <c r="E114" i="48"/>
  <c r="E115" i="48"/>
  <c r="E116" i="48"/>
  <c r="E117" i="48"/>
  <c r="E118" i="48"/>
  <c r="E119" i="48"/>
  <c r="E120" i="48"/>
  <c r="E121" i="48"/>
  <c r="E122" i="48"/>
  <c r="E123" i="48"/>
  <c r="E124" i="48"/>
  <c r="E125" i="48"/>
  <c r="E126" i="48"/>
  <c r="E127" i="48"/>
  <c r="E128" i="48"/>
  <c r="E129" i="48"/>
  <c r="E130" i="48"/>
  <c r="E131" i="48"/>
  <c r="E132" i="48"/>
  <c r="E133" i="48"/>
  <c r="E134" i="48"/>
  <c r="E135" i="48"/>
  <c r="E136" i="48"/>
  <c r="E137" i="48"/>
  <c r="E138" i="48"/>
  <c r="E139" i="48"/>
  <c r="E140" i="48"/>
  <c r="E141" i="48"/>
  <c r="E142" i="48"/>
  <c r="E143" i="48"/>
  <c r="E144" i="48"/>
  <c r="E145" i="48"/>
  <c r="E146" i="48"/>
  <c r="E147" i="48"/>
  <c r="E148" i="48"/>
  <c r="E149" i="48"/>
  <c r="D20" i="48"/>
  <c r="D21" i="48"/>
  <c r="D22" i="48"/>
  <c r="D23" i="48"/>
  <c r="D25" i="48"/>
  <c r="D26" i="48"/>
  <c r="D27" i="48"/>
  <c r="D28" i="48"/>
  <c r="D29" i="48"/>
  <c r="D30" i="48"/>
  <c r="D31" i="48"/>
  <c r="D32" i="48"/>
  <c r="D33" i="48"/>
  <c r="D34" i="48"/>
  <c r="D35" i="48"/>
  <c r="D36" i="48"/>
  <c r="D37" i="48"/>
  <c r="D38" i="48"/>
  <c r="D39" i="48"/>
  <c r="D40" i="48"/>
  <c r="D41" i="48"/>
  <c r="D42" i="48"/>
  <c r="D43" i="48"/>
  <c r="D44" i="48"/>
  <c r="D45" i="48"/>
  <c r="D47" i="48"/>
  <c r="D48" i="48"/>
  <c r="D49" i="48"/>
  <c r="D50" i="48"/>
  <c r="D51" i="48"/>
  <c r="D52" i="48"/>
  <c r="D53" i="48"/>
  <c r="D54" i="48"/>
  <c r="D55" i="48"/>
  <c r="D56" i="48"/>
  <c r="D57" i="48"/>
  <c r="D58" i="48"/>
  <c r="D59" i="48"/>
  <c r="D60" i="48"/>
  <c r="D61" i="48"/>
  <c r="D62" i="48"/>
  <c r="D63" i="48"/>
  <c r="D64" i="48"/>
  <c r="D65" i="48"/>
  <c r="D66" i="48"/>
  <c r="D67" i="48"/>
  <c r="D68" i="48"/>
  <c r="D69" i="48"/>
  <c r="D70" i="48"/>
  <c r="D71" i="48"/>
  <c r="D72" i="48"/>
  <c r="D73" i="48"/>
  <c r="D74" i="48"/>
  <c r="D75" i="48"/>
  <c r="D76" i="48"/>
  <c r="D77" i="48"/>
  <c r="D78" i="48"/>
  <c r="D79" i="48"/>
  <c r="D80" i="48"/>
  <c r="D81" i="48"/>
  <c r="D82" i="48"/>
  <c r="D83" i="48"/>
  <c r="D84" i="48"/>
  <c r="D85" i="48"/>
  <c r="D86" i="48"/>
  <c r="D87" i="48"/>
  <c r="D88" i="48"/>
  <c r="D89" i="48"/>
  <c r="D90" i="48"/>
  <c r="D91" i="48"/>
  <c r="D92" i="48"/>
  <c r="D93" i="48"/>
  <c r="D94" i="48"/>
  <c r="D95" i="48"/>
  <c r="D96" i="48"/>
  <c r="D97" i="48"/>
  <c r="D98" i="48"/>
  <c r="D99" i="48"/>
  <c r="D100" i="48"/>
  <c r="D102" i="48"/>
  <c r="D103" i="48"/>
  <c r="D104" i="48"/>
  <c r="D105" i="48"/>
  <c r="D106" i="48"/>
  <c r="D107" i="48"/>
  <c r="D108" i="48"/>
  <c r="D109" i="48"/>
  <c r="D110" i="48"/>
  <c r="D111" i="48"/>
  <c r="D112" i="48"/>
  <c r="D113" i="48"/>
  <c r="D114" i="48"/>
  <c r="D115" i="48"/>
  <c r="D116" i="48"/>
  <c r="D117" i="48"/>
  <c r="D118" i="48"/>
  <c r="D119" i="48"/>
  <c r="D120" i="48"/>
  <c r="D121" i="48"/>
  <c r="D122" i="48"/>
  <c r="D123" i="48"/>
  <c r="D124" i="48"/>
  <c r="D125" i="48"/>
  <c r="D126" i="48"/>
  <c r="D127" i="48"/>
  <c r="D128" i="48"/>
  <c r="D129" i="48"/>
  <c r="D130" i="48"/>
  <c r="D131" i="48"/>
  <c r="D132" i="48"/>
  <c r="D133" i="48"/>
  <c r="D134" i="48"/>
  <c r="D135" i="48"/>
  <c r="D136" i="48"/>
  <c r="D137" i="48"/>
  <c r="D138" i="48"/>
  <c r="D139" i="48"/>
  <c r="D140" i="48"/>
  <c r="D141" i="48"/>
  <c r="D142" i="48"/>
  <c r="D143" i="48"/>
  <c r="D145" i="48"/>
  <c r="D146" i="48"/>
  <c r="D147" i="48"/>
  <c r="D148" i="48"/>
  <c r="D149" i="48"/>
  <c r="C20" i="48"/>
  <c r="C21" i="48"/>
  <c r="C22" i="48"/>
  <c r="C23" i="48"/>
  <c r="C24" i="48"/>
  <c r="C25" i="48"/>
  <c r="C26" i="48"/>
  <c r="C27" i="48"/>
  <c r="C28" i="48"/>
  <c r="C29" i="48"/>
  <c r="C30" i="48"/>
  <c r="C31" i="48"/>
  <c r="C32" i="48"/>
  <c r="C33" i="48"/>
  <c r="C34" i="48"/>
  <c r="C35" i="48"/>
  <c r="C36" i="48"/>
  <c r="C37" i="48"/>
  <c r="C38" i="48"/>
  <c r="C39" i="48"/>
  <c r="C40" i="48"/>
  <c r="C41" i="48"/>
  <c r="C42" i="48"/>
  <c r="C43" i="48"/>
  <c r="C44" i="48"/>
  <c r="C45" i="48"/>
  <c r="C46" i="48"/>
  <c r="C47" i="48"/>
  <c r="C48" i="48"/>
  <c r="C49" i="48"/>
  <c r="C50" i="48"/>
  <c r="C51" i="48"/>
  <c r="C52" i="48"/>
  <c r="C53" i="48"/>
  <c r="C54" i="48"/>
  <c r="C55" i="48"/>
  <c r="C56" i="48"/>
  <c r="C57" i="48"/>
  <c r="C58" i="48"/>
  <c r="C59" i="48"/>
  <c r="C60" i="48"/>
  <c r="C61" i="48"/>
  <c r="C62" i="48"/>
  <c r="C63" i="48"/>
  <c r="C64" i="48"/>
  <c r="C65" i="48"/>
  <c r="C66" i="48"/>
  <c r="C67" i="48"/>
  <c r="C68" i="48"/>
  <c r="C69" i="48"/>
  <c r="C70" i="48"/>
  <c r="C71" i="48"/>
  <c r="C72" i="48"/>
  <c r="C73" i="48"/>
  <c r="C74" i="48"/>
  <c r="C75" i="48"/>
  <c r="C76" i="48"/>
  <c r="C77" i="48"/>
  <c r="C78" i="48"/>
  <c r="C79" i="48"/>
  <c r="C80" i="48"/>
  <c r="C81" i="48"/>
  <c r="C82" i="48"/>
  <c r="C83" i="48"/>
  <c r="C84" i="48"/>
  <c r="C85" i="48"/>
  <c r="C86" i="48"/>
  <c r="C87" i="48"/>
  <c r="C88" i="48"/>
  <c r="C89" i="48"/>
  <c r="C90" i="48"/>
  <c r="C91" i="48"/>
  <c r="C92" i="48"/>
  <c r="C93" i="48"/>
  <c r="C94" i="48"/>
  <c r="C95" i="48"/>
  <c r="C96" i="48"/>
  <c r="C97" i="48"/>
  <c r="C98" i="48"/>
  <c r="C99" i="48"/>
  <c r="C100" i="48"/>
  <c r="C101" i="48"/>
  <c r="C102" i="48"/>
  <c r="C103" i="48"/>
  <c r="C104" i="48"/>
  <c r="C105" i="48"/>
  <c r="C106" i="48"/>
  <c r="C107" i="48"/>
  <c r="C108" i="48"/>
  <c r="C109" i="48"/>
  <c r="C110" i="48"/>
  <c r="C111" i="48"/>
  <c r="C112" i="48"/>
  <c r="C113" i="48"/>
  <c r="C114" i="48"/>
  <c r="C115" i="48"/>
  <c r="C116" i="48"/>
  <c r="C117" i="48"/>
  <c r="C118" i="48"/>
  <c r="C119" i="48"/>
  <c r="C120" i="48"/>
  <c r="C121" i="48"/>
  <c r="C122" i="48"/>
  <c r="C123" i="48"/>
  <c r="C124" i="48"/>
  <c r="C125" i="48"/>
  <c r="C126" i="48"/>
  <c r="C127" i="48"/>
  <c r="C128" i="48"/>
  <c r="C129" i="48"/>
  <c r="C130" i="48"/>
  <c r="C131" i="48"/>
  <c r="C132" i="48"/>
  <c r="C133" i="48"/>
  <c r="C134" i="48"/>
  <c r="C135" i="48"/>
  <c r="C136" i="48"/>
  <c r="C137" i="48"/>
  <c r="C138" i="48"/>
  <c r="C139" i="48"/>
  <c r="C140" i="48"/>
  <c r="C141" i="48"/>
  <c r="C142" i="48"/>
  <c r="C143" i="48"/>
  <c r="C144" i="48"/>
  <c r="C145" i="48"/>
  <c r="C146" i="48"/>
  <c r="C147" i="48"/>
  <c r="C148" i="48"/>
  <c r="C149" i="48"/>
  <c r="B149" i="48"/>
  <c r="B148" i="48"/>
  <c r="B147" i="48"/>
  <c r="B146" i="48"/>
  <c r="B145" i="48"/>
  <c r="B144" i="48"/>
  <c r="B143" i="48"/>
  <c r="B142" i="48"/>
  <c r="B141" i="48"/>
  <c r="B140" i="48"/>
  <c r="B139" i="48"/>
  <c r="B138" i="48"/>
  <c r="B137" i="48"/>
  <c r="B136" i="48"/>
  <c r="B135" i="48"/>
  <c r="B134" i="48"/>
  <c r="B133" i="48"/>
  <c r="B132" i="48"/>
  <c r="B131" i="48"/>
  <c r="B130" i="48"/>
  <c r="B129" i="48"/>
  <c r="B128" i="48"/>
  <c r="B127" i="48"/>
  <c r="B126" i="48"/>
  <c r="B125" i="48"/>
  <c r="B124" i="48"/>
  <c r="B123" i="48"/>
  <c r="B122" i="48"/>
  <c r="B121" i="48"/>
  <c r="B120" i="48"/>
  <c r="B119" i="48"/>
  <c r="B118" i="48"/>
  <c r="B117" i="48"/>
  <c r="B116" i="48"/>
  <c r="B115" i="48"/>
  <c r="B114" i="48"/>
  <c r="B113" i="48"/>
  <c r="B112" i="48"/>
  <c r="B111" i="48"/>
  <c r="B110" i="48"/>
  <c r="B109" i="48"/>
  <c r="B108" i="48"/>
  <c r="B107" i="48"/>
  <c r="B106" i="48"/>
  <c r="B105" i="48"/>
  <c r="B104" i="48"/>
  <c r="B103" i="48"/>
  <c r="B102" i="48"/>
  <c r="B101" i="48"/>
  <c r="B100" i="48"/>
  <c r="B99" i="48"/>
  <c r="B98" i="48"/>
  <c r="B97" i="48"/>
  <c r="B96" i="48"/>
  <c r="B95" i="48"/>
  <c r="B94" i="48"/>
  <c r="B93" i="48"/>
  <c r="B92" i="48"/>
  <c r="B91" i="48"/>
  <c r="B90" i="48"/>
  <c r="B89" i="48"/>
  <c r="B88" i="48"/>
  <c r="B87" i="48"/>
  <c r="B86" i="48"/>
  <c r="B85" i="48"/>
  <c r="B84" i="48"/>
  <c r="B83" i="48"/>
  <c r="B82" i="48"/>
  <c r="B81" i="48"/>
  <c r="B80" i="48"/>
  <c r="B79" i="48"/>
  <c r="B78" i="48"/>
  <c r="B77" i="48"/>
  <c r="B76" i="48"/>
  <c r="B75" i="48"/>
  <c r="B74" i="48"/>
  <c r="B73" i="48"/>
  <c r="B72" i="48"/>
  <c r="B71" i="48"/>
  <c r="B70" i="48"/>
  <c r="B69" i="48"/>
  <c r="B68" i="48"/>
  <c r="B67" i="48"/>
  <c r="B66" i="48"/>
  <c r="B65" i="48"/>
  <c r="B64" i="48"/>
  <c r="B63" i="48"/>
  <c r="B62" i="48"/>
  <c r="B61" i="48"/>
  <c r="B60" i="48"/>
  <c r="B59" i="48"/>
  <c r="B58" i="48"/>
  <c r="B57" i="48"/>
  <c r="B56" i="48"/>
  <c r="B55" i="48"/>
  <c r="B54" i="48"/>
  <c r="B53" i="48"/>
  <c r="B52" i="48"/>
  <c r="B51" i="48"/>
  <c r="B50" i="48"/>
  <c r="B49" i="48"/>
  <c r="B48" i="48"/>
  <c r="B47" i="48"/>
  <c r="B46" i="48"/>
  <c r="B45" i="48"/>
  <c r="B44" i="48"/>
  <c r="B43" i="48"/>
  <c r="B42" i="48"/>
  <c r="B41" i="48"/>
  <c r="B40" i="48"/>
  <c r="B39" i="48"/>
  <c r="B38" i="48"/>
  <c r="B37" i="48"/>
  <c r="B36" i="48"/>
  <c r="B35" i="48"/>
  <c r="B34" i="48"/>
  <c r="B33" i="48"/>
  <c r="B32" i="48"/>
  <c r="B31" i="48"/>
  <c r="B30" i="48"/>
  <c r="B29" i="48"/>
  <c r="B28" i="48"/>
  <c r="B27" i="48"/>
  <c r="B26" i="48"/>
  <c r="B25" i="48"/>
  <c r="B24" i="48"/>
  <c r="B23" i="48"/>
  <c r="B22" i="48"/>
  <c r="B21" i="48"/>
  <c r="B20" i="48"/>
  <c r="B19" i="48"/>
  <c r="CS40" i="37"/>
  <c r="T18" i="39" s="1"/>
  <c r="AA40" i="37"/>
  <c r="T11" i="39" s="1"/>
  <c r="AK40" i="37"/>
  <c r="T12" i="39" s="1"/>
  <c r="AU40" i="37"/>
  <c r="T13" i="39" s="1"/>
  <c r="BE40" i="37"/>
  <c r="T14" i="39" s="1"/>
  <c r="BO40" i="37"/>
  <c r="T15" i="39" s="1"/>
  <c r="BY40" i="37"/>
  <c r="T16" i="39" s="1"/>
  <c r="CI40" i="37"/>
  <c r="T17" i="39" s="1"/>
  <c r="DC40" i="37"/>
  <c r="T19" i="39" s="1"/>
  <c r="DM40" i="37"/>
  <c r="T20" i="39" s="1"/>
  <c r="DW40" i="37"/>
  <c r="T21" i="39" s="1"/>
  <c r="EG40" i="37"/>
  <c r="T22" i="39" s="1"/>
  <c r="EQ40" i="37"/>
  <c r="T23" i="39" s="1"/>
  <c r="FA40" i="37"/>
  <c r="T24" i="39" s="1"/>
  <c r="FK40" i="37"/>
  <c r="T25" i="39" s="1"/>
  <c r="FU40" i="37"/>
  <c r="T26" i="39" s="1"/>
  <c r="GE40" i="37"/>
  <c r="T27" i="39" s="1"/>
  <c r="GO40" i="37"/>
  <c r="T28" i="39" s="1"/>
  <c r="GY40" i="37"/>
  <c r="T29" i="39" s="1"/>
  <c r="HI40" i="37"/>
  <c r="T30" i="39" s="1"/>
  <c r="HS40" i="37"/>
  <c r="T31" i="39" s="1"/>
  <c r="IC40" i="37"/>
  <c r="T32" i="39" s="1"/>
  <c r="IM40" i="37"/>
  <c r="T33" i="39" s="1"/>
  <c r="IW40" i="37"/>
  <c r="T34" i="39" s="1"/>
  <c r="JG40" i="37"/>
  <c r="T35" i="39" s="1"/>
  <c r="JQ40" i="37"/>
  <c r="T36" i="39" s="1"/>
  <c r="KA40" i="37"/>
  <c r="T37" i="39" s="1"/>
  <c r="KK40" i="37"/>
  <c r="T38" i="39" s="1"/>
  <c r="KU40" i="37"/>
  <c r="T39" i="39" s="1"/>
  <c r="LE40" i="37"/>
  <c r="T40" i="39" s="1"/>
  <c r="LO40" i="37"/>
  <c r="T41" i="39" s="1"/>
  <c r="LY40" i="37"/>
  <c r="T42" i="39" s="1"/>
  <c r="AG19" i="30"/>
  <c r="AH19" i="30" s="1"/>
  <c r="AG19" i="31"/>
  <c r="B24" i="46"/>
  <c r="B13" i="46"/>
  <c r="B34" i="46"/>
  <c r="B33" i="46"/>
  <c r="B32" i="46"/>
  <c r="B31" i="46"/>
  <c r="B30" i="46"/>
  <c r="B29" i="46"/>
  <c r="B28" i="46"/>
  <c r="B27" i="46"/>
  <c r="B26" i="46"/>
  <c r="B25" i="46"/>
  <c r="B23" i="46"/>
  <c r="B22" i="46"/>
  <c r="B21" i="46"/>
  <c r="B20" i="46"/>
  <c r="B19" i="46"/>
  <c r="B18" i="46"/>
  <c r="B17" i="46"/>
  <c r="B16" i="46"/>
  <c r="B15" i="46"/>
  <c r="B14" i="46"/>
  <c r="B12" i="46"/>
  <c r="B11" i="46"/>
  <c r="B10" i="46"/>
  <c r="B9" i="46"/>
  <c r="B8" i="46"/>
  <c r="B7" i="46"/>
  <c r="B6" i="46"/>
  <c r="B5" i="46"/>
  <c r="D7" i="37"/>
  <c r="E199" i="4" s="1"/>
  <c r="H7" i="37"/>
  <c r="E200" i="4" s="1"/>
  <c r="N7" i="37"/>
  <c r="E201" i="4" s="1"/>
  <c r="T7" i="37"/>
  <c r="E203" i="4" s="1"/>
  <c r="R7" i="37"/>
  <c r="E202" i="4" s="1"/>
  <c r="D9" i="37"/>
  <c r="F9" i="37"/>
  <c r="S10" i="37"/>
  <c r="C11" i="40" s="1"/>
  <c r="B34" i="43"/>
  <c r="H7" i="44"/>
  <c r="AF7" i="44"/>
  <c r="AF6" i="44"/>
  <c r="AF8" i="44"/>
  <c r="AF9" i="44"/>
  <c r="AF10" i="44"/>
  <c r="AF11" i="44"/>
  <c r="AF12" i="44"/>
  <c r="AF13" i="44"/>
  <c r="AF14" i="44"/>
  <c r="AF15" i="44"/>
  <c r="AF16" i="44"/>
  <c r="AF17" i="44"/>
  <c r="AF18" i="44"/>
  <c r="AF19" i="44"/>
  <c r="AF20" i="44"/>
  <c r="AF21" i="44"/>
  <c r="AF22" i="44"/>
  <c r="AF23" i="44"/>
  <c r="AF24" i="44"/>
  <c r="AF25" i="44"/>
  <c r="AF26" i="44"/>
  <c r="AF27" i="44"/>
  <c r="AF28" i="44"/>
  <c r="AF29" i="44"/>
  <c r="AF30" i="44"/>
  <c r="AF31" i="44"/>
  <c r="AF32" i="44"/>
  <c r="AF33" i="44"/>
  <c r="AF34" i="44"/>
  <c r="AF35" i="44"/>
  <c r="AC7" i="44"/>
  <c r="AC6" i="44"/>
  <c r="AC8" i="44"/>
  <c r="AC9" i="44"/>
  <c r="AC10" i="44"/>
  <c r="AC11" i="44"/>
  <c r="AC12" i="44"/>
  <c r="AC13" i="44"/>
  <c r="AC14" i="44"/>
  <c r="AC15" i="44"/>
  <c r="AC16" i="44"/>
  <c r="AC17" i="44"/>
  <c r="AC18" i="44"/>
  <c r="AC19" i="44"/>
  <c r="AC20" i="44"/>
  <c r="AC21" i="44"/>
  <c r="AC22" i="44"/>
  <c r="AC23" i="44"/>
  <c r="AC24" i="44"/>
  <c r="AC25" i="44"/>
  <c r="AC26" i="44"/>
  <c r="AC27" i="44"/>
  <c r="AC28" i="44"/>
  <c r="AC29" i="44"/>
  <c r="AC30" i="44"/>
  <c r="AC31" i="44"/>
  <c r="AC32" i="44"/>
  <c r="AC33" i="44"/>
  <c r="AC34" i="44"/>
  <c r="AC35" i="44"/>
  <c r="Z7" i="44"/>
  <c r="Z6" i="44"/>
  <c r="Z8" i="44"/>
  <c r="Z9" i="44"/>
  <c r="Z10" i="44"/>
  <c r="Z11" i="44"/>
  <c r="Z12" i="44"/>
  <c r="Z13" i="44"/>
  <c r="Z14" i="44"/>
  <c r="Z15" i="44"/>
  <c r="Z16" i="44"/>
  <c r="Z17" i="44"/>
  <c r="Z18" i="44"/>
  <c r="Z19" i="44"/>
  <c r="Z20" i="44"/>
  <c r="Z21" i="44"/>
  <c r="Z22" i="44"/>
  <c r="Z23" i="44"/>
  <c r="Z24" i="44"/>
  <c r="Z25" i="44"/>
  <c r="Z26" i="44"/>
  <c r="Z27" i="44"/>
  <c r="Z28" i="44"/>
  <c r="Z29" i="44"/>
  <c r="Z30" i="44"/>
  <c r="Z31" i="44"/>
  <c r="Z32" i="44"/>
  <c r="Z33" i="44"/>
  <c r="Z34" i="44"/>
  <c r="Z35" i="44"/>
  <c r="W7" i="44"/>
  <c r="W6" i="44"/>
  <c r="W8" i="44"/>
  <c r="W9" i="44"/>
  <c r="W10" i="44"/>
  <c r="W11" i="44"/>
  <c r="W12" i="44"/>
  <c r="W13" i="44"/>
  <c r="W14" i="44"/>
  <c r="W15" i="44"/>
  <c r="W16" i="44"/>
  <c r="W17" i="44"/>
  <c r="W18" i="44"/>
  <c r="W19" i="44"/>
  <c r="W20" i="44"/>
  <c r="W21" i="44"/>
  <c r="W22" i="44"/>
  <c r="W23" i="44"/>
  <c r="W24" i="44"/>
  <c r="W28" i="44"/>
  <c r="W26" i="44"/>
  <c r="W27" i="44"/>
  <c r="W25" i="44"/>
  <c r="W29" i="44"/>
  <c r="W30" i="44"/>
  <c r="W31" i="44"/>
  <c r="W32" i="44"/>
  <c r="W33" i="44"/>
  <c r="W34" i="44"/>
  <c r="W35" i="44"/>
  <c r="T7" i="44"/>
  <c r="T6" i="44"/>
  <c r="T8" i="44"/>
  <c r="T9" i="44"/>
  <c r="T10" i="44"/>
  <c r="T11" i="44"/>
  <c r="T12" i="44"/>
  <c r="T13" i="44"/>
  <c r="T14" i="44"/>
  <c r="T15" i="44"/>
  <c r="T16" i="44"/>
  <c r="T17" i="44"/>
  <c r="T18" i="44"/>
  <c r="T19" i="44"/>
  <c r="T20" i="44"/>
  <c r="T21" i="44"/>
  <c r="T22" i="44"/>
  <c r="T23" i="44"/>
  <c r="T24" i="44"/>
  <c r="T25" i="44"/>
  <c r="T26" i="44"/>
  <c r="T27" i="44"/>
  <c r="T28" i="44"/>
  <c r="T29" i="44"/>
  <c r="T30" i="44"/>
  <c r="T31" i="44"/>
  <c r="T32" i="44"/>
  <c r="T33" i="44"/>
  <c r="T34" i="44"/>
  <c r="T35" i="44"/>
  <c r="Q7" i="44"/>
  <c r="Q6" i="44"/>
  <c r="Q8" i="44"/>
  <c r="Q9" i="44"/>
  <c r="Q10" i="44"/>
  <c r="Q11" i="44"/>
  <c r="Q12" i="44"/>
  <c r="Q13" i="44"/>
  <c r="Q14" i="44"/>
  <c r="Q15" i="44"/>
  <c r="Q16" i="44"/>
  <c r="Q17" i="44"/>
  <c r="Q18" i="44"/>
  <c r="Q19" i="44"/>
  <c r="Q20" i="44"/>
  <c r="Q21" i="44"/>
  <c r="Q22" i="44"/>
  <c r="Q23" i="44"/>
  <c r="Q24" i="44"/>
  <c r="Q25" i="44"/>
  <c r="Q26" i="44"/>
  <c r="Q27" i="44"/>
  <c r="Q28" i="44"/>
  <c r="Q29" i="44"/>
  <c r="Q30" i="44"/>
  <c r="Q31" i="44"/>
  <c r="Q32" i="44"/>
  <c r="Q33" i="44"/>
  <c r="Q34" i="44"/>
  <c r="Q35" i="44"/>
  <c r="N7" i="44"/>
  <c r="N6" i="44"/>
  <c r="N8" i="44"/>
  <c r="N9" i="44"/>
  <c r="N10" i="44"/>
  <c r="N11" i="44"/>
  <c r="N12" i="44"/>
  <c r="N13" i="44"/>
  <c r="N14" i="44"/>
  <c r="N15" i="44"/>
  <c r="N16" i="44"/>
  <c r="N17" i="44"/>
  <c r="N18" i="44"/>
  <c r="N19" i="44"/>
  <c r="N20" i="44"/>
  <c r="N21" i="44"/>
  <c r="N22" i="44"/>
  <c r="N23" i="44"/>
  <c r="N24" i="44"/>
  <c r="N25" i="44"/>
  <c r="N26" i="44"/>
  <c r="N27" i="44"/>
  <c r="N28" i="44"/>
  <c r="N29" i="44"/>
  <c r="N30" i="44"/>
  <c r="N31" i="44"/>
  <c r="N32" i="44"/>
  <c r="N33" i="44"/>
  <c r="N34" i="44"/>
  <c r="N35" i="44"/>
  <c r="H6" i="44"/>
  <c r="H8" i="44"/>
  <c r="H9" i="44"/>
  <c r="H10" i="44"/>
  <c r="H11" i="44"/>
  <c r="H12" i="44"/>
  <c r="H13" i="44"/>
  <c r="H14" i="44"/>
  <c r="H15" i="44"/>
  <c r="H16" i="44"/>
  <c r="H17" i="44"/>
  <c r="H18" i="44"/>
  <c r="H19" i="44"/>
  <c r="H20" i="44"/>
  <c r="H21" i="44"/>
  <c r="H22" i="44"/>
  <c r="H23" i="44"/>
  <c r="H24" i="44"/>
  <c r="H25" i="44"/>
  <c r="H26" i="44"/>
  <c r="H27" i="44"/>
  <c r="H28" i="44"/>
  <c r="H29" i="44"/>
  <c r="H30" i="44"/>
  <c r="H31" i="44"/>
  <c r="H32" i="44"/>
  <c r="H33" i="44"/>
  <c r="H34" i="44"/>
  <c r="H35" i="44"/>
  <c r="K6" i="44"/>
  <c r="K7" i="44"/>
  <c r="K8" i="44"/>
  <c r="K9" i="44"/>
  <c r="K10" i="44"/>
  <c r="K11" i="44"/>
  <c r="K12" i="44"/>
  <c r="K13" i="44"/>
  <c r="K14" i="44"/>
  <c r="K15" i="44"/>
  <c r="K16" i="44"/>
  <c r="K17" i="44"/>
  <c r="K18" i="44"/>
  <c r="K19" i="44"/>
  <c r="K20" i="44"/>
  <c r="K21" i="44"/>
  <c r="K22" i="44"/>
  <c r="K23" i="44"/>
  <c r="K24" i="44"/>
  <c r="K25" i="44"/>
  <c r="K26" i="44"/>
  <c r="K27" i="44"/>
  <c r="K28" i="44"/>
  <c r="K29" i="44"/>
  <c r="K30" i="44"/>
  <c r="K31" i="44"/>
  <c r="K32" i="44"/>
  <c r="K33" i="44"/>
  <c r="K34" i="44"/>
  <c r="K35" i="44"/>
  <c r="E7" i="44"/>
  <c r="E6" i="44"/>
  <c r="E8" i="44"/>
  <c r="E9" i="44"/>
  <c r="E10" i="44"/>
  <c r="E11" i="44"/>
  <c r="E12" i="44"/>
  <c r="E13" i="44"/>
  <c r="E14" i="44"/>
  <c r="E15" i="44"/>
  <c r="E16" i="44"/>
  <c r="E17" i="44"/>
  <c r="E18" i="44"/>
  <c r="E19" i="44"/>
  <c r="E20" i="44"/>
  <c r="E21" i="44"/>
  <c r="E22" i="44"/>
  <c r="E23" i="44"/>
  <c r="E24" i="44"/>
  <c r="E25" i="44"/>
  <c r="E26" i="44"/>
  <c r="E27" i="44"/>
  <c r="E28" i="44"/>
  <c r="E29" i="44"/>
  <c r="E30" i="44"/>
  <c r="E31" i="44"/>
  <c r="E32" i="44"/>
  <c r="E33" i="44"/>
  <c r="E34" i="44"/>
  <c r="E35" i="44"/>
  <c r="F36" i="44"/>
  <c r="G36" i="44"/>
  <c r="I36" i="44"/>
  <c r="J36" i="44"/>
  <c r="L36" i="44"/>
  <c r="P36" i="44"/>
  <c r="X36" i="44"/>
  <c r="AB36" i="44"/>
  <c r="F37" i="44"/>
  <c r="G37" i="44"/>
  <c r="I37" i="44"/>
  <c r="J37" i="44"/>
  <c r="F38" i="44"/>
  <c r="G38" i="44"/>
  <c r="I38" i="44"/>
  <c r="J38" i="44"/>
  <c r="R38" i="44"/>
  <c r="V38" i="44"/>
  <c r="AD38" i="44"/>
  <c r="D36" i="44"/>
  <c r="D37" i="44"/>
  <c r="D38" i="44"/>
  <c r="C38" i="44"/>
  <c r="C37" i="44"/>
  <c r="C36" i="44"/>
  <c r="AB37" i="44"/>
  <c r="X37" i="44"/>
  <c r="P37" i="44"/>
  <c r="L37" i="44"/>
  <c r="AB38" i="44"/>
  <c r="X38" i="44"/>
  <c r="P38" i="44"/>
  <c r="L38" i="44"/>
  <c r="AD36" i="44"/>
  <c r="V36" i="44"/>
  <c r="R36" i="44"/>
  <c r="AD37" i="44"/>
  <c r="V37" i="44"/>
  <c r="R37" i="44"/>
  <c r="B18" i="44"/>
  <c r="B19" i="44"/>
  <c r="B20" i="44"/>
  <c r="B21" i="44"/>
  <c r="B22" i="44"/>
  <c r="B23" i="44"/>
  <c r="B24" i="44"/>
  <c r="B25" i="44"/>
  <c r="B26" i="44"/>
  <c r="B27" i="44"/>
  <c r="B28" i="44"/>
  <c r="B29" i="44"/>
  <c r="B30" i="44"/>
  <c r="B31" i="44"/>
  <c r="B32" i="44"/>
  <c r="B33" i="44"/>
  <c r="B34" i="44"/>
  <c r="B35" i="44"/>
  <c r="B7" i="44"/>
  <c r="B8" i="44"/>
  <c r="B9" i="44"/>
  <c r="B10" i="44"/>
  <c r="B11" i="44"/>
  <c r="B12" i="44"/>
  <c r="B13" i="44"/>
  <c r="B14" i="44"/>
  <c r="B15" i="44"/>
  <c r="B16" i="44"/>
  <c r="B17" i="44"/>
  <c r="B6" i="44"/>
  <c r="M36" i="44"/>
  <c r="M38" i="44"/>
  <c r="M37" i="44"/>
  <c r="O38" i="44"/>
  <c r="O37" i="44"/>
  <c r="O36" i="44"/>
  <c r="S38" i="44"/>
  <c r="S37" i="44"/>
  <c r="S36" i="44"/>
  <c r="U36" i="44"/>
  <c r="U38" i="44"/>
  <c r="U37" i="44"/>
  <c r="Y36" i="44"/>
  <c r="Y38" i="44"/>
  <c r="Y37" i="44"/>
  <c r="AA38" i="44"/>
  <c r="AA37" i="44"/>
  <c r="AA36" i="44"/>
  <c r="B250" i="40"/>
  <c r="B249" i="40"/>
  <c r="B248" i="40"/>
  <c r="B247" i="40"/>
  <c r="B246" i="40"/>
  <c r="B245" i="40"/>
  <c r="B244" i="40"/>
  <c r="B243" i="40"/>
  <c r="B242" i="40"/>
  <c r="B241" i="40"/>
  <c r="B240" i="40"/>
  <c r="B239" i="40"/>
  <c r="B238" i="40"/>
  <c r="B237" i="40"/>
  <c r="B236" i="40"/>
  <c r="B235" i="40"/>
  <c r="B234" i="40"/>
  <c r="B233" i="40"/>
  <c r="B232" i="40"/>
  <c r="B231" i="40"/>
  <c r="B230" i="40"/>
  <c r="B229" i="40"/>
  <c r="B228" i="40"/>
  <c r="B227" i="40"/>
  <c r="B226" i="40"/>
  <c r="B225" i="40"/>
  <c r="B224" i="40"/>
  <c r="B222" i="40"/>
  <c r="B221" i="40"/>
  <c r="B223" i="40"/>
  <c r="AE38" i="44"/>
  <c r="AE37" i="44"/>
  <c r="AE36" i="44"/>
  <c r="B6" i="43"/>
  <c r="B7" i="43"/>
  <c r="B8" i="43"/>
  <c r="B9" i="43"/>
  <c r="B10" i="43"/>
  <c r="B11" i="43"/>
  <c r="B12" i="43"/>
  <c r="B13" i="43"/>
  <c r="B14" i="43"/>
  <c r="B15" i="43"/>
  <c r="B16" i="43"/>
  <c r="B17" i="43"/>
  <c r="B18" i="43"/>
  <c r="B19" i="43"/>
  <c r="B20" i="43"/>
  <c r="B21" i="43"/>
  <c r="B22" i="43"/>
  <c r="B23" i="43"/>
  <c r="B24" i="43"/>
  <c r="B25" i="43"/>
  <c r="B26" i="43"/>
  <c r="B27" i="43"/>
  <c r="B28" i="43"/>
  <c r="B29" i="43"/>
  <c r="B30" i="43"/>
  <c r="B31" i="43"/>
  <c r="B32" i="43"/>
  <c r="B33" i="43"/>
  <c r="B5" i="43"/>
  <c r="S28" i="37"/>
  <c r="C14" i="40" s="1"/>
  <c r="AH40" i="37"/>
  <c r="AI40" i="37"/>
  <c r="AJ40" i="37"/>
  <c r="AM40" i="37"/>
  <c r="AN40" i="37"/>
  <c r="AO40" i="37"/>
  <c r="AP40" i="37"/>
  <c r="AQ40" i="37"/>
  <c r="AR40" i="37"/>
  <c r="AS40" i="37"/>
  <c r="AT40" i="37"/>
  <c r="H9" i="37"/>
  <c r="S38" i="37"/>
  <c r="C36" i="40" s="1"/>
  <c r="AW40" i="37"/>
  <c r="AX40" i="37"/>
  <c r="AY40" i="37"/>
  <c r="AZ40" i="37"/>
  <c r="BA40" i="37"/>
  <c r="BB40" i="37"/>
  <c r="BC40" i="37"/>
  <c r="BD40" i="37"/>
  <c r="G9" i="37"/>
  <c r="P16" i="37"/>
  <c r="J9" i="37"/>
  <c r="S39" i="37"/>
  <c r="C37" i="40" s="1"/>
  <c r="BG40" i="37"/>
  <c r="BH40" i="37"/>
  <c r="BI40" i="37"/>
  <c r="BJ40" i="37"/>
  <c r="BK40" i="37"/>
  <c r="BL40" i="37"/>
  <c r="BM40" i="37"/>
  <c r="BN40" i="37"/>
  <c r="S11" i="37"/>
  <c r="C25" i="40" s="1"/>
  <c r="S12" i="37"/>
  <c r="C17" i="40" s="1"/>
  <c r="S13" i="37"/>
  <c r="C26" i="40" s="1"/>
  <c r="S14" i="37"/>
  <c r="C27" i="40" s="1"/>
  <c r="S15" i="37"/>
  <c r="C28" i="40" s="1"/>
  <c r="S17" i="37"/>
  <c r="C29" i="40" s="1"/>
  <c r="S18" i="37"/>
  <c r="C22" i="40" s="1"/>
  <c r="S19" i="37"/>
  <c r="C30" i="40" s="1"/>
  <c r="S20" i="37"/>
  <c r="C15" i="40" s="1"/>
  <c r="S21" i="37"/>
  <c r="C18" i="40" s="1"/>
  <c r="S22" i="37"/>
  <c r="C38" i="40" s="1"/>
  <c r="S23" i="37"/>
  <c r="C39" i="40" s="1"/>
  <c r="S24" i="37"/>
  <c r="C16" i="40" s="1"/>
  <c r="S25" i="37"/>
  <c r="C19" i="40" s="1"/>
  <c r="S26" i="37"/>
  <c r="C13" i="40" s="1"/>
  <c r="S27" i="37"/>
  <c r="C21" i="40" s="1"/>
  <c r="S29" i="37"/>
  <c r="C23" i="40" s="1"/>
  <c r="S30" i="37"/>
  <c r="C20" i="40" s="1"/>
  <c r="S31" i="37"/>
  <c r="C40" i="40" s="1"/>
  <c r="S32" i="37"/>
  <c r="C24" i="40" s="1"/>
  <c r="S33" i="37"/>
  <c r="C31" i="40" s="1"/>
  <c r="S34" i="37"/>
  <c r="C32" i="40" s="1"/>
  <c r="S35" i="37"/>
  <c r="C33" i="40" s="1"/>
  <c r="S36" i="37"/>
  <c r="C34" i="40" s="1"/>
  <c r="S37" i="37"/>
  <c r="C35" i="40" s="1"/>
  <c r="BR40" i="37"/>
  <c r="BS40" i="37"/>
  <c r="BT40" i="37"/>
  <c r="BU40" i="37"/>
  <c r="BV40" i="37"/>
  <c r="BW40" i="37"/>
  <c r="BX40" i="37"/>
  <c r="C9" i="37"/>
  <c r="I9" i="37"/>
  <c r="E9" i="37"/>
  <c r="CA40" i="37"/>
  <c r="CB40" i="37"/>
  <c r="CC40" i="37"/>
  <c r="CD40" i="37"/>
  <c r="CE40" i="37"/>
  <c r="CF40" i="37"/>
  <c r="CG40" i="37"/>
  <c r="CH40" i="37"/>
  <c r="CK40" i="37"/>
  <c r="CL40" i="37"/>
  <c r="CM40" i="37"/>
  <c r="CN40" i="37"/>
  <c r="CO40" i="37"/>
  <c r="CP40" i="37"/>
  <c r="CQ40" i="37"/>
  <c r="CR40" i="37"/>
  <c r="CU40" i="37"/>
  <c r="CV40" i="37"/>
  <c r="CW40" i="37"/>
  <c r="CX40" i="37"/>
  <c r="CY40" i="37"/>
  <c r="CZ40" i="37"/>
  <c r="DA40" i="37"/>
  <c r="DB40" i="37"/>
  <c r="L9" i="37"/>
  <c r="DE40" i="37"/>
  <c r="DF40" i="37"/>
  <c r="DG40" i="37"/>
  <c r="DH40" i="37"/>
  <c r="DI40" i="37"/>
  <c r="DJ40" i="37"/>
  <c r="DK40" i="37"/>
  <c r="DL40" i="37"/>
  <c r="DO40" i="37"/>
  <c r="DP40" i="37"/>
  <c r="DQ40" i="37"/>
  <c r="DR40" i="37"/>
  <c r="DS40" i="37"/>
  <c r="DT40" i="37"/>
  <c r="DU40" i="37"/>
  <c r="DV40" i="37"/>
  <c r="DY40" i="37"/>
  <c r="DZ40" i="37"/>
  <c r="EA40" i="37"/>
  <c r="EB40" i="37"/>
  <c r="EC40" i="37"/>
  <c r="ED40" i="37"/>
  <c r="EE40" i="37"/>
  <c r="EF40" i="37"/>
  <c r="EI40" i="37"/>
  <c r="EJ40" i="37"/>
  <c r="EK40" i="37"/>
  <c r="EL40" i="37"/>
  <c r="EM40" i="37"/>
  <c r="EN40" i="37"/>
  <c r="EO40" i="37"/>
  <c r="EP40" i="37"/>
  <c r="ES40" i="37"/>
  <c r="ET40" i="37"/>
  <c r="EU40" i="37"/>
  <c r="EV40" i="37"/>
  <c r="EW40" i="37"/>
  <c r="EX40" i="37"/>
  <c r="EY40" i="37"/>
  <c r="EZ40" i="37"/>
  <c r="FC40" i="37"/>
  <c r="FD40" i="37"/>
  <c r="FE40" i="37"/>
  <c r="FF40" i="37"/>
  <c r="FG40" i="37"/>
  <c r="FH40" i="37"/>
  <c r="FI40" i="37"/>
  <c r="FJ40" i="37"/>
  <c r="FM40" i="37"/>
  <c r="FN40" i="37"/>
  <c r="FO40" i="37"/>
  <c r="FP40" i="37"/>
  <c r="FQ40" i="37"/>
  <c r="FR40" i="37"/>
  <c r="FS40" i="37"/>
  <c r="FT40" i="37"/>
  <c r="FW40" i="37"/>
  <c r="FX40" i="37"/>
  <c r="FY40" i="37"/>
  <c r="FZ40" i="37"/>
  <c r="GA40" i="37"/>
  <c r="GB40" i="37"/>
  <c r="GC40" i="37"/>
  <c r="GD40" i="37"/>
  <c r="GG40" i="37"/>
  <c r="GH40" i="37"/>
  <c r="GI40" i="37"/>
  <c r="GJ40" i="37"/>
  <c r="GK40" i="37"/>
  <c r="GL40" i="37"/>
  <c r="GM40" i="37"/>
  <c r="GN40" i="37"/>
  <c r="GQ40" i="37"/>
  <c r="GR40" i="37"/>
  <c r="GS40" i="37"/>
  <c r="GT40" i="37"/>
  <c r="GU40" i="37"/>
  <c r="GV40" i="37"/>
  <c r="GW40" i="37"/>
  <c r="GX40" i="37"/>
  <c r="HA40" i="37"/>
  <c r="HB40" i="37"/>
  <c r="HC40" i="37"/>
  <c r="HD40" i="37"/>
  <c r="HE40" i="37"/>
  <c r="HF40" i="37"/>
  <c r="HG40" i="37"/>
  <c r="HH40" i="37"/>
  <c r="HK40" i="37"/>
  <c r="HL40" i="37"/>
  <c r="HM40" i="37"/>
  <c r="HN40" i="37"/>
  <c r="HO40" i="37"/>
  <c r="HP40" i="37"/>
  <c r="HQ40" i="37"/>
  <c r="HR40" i="37"/>
  <c r="HU40" i="37"/>
  <c r="HV40" i="37"/>
  <c r="HW40" i="37"/>
  <c r="HX40" i="37"/>
  <c r="HY40" i="37"/>
  <c r="HZ40" i="37"/>
  <c r="IA40" i="37"/>
  <c r="IB40" i="37"/>
  <c r="IE40" i="37"/>
  <c r="IF40" i="37"/>
  <c r="IG40" i="37"/>
  <c r="IH40" i="37"/>
  <c r="II40" i="37"/>
  <c r="IJ40" i="37"/>
  <c r="IK40" i="37"/>
  <c r="IL40" i="37"/>
  <c r="IO40" i="37"/>
  <c r="IP40" i="37"/>
  <c r="IQ40" i="37"/>
  <c r="IR40" i="37"/>
  <c r="IS40" i="37"/>
  <c r="IT40" i="37"/>
  <c r="IU40" i="37"/>
  <c r="IV40" i="37"/>
  <c r="IY40" i="37"/>
  <c r="IZ40" i="37"/>
  <c r="JA40" i="37"/>
  <c r="JB40" i="37"/>
  <c r="JC40" i="37"/>
  <c r="JD40" i="37"/>
  <c r="JE40" i="37"/>
  <c r="JF40" i="37"/>
  <c r="JI40" i="37"/>
  <c r="JJ40" i="37"/>
  <c r="JK40" i="37"/>
  <c r="JL40" i="37"/>
  <c r="JM40" i="37"/>
  <c r="JN40" i="37"/>
  <c r="JO40" i="37"/>
  <c r="JP40" i="37"/>
  <c r="JS40" i="37"/>
  <c r="JT40" i="37"/>
  <c r="JU40" i="37"/>
  <c r="JV40" i="37"/>
  <c r="JW40" i="37"/>
  <c r="JX40" i="37"/>
  <c r="JY40" i="37"/>
  <c r="JZ40" i="37"/>
  <c r="KC40" i="37"/>
  <c r="KD40" i="37"/>
  <c r="KE40" i="37"/>
  <c r="KF40" i="37"/>
  <c r="KG40" i="37"/>
  <c r="KH40" i="37"/>
  <c r="KI40" i="37"/>
  <c r="KJ40" i="37"/>
  <c r="KM40" i="37"/>
  <c r="KN40" i="37"/>
  <c r="KO40" i="37"/>
  <c r="KP40" i="37"/>
  <c r="KQ40" i="37"/>
  <c r="KR40" i="37"/>
  <c r="KS40" i="37"/>
  <c r="KT40" i="37"/>
  <c r="KW40" i="37"/>
  <c r="KX40" i="37"/>
  <c r="KY40" i="37"/>
  <c r="KZ40" i="37"/>
  <c r="LA40" i="37"/>
  <c r="LB40" i="37"/>
  <c r="LC40" i="37"/>
  <c r="LD40" i="37"/>
  <c r="LG40" i="37"/>
  <c r="LH40" i="37"/>
  <c r="LI40" i="37"/>
  <c r="LJ40" i="37"/>
  <c r="LK40" i="37"/>
  <c r="LL40" i="37"/>
  <c r="LM40" i="37"/>
  <c r="LN40" i="37"/>
  <c r="LQ40" i="37"/>
  <c r="LR40" i="37"/>
  <c r="LS40" i="37"/>
  <c r="LT40" i="37"/>
  <c r="LU40" i="37"/>
  <c r="LV40" i="37"/>
  <c r="LW40" i="37"/>
  <c r="LX40" i="37"/>
  <c r="MA40" i="37"/>
  <c r="MB40" i="37"/>
  <c r="MC40" i="37"/>
  <c r="MD40" i="37"/>
  <c r="ME40" i="37"/>
  <c r="C222" i="40"/>
  <c r="E222" i="40"/>
  <c r="E223" i="40"/>
  <c r="E224" i="40"/>
  <c r="E225" i="40"/>
  <c r="C226" i="40"/>
  <c r="E226" i="40"/>
  <c r="C227" i="40"/>
  <c r="E227" i="40"/>
  <c r="C229" i="40"/>
  <c r="E229" i="40"/>
  <c r="C228" i="40"/>
  <c r="E228" i="40"/>
  <c r="C230" i="40"/>
  <c r="E230" i="40"/>
  <c r="C231" i="40"/>
  <c r="E231" i="40"/>
  <c r="C232" i="40"/>
  <c r="E232" i="40"/>
  <c r="C233" i="40"/>
  <c r="E233" i="40"/>
  <c r="C234" i="40"/>
  <c r="E234" i="40"/>
  <c r="E235" i="40"/>
  <c r="C235" i="40"/>
  <c r="C236" i="40"/>
  <c r="E236" i="40"/>
  <c r="C237" i="40"/>
  <c r="E237" i="40"/>
  <c r="C238" i="40"/>
  <c r="E238" i="40"/>
  <c r="C239" i="40"/>
  <c r="E239" i="40"/>
  <c r="C240" i="40"/>
  <c r="E240" i="40"/>
  <c r="E241" i="40"/>
  <c r="E242" i="40"/>
  <c r="C243" i="40"/>
  <c r="E243" i="40"/>
  <c r="C244" i="40"/>
  <c r="E244" i="40"/>
  <c r="E245" i="40"/>
  <c r="C246" i="40"/>
  <c r="E246" i="40"/>
  <c r="C247" i="40"/>
  <c r="E247" i="40"/>
  <c r="C248" i="40"/>
  <c r="E248" i="40"/>
  <c r="C249" i="40"/>
  <c r="E249" i="40"/>
  <c r="C250" i="40"/>
  <c r="E250" i="40"/>
  <c r="C221" i="40"/>
  <c r="E221" i="40"/>
  <c r="U11" i="37"/>
  <c r="C193" i="40" s="1"/>
  <c r="V11" i="37"/>
  <c r="D193" i="40" s="1"/>
  <c r="U12" i="37"/>
  <c r="C194" i="40" s="1"/>
  <c r="V12" i="37"/>
  <c r="D194" i="40" s="1"/>
  <c r="U13" i="37"/>
  <c r="C195" i="40" s="1"/>
  <c r="V13" i="37"/>
  <c r="D195" i="40" s="1"/>
  <c r="U14" i="37"/>
  <c r="V14" i="37"/>
  <c r="D196" i="40" s="1"/>
  <c r="U15" i="37"/>
  <c r="C197" i="40" s="1"/>
  <c r="V15" i="37"/>
  <c r="D197" i="40" s="1"/>
  <c r="U16" i="37"/>
  <c r="C198" i="40" s="1"/>
  <c r="V16" i="37"/>
  <c r="D198" i="40" s="1"/>
  <c r="U17" i="37"/>
  <c r="C199" i="40" s="1"/>
  <c r="V17" i="37"/>
  <c r="D199" i="40" s="1"/>
  <c r="U18" i="37"/>
  <c r="C200" i="40" s="1"/>
  <c r="V18" i="37"/>
  <c r="D200" i="40" s="1"/>
  <c r="U19" i="37"/>
  <c r="C190" i="40" s="1"/>
  <c r="V19" i="37"/>
  <c r="D190" i="40" s="1"/>
  <c r="U20" i="37"/>
  <c r="C201" i="40" s="1"/>
  <c r="V20" i="37"/>
  <c r="D201" i="40" s="1"/>
  <c r="U21" i="37"/>
  <c r="C202" i="40" s="1"/>
  <c r="V21" i="37"/>
  <c r="D202" i="40" s="1"/>
  <c r="U22" i="37"/>
  <c r="C188" i="40" s="1"/>
  <c r="V22" i="37"/>
  <c r="D188" i="40" s="1"/>
  <c r="U23" i="37"/>
  <c r="C203" i="40" s="1"/>
  <c r="V23" i="37"/>
  <c r="D203" i="40" s="1"/>
  <c r="U24" i="37"/>
  <c r="C186" i="40" s="1"/>
  <c r="V24" i="37"/>
  <c r="D186" i="40" s="1"/>
  <c r="U25" i="37"/>
  <c r="C191" i="40" s="1"/>
  <c r="V25" i="37"/>
  <c r="D191" i="40" s="1"/>
  <c r="U26" i="37"/>
  <c r="C204" i="40" s="1"/>
  <c r="V26" i="37"/>
  <c r="D204" i="40" s="1"/>
  <c r="U27" i="37"/>
  <c r="C205" i="40" s="1"/>
  <c r="V27" i="37"/>
  <c r="D205" i="40" s="1"/>
  <c r="U28" i="37"/>
  <c r="C189" i="40" s="1"/>
  <c r="V28" i="37"/>
  <c r="D189" i="40" s="1"/>
  <c r="U29" i="37"/>
  <c r="C192" i="40" s="1"/>
  <c r="V29" i="37"/>
  <c r="D192" i="40" s="1"/>
  <c r="U30" i="37"/>
  <c r="C206" i="40" s="1"/>
  <c r="V30" i="37"/>
  <c r="D206" i="40" s="1"/>
  <c r="U31" i="37"/>
  <c r="C207" i="40" s="1"/>
  <c r="V31" i="37"/>
  <c r="D207" i="40" s="1"/>
  <c r="U32" i="37"/>
  <c r="C208" i="40" s="1"/>
  <c r="V32" i="37"/>
  <c r="D208" i="40" s="1"/>
  <c r="U33" i="37"/>
  <c r="C209" i="40" s="1"/>
  <c r="V33" i="37"/>
  <c r="D209" i="40" s="1"/>
  <c r="U34" i="37"/>
  <c r="C210" i="40" s="1"/>
  <c r="V34" i="37"/>
  <c r="D210" i="40" s="1"/>
  <c r="U35" i="37"/>
  <c r="C211" i="40" s="1"/>
  <c r="V35" i="37"/>
  <c r="D211" i="40" s="1"/>
  <c r="U36" i="37"/>
  <c r="C212" i="40" s="1"/>
  <c r="V36" i="37"/>
  <c r="D212" i="40" s="1"/>
  <c r="U37" i="37"/>
  <c r="C213" i="40" s="1"/>
  <c r="V37" i="37"/>
  <c r="D213" i="40" s="1"/>
  <c r="U38" i="37"/>
  <c r="C214" i="40" s="1"/>
  <c r="V38" i="37"/>
  <c r="D214" i="40" s="1"/>
  <c r="U39" i="37"/>
  <c r="C215" i="40" s="1"/>
  <c r="V39" i="37"/>
  <c r="D215" i="40" s="1"/>
  <c r="V10" i="37"/>
  <c r="U10" i="37"/>
  <c r="C187" i="40" s="1"/>
  <c r="P10" i="37"/>
  <c r="Q10" i="37"/>
  <c r="P11" i="37"/>
  <c r="C136" i="40" s="1"/>
  <c r="Q11" i="37"/>
  <c r="P15" i="37"/>
  <c r="C126" i="40" s="1"/>
  <c r="P22" i="37"/>
  <c r="C130" i="40" s="1"/>
  <c r="P24" i="37"/>
  <c r="C123" i="40" s="1"/>
  <c r="P25" i="37"/>
  <c r="P29" i="37"/>
  <c r="C117" i="40" s="1"/>
  <c r="Q29" i="37"/>
  <c r="P30" i="37"/>
  <c r="C137" i="40" s="1"/>
  <c r="Q30" i="37"/>
  <c r="P32" i="37"/>
  <c r="C139" i="40" s="1"/>
  <c r="P34" i="37"/>
  <c r="C141" i="40" s="1"/>
  <c r="P36" i="37"/>
  <c r="C144" i="40" s="1"/>
  <c r="Q36" i="37"/>
  <c r="P37" i="37"/>
  <c r="Q37" i="37"/>
  <c r="P13" i="37"/>
  <c r="Q13" i="37"/>
  <c r="P14" i="37"/>
  <c r="Q16" i="37"/>
  <c r="P17" i="37"/>
  <c r="C116" i="40" s="1"/>
  <c r="P18" i="37"/>
  <c r="Q18" i="37"/>
  <c r="P19" i="37"/>
  <c r="Q19" i="37"/>
  <c r="P20" i="37"/>
  <c r="C127" i="40" s="1"/>
  <c r="Q20" i="37"/>
  <c r="P21" i="37"/>
  <c r="C135" i="40" s="1"/>
  <c r="Q21" i="37"/>
  <c r="P23" i="37"/>
  <c r="C128" i="40" s="1"/>
  <c r="Q23" i="37"/>
  <c r="P26" i="37"/>
  <c r="C125" i="40" s="1"/>
  <c r="P27" i="37"/>
  <c r="P28" i="37"/>
  <c r="C131" i="40" s="1"/>
  <c r="P31" i="37"/>
  <c r="P33" i="37"/>
  <c r="Q33" i="37"/>
  <c r="P35" i="37"/>
  <c r="C143" i="40" s="1"/>
  <c r="P38" i="37"/>
  <c r="C145" i="40" s="1"/>
  <c r="P39" i="37"/>
  <c r="C146" i="40" s="1"/>
  <c r="Q39" i="37"/>
  <c r="T11" i="37"/>
  <c r="C65" i="40" s="1"/>
  <c r="T12" i="37"/>
  <c r="C51" i="40" s="1"/>
  <c r="T13" i="37"/>
  <c r="C52" i="40" s="1"/>
  <c r="T14" i="37"/>
  <c r="C64" i="40" s="1"/>
  <c r="T15" i="37"/>
  <c r="C66" i="40" s="1"/>
  <c r="T16" i="37"/>
  <c r="C46" i="40" s="1"/>
  <c r="T17" i="37"/>
  <c r="C67" i="40" s="1"/>
  <c r="T18" i="37"/>
  <c r="C58" i="40" s="1"/>
  <c r="T19" i="37"/>
  <c r="C68" i="40" s="1"/>
  <c r="T20" i="37"/>
  <c r="C48" i="40" s="1"/>
  <c r="T21" i="37"/>
  <c r="C53" i="40" s="1"/>
  <c r="T22" i="37"/>
  <c r="C50" i="40" s="1"/>
  <c r="T23" i="37"/>
  <c r="C69" i="40" s="1"/>
  <c r="T24" i="37"/>
  <c r="C62" i="40" s="1"/>
  <c r="T25" i="37"/>
  <c r="C70" i="40" s="1"/>
  <c r="T26" i="37"/>
  <c r="C57" i="40" s="1"/>
  <c r="T27" i="37"/>
  <c r="C54" i="40" s="1"/>
  <c r="T28" i="37"/>
  <c r="C49" i="40" s="1"/>
  <c r="T29" i="37"/>
  <c r="C55" i="40" s="1"/>
  <c r="T30" i="37"/>
  <c r="C56" i="40" s="1"/>
  <c r="T31" i="37"/>
  <c r="C59" i="40" s="1"/>
  <c r="T32" i="37"/>
  <c r="C63" i="40" s="1"/>
  <c r="T33" i="37"/>
  <c r="C71" i="40" s="1"/>
  <c r="T34" i="37"/>
  <c r="C61" i="40" s="1"/>
  <c r="T35" i="37"/>
  <c r="C72" i="40" s="1"/>
  <c r="T36" i="37"/>
  <c r="C73" i="40" s="1"/>
  <c r="T37" i="37"/>
  <c r="C60" i="40" s="1"/>
  <c r="T38" i="37"/>
  <c r="C74" i="40" s="1"/>
  <c r="T39" i="37"/>
  <c r="C75" i="40" s="1"/>
  <c r="T10" i="37"/>
  <c r="P62" i="39"/>
  <c r="H64" i="39" s="1"/>
  <c r="Q14" i="37"/>
  <c r="Q15" i="37"/>
  <c r="Q17" i="37"/>
  <c r="Q22" i="37"/>
  <c r="Q24" i="37"/>
  <c r="Q25" i="37"/>
  <c r="Q26" i="37"/>
  <c r="Q27" i="37"/>
  <c r="Q28" i="37"/>
  <c r="Q31" i="37"/>
  <c r="Q32" i="37"/>
  <c r="Q34" i="37"/>
  <c r="Q35" i="37"/>
  <c r="Q38" i="37"/>
  <c r="W10" i="37"/>
  <c r="W11" i="37"/>
  <c r="W12" i="37"/>
  <c r="W13" i="37"/>
  <c r="W14" i="37"/>
  <c r="W15" i="37"/>
  <c r="W16" i="37"/>
  <c r="W17" i="37"/>
  <c r="W18" i="37"/>
  <c r="W19" i="37"/>
  <c r="W20" i="37"/>
  <c r="W21" i="37"/>
  <c r="W22" i="37"/>
  <c r="W23" i="37"/>
  <c r="W24" i="37"/>
  <c r="W25" i="37"/>
  <c r="W26" i="37"/>
  <c r="W27" i="37"/>
  <c r="W28" i="37"/>
  <c r="W29" i="37"/>
  <c r="W30" i="37"/>
  <c r="W31" i="37"/>
  <c r="W32" i="37"/>
  <c r="W33" i="37"/>
  <c r="W34" i="37"/>
  <c r="W35" i="37"/>
  <c r="W36" i="37"/>
  <c r="W37" i="37"/>
  <c r="W38" i="37"/>
  <c r="W39" i="37"/>
  <c r="X40" i="37"/>
  <c r="Y40" i="37"/>
  <c r="Z40" i="37"/>
  <c r="AC40" i="37"/>
  <c r="AD40" i="37"/>
  <c r="AE40" i="37"/>
  <c r="AF40" i="37"/>
  <c r="AG40" i="37"/>
  <c r="R42" i="39"/>
  <c r="R41" i="39"/>
  <c r="R40" i="39"/>
  <c r="R39" i="39"/>
  <c r="R38" i="39"/>
  <c r="R37" i="39"/>
  <c r="R36" i="39"/>
  <c r="R35" i="39"/>
  <c r="R34" i="39"/>
  <c r="R33" i="39"/>
  <c r="R32" i="39"/>
  <c r="R31" i="39"/>
  <c r="R30" i="39"/>
  <c r="R29" i="39"/>
  <c r="R28" i="39"/>
  <c r="R27" i="39"/>
  <c r="R26" i="39"/>
  <c r="R25" i="39"/>
  <c r="R24" i="39"/>
  <c r="R23" i="39"/>
  <c r="R22" i="39"/>
  <c r="R21" i="39"/>
  <c r="R20" i="39"/>
  <c r="R19" i="39"/>
  <c r="R17" i="39"/>
  <c r="R15" i="39"/>
  <c r="R14" i="39"/>
  <c r="R13" i="39"/>
  <c r="R12" i="39"/>
  <c r="C194" i="4"/>
  <c r="C193" i="4"/>
  <c r="C192" i="4"/>
  <c r="C191" i="4"/>
  <c r="C190" i="4"/>
  <c r="C189" i="4"/>
  <c r="C188" i="4"/>
  <c r="C187" i="4"/>
  <c r="C186" i="4"/>
  <c r="C185" i="4"/>
  <c r="C184" i="4"/>
  <c r="C183" i="4"/>
  <c r="C182" i="4"/>
  <c r="C181" i="4"/>
  <c r="C180" i="4"/>
  <c r="C179" i="4"/>
  <c r="C178" i="4"/>
  <c r="C177" i="4"/>
  <c r="C176" i="4"/>
  <c r="C175" i="4"/>
  <c r="C174" i="4"/>
  <c r="C173" i="4"/>
  <c r="C172" i="4"/>
  <c r="C171" i="4"/>
  <c r="C170" i="4"/>
  <c r="C169" i="4"/>
  <c r="C168" i="4"/>
  <c r="C167" i="4"/>
  <c r="C166" i="4"/>
  <c r="C165" i="4"/>
  <c r="C164" i="4"/>
  <c r="C163" i="4"/>
  <c r="D150" i="23"/>
  <c r="E150" i="23"/>
  <c r="F150" i="23"/>
  <c r="G150" i="23"/>
  <c r="H150" i="23"/>
  <c r="I150" i="23"/>
  <c r="J150" i="23"/>
  <c r="K150" i="23"/>
  <c r="L150" i="23"/>
  <c r="M150" i="23"/>
  <c r="N150" i="23"/>
  <c r="P150" i="23"/>
  <c r="Q150" i="23"/>
  <c r="R150" i="23"/>
  <c r="S150" i="23"/>
  <c r="T150" i="23"/>
  <c r="U150" i="23"/>
  <c r="V150" i="23"/>
  <c r="W150" i="23"/>
  <c r="X150" i="23"/>
  <c r="Y150" i="23"/>
  <c r="Z150" i="23"/>
  <c r="AA150" i="23"/>
  <c r="AB150" i="23"/>
  <c r="AC150" i="23"/>
  <c r="AD150" i="23"/>
  <c r="AE150" i="23"/>
  <c r="AF150" i="23"/>
  <c r="C150" i="23"/>
  <c r="B149" i="23"/>
  <c r="Y150" i="31"/>
  <c r="Z150" i="31"/>
  <c r="AA150" i="31"/>
  <c r="AB150" i="31"/>
  <c r="AC150" i="31"/>
  <c r="AD150" i="31"/>
  <c r="AE150" i="31"/>
  <c r="AF150" i="31"/>
  <c r="D150" i="31"/>
  <c r="E150" i="31"/>
  <c r="F150" i="31"/>
  <c r="G150" i="31"/>
  <c r="H150" i="31"/>
  <c r="I150" i="31"/>
  <c r="J150" i="31"/>
  <c r="K150" i="31"/>
  <c r="L150" i="31"/>
  <c r="M150" i="31"/>
  <c r="N150" i="31"/>
  <c r="O150" i="31"/>
  <c r="P150" i="31"/>
  <c r="Q150" i="31"/>
  <c r="R150" i="31"/>
  <c r="S150" i="31"/>
  <c r="T150" i="31"/>
  <c r="U150" i="31"/>
  <c r="V150" i="31"/>
  <c r="W150" i="31"/>
  <c r="X150" i="31"/>
  <c r="C150" i="31"/>
  <c r="W150" i="30"/>
  <c r="X150" i="30"/>
  <c r="Y150" i="30"/>
  <c r="Z150" i="30"/>
  <c r="AA150" i="30"/>
  <c r="AB150" i="30"/>
  <c r="AC150" i="30"/>
  <c r="AD150" i="30"/>
  <c r="AE150" i="30"/>
  <c r="AF150" i="30"/>
  <c r="D150" i="30"/>
  <c r="E150" i="30"/>
  <c r="F150" i="30"/>
  <c r="G150" i="30"/>
  <c r="H150" i="30"/>
  <c r="I150" i="30"/>
  <c r="J150" i="30"/>
  <c r="K150" i="30"/>
  <c r="L150" i="30"/>
  <c r="M150" i="30"/>
  <c r="N150" i="30"/>
  <c r="O150" i="30"/>
  <c r="P150" i="30"/>
  <c r="Q150" i="30"/>
  <c r="R150" i="30"/>
  <c r="S150" i="30"/>
  <c r="T150" i="30"/>
  <c r="U150" i="30"/>
  <c r="V150" i="30"/>
  <c r="C150" i="30"/>
  <c r="D150" i="29"/>
  <c r="E150" i="29"/>
  <c r="F150" i="29"/>
  <c r="G150" i="29"/>
  <c r="H150" i="29"/>
  <c r="I150" i="29"/>
  <c r="J150" i="29"/>
  <c r="K150" i="29"/>
  <c r="L150" i="29"/>
  <c r="M150" i="29"/>
  <c r="N150" i="29"/>
  <c r="O150" i="29"/>
  <c r="P150" i="29"/>
  <c r="Q150" i="29"/>
  <c r="R150" i="29"/>
  <c r="S150" i="29"/>
  <c r="T150" i="29"/>
  <c r="U150" i="29"/>
  <c r="V150" i="29"/>
  <c r="W150" i="29"/>
  <c r="C150" i="29"/>
  <c r="Y150" i="29"/>
  <c r="Z150" i="29"/>
  <c r="AA150" i="29"/>
  <c r="AB150" i="29"/>
  <c r="AC150" i="29"/>
  <c r="AD150" i="29"/>
  <c r="AE150" i="29"/>
  <c r="AF150" i="29"/>
  <c r="X150" i="29"/>
  <c r="AI8" i="22"/>
  <c r="AH8" i="22"/>
  <c r="M6" i="64" s="1"/>
  <c r="AJ8" i="22"/>
  <c r="AK8" i="22"/>
  <c r="AL8" i="22"/>
  <c r="AN8" i="22"/>
  <c r="AI9" i="22"/>
  <c r="AH9" i="22"/>
  <c r="M7" i="64" s="1"/>
  <c r="AJ9" i="22"/>
  <c r="AK9" i="22"/>
  <c r="AL9" i="22"/>
  <c r="AN9" i="22"/>
  <c r="AI10" i="22"/>
  <c r="AH10" i="22"/>
  <c r="M8" i="64" s="1"/>
  <c r="AJ10" i="22"/>
  <c r="AK10" i="22"/>
  <c r="AL10" i="22"/>
  <c r="AN10" i="22"/>
  <c r="AI11" i="22"/>
  <c r="AH11" i="22"/>
  <c r="M9" i="64" s="1"/>
  <c r="AJ11" i="22"/>
  <c r="AK11" i="22"/>
  <c r="AL11" i="22"/>
  <c r="AN11" i="22"/>
  <c r="AI12" i="22"/>
  <c r="AJ12" i="22"/>
  <c r="AK12" i="22"/>
  <c r="AH12" i="22"/>
  <c r="M10" i="64" s="1"/>
  <c r="AL12" i="22"/>
  <c r="AN12" i="22"/>
  <c r="AI13" i="22"/>
  <c r="AH13" i="22"/>
  <c r="M11" i="64" s="1"/>
  <c r="AJ13" i="22"/>
  <c r="AK13" i="22"/>
  <c r="AL13" i="22"/>
  <c r="AN13" i="22"/>
  <c r="AI14" i="22"/>
  <c r="AH14" i="22"/>
  <c r="M12" i="64" s="1"/>
  <c r="AJ14" i="22"/>
  <c r="AK14" i="22"/>
  <c r="AL14" i="22"/>
  <c r="AN14" i="22"/>
  <c r="AI15" i="22"/>
  <c r="AJ15" i="22"/>
  <c r="AH15" i="22"/>
  <c r="M13" i="64" s="1"/>
  <c r="AK15" i="22"/>
  <c r="AL15" i="22"/>
  <c r="AN15" i="22"/>
  <c r="AI16" i="22"/>
  <c r="AH16" i="22"/>
  <c r="M14" i="64" s="1"/>
  <c r="AJ16" i="22"/>
  <c r="AK16" i="22"/>
  <c r="AL16" i="22"/>
  <c r="AN16" i="22"/>
  <c r="AI17" i="22"/>
  <c r="AJ17" i="22"/>
  <c r="AK17" i="22"/>
  <c r="AH17" i="22"/>
  <c r="M15" i="64" s="1"/>
  <c r="AL17" i="22"/>
  <c r="AN17" i="22"/>
  <c r="AI18" i="22"/>
  <c r="AH18" i="22"/>
  <c r="M16" i="64" s="1"/>
  <c r="AJ18" i="22"/>
  <c r="AK18" i="22"/>
  <c r="AL18" i="22"/>
  <c r="AN18" i="22"/>
  <c r="AI19" i="22"/>
  <c r="AJ19" i="22"/>
  <c r="AH19" i="22"/>
  <c r="M17" i="64" s="1"/>
  <c r="AK19" i="22"/>
  <c r="AL19" i="22"/>
  <c r="AN19" i="22"/>
  <c r="AI20" i="22"/>
  <c r="AH20" i="22"/>
  <c r="M18" i="64" s="1"/>
  <c r="AJ20" i="22"/>
  <c r="AK20" i="22"/>
  <c r="AL20" i="22"/>
  <c r="AN20" i="22"/>
  <c r="AI21" i="22"/>
  <c r="AJ21" i="22"/>
  <c r="AK21" i="22"/>
  <c r="AH21" i="22"/>
  <c r="M19" i="64" s="1"/>
  <c r="AL21" i="22"/>
  <c r="AN21" i="22"/>
  <c r="AI22" i="22"/>
  <c r="AH22" i="22"/>
  <c r="M20" i="64" s="1"/>
  <c r="AJ22" i="22"/>
  <c r="AK22" i="22"/>
  <c r="AL22" i="22"/>
  <c r="AN22" i="22"/>
  <c r="AI23" i="22"/>
  <c r="AJ23" i="22"/>
  <c r="AH23" i="22"/>
  <c r="M21" i="64" s="1"/>
  <c r="AK23" i="22"/>
  <c r="AL23" i="22"/>
  <c r="AN23" i="22"/>
  <c r="AI24" i="22"/>
  <c r="AJ24" i="22"/>
  <c r="AH24" i="22"/>
  <c r="M22" i="64" s="1"/>
  <c r="AK24" i="22"/>
  <c r="AL24" i="22"/>
  <c r="AN24" i="22"/>
  <c r="AI25" i="22"/>
  <c r="AJ25" i="22"/>
  <c r="AH25" i="22"/>
  <c r="M23" i="64" s="1"/>
  <c r="AK25" i="22"/>
  <c r="AL25" i="22"/>
  <c r="AN25" i="22"/>
  <c r="AI26" i="22"/>
  <c r="AJ26" i="22"/>
  <c r="AH26" i="22"/>
  <c r="M24" i="64" s="1"/>
  <c r="AK26" i="22"/>
  <c r="AL26" i="22"/>
  <c r="AN26" i="22"/>
  <c r="AI27" i="22"/>
  <c r="AJ27" i="22"/>
  <c r="AH27" i="22"/>
  <c r="M25" i="64" s="1"/>
  <c r="AK27" i="22"/>
  <c r="AL27" i="22"/>
  <c r="AN27" i="22"/>
  <c r="AI28" i="22"/>
  <c r="AJ28" i="22"/>
  <c r="AH28" i="22"/>
  <c r="M26" i="64" s="1"/>
  <c r="AK28" i="22"/>
  <c r="AL28" i="22"/>
  <c r="AN28" i="22"/>
  <c r="AI29" i="22"/>
  <c r="AH29" i="22"/>
  <c r="M27" i="64" s="1"/>
  <c r="AJ29" i="22"/>
  <c r="AK29" i="22"/>
  <c r="AL29" i="22"/>
  <c r="AN29" i="22"/>
  <c r="AI30" i="22"/>
  <c r="AJ30" i="22"/>
  <c r="AH30" i="22"/>
  <c r="M28" i="64" s="1"/>
  <c r="AK30" i="22"/>
  <c r="AL30" i="22"/>
  <c r="AN30" i="22"/>
  <c r="AI31" i="22"/>
  <c r="AJ31" i="22"/>
  <c r="AH31" i="22"/>
  <c r="M29" i="64" s="1"/>
  <c r="AK31" i="22"/>
  <c r="AL31" i="22"/>
  <c r="AN31" i="22"/>
  <c r="AI32" i="22"/>
  <c r="AH32" i="22"/>
  <c r="M30" i="64" s="1"/>
  <c r="AJ32" i="22"/>
  <c r="AK32" i="22"/>
  <c r="AL32" i="22"/>
  <c r="AN32" i="22"/>
  <c r="AI33" i="22"/>
  <c r="AH33" i="22"/>
  <c r="M31" i="64" s="1"/>
  <c r="AJ33" i="22"/>
  <c r="AK33" i="22"/>
  <c r="AL33" i="22"/>
  <c r="AN33" i="22"/>
  <c r="AI34" i="22"/>
  <c r="AH34" i="22"/>
  <c r="M32" i="64" s="1"/>
  <c r="AJ34" i="22"/>
  <c r="AK34" i="22"/>
  <c r="AL34" i="22"/>
  <c r="AN34" i="22"/>
  <c r="AI35" i="22"/>
  <c r="AJ35" i="22"/>
  <c r="AH35" i="22"/>
  <c r="M33" i="64" s="1"/>
  <c r="AK35" i="22"/>
  <c r="AL35" i="22"/>
  <c r="AN35" i="22"/>
  <c r="AI36" i="22"/>
  <c r="AH36" i="22"/>
  <c r="M34" i="64" s="1"/>
  <c r="AJ36" i="22"/>
  <c r="AK36" i="22"/>
  <c r="AL36" i="22"/>
  <c r="AN36" i="22"/>
  <c r="AI37" i="22"/>
  <c r="AH37" i="22"/>
  <c r="M35" i="64" s="1"/>
  <c r="AJ37" i="22"/>
  <c r="AK37" i="22"/>
  <c r="AL37" i="22"/>
  <c r="AN37" i="22"/>
  <c r="AI38" i="22"/>
  <c r="AH38" i="22"/>
  <c r="M36" i="64" s="1"/>
  <c r="AJ38" i="22"/>
  <c r="AK38" i="22"/>
  <c r="AL38" i="22"/>
  <c r="AN38" i="22"/>
  <c r="AI39" i="22"/>
  <c r="AH39" i="22"/>
  <c r="M37" i="64" s="1"/>
  <c r="AJ39" i="22"/>
  <c r="AK39" i="22"/>
  <c r="AL39" i="22"/>
  <c r="AN39" i="22"/>
  <c r="AI40" i="22"/>
  <c r="AJ40" i="22"/>
  <c r="AH40" i="22"/>
  <c r="M38" i="64" s="1"/>
  <c r="AK40" i="22"/>
  <c r="AL40" i="22"/>
  <c r="AN40" i="22"/>
  <c r="AI41" i="22"/>
  <c r="AJ41" i="22"/>
  <c r="AH41" i="22"/>
  <c r="M39" i="64" s="1"/>
  <c r="AK41" i="22"/>
  <c r="AL41" i="22"/>
  <c r="AN41" i="22"/>
  <c r="AI42" i="22"/>
  <c r="AJ42" i="22"/>
  <c r="AH42" i="22"/>
  <c r="M40" i="64" s="1"/>
  <c r="AK42" i="22"/>
  <c r="AL42" i="22"/>
  <c r="AN42" i="22"/>
  <c r="AI43" i="22"/>
  <c r="AH43" i="22"/>
  <c r="M41" i="64" s="1"/>
  <c r="AJ43" i="22"/>
  <c r="AK43" i="22"/>
  <c r="AL43" i="22"/>
  <c r="AN43" i="22"/>
  <c r="AI44" i="22"/>
  <c r="AH44" i="22"/>
  <c r="M42" i="64" s="1"/>
  <c r="AJ44" i="22"/>
  <c r="AK44" i="22"/>
  <c r="AL44" i="22"/>
  <c r="AN44" i="22"/>
  <c r="AI45" i="22"/>
  <c r="AJ45" i="22"/>
  <c r="AH45" i="22"/>
  <c r="M43" i="64" s="1"/>
  <c r="AK45" i="22"/>
  <c r="AL45" i="22"/>
  <c r="AN45" i="22"/>
  <c r="AI46" i="22"/>
  <c r="AH46" i="22"/>
  <c r="M44" i="64" s="1"/>
  <c r="AJ46" i="22"/>
  <c r="AK46" i="22"/>
  <c r="AL46" i="22"/>
  <c r="AN46" i="22"/>
  <c r="AI47" i="22"/>
  <c r="AH47" i="22"/>
  <c r="M45" i="64" s="1"/>
  <c r="AJ47" i="22"/>
  <c r="AK47" i="22"/>
  <c r="AL47" i="22"/>
  <c r="AN47" i="22"/>
  <c r="AI48" i="22"/>
  <c r="AJ48" i="22"/>
  <c r="AK48" i="22"/>
  <c r="AH48" i="22"/>
  <c r="M46" i="64" s="1"/>
  <c r="AL48" i="22"/>
  <c r="AN48" i="22"/>
  <c r="AI49" i="22"/>
  <c r="AJ49" i="22"/>
  <c r="AH49" i="22"/>
  <c r="M47" i="64" s="1"/>
  <c r="AK49" i="22"/>
  <c r="AL49" i="22"/>
  <c r="AN49" i="22"/>
  <c r="AI50" i="22"/>
  <c r="AH50" i="22"/>
  <c r="M48" i="64" s="1"/>
  <c r="AJ50" i="22"/>
  <c r="AK50" i="22"/>
  <c r="AL50" i="22"/>
  <c r="AN50" i="22"/>
  <c r="AI51" i="22"/>
  <c r="AJ51" i="22"/>
  <c r="AK51" i="22"/>
  <c r="AH51" i="22"/>
  <c r="M49" i="64" s="1"/>
  <c r="AL51" i="22"/>
  <c r="AN51" i="22"/>
  <c r="AI52" i="22"/>
  <c r="AH52" i="22"/>
  <c r="M50" i="64" s="1"/>
  <c r="AJ52" i="22"/>
  <c r="AK52" i="22"/>
  <c r="AL52" i="22"/>
  <c r="AN52" i="22"/>
  <c r="AI53" i="22"/>
  <c r="AJ53" i="22"/>
  <c r="AH53" i="22"/>
  <c r="M51" i="64" s="1"/>
  <c r="AK53" i="22"/>
  <c r="AL53" i="22"/>
  <c r="AN53" i="22"/>
  <c r="AI54" i="22"/>
  <c r="AH54" i="22"/>
  <c r="M52" i="64" s="1"/>
  <c r="AJ54" i="22"/>
  <c r="AK54" i="22"/>
  <c r="AL54" i="22"/>
  <c r="AN54" i="22"/>
  <c r="AI55" i="22"/>
  <c r="AH55" i="22"/>
  <c r="M53" i="64" s="1"/>
  <c r="AJ55" i="22"/>
  <c r="AK55" i="22"/>
  <c r="AL55" i="22"/>
  <c r="AN55" i="22"/>
  <c r="AI56" i="22"/>
  <c r="AJ56" i="22"/>
  <c r="AH56" i="22"/>
  <c r="M54" i="64" s="1"/>
  <c r="AK56" i="22"/>
  <c r="AL56" i="22"/>
  <c r="AN56" i="22"/>
  <c r="AI57" i="22"/>
  <c r="AJ57" i="22"/>
  <c r="AH57" i="22"/>
  <c r="M55" i="64" s="1"/>
  <c r="AK57" i="22"/>
  <c r="AL57" i="22"/>
  <c r="AN57" i="22"/>
  <c r="AI58" i="22"/>
  <c r="AH58" i="22"/>
  <c r="M56" i="64" s="1"/>
  <c r="AJ58" i="22"/>
  <c r="AK58" i="22"/>
  <c r="AL58" i="22"/>
  <c r="AN58" i="22"/>
  <c r="AI59" i="22"/>
  <c r="AJ59" i="22"/>
  <c r="AK59" i="22"/>
  <c r="AH59" i="22"/>
  <c r="M57" i="64" s="1"/>
  <c r="AL59" i="22"/>
  <c r="AN59" i="22"/>
  <c r="AI60" i="22"/>
  <c r="AJ60" i="22"/>
  <c r="AH60" i="22"/>
  <c r="M58" i="64" s="1"/>
  <c r="AK60" i="22"/>
  <c r="AL60" i="22"/>
  <c r="AN60" i="22"/>
  <c r="AI61" i="22"/>
  <c r="AJ61" i="22"/>
  <c r="AH61" i="22"/>
  <c r="M59" i="64" s="1"/>
  <c r="AK61" i="22"/>
  <c r="AL61" i="22"/>
  <c r="AN61" i="22"/>
  <c r="AI62" i="22"/>
  <c r="AH62" i="22"/>
  <c r="M60" i="64" s="1"/>
  <c r="AJ62" i="22"/>
  <c r="AK62" i="22"/>
  <c r="AL62" i="22"/>
  <c r="AN62" i="22"/>
  <c r="AI63" i="22"/>
  <c r="AH63" i="22"/>
  <c r="M61" i="64" s="1"/>
  <c r="AJ63" i="22"/>
  <c r="AK63" i="22"/>
  <c r="AL63" i="22"/>
  <c r="AN63" i="22"/>
  <c r="AI64" i="22"/>
  <c r="AH64" i="22"/>
  <c r="M62" i="64" s="1"/>
  <c r="AJ64" i="22"/>
  <c r="AK64" i="22"/>
  <c r="AL64" i="22"/>
  <c r="AN64" i="22"/>
  <c r="AI65" i="22"/>
  <c r="AJ65" i="22"/>
  <c r="AH65" i="22"/>
  <c r="M63" i="64" s="1"/>
  <c r="AK65" i="22"/>
  <c r="AL65" i="22"/>
  <c r="AN65" i="22"/>
  <c r="AI66" i="22"/>
  <c r="AH66" i="22"/>
  <c r="M64" i="64" s="1"/>
  <c r="AJ66" i="22"/>
  <c r="AK66" i="22"/>
  <c r="AL66" i="22"/>
  <c r="AN66" i="22"/>
  <c r="AI67" i="22"/>
  <c r="AH67" i="22"/>
  <c r="M65" i="64" s="1"/>
  <c r="AJ67" i="22"/>
  <c r="AK67" i="22"/>
  <c r="AL67" i="22"/>
  <c r="AN67" i="22"/>
  <c r="AI68" i="22"/>
  <c r="AH68" i="22"/>
  <c r="M66" i="64" s="1"/>
  <c r="AJ68" i="22"/>
  <c r="AK68" i="22"/>
  <c r="AL68" i="22"/>
  <c r="AN68" i="22"/>
  <c r="AI69" i="22"/>
  <c r="AH69" i="22"/>
  <c r="M67" i="64" s="1"/>
  <c r="AJ69" i="22"/>
  <c r="AK69" i="22"/>
  <c r="AL69" i="22"/>
  <c r="AN69" i="22"/>
  <c r="AI70" i="22"/>
  <c r="AH70" i="22"/>
  <c r="M68" i="64" s="1"/>
  <c r="AJ70" i="22"/>
  <c r="AK70" i="22"/>
  <c r="AL70" i="22"/>
  <c r="AN70" i="22"/>
  <c r="AI71" i="22"/>
  <c r="AH71" i="22"/>
  <c r="M69" i="64" s="1"/>
  <c r="AJ71" i="22"/>
  <c r="AK71" i="22"/>
  <c r="AL71" i="22"/>
  <c r="AN71" i="22"/>
  <c r="AI72" i="22"/>
  <c r="AH72" i="22"/>
  <c r="M70" i="64" s="1"/>
  <c r="AJ72" i="22"/>
  <c r="AK72" i="22"/>
  <c r="AL72" i="22"/>
  <c r="AN72" i="22"/>
  <c r="AI73" i="22"/>
  <c r="AH73" i="22"/>
  <c r="M71" i="64" s="1"/>
  <c r="AJ73" i="22"/>
  <c r="AK73" i="22"/>
  <c r="AL73" i="22"/>
  <c r="AN73" i="22"/>
  <c r="AI74" i="22"/>
  <c r="AH74" i="22"/>
  <c r="M72" i="64" s="1"/>
  <c r="AJ74" i="22"/>
  <c r="AK74" i="22"/>
  <c r="AL74" i="22"/>
  <c r="AN74" i="22"/>
  <c r="AI75" i="22"/>
  <c r="AH75" i="22"/>
  <c r="M73" i="64" s="1"/>
  <c r="AJ75" i="22"/>
  <c r="AK75" i="22"/>
  <c r="AL75" i="22"/>
  <c r="AN75" i="22"/>
  <c r="AI76" i="22"/>
  <c r="AH76" i="22"/>
  <c r="M74" i="64" s="1"/>
  <c r="AJ76" i="22"/>
  <c r="AK76" i="22"/>
  <c r="AL76" i="22"/>
  <c r="AN76" i="22"/>
  <c r="AI77" i="22"/>
  <c r="AH77" i="22"/>
  <c r="M75" i="64" s="1"/>
  <c r="AJ77" i="22"/>
  <c r="AK77" i="22"/>
  <c r="AL77" i="22"/>
  <c r="AN77" i="22"/>
  <c r="AI78" i="22"/>
  <c r="AH78" i="22"/>
  <c r="M76" i="64" s="1"/>
  <c r="AJ78" i="22"/>
  <c r="AK78" i="22"/>
  <c r="AL78" i="22"/>
  <c r="AN78" i="22"/>
  <c r="AI79" i="22"/>
  <c r="AH79" i="22"/>
  <c r="M77" i="64" s="1"/>
  <c r="AJ79" i="22"/>
  <c r="AK79" i="22"/>
  <c r="AL79" i="22"/>
  <c r="AN79" i="22"/>
  <c r="AI80" i="22"/>
  <c r="AH80" i="22"/>
  <c r="M78" i="64" s="1"/>
  <c r="AJ80" i="22"/>
  <c r="AK80" i="22"/>
  <c r="AL80" i="22"/>
  <c r="AN80" i="22"/>
  <c r="AI81" i="22"/>
  <c r="AJ81" i="22"/>
  <c r="AH81" i="22"/>
  <c r="M79" i="64" s="1"/>
  <c r="AK81" i="22"/>
  <c r="AL81" i="22"/>
  <c r="AN81" i="22"/>
  <c r="AI82" i="22"/>
  <c r="AH82" i="22"/>
  <c r="M80" i="64" s="1"/>
  <c r="AJ82" i="22"/>
  <c r="AK82" i="22"/>
  <c r="AL82" i="22"/>
  <c r="AN82" i="22"/>
  <c r="AI83" i="22"/>
  <c r="AH83" i="22"/>
  <c r="M81" i="64" s="1"/>
  <c r="AJ83" i="22"/>
  <c r="AK83" i="22"/>
  <c r="AL83" i="22"/>
  <c r="AN83" i="22"/>
  <c r="AI84" i="22"/>
  <c r="AH84" i="22"/>
  <c r="M82" i="64" s="1"/>
  <c r="AJ84" i="22"/>
  <c r="AK84" i="22"/>
  <c r="AL84" i="22"/>
  <c r="AN84" i="22"/>
  <c r="AI85" i="22"/>
  <c r="AJ85" i="22"/>
  <c r="AH85" i="22"/>
  <c r="M83" i="64" s="1"/>
  <c r="AK85" i="22"/>
  <c r="AL85" i="22"/>
  <c r="AN85" i="22"/>
  <c r="AI86" i="22"/>
  <c r="AH86" i="22"/>
  <c r="M84" i="64" s="1"/>
  <c r="AJ86" i="22"/>
  <c r="AK86" i="22"/>
  <c r="AL86" i="22"/>
  <c r="AN86" i="22"/>
  <c r="AI87" i="22"/>
  <c r="AH87" i="22"/>
  <c r="M85" i="64" s="1"/>
  <c r="AJ87" i="22"/>
  <c r="AK87" i="22"/>
  <c r="AL87" i="22"/>
  <c r="AN87" i="22"/>
  <c r="AI88" i="22"/>
  <c r="AH88" i="22"/>
  <c r="M86" i="64" s="1"/>
  <c r="AJ88" i="22"/>
  <c r="AK88" i="22"/>
  <c r="AL88" i="22"/>
  <c r="AN88" i="22"/>
  <c r="AI89" i="22"/>
  <c r="AJ89" i="22"/>
  <c r="AH89" i="22"/>
  <c r="M87" i="64" s="1"/>
  <c r="AK89" i="22"/>
  <c r="AL89" i="22"/>
  <c r="AN89" i="22"/>
  <c r="AI90" i="22"/>
  <c r="AJ90" i="22"/>
  <c r="AK90" i="22"/>
  <c r="AH90" i="22"/>
  <c r="M88" i="64" s="1"/>
  <c r="AL90" i="22"/>
  <c r="AN90" i="22"/>
  <c r="AI91" i="22"/>
  <c r="AH91" i="22"/>
  <c r="M89" i="64" s="1"/>
  <c r="AJ91" i="22"/>
  <c r="AK91" i="22"/>
  <c r="AL91" i="22"/>
  <c r="AN91" i="22"/>
  <c r="AI92" i="22"/>
  <c r="AH92" i="22"/>
  <c r="M90" i="64" s="1"/>
  <c r="AJ92" i="22"/>
  <c r="AK92" i="22"/>
  <c r="AL92" i="22"/>
  <c r="AN92" i="22"/>
  <c r="AI93" i="22"/>
  <c r="AJ93" i="22"/>
  <c r="AH93" i="22"/>
  <c r="M91" i="64" s="1"/>
  <c r="AK93" i="22"/>
  <c r="AL93" i="22"/>
  <c r="AN93" i="22"/>
  <c r="AI94" i="22"/>
  <c r="AH94" i="22"/>
  <c r="M92" i="64" s="1"/>
  <c r="AJ94" i="22"/>
  <c r="AK94" i="22"/>
  <c r="AL94" i="22"/>
  <c r="AN94" i="22"/>
  <c r="AI95" i="22"/>
  <c r="AJ95" i="22"/>
  <c r="AK95" i="22"/>
  <c r="AH95" i="22"/>
  <c r="M93" i="64" s="1"/>
  <c r="AL95" i="22"/>
  <c r="AN95" i="22"/>
  <c r="AI96" i="22"/>
  <c r="AH96" i="22"/>
  <c r="M94" i="64" s="1"/>
  <c r="AJ96" i="22"/>
  <c r="AK96" i="22"/>
  <c r="AL96" i="22"/>
  <c r="AN96" i="22"/>
  <c r="AI97" i="22"/>
  <c r="AH97" i="22"/>
  <c r="M95" i="64" s="1"/>
  <c r="AJ97" i="22"/>
  <c r="AK97" i="22"/>
  <c r="AL97" i="22"/>
  <c r="AN97" i="22"/>
  <c r="AI98" i="22"/>
  <c r="AH98" i="22"/>
  <c r="M96" i="64" s="1"/>
  <c r="AJ98" i="22"/>
  <c r="AK98" i="22"/>
  <c r="AL98" i="22"/>
  <c r="AN98" i="22"/>
  <c r="AI99" i="22"/>
  <c r="AJ99" i="22"/>
  <c r="AH99" i="22"/>
  <c r="M97" i="64" s="1"/>
  <c r="AK99" i="22"/>
  <c r="AL99" i="22"/>
  <c r="AN99" i="22"/>
  <c r="AI100" i="22"/>
  <c r="AH100" i="22"/>
  <c r="M98" i="64" s="1"/>
  <c r="AJ100" i="22"/>
  <c r="AK100" i="22"/>
  <c r="AL100" i="22"/>
  <c r="AN100" i="22"/>
  <c r="AI101" i="22"/>
  <c r="AJ101" i="22"/>
  <c r="AH101" i="22"/>
  <c r="M99" i="64" s="1"/>
  <c r="AK101" i="22"/>
  <c r="AL101" i="22"/>
  <c r="AN101" i="22"/>
  <c r="AI102" i="22"/>
  <c r="AH102" i="22"/>
  <c r="M100" i="64" s="1"/>
  <c r="AJ102" i="22"/>
  <c r="AK102" i="22"/>
  <c r="AL102" i="22"/>
  <c r="AN102" i="22"/>
  <c r="AI103" i="22"/>
  <c r="AJ103" i="22"/>
  <c r="AH103" i="22"/>
  <c r="M101" i="64" s="1"/>
  <c r="AK103" i="22"/>
  <c r="AL103" i="22"/>
  <c r="AN103" i="22"/>
  <c r="AI104" i="22"/>
  <c r="AH104" i="22"/>
  <c r="M102" i="64" s="1"/>
  <c r="AJ104" i="22"/>
  <c r="AK104" i="22"/>
  <c r="AL104" i="22"/>
  <c r="AN104" i="22"/>
  <c r="AI105" i="22"/>
  <c r="AJ105" i="22"/>
  <c r="AH105" i="22"/>
  <c r="M103" i="64" s="1"/>
  <c r="AK105" i="22"/>
  <c r="AL105" i="22"/>
  <c r="AN105" i="22"/>
  <c r="AI106" i="22"/>
  <c r="AH106" i="22"/>
  <c r="M104" i="64" s="1"/>
  <c r="AJ106" i="22"/>
  <c r="AK106" i="22"/>
  <c r="AL106" i="22"/>
  <c r="AN106" i="22"/>
  <c r="AI107" i="22"/>
  <c r="AH107" i="22"/>
  <c r="M105" i="64" s="1"/>
  <c r="AJ107" i="22"/>
  <c r="AK107" i="22"/>
  <c r="AL107" i="22"/>
  <c r="AN107" i="22"/>
  <c r="AI108" i="22"/>
  <c r="AH108" i="22"/>
  <c r="M106" i="64" s="1"/>
  <c r="AJ108" i="22"/>
  <c r="AK108" i="22"/>
  <c r="AL108" i="22"/>
  <c r="AN108" i="22"/>
  <c r="AI109" i="22"/>
  <c r="AJ109" i="22"/>
  <c r="AH109" i="22"/>
  <c r="M107" i="64" s="1"/>
  <c r="AK109" i="22"/>
  <c r="AL109" i="22"/>
  <c r="AN109" i="22"/>
  <c r="AI110" i="22"/>
  <c r="AH110" i="22"/>
  <c r="M108" i="64" s="1"/>
  <c r="AJ110" i="22"/>
  <c r="AK110" i="22"/>
  <c r="AL110" i="22"/>
  <c r="AN110" i="22"/>
  <c r="AI111" i="22"/>
  <c r="AH111" i="22"/>
  <c r="M109" i="64" s="1"/>
  <c r="AJ111" i="22"/>
  <c r="AK111" i="22"/>
  <c r="AL111" i="22"/>
  <c r="AN111" i="22"/>
  <c r="AI112" i="22"/>
  <c r="AH112" i="22"/>
  <c r="M110" i="64" s="1"/>
  <c r="AJ112" i="22"/>
  <c r="AK112" i="22"/>
  <c r="AL112" i="22"/>
  <c r="AN112" i="22"/>
  <c r="AI113" i="22"/>
  <c r="AJ113" i="22"/>
  <c r="AH113" i="22"/>
  <c r="M111" i="64" s="1"/>
  <c r="AK113" i="22"/>
  <c r="AL113" i="22"/>
  <c r="AN113" i="22"/>
  <c r="AI114" i="22"/>
  <c r="AH114" i="22"/>
  <c r="M112" i="64" s="1"/>
  <c r="AJ114" i="22"/>
  <c r="AK114" i="22"/>
  <c r="AL114" i="22"/>
  <c r="AN114" i="22"/>
  <c r="AI115" i="22"/>
  <c r="AJ115" i="22"/>
  <c r="AH115" i="22"/>
  <c r="M113" i="64" s="1"/>
  <c r="AK115" i="22"/>
  <c r="AL115" i="22"/>
  <c r="AN115" i="22"/>
  <c r="AI116" i="22"/>
  <c r="AH116" i="22"/>
  <c r="M114" i="64" s="1"/>
  <c r="AJ116" i="22"/>
  <c r="AK116" i="22"/>
  <c r="AL116" i="22"/>
  <c r="AN116" i="22"/>
  <c r="AI117" i="22"/>
  <c r="AH117" i="22"/>
  <c r="M115" i="64" s="1"/>
  <c r="AJ117" i="22"/>
  <c r="AK117" i="22"/>
  <c r="AL117" i="22"/>
  <c r="AN117" i="22"/>
  <c r="AI118" i="22"/>
  <c r="AH118" i="22"/>
  <c r="M116" i="64" s="1"/>
  <c r="AJ118" i="22"/>
  <c r="AK118" i="22"/>
  <c r="AL118" i="22"/>
  <c r="AN118" i="22"/>
  <c r="AI119" i="22"/>
  <c r="AJ119" i="22"/>
  <c r="AH119" i="22"/>
  <c r="M117" i="64" s="1"/>
  <c r="AK119" i="22"/>
  <c r="AL119" i="22"/>
  <c r="AN119" i="22"/>
  <c r="AI120" i="22"/>
  <c r="AH120" i="22"/>
  <c r="M118" i="64" s="1"/>
  <c r="AJ120" i="22"/>
  <c r="AK120" i="22"/>
  <c r="AL120" i="22"/>
  <c r="AN120" i="22"/>
  <c r="AI121" i="22"/>
  <c r="AH121" i="22"/>
  <c r="M119" i="64" s="1"/>
  <c r="AJ121" i="22"/>
  <c r="AK121" i="22"/>
  <c r="AL121" i="22"/>
  <c r="AN121" i="22"/>
  <c r="AI122" i="22"/>
  <c r="AH122" i="22"/>
  <c r="M120" i="64" s="1"/>
  <c r="AJ122" i="22"/>
  <c r="AK122" i="22"/>
  <c r="AL122" i="22"/>
  <c r="AN122" i="22"/>
  <c r="AI123" i="22"/>
  <c r="AJ123" i="22"/>
  <c r="AK123" i="22"/>
  <c r="AH123" i="22"/>
  <c r="M121" i="64" s="1"/>
  <c r="AL123" i="22"/>
  <c r="AN123" i="22"/>
  <c r="AI124" i="22"/>
  <c r="AH124" i="22"/>
  <c r="M122" i="64" s="1"/>
  <c r="AJ124" i="22"/>
  <c r="AK124" i="22"/>
  <c r="AL124" i="22"/>
  <c r="AN124" i="22"/>
  <c r="AI125" i="22"/>
  <c r="AH125" i="22"/>
  <c r="M123" i="64" s="1"/>
  <c r="AJ125" i="22"/>
  <c r="AK125" i="22"/>
  <c r="AL125" i="22"/>
  <c r="AN125" i="22"/>
  <c r="AI126" i="22"/>
  <c r="AH126" i="22"/>
  <c r="M124" i="64" s="1"/>
  <c r="AJ126" i="22"/>
  <c r="AK126" i="22"/>
  <c r="AL126" i="22"/>
  <c r="AN126" i="22"/>
  <c r="AI127" i="22"/>
  <c r="AJ127" i="22"/>
  <c r="AK127" i="22"/>
  <c r="AH127" i="22"/>
  <c r="M125" i="64" s="1"/>
  <c r="AL127" i="22"/>
  <c r="AN127" i="22"/>
  <c r="AI128" i="22"/>
  <c r="AH128" i="22"/>
  <c r="M126" i="64" s="1"/>
  <c r="AJ128" i="22"/>
  <c r="AK128" i="22"/>
  <c r="AL128" i="22"/>
  <c r="AN128" i="22"/>
  <c r="AI129" i="22"/>
  <c r="AH129" i="22"/>
  <c r="M127" i="64" s="1"/>
  <c r="AJ129" i="22"/>
  <c r="AK129" i="22"/>
  <c r="AL129" i="22"/>
  <c r="AN129" i="22"/>
  <c r="AI130" i="22"/>
  <c r="AH130" i="22"/>
  <c r="M128" i="64" s="1"/>
  <c r="AJ130" i="22"/>
  <c r="AK130" i="22"/>
  <c r="AL130" i="22"/>
  <c r="AN130" i="22"/>
  <c r="AI131" i="22"/>
  <c r="AJ131" i="22"/>
  <c r="AK131" i="22"/>
  <c r="AH131" i="22"/>
  <c r="M129" i="64" s="1"/>
  <c r="AL131" i="22"/>
  <c r="AN131" i="22"/>
  <c r="AI132" i="22"/>
  <c r="AH132" i="22"/>
  <c r="M130" i="64" s="1"/>
  <c r="AJ132" i="22"/>
  <c r="AK132" i="22"/>
  <c r="AL132" i="22"/>
  <c r="AN132" i="22"/>
  <c r="AI133" i="22"/>
  <c r="AJ133" i="22"/>
  <c r="AH133" i="22"/>
  <c r="M131" i="64" s="1"/>
  <c r="AK133" i="22"/>
  <c r="AL133" i="22"/>
  <c r="AN133" i="22"/>
  <c r="AI134" i="22"/>
  <c r="AH134" i="22"/>
  <c r="M132" i="64" s="1"/>
  <c r="AJ134" i="22"/>
  <c r="AK134" i="22"/>
  <c r="AL134" i="22"/>
  <c r="AN134" i="22"/>
  <c r="AI135" i="22"/>
  <c r="AJ135" i="22"/>
  <c r="AK135" i="22"/>
  <c r="AH135" i="22"/>
  <c r="M133" i="64" s="1"/>
  <c r="AL135" i="22"/>
  <c r="AN135" i="22"/>
  <c r="AI136" i="22"/>
  <c r="AH136" i="22"/>
  <c r="M134" i="64" s="1"/>
  <c r="AJ136" i="22"/>
  <c r="AK136" i="22"/>
  <c r="AL136" i="22"/>
  <c r="AN136" i="22"/>
  <c r="AI137" i="22"/>
  <c r="AH137" i="22"/>
  <c r="M135" i="64" s="1"/>
  <c r="AJ137" i="22"/>
  <c r="AK137" i="22"/>
  <c r="AL137" i="22"/>
  <c r="AN137" i="22"/>
  <c r="AN7" i="22"/>
  <c r="AI7" i="22"/>
  <c r="AJ7" i="22"/>
  <c r="AK7" i="22"/>
  <c r="AL7" i="22"/>
  <c r="AG105" i="23"/>
  <c r="F97" i="32" s="1"/>
  <c r="AG106" i="23"/>
  <c r="AH106" i="23" s="1"/>
  <c r="AG107" i="23"/>
  <c r="AG108" i="23"/>
  <c r="AG109" i="23"/>
  <c r="AG110" i="23"/>
  <c r="AH110" i="23" s="1"/>
  <c r="AG111" i="23"/>
  <c r="AG112" i="23"/>
  <c r="AG113" i="23"/>
  <c r="D105" i="39" s="1"/>
  <c r="AG114" i="23"/>
  <c r="D106" i="39" s="1"/>
  <c r="AG115" i="23"/>
  <c r="AG116" i="23"/>
  <c r="AH116" i="23" s="1"/>
  <c r="AG117" i="23"/>
  <c r="AG118" i="23"/>
  <c r="D110" i="39" s="1"/>
  <c r="AG119" i="23"/>
  <c r="AG120" i="23"/>
  <c r="AG121" i="23"/>
  <c r="D113" i="39" s="1"/>
  <c r="AG122" i="23"/>
  <c r="AH122" i="23" s="1"/>
  <c r="AG123" i="23"/>
  <c r="AG124" i="23"/>
  <c r="F116" i="32" s="1"/>
  <c r="AG125" i="23"/>
  <c r="AG126" i="23"/>
  <c r="AG127" i="23"/>
  <c r="D119" i="39" s="1"/>
  <c r="AG128" i="23"/>
  <c r="F120" i="32" s="1"/>
  <c r="AG129" i="23"/>
  <c r="F121" i="32" s="1"/>
  <c r="AG130" i="23"/>
  <c r="F122" i="32" s="1"/>
  <c r="AG131" i="23"/>
  <c r="AG132" i="23"/>
  <c r="AG133" i="23"/>
  <c r="AG134" i="23"/>
  <c r="AH134" i="23" s="1"/>
  <c r="AG135" i="23"/>
  <c r="AG136" i="23"/>
  <c r="F128" i="32" s="1"/>
  <c r="AG137" i="23"/>
  <c r="D129" i="39" s="1"/>
  <c r="AG138" i="23"/>
  <c r="AG139" i="23"/>
  <c r="AG140" i="23"/>
  <c r="AG141" i="23"/>
  <c r="D133" i="39" s="1"/>
  <c r="AG142" i="23"/>
  <c r="AH142" i="23" s="1"/>
  <c r="AG143" i="23"/>
  <c r="AG144" i="23"/>
  <c r="AH144" i="23" s="1"/>
  <c r="AG145" i="23"/>
  <c r="D137" i="39" s="1"/>
  <c r="AG146" i="23"/>
  <c r="F138" i="32" s="1"/>
  <c r="AG147" i="23"/>
  <c r="AG148" i="23"/>
  <c r="AG149" i="23"/>
  <c r="D141" i="39" s="1"/>
  <c r="B141" i="39"/>
  <c r="B140" i="39"/>
  <c r="B139" i="39"/>
  <c r="B138" i="39"/>
  <c r="B137" i="39"/>
  <c r="B136" i="39"/>
  <c r="B135" i="39"/>
  <c r="B134" i="39"/>
  <c r="B133" i="39"/>
  <c r="B132" i="39"/>
  <c r="B131" i="39"/>
  <c r="B130" i="39"/>
  <c r="B129" i="39"/>
  <c r="B128" i="39"/>
  <c r="B127" i="39"/>
  <c r="B126" i="39"/>
  <c r="B125" i="39"/>
  <c r="B124" i="39"/>
  <c r="B123" i="39"/>
  <c r="B122" i="39"/>
  <c r="B121" i="39"/>
  <c r="B120" i="39"/>
  <c r="B119" i="39"/>
  <c r="B118" i="39"/>
  <c r="B117" i="39"/>
  <c r="B116" i="39"/>
  <c r="B115" i="39"/>
  <c r="B114" i="39"/>
  <c r="B113" i="39"/>
  <c r="B112" i="39"/>
  <c r="B111" i="39"/>
  <c r="B110" i="39"/>
  <c r="B109" i="39"/>
  <c r="B108" i="39"/>
  <c r="B107" i="39"/>
  <c r="B106" i="39"/>
  <c r="B105" i="39"/>
  <c r="B104" i="39"/>
  <c r="B103" i="39"/>
  <c r="B102" i="39"/>
  <c r="B101" i="39"/>
  <c r="B100" i="39"/>
  <c r="B99" i="39"/>
  <c r="B98" i="39"/>
  <c r="B97" i="39"/>
  <c r="B96" i="39"/>
  <c r="B95" i="39"/>
  <c r="B94" i="39"/>
  <c r="B93" i="39"/>
  <c r="B92" i="39"/>
  <c r="B91" i="39"/>
  <c r="B90" i="39"/>
  <c r="B89" i="39"/>
  <c r="B88" i="39"/>
  <c r="B87" i="39"/>
  <c r="B86" i="39"/>
  <c r="B85" i="39"/>
  <c r="B84" i="39"/>
  <c r="B83" i="39"/>
  <c r="B82" i="39"/>
  <c r="B81" i="39"/>
  <c r="B80" i="39"/>
  <c r="B79" i="39"/>
  <c r="B78" i="39"/>
  <c r="B77" i="39"/>
  <c r="B76" i="39"/>
  <c r="B75" i="39"/>
  <c r="B74" i="39"/>
  <c r="B73" i="39"/>
  <c r="B72" i="39"/>
  <c r="B71" i="39"/>
  <c r="B70" i="39"/>
  <c r="B69" i="39"/>
  <c r="B68" i="39"/>
  <c r="B67" i="39"/>
  <c r="B66" i="39"/>
  <c r="B65" i="39"/>
  <c r="B64" i="39"/>
  <c r="B63" i="39"/>
  <c r="B62" i="39"/>
  <c r="B61" i="39"/>
  <c r="B60" i="39"/>
  <c r="B59" i="39"/>
  <c r="B58" i="39"/>
  <c r="B57" i="39"/>
  <c r="B56" i="39"/>
  <c r="B55" i="39"/>
  <c r="B54" i="39"/>
  <c r="B53" i="39"/>
  <c r="B52" i="39"/>
  <c r="B51" i="39"/>
  <c r="B50" i="39"/>
  <c r="B49" i="39"/>
  <c r="B48" i="39"/>
  <c r="B47" i="39"/>
  <c r="B46" i="39"/>
  <c r="B45" i="39"/>
  <c r="B44" i="39"/>
  <c r="B43" i="39"/>
  <c r="B42" i="39"/>
  <c r="B41" i="39"/>
  <c r="B40" i="39"/>
  <c r="B39" i="39"/>
  <c r="B38" i="39"/>
  <c r="B37" i="39"/>
  <c r="B36" i="39"/>
  <c r="B35" i="39"/>
  <c r="B34" i="39"/>
  <c r="B33" i="39"/>
  <c r="B32" i="39"/>
  <c r="B31" i="39"/>
  <c r="B30" i="39"/>
  <c r="B29" i="39"/>
  <c r="B28" i="39"/>
  <c r="B27" i="39"/>
  <c r="B26" i="39"/>
  <c r="B25" i="39"/>
  <c r="B24" i="39"/>
  <c r="B23" i="39"/>
  <c r="B22" i="39"/>
  <c r="B21" i="39"/>
  <c r="B20" i="39"/>
  <c r="B19" i="39"/>
  <c r="B18" i="39"/>
  <c r="B17" i="39"/>
  <c r="B16" i="39"/>
  <c r="B15" i="39"/>
  <c r="B14" i="39"/>
  <c r="B13" i="39"/>
  <c r="B12" i="39"/>
  <c r="B11" i="39"/>
  <c r="AG20" i="31"/>
  <c r="E12" i="32" s="1"/>
  <c r="AG21" i="31"/>
  <c r="AG22" i="31"/>
  <c r="AH22" i="31" s="1"/>
  <c r="AG23" i="31"/>
  <c r="AG24" i="31"/>
  <c r="AG25" i="31"/>
  <c r="AH25" i="31" s="1"/>
  <c r="AG26" i="31"/>
  <c r="AG27" i="31"/>
  <c r="AG28" i="31"/>
  <c r="AH28" i="31" s="1"/>
  <c r="AG29" i="31"/>
  <c r="AG30" i="31"/>
  <c r="AG31" i="31"/>
  <c r="AG32" i="31"/>
  <c r="AH32" i="31" s="1"/>
  <c r="AG33" i="31"/>
  <c r="AH33" i="31" s="1"/>
  <c r="AG34" i="31"/>
  <c r="AG35" i="31"/>
  <c r="E27" i="32" s="1"/>
  <c r="AG36" i="31"/>
  <c r="AH36" i="31" s="1"/>
  <c r="AG37" i="31"/>
  <c r="AG38" i="31"/>
  <c r="AG39" i="31"/>
  <c r="AH39" i="31" s="1"/>
  <c r="AG40" i="31"/>
  <c r="AH40" i="31" s="1"/>
  <c r="AG41" i="31"/>
  <c r="E33" i="32" s="1"/>
  <c r="AG42" i="31"/>
  <c r="AH42" i="31" s="1"/>
  <c r="AG43" i="31"/>
  <c r="AG44" i="31"/>
  <c r="AG45" i="31"/>
  <c r="E37" i="32" s="1"/>
  <c r="AG46" i="31"/>
  <c r="AG47" i="31"/>
  <c r="E39" i="32" s="1"/>
  <c r="AG48" i="31"/>
  <c r="AH48" i="31" s="1"/>
  <c r="AG49" i="31"/>
  <c r="AH49" i="31" s="1"/>
  <c r="AG50" i="31"/>
  <c r="E42" i="32" s="1"/>
  <c r="AG51" i="31"/>
  <c r="AG52" i="31"/>
  <c r="E44" i="32" s="1"/>
  <c r="AG53" i="31"/>
  <c r="AG54" i="31"/>
  <c r="AH54" i="31" s="1"/>
  <c r="AG55" i="31"/>
  <c r="AH55" i="31" s="1"/>
  <c r="AG56" i="31"/>
  <c r="E48" i="32" s="1"/>
  <c r="AG57" i="31"/>
  <c r="AG58" i="31"/>
  <c r="AG59" i="31"/>
  <c r="AG60" i="31"/>
  <c r="AG61" i="31"/>
  <c r="AH61" i="31" s="1"/>
  <c r="AG62" i="31"/>
  <c r="E54" i="32" s="1"/>
  <c r="AG63" i="31"/>
  <c r="AG64" i="31"/>
  <c r="AH64" i="31" s="1"/>
  <c r="AG65" i="31"/>
  <c r="AH65" i="31" s="1"/>
  <c r="AG66" i="31"/>
  <c r="AG67" i="31"/>
  <c r="AH67" i="31" s="1"/>
  <c r="AG68" i="31"/>
  <c r="AG69" i="31"/>
  <c r="AH69" i="31" s="1"/>
  <c r="AG70" i="31"/>
  <c r="AH70" i="31" s="1"/>
  <c r="AG71" i="31"/>
  <c r="E63" i="32" s="1"/>
  <c r="AG72" i="31"/>
  <c r="E64" i="32" s="1"/>
  <c r="AG73" i="31"/>
  <c r="AH73" i="31" s="1"/>
  <c r="AG74" i="31"/>
  <c r="AG75" i="31"/>
  <c r="AH75" i="31" s="1"/>
  <c r="AG76" i="31"/>
  <c r="AG77" i="31"/>
  <c r="AH77" i="31" s="1"/>
  <c r="AG78" i="31"/>
  <c r="AH78" i="31" s="1"/>
  <c r="AG79" i="31"/>
  <c r="E71" i="32" s="1"/>
  <c r="AG80" i="31"/>
  <c r="AG81" i="31"/>
  <c r="AH81" i="31" s="1"/>
  <c r="AG82" i="31"/>
  <c r="AG83" i="31"/>
  <c r="E75" i="32" s="1"/>
  <c r="AG84" i="31"/>
  <c r="AG85" i="31"/>
  <c r="AH85" i="31" s="1"/>
  <c r="AG86" i="31"/>
  <c r="AG87" i="31"/>
  <c r="E79" i="32" s="1"/>
  <c r="AG88" i="31"/>
  <c r="AG89" i="31"/>
  <c r="AG90" i="31"/>
  <c r="AG91" i="31"/>
  <c r="AG92" i="31"/>
  <c r="AG93" i="31"/>
  <c r="AH93" i="31" s="1"/>
  <c r="AG94" i="31"/>
  <c r="AG95" i="31"/>
  <c r="E87" i="32" s="1"/>
  <c r="AG96" i="31"/>
  <c r="AG97" i="31"/>
  <c r="AH97" i="31" s="1"/>
  <c r="AG98" i="31"/>
  <c r="AG99" i="31"/>
  <c r="AH99" i="31" s="1"/>
  <c r="AG100" i="31"/>
  <c r="AG101" i="31"/>
  <c r="AH101" i="31" s="1"/>
  <c r="AG102" i="31"/>
  <c r="E94" i="32" s="1"/>
  <c r="AG103" i="31"/>
  <c r="AG104" i="31"/>
  <c r="AG105" i="31"/>
  <c r="AG106" i="31"/>
  <c r="AG107" i="31"/>
  <c r="E99" i="32" s="1"/>
  <c r="AG108" i="31"/>
  <c r="AH108" i="31" s="1"/>
  <c r="AG109" i="31"/>
  <c r="E101" i="32" s="1"/>
  <c r="AG110" i="31"/>
  <c r="AG111" i="31"/>
  <c r="AG112" i="31"/>
  <c r="E104" i="32" s="1"/>
  <c r="AG113" i="31"/>
  <c r="AH113" i="31" s="1"/>
  <c r="AG114" i="31"/>
  <c r="AG115" i="31"/>
  <c r="AG116" i="31"/>
  <c r="AH116" i="31" s="1"/>
  <c r="AG117" i="31"/>
  <c r="AH117" i="31" s="1"/>
  <c r="AG118" i="31"/>
  <c r="AG119" i="31"/>
  <c r="AG120" i="31"/>
  <c r="AG121" i="31"/>
  <c r="AH121" i="31" s="1"/>
  <c r="AG122" i="31"/>
  <c r="AG123" i="31"/>
  <c r="AG124" i="31"/>
  <c r="AG125" i="31"/>
  <c r="AG126" i="31"/>
  <c r="AG127" i="31"/>
  <c r="AH127" i="31" s="1"/>
  <c r="AG128" i="31"/>
  <c r="AG129" i="31"/>
  <c r="AH129" i="31" s="1"/>
  <c r="AG130" i="31"/>
  <c r="AH130" i="31" s="1"/>
  <c r="AG131" i="31"/>
  <c r="E123" i="32" s="1"/>
  <c r="AG132" i="31"/>
  <c r="AH132" i="31" s="1"/>
  <c r="AG133" i="31"/>
  <c r="AG134" i="31"/>
  <c r="AG135" i="31"/>
  <c r="E127" i="32" s="1"/>
  <c r="AG136" i="31"/>
  <c r="E128" i="32" s="1"/>
  <c r="AG137" i="31"/>
  <c r="E129" i="32" s="1"/>
  <c r="AG138" i="31"/>
  <c r="E130" i="32" s="1"/>
  <c r="AG139" i="31"/>
  <c r="AG140" i="31"/>
  <c r="AG141" i="31"/>
  <c r="AG142" i="31"/>
  <c r="E134" i="32" s="1"/>
  <c r="AG143" i="31"/>
  <c r="AH143" i="31" s="1"/>
  <c r="AG144" i="31"/>
  <c r="E136" i="32" s="1"/>
  <c r="AG145" i="31"/>
  <c r="AG146" i="31"/>
  <c r="AG147" i="31"/>
  <c r="AG148" i="31"/>
  <c r="AG149" i="31"/>
  <c r="AG20" i="30"/>
  <c r="AH20" i="30" s="1"/>
  <c r="AG21" i="30"/>
  <c r="AH21" i="30" s="1"/>
  <c r="AG22" i="30"/>
  <c r="D14" i="32" s="1"/>
  <c r="AG23" i="30"/>
  <c r="D15" i="32" s="1"/>
  <c r="AG24" i="30"/>
  <c r="D16" i="32" s="1"/>
  <c r="AG25" i="30"/>
  <c r="AG26" i="30"/>
  <c r="AG27" i="30"/>
  <c r="D19" i="32" s="1"/>
  <c r="AG28" i="30"/>
  <c r="AG29" i="30"/>
  <c r="D21" i="32" s="1"/>
  <c r="AG30" i="30"/>
  <c r="AG31" i="30"/>
  <c r="AG32" i="30"/>
  <c r="AG33" i="30"/>
  <c r="D25" i="32" s="1"/>
  <c r="AG34" i="30"/>
  <c r="AG35" i="30"/>
  <c r="AH35" i="30" s="1"/>
  <c r="AG36" i="30"/>
  <c r="AG37" i="30"/>
  <c r="AG38" i="30"/>
  <c r="AG39" i="30"/>
  <c r="AH39" i="30" s="1"/>
  <c r="AG40" i="30"/>
  <c r="AG41" i="30"/>
  <c r="AH41" i="30" s="1"/>
  <c r="AG42" i="30"/>
  <c r="AH42" i="30" s="1"/>
  <c r="AG43" i="30"/>
  <c r="AG44" i="30"/>
  <c r="AH44" i="30" s="1"/>
  <c r="AG45" i="30"/>
  <c r="AG46" i="30"/>
  <c r="AG47" i="30"/>
  <c r="AG48" i="30"/>
  <c r="AG49" i="30"/>
  <c r="AG50" i="30"/>
  <c r="D42" i="32" s="1"/>
  <c r="AG51" i="30"/>
  <c r="D43" i="32" s="1"/>
  <c r="AG52" i="30"/>
  <c r="D44" i="32" s="1"/>
  <c r="AG53" i="30"/>
  <c r="D45" i="32" s="1"/>
  <c r="AG54" i="30"/>
  <c r="AG55" i="30"/>
  <c r="AH55" i="30" s="1"/>
  <c r="AG56" i="30"/>
  <c r="D48" i="32" s="1"/>
  <c r="AG57" i="30"/>
  <c r="AG58" i="30"/>
  <c r="AH58" i="30" s="1"/>
  <c r="AG59" i="30"/>
  <c r="AG60" i="30"/>
  <c r="AG61" i="30"/>
  <c r="AG62" i="30"/>
  <c r="AG63" i="30"/>
  <c r="AG64" i="30"/>
  <c r="AG65" i="30"/>
  <c r="AG66" i="30"/>
  <c r="AH66" i="30" s="1"/>
  <c r="AG67" i="30"/>
  <c r="D59" i="32" s="1"/>
  <c r="AG68" i="30"/>
  <c r="D60" i="32" s="1"/>
  <c r="AG69" i="30"/>
  <c r="AG70" i="30"/>
  <c r="D62" i="32" s="1"/>
  <c r="AG71" i="30"/>
  <c r="AH71" i="30" s="1"/>
  <c r="AG72" i="30"/>
  <c r="AG73" i="30"/>
  <c r="AH73" i="30" s="1"/>
  <c r="AG74" i="30"/>
  <c r="AH74" i="30" s="1"/>
  <c r="AG75" i="30"/>
  <c r="AH75" i="30" s="1"/>
  <c r="AG76" i="30"/>
  <c r="AG77" i="30"/>
  <c r="AG78" i="30"/>
  <c r="D70" i="32" s="1"/>
  <c r="AG79" i="30"/>
  <c r="D71" i="32" s="1"/>
  <c r="AG80" i="30"/>
  <c r="AG81" i="30"/>
  <c r="AH81" i="30" s="1"/>
  <c r="AG82" i="30"/>
  <c r="AG83" i="30"/>
  <c r="D75" i="32" s="1"/>
  <c r="AG84" i="30"/>
  <c r="AG85" i="30"/>
  <c r="AG86" i="30"/>
  <c r="AG87" i="30"/>
  <c r="D79" i="32" s="1"/>
  <c r="AG88" i="30"/>
  <c r="AG89" i="30"/>
  <c r="AG90" i="30"/>
  <c r="AH90" i="30" s="1"/>
  <c r="AG91" i="30"/>
  <c r="AG92" i="30"/>
  <c r="AG93" i="30"/>
  <c r="D85" i="32" s="1"/>
  <c r="AG94" i="30"/>
  <c r="AG95" i="30"/>
  <c r="AG96" i="30"/>
  <c r="AG97" i="30"/>
  <c r="AH97" i="30" s="1"/>
  <c r="AG98" i="30"/>
  <c r="AG99" i="30"/>
  <c r="D91" i="32" s="1"/>
  <c r="AG100" i="30"/>
  <c r="AG101" i="30"/>
  <c r="AG102" i="30"/>
  <c r="D94" i="32" s="1"/>
  <c r="AG103" i="30"/>
  <c r="AG104" i="30"/>
  <c r="AG105" i="30"/>
  <c r="AH105" i="30" s="1"/>
  <c r="AG106" i="30"/>
  <c r="AG107" i="30"/>
  <c r="AH107" i="30" s="1"/>
  <c r="AG108" i="30"/>
  <c r="D100" i="32" s="1"/>
  <c r="AG109" i="30"/>
  <c r="AG110" i="30"/>
  <c r="D102" i="32" s="1"/>
  <c r="AG111" i="30"/>
  <c r="AG112" i="30"/>
  <c r="D104" i="32" s="1"/>
  <c r="AG113" i="30"/>
  <c r="AH113" i="30" s="1"/>
  <c r="AG114" i="30"/>
  <c r="AG115" i="30"/>
  <c r="AH115" i="30" s="1"/>
  <c r="AG116" i="30"/>
  <c r="AG117" i="30"/>
  <c r="AH117" i="30" s="1"/>
  <c r="AG118" i="30"/>
  <c r="AG119" i="30"/>
  <c r="AG120" i="30"/>
  <c r="AG121" i="30"/>
  <c r="D113" i="32" s="1"/>
  <c r="AG122" i="30"/>
  <c r="D114" i="32" s="1"/>
  <c r="AG123" i="30"/>
  <c r="AH123" i="30" s="1"/>
  <c r="AG124" i="30"/>
  <c r="AG125" i="30"/>
  <c r="AG126" i="30"/>
  <c r="AG127" i="30"/>
  <c r="AG128" i="30"/>
  <c r="AG129" i="30"/>
  <c r="AG130" i="30"/>
  <c r="AG131" i="30"/>
  <c r="AG132" i="30"/>
  <c r="AG133" i="30"/>
  <c r="D125" i="32" s="1"/>
  <c r="AG134" i="30"/>
  <c r="AG135" i="30"/>
  <c r="AG136" i="30"/>
  <c r="AG137" i="30"/>
  <c r="D129" i="32" s="1"/>
  <c r="AG138" i="30"/>
  <c r="AG139" i="30"/>
  <c r="AH139" i="30" s="1"/>
  <c r="AG140" i="30"/>
  <c r="AH140" i="30" s="1"/>
  <c r="AG141" i="30"/>
  <c r="D133" i="32" s="1"/>
  <c r="AG142" i="30"/>
  <c r="AG143" i="30"/>
  <c r="AG144" i="30"/>
  <c r="AG145" i="30"/>
  <c r="AG146" i="30"/>
  <c r="AG147" i="30"/>
  <c r="AG148" i="30"/>
  <c r="AG149" i="30"/>
  <c r="D141" i="32" s="1"/>
  <c r="AG20" i="29"/>
  <c r="C12" i="32" s="1"/>
  <c r="AG21" i="29"/>
  <c r="AG22" i="29"/>
  <c r="AG23" i="29"/>
  <c r="AG24" i="29"/>
  <c r="AG25" i="29"/>
  <c r="AG26" i="29"/>
  <c r="AG27" i="29"/>
  <c r="C19" i="32" s="1"/>
  <c r="AG28" i="29"/>
  <c r="C20" i="32" s="1"/>
  <c r="AG29" i="29"/>
  <c r="C21" i="32" s="1"/>
  <c r="AG30" i="29"/>
  <c r="AG31" i="29"/>
  <c r="C23" i="32" s="1"/>
  <c r="AG32" i="29"/>
  <c r="AG33" i="29"/>
  <c r="AG34" i="29"/>
  <c r="AG35" i="29"/>
  <c r="C27" i="32" s="1"/>
  <c r="AG36" i="29"/>
  <c r="C28" i="32" s="1"/>
  <c r="AG37" i="29"/>
  <c r="C29" i="32" s="1"/>
  <c r="AG38" i="29"/>
  <c r="AG39" i="29"/>
  <c r="AG40" i="29"/>
  <c r="AH40" i="29" s="1"/>
  <c r="AG41" i="29"/>
  <c r="AG42" i="29"/>
  <c r="C34" i="32" s="1"/>
  <c r="AG43" i="29"/>
  <c r="AG44" i="29"/>
  <c r="C36" i="32" s="1"/>
  <c r="AG45" i="29"/>
  <c r="AG46" i="29"/>
  <c r="AG47" i="29"/>
  <c r="AG48" i="29"/>
  <c r="AG49" i="29"/>
  <c r="C41" i="32" s="1"/>
  <c r="AG50" i="29"/>
  <c r="AG51" i="29"/>
  <c r="AG52" i="29"/>
  <c r="C44" i="32" s="1"/>
  <c r="AG53" i="29"/>
  <c r="AG54" i="29"/>
  <c r="AG55" i="29"/>
  <c r="C47" i="32" s="1"/>
  <c r="AG56" i="29"/>
  <c r="AH56" i="29" s="1"/>
  <c r="AG57" i="29"/>
  <c r="C49" i="32" s="1"/>
  <c r="AG58" i="29"/>
  <c r="AG59" i="29"/>
  <c r="AG60" i="29"/>
  <c r="AH60" i="29" s="1"/>
  <c r="AG61" i="29"/>
  <c r="AG62" i="29"/>
  <c r="C54" i="32" s="1"/>
  <c r="AG63" i="29"/>
  <c r="AG64" i="29"/>
  <c r="AH64" i="29" s="1"/>
  <c r="AG65" i="29"/>
  <c r="AG66" i="29"/>
  <c r="AH66" i="29" s="1"/>
  <c r="AG67" i="29"/>
  <c r="AG68" i="29"/>
  <c r="AH68" i="29" s="1"/>
  <c r="AG69" i="29"/>
  <c r="C61" i="32" s="1"/>
  <c r="AG70" i="29"/>
  <c r="AG71" i="29"/>
  <c r="AG72" i="29"/>
  <c r="AG73" i="29"/>
  <c r="AH73" i="29" s="1"/>
  <c r="AG74" i="29"/>
  <c r="C66" i="32" s="1"/>
  <c r="AG75" i="29"/>
  <c r="AG76" i="29"/>
  <c r="C68" i="32" s="1"/>
  <c r="AG77" i="29"/>
  <c r="C69" i="32" s="1"/>
  <c r="AG78" i="29"/>
  <c r="AG79" i="29"/>
  <c r="AH79" i="29" s="1"/>
  <c r="AG80" i="29"/>
  <c r="AH80" i="29" s="1"/>
  <c r="AG81" i="29"/>
  <c r="AH81" i="29" s="1"/>
  <c r="AG82" i="29"/>
  <c r="AG83" i="29"/>
  <c r="AG84" i="29"/>
  <c r="AG85" i="29"/>
  <c r="AG86" i="29"/>
  <c r="C78" i="32" s="1"/>
  <c r="AG87" i="29"/>
  <c r="AG88" i="29"/>
  <c r="C80" i="32" s="1"/>
  <c r="AG89" i="29"/>
  <c r="C81" i="32" s="1"/>
  <c r="AG90" i="29"/>
  <c r="AG91" i="29"/>
  <c r="C83" i="32" s="1"/>
  <c r="AG92" i="29"/>
  <c r="AG93" i="29"/>
  <c r="AG94" i="29"/>
  <c r="AH94" i="29" s="1"/>
  <c r="AG95" i="29"/>
  <c r="AG96" i="29"/>
  <c r="C88" i="32" s="1"/>
  <c r="AG97" i="29"/>
  <c r="AH97" i="29" s="1"/>
  <c r="AG98" i="29"/>
  <c r="AG99" i="29"/>
  <c r="AG100" i="29"/>
  <c r="AH100" i="29" s="1"/>
  <c r="AG101" i="29"/>
  <c r="C93" i="32" s="1"/>
  <c r="AG102" i="29"/>
  <c r="AG103" i="29"/>
  <c r="AG104" i="29"/>
  <c r="AH104" i="29" s="1"/>
  <c r="AG105" i="29"/>
  <c r="AG106" i="29"/>
  <c r="AG107" i="29"/>
  <c r="AH107" i="29" s="1"/>
  <c r="AG108" i="29"/>
  <c r="AG109" i="29"/>
  <c r="AG110" i="29"/>
  <c r="AG111" i="29"/>
  <c r="AG112" i="29"/>
  <c r="AG113" i="29"/>
  <c r="AG114" i="29"/>
  <c r="AH114" i="29" s="1"/>
  <c r="AG115" i="29"/>
  <c r="AG116" i="29"/>
  <c r="C108" i="32" s="1"/>
  <c r="AG117" i="29"/>
  <c r="AG118" i="29"/>
  <c r="AG119" i="29"/>
  <c r="C111" i="32" s="1"/>
  <c r="AG120" i="29"/>
  <c r="AG121" i="29"/>
  <c r="AG122" i="29"/>
  <c r="AG123" i="29"/>
  <c r="AH123" i="29" s="1"/>
  <c r="AG124" i="29"/>
  <c r="C116" i="32" s="1"/>
  <c r="AG125" i="29"/>
  <c r="AH125" i="29" s="1"/>
  <c r="AG126" i="29"/>
  <c r="AG127" i="29"/>
  <c r="AG128" i="29"/>
  <c r="AG129" i="29"/>
  <c r="AG130" i="29"/>
  <c r="AG131" i="29"/>
  <c r="AG132" i="29"/>
  <c r="C124" i="32" s="1"/>
  <c r="AG133" i="29"/>
  <c r="AG134" i="29"/>
  <c r="AG135" i="29"/>
  <c r="AG136" i="29"/>
  <c r="C128" i="32" s="1"/>
  <c r="AG137" i="29"/>
  <c r="C129" i="32" s="1"/>
  <c r="AG138" i="29"/>
  <c r="AH138" i="29" s="1"/>
  <c r="AG139" i="29"/>
  <c r="AG140" i="29"/>
  <c r="AH140" i="29" s="1"/>
  <c r="AG141" i="29"/>
  <c r="C133" i="32" s="1"/>
  <c r="AG142" i="29"/>
  <c r="AG143" i="29"/>
  <c r="C135" i="32" s="1"/>
  <c r="AG144" i="29"/>
  <c r="AH144" i="29" s="1"/>
  <c r="AG145" i="29"/>
  <c r="C137" i="32" s="1"/>
  <c r="AG146" i="29"/>
  <c r="C138" i="32" s="1"/>
  <c r="AG147" i="29"/>
  <c r="AG148" i="29"/>
  <c r="AG149" i="29"/>
  <c r="AG19" i="29"/>
  <c r="B141" i="32"/>
  <c r="B140" i="32"/>
  <c r="B139" i="32"/>
  <c r="B138" i="32"/>
  <c r="B137" i="32"/>
  <c r="B136" i="32"/>
  <c r="B135" i="32"/>
  <c r="B134" i="32"/>
  <c r="B133" i="32"/>
  <c r="B132" i="32"/>
  <c r="B131" i="32"/>
  <c r="B130" i="32"/>
  <c r="B129" i="32"/>
  <c r="B128" i="32"/>
  <c r="B127" i="32"/>
  <c r="B126" i="32"/>
  <c r="B125" i="32"/>
  <c r="B124" i="32"/>
  <c r="B123" i="32"/>
  <c r="B122" i="32"/>
  <c r="B121" i="32"/>
  <c r="B120" i="32"/>
  <c r="B119" i="32"/>
  <c r="B118" i="32"/>
  <c r="B117" i="32"/>
  <c r="B116" i="32"/>
  <c r="B115" i="32"/>
  <c r="B114" i="32"/>
  <c r="B113" i="32"/>
  <c r="B112" i="32"/>
  <c r="B111" i="32"/>
  <c r="B110" i="32"/>
  <c r="B109" i="32"/>
  <c r="B108" i="32"/>
  <c r="B107" i="32"/>
  <c r="B106" i="32"/>
  <c r="B105" i="32"/>
  <c r="B104" i="32"/>
  <c r="B103" i="32"/>
  <c r="B102" i="32"/>
  <c r="B101" i="32"/>
  <c r="B100" i="32"/>
  <c r="B99" i="32"/>
  <c r="B98" i="32"/>
  <c r="B97" i="32"/>
  <c r="B96" i="32"/>
  <c r="B95" i="32"/>
  <c r="B94" i="32"/>
  <c r="B93" i="32"/>
  <c r="B92" i="32"/>
  <c r="B91" i="32"/>
  <c r="B90" i="32"/>
  <c r="B89" i="32"/>
  <c r="B88" i="32"/>
  <c r="B87" i="32"/>
  <c r="B86" i="32"/>
  <c r="B85" i="32"/>
  <c r="B84" i="32"/>
  <c r="B83" i="32"/>
  <c r="B82" i="32"/>
  <c r="B81" i="32"/>
  <c r="B80" i="32"/>
  <c r="B79" i="32"/>
  <c r="B78" i="32"/>
  <c r="B77" i="32"/>
  <c r="B76" i="32"/>
  <c r="B75" i="32"/>
  <c r="B74" i="32"/>
  <c r="B73" i="32"/>
  <c r="B72" i="32"/>
  <c r="B71" i="32"/>
  <c r="B70" i="32"/>
  <c r="B69" i="32"/>
  <c r="B68" i="32"/>
  <c r="B67" i="32"/>
  <c r="B66" i="32"/>
  <c r="B65" i="32"/>
  <c r="B64" i="32"/>
  <c r="B63" i="32"/>
  <c r="B62" i="32"/>
  <c r="B61" i="32"/>
  <c r="B60" i="32"/>
  <c r="B59" i="32"/>
  <c r="B58" i="32"/>
  <c r="B57" i="32"/>
  <c r="B56" i="32"/>
  <c r="B55" i="32"/>
  <c r="B54" i="32"/>
  <c r="B53" i="32"/>
  <c r="B52" i="32"/>
  <c r="B51" i="32"/>
  <c r="B50" i="32"/>
  <c r="B49" i="32"/>
  <c r="B48" i="32"/>
  <c r="B47" i="32"/>
  <c r="B46" i="32"/>
  <c r="B45" i="32"/>
  <c r="B44" i="32"/>
  <c r="B43" i="32"/>
  <c r="B42" i="32"/>
  <c r="B41" i="32"/>
  <c r="B40" i="32"/>
  <c r="B39" i="32"/>
  <c r="B38" i="32"/>
  <c r="B37" i="32"/>
  <c r="B36" i="32"/>
  <c r="B35" i="32"/>
  <c r="B34" i="32"/>
  <c r="B33" i="32"/>
  <c r="B32" i="32"/>
  <c r="B31" i="32"/>
  <c r="B30" i="32"/>
  <c r="B29" i="32"/>
  <c r="B28" i="32"/>
  <c r="B27" i="32"/>
  <c r="B26" i="32"/>
  <c r="B25" i="32"/>
  <c r="B24" i="32"/>
  <c r="B23" i="32"/>
  <c r="B22" i="32"/>
  <c r="B21" i="32"/>
  <c r="B20" i="32"/>
  <c r="B19" i="32"/>
  <c r="B18" i="32"/>
  <c r="B17" i="32"/>
  <c r="B16" i="32"/>
  <c r="B15" i="32"/>
  <c r="B14" i="32"/>
  <c r="B13" i="32"/>
  <c r="B12" i="32"/>
  <c r="B11" i="32"/>
  <c r="B149" i="31"/>
  <c r="B148" i="31"/>
  <c r="B147" i="31"/>
  <c r="B146" i="31"/>
  <c r="B145" i="31"/>
  <c r="B144" i="31"/>
  <c r="B143" i="31"/>
  <c r="B142" i="31"/>
  <c r="B141" i="31"/>
  <c r="B140" i="31"/>
  <c r="B139" i="31"/>
  <c r="B138" i="31"/>
  <c r="B137" i="31"/>
  <c r="B136" i="31"/>
  <c r="B135" i="31"/>
  <c r="B134" i="31"/>
  <c r="B133" i="31"/>
  <c r="B132" i="31"/>
  <c r="B131" i="31"/>
  <c r="B130" i="31"/>
  <c r="B129" i="31"/>
  <c r="B128" i="31"/>
  <c r="B127" i="31"/>
  <c r="B126" i="31"/>
  <c r="B125" i="31"/>
  <c r="B124" i="31"/>
  <c r="B123" i="31"/>
  <c r="B122" i="31"/>
  <c r="B121" i="31"/>
  <c r="B120" i="31"/>
  <c r="B119" i="31"/>
  <c r="B118" i="31"/>
  <c r="B117" i="31"/>
  <c r="B116" i="31"/>
  <c r="B115" i="31"/>
  <c r="B114" i="31"/>
  <c r="B113" i="31"/>
  <c r="B112" i="31"/>
  <c r="B111" i="31"/>
  <c r="B110" i="31"/>
  <c r="B109" i="31"/>
  <c r="B108" i="31"/>
  <c r="B107" i="31"/>
  <c r="B106" i="31"/>
  <c r="B105" i="31"/>
  <c r="B104" i="31"/>
  <c r="B103" i="31"/>
  <c r="B102" i="31"/>
  <c r="B101" i="31"/>
  <c r="B100" i="31"/>
  <c r="B99" i="31"/>
  <c r="B98" i="31"/>
  <c r="B97" i="31"/>
  <c r="B96" i="31"/>
  <c r="B95" i="31"/>
  <c r="B94" i="31"/>
  <c r="B93" i="31"/>
  <c r="B92" i="31"/>
  <c r="B91" i="31"/>
  <c r="B90" i="31"/>
  <c r="B89" i="31"/>
  <c r="B88" i="31"/>
  <c r="B87" i="31"/>
  <c r="B86" i="31"/>
  <c r="B85" i="31"/>
  <c r="B84" i="31"/>
  <c r="B83" i="31"/>
  <c r="B82" i="31"/>
  <c r="B81" i="31"/>
  <c r="B80" i="31"/>
  <c r="B79" i="31"/>
  <c r="B78" i="31"/>
  <c r="B77" i="31"/>
  <c r="B76" i="31"/>
  <c r="B75" i="31"/>
  <c r="B74" i="31"/>
  <c r="B73" i="31"/>
  <c r="B72" i="31"/>
  <c r="B71" i="31"/>
  <c r="B70" i="31"/>
  <c r="B69" i="31"/>
  <c r="B68" i="31"/>
  <c r="B67" i="31"/>
  <c r="B66" i="31"/>
  <c r="B65" i="31"/>
  <c r="B64" i="31"/>
  <c r="B63" i="31"/>
  <c r="B62" i="31"/>
  <c r="B61" i="31"/>
  <c r="B60" i="31"/>
  <c r="B59" i="31"/>
  <c r="B58" i="31"/>
  <c r="B57" i="31"/>
  <c r="B56" i="31"/>
  <c r="B55" i="31"/>
  <c r="B54" i="31"/>
  <c r="B53" i="31"/>
  <c r="B52" i="31"/>
  <c r="B51" i="31"/>
  <c r="B50" i="31"/>
  <c r="B49" i="31"/>
  <c r="B48" i="31"/>
  <c r="B47" i="31"/>
  <c r="B46" i="31"/>
  <c r="B45" i="31"/>
  <c r="B44" i="31"/>
  <c r="B43" i="31"/>
  <c r="B42" i="31"/>
  <c r="B41" i="31"/>
  <c r="B40" i="31"/>
  <c r="B39" i="31"/>
  <c r="B38" i="31"/>
  <c r="B37" i="31"/>
  <c r="B36" i="31"/>
  <c r="B35" i="31"/>
  <c r="B34" i="31"/>
  <c r="B33" i="31"/>
  <c r="B32" i="31"/>
  <c r="B31" i="31"/>
  <c r="B30" i="31"/>
  <c r="B29" i="31"/>
  <c r="B28" i="31"/>
  <c r="B27" i="31"/>
  <c r="B26" i="31"/>
  <c r="B25" i="31"/>
  <c r="B24" i="31"/>
  <c r="B23" i="31"/>
  <c r="B22" i="31"/>
  <c r="B21" i="31"/>
  <c r="B20" i="31"/>
  <c r="B19" i="31"/>
  <c r="B149" i="30"/>
  <c r="B148" i="30"/>
  <c r="B147" i="30"/>
  <c r="B146" i="30"/>
  <c r="B145" i="30"/>
  <c r="B144" i="30"/>
  <c r="B143" i="30"/>
  <c r="B142" i="30"/>
  <c r="B141" i="30"/>
  <c r="B140" i="30"/>
  <c r="B139" i="30"/>
  <c r="B138" i="30"/>
  <c r="B137" i="30"/>
  <c r="B136" i="30"/>
  <c r="B135" i="30"/>
  <c r="B134" i="30"/>
  <c r="B133" i="30"/>
  <c r="B132" i="30"/>
  <c r="B131" i="30"/>
  <c r="B130" i="30"/>
  <c r="B129" i="30"/>
  <c r="B128" i="30"/>
  <c r="B127" i="30"/>
  <c r="B126" i="30"/>
  <c r="B125" i="30"/>
  <c r="B124" i="30"/>
  <c r="B123" i="30"/>
  <c r="B122" i="30"/>
  <c r="B121" i="30"/>
  <c r="B120" i="30"/>
  <c r="B119" i="30"/>
  <c r="B118" i="30"/>
  <c r="B117" i="30"/>
  <c r="B116" i="30"/>
  <c r="B115" i="30"/>
  <c r="B114" i="30"/>
  <c r="B113" i="30"/>
  <c r="B112" i="30"/>
  <c r="B111" i="30"/>
  <c r="B110" i="30"/>
  <c r="B109" i="30"/>
  <c r="B108" i="30"/>
  <c r="B107" i="30"/>
  <c r="B106" i="30"/>
  <c r="B105" i="30"/>
  <c r="B104" i="30"/>
  <c r="B103" i="30"/>
  <c r="B102" i="30"/>
  <c r="B101" i="30"/>
  <c r="B100" i="30"/>
  <c r="B99" i="30"/>
  <c r="B98" i="30"/>
  <c r="B97" i="30"/>
  <c r="B96" i="30"/>
  <c r="B95" i="30"/>
  <c r="B94" i="30"/>
  <c r="B93" i="30"/>
  <c r="B92" i="30"/>
  <c r="B91" i="30"/>
  <c r="B90" i="30"/>
  <c r="B89" i="30"/>
  <c r="B88" i="30"/>
  <c r="B87" i="30"/>
  <c r="B86" i="30"/>
  <c r="B85" i="30"/>
  <c r="B84" i="30"/>
  <c r="B83" i="30"/>
  <c r="B82" i="30"/>
  <c r="B81" i="30"/>
  <c r="B80" i="30"/>
  <c r="B79" i="30"/>
  <c r="B78" i="30"/>
  <c r="B77" i="30"/>
  <c r="B76" i="30"/>
  <c r="B75" i="30"/>
  <c r="B74" i="30"/>
  <c r="B73" i="30"/>
  <c r="B72" i="30"/>
  <c r="B71" i="30"/>
  <c r="B70" i="30"/>
  <c r="B69" i="30"/>
  <c r="B68" i="30"/>
  <c r="B67" i="30"/>
  <c r="B66" i="30"/>
  <c r="B65" i="30"/>
  <c r="B64" i="30"/>
  <c r="B63" i="30"/>
  <c r="B62" i="30"/>
  <c r="B61" i="30"/>
  <c r="B60" i="30"/>
  <c r="B59" i="30"/>
  <c r="B58" i="30"/>
  <c r="B57" i="30"/>
  <c r="B56" i="30"/>
  <c r="B55" i="30"/>
  <c r="B54" i="30"/>
  <c r="B53" i="30"/>
  <c r="B52" i="30"/>
  <c r="B51" i="30"/>
  <c r="B50" i="30"/>
  <c r="B49" i="30"/>
  <c r="B48" i="30"/>
  <c r="B47" i="30"/>
  <c r="B46" i="30"/>
  <c r="B45" i="30"/>
  <c r="B44" i="30"/>
  <c r="B43" i="30"/>
  <c r="B42" i="30"/>
  <c r="B41" i="30"/>
  <c r="B40" i="30"/>
  <c r="B39" i="30"/>
  <c r="B38" i="30"/>
  <c r="B37" i="30"/>
  <c r="B36" i="30"/>
  <c r="B35" i="30"/>
  <c r="B34" i="30"/>
  <c r="B33" i="30"/>
  <c r="B32" i="30"/>
  <c r="B31" i="30"/>
  <c r="B30" i="30"/>
  <c r="B29" i="30"/>
  <c r="B28" i="30"/>
  <c r="B27" i="30"/>
  <c r="B26" i="30"/>
  <c r="B25" i="30"/>
  <c r="B24" i="30"/>
  <c r="B23" i="30"/>
  <c r="B22" i="30"/>
  <c r="B21" i="30"/>
  <c r="B20" i="30"/>
  <c r="B19" i="30"/>
  <c r="B149" i="29"/>
  <c r="B148" i="29"/>
  <c r="B147" i="29"/>
  <c r="B146" i="29"/>
  <c r="B145" i="29"/>
  <c r="B144" i="29"/>
  <c r="B143" i="29"/>
  <c r="B142" i="29"/>
  <c r="B141" i="29"/>
  <c r="B140" i="29"/>
  <c r="B139" i="29"/>
  <c r="B138" i="29"/>
  <c r="B137" i="29"/>
  <c r="B136" i="29"/>
  <c r="B135" i="29"/>
  <c r="B134" i="29"/>
  <c r="B133" i="29"/>
  <c r="B132" i="29"/>
  <c r="B131" i="29"/>
  <c r="B130" i="29"/>
  <c r="B129" i="29"/>
  <c r="B128" i="29"/>
  <c r="B127" i="29"/>
  <c r="B126" i="29"/>
  <c r="B125" i="29"/>
  <c r="B124" i="29"/>
  <c r="B123" i="29"/>
  <c r="B122" i="29"/>
  <c r="B121" i="29"/>
  <c r="B120" i="29"/>
  <c r="B119" i="29"/>
  <c r="B118" i="29"/>
  <c r="B117" i="29"/>
  <c r="B116" i="29"/>
  <c r="B115" i="29"/>
  <c r="B114" i="29"/>
  <c r="B113" i="29"/>
  <c r="B112" i="29"/>
  <c r="B111" i="29"/>
  <c r="B110" i="29"/>
  <c r="B109" i="29"/>
  <c r="B108" i="29"/>
  <c r="B107" i="29"/>
  <c r="B106" i="29"/>
  <c r="B105" i="29"/>
  <c r="B104" i="29"/>
  <c r="B103" i="29"/>
  <c r="B102" i="29"/>
  <c r="B101" i="29"/>
  <c r="B100" i="29"/>
  <c r="B99" i="29"/>
  <c r="B98" i="29"/>
  <c r="B97" i="29"/>
  <c r="B96" i="29"/>
  <c r="B95" i="29"/>
  <c r="B94" i="29"/>
  <c r="B93" i="29"/>
  <c r="B92" i="29"/>
  <c r="B91" i="29"/>
  <c r="B90" i="29"/>
  <c r="B89" i="29"/>
  <c r="B88" i="29"/>
  <c r="B87" i="29"/>
  <c r="B86" i="29"/>
  <c r="B85" i="29"/>
  <c r="B84" i="29"/>
  <c r="B83" i="29"/>
  <c r="B82" i="29"/>
  <c r="B81" i="29"/>
  <c r="B80" i="29"/>
  <c r="B79" i="29"/>
  <c r="B78" i="29"/>
  <c r="B77" i="29"/>
  <c r="B76" i="29"/>
  <c r="B75" i="29"/>
  <c r="B74" i="29"/>
  <c r="B73" i="29"/>
  <c r="B72" i="29"/>
  <c r="B71" i="29"/>
  <c r="B70" i="29"/>
  <c r="B69" i="29"/>
  <c r="B68" i="29"/>
  <c r="B67" i="29"/>
  <c r="B66" i="29"/>
  <c r="B65" i="29"/>
  <c r="B64" i="29"/>
  <c r="B63" i="29"/>
  <c r="B62" i="29"/>
  <c r="B61" i="29"/>
  <c r="B60" i="29"/>
  <c r="B59" i="29"/>
  <c r="B58" i="29"/>
  <c r="B57" i="29"/>
  <c r="B56" i="29"/>
  <c r="B55" i="29"/>
  <c r="B54" i="29"/>
  <c r="B53" i="29"/>
  <c r="B52" i="29"/>
  <c r="B51" i="29"/>
  <c r="B50" i="29"/>
  <c r="B49" i="29"/>
  <c r="B48" i="29"/>
  <c r="B47" i="29"/>
  <c r="B46" i="29"/>
  <c r="B45" i="29"/>
  <c r="B44" i="29"/>
  <c r="B43" i="29"/>
  <c r="B42" i="29"/>
  <c r="B41" i="29"/>
  <c r="B40" i="29"/>
  <c r="B39" i="29"/>
  <c r="B38" i="29"/>
  <c r="B37" i="29"/>
  <c r="B36" i="29"/>
  <c r="B35" i="29"/>
  <c r="B34" i="29"/>
  <c r="B33" i="29"/>
  <c r="B32" i="29"/>
  <c r="B31" i="29"/>
  <c r="B30" i="29"/>
  <c r="B29" i="29"/>
  <c r="B28" i="29"/>
  <c r="B27" i="29"/>
  <c r="B26" i="29"/>
  <c r="B25" i="29"/>
  <c r="B24" i="29"/>
  <c r="B23" i="29"/>
  <c r="B21" i="29"/>
  <c r="B20" i="29"/>
  <c r="B19" i="29"/>
  <c r="B22" i="23"/>
  <c r="B23" i="23"/>
  <c r="B24" i="23"/>
  <c r="B25" i="23"/>
  <c r="B26" i="23"/>
  <c r="B27" i="23"/>
  <c r="B28" i="23"/>
  <c r="B29" i="23"/>
  <c r="B30" i="23"/>
  <c r="B31" i="23"/>
  <c r="B32" i="23"/>
  <c r="B33" i="23"/>
  <c r="B34" i="23"/>
  <c r="B35" i="23"/>
  <c r="B36" i="23"/>
  <c r="B37" i="23"/>
  <c r="B38" i="23"/>
  <c r="B39" i="23"/>
  <c r="B40" i="23"/>
  <c r="B41" i="23"/>
  <c r="B42" i="23"/>
  <c r="B43" i="23"/>
  <c r="B44" i="23"/>
  <c r="B45" i="23"/>
  <c r="B46" i="23"/>
  <c r="B47" i="23"/>
  <c r="B48" i="23"/>
  <c r="B49" i="23"/>
  <c r="B50" i="23"/>
  <c r="B51" i="23"/>
  <c r="B52" i="23"/>
  <c r="B53" i="23"/>
  <c r="B54" i="23"/>
  <c r="B55" i="23"/>
  <c r="B56" i="23"/>
  <c r="B57" i="23"/>
  <c r="B58" i="23"/>
  <c r="B59" i="23"/>
  <c r="B60" i="23"/>
  <c r="B61" i="23"/>
  <c r="B62" i="23"/>
  <c r="B63" i="23"/>
  <c r="B64" i="23"/>
  <c r="B65" i="23"/>
  <c r="B66" i="23"/>
  <c r="B67" i="23"/>
  <c r="B68" i="23"/>
  <c r="B69" i="23"/>
  <c r="B70" i="23"/>
  <c r="B71" i="23"/>
  <c r="B72" i="23"/>
  <c r="B73" i="23"/>
  <c r="B74" i="23"/>
  <c r="B75" i="23"/>
  <c r="B76" i="23"/>
  <c r="B77" i="23"/>
  <c r="B78" i="23"/>
  <c r="B79" i="23"/>
  <c r="B80" i="23"/>
  <c r="B81" i="23"/>
  <c r="B82" i="23"/>
  <c r="B83" i="23"/>
  <c r="B84" i="23"/>
  <c r="B85" i="23"/>
  <c r="B86" i="23"/>
  <c r="B87" i="23"/>
  <c r="B88" i="23"/>
  <c r="B89" i="23"/>
  <c r="B90" i="23"/>
  <c r="B91" i="23"/>
  <c r="B92" i="23"/>
  <c r="B93" i="23"/>
  <c r="B94" i="23"/>
  <c r="B95" i="23"/>
  <c r="B96" i="23"/>
  <c r="B97" i="23"/>
  <c r="B98" i="23"/>
  <c r="B99" i="23"/>
  <c r="B100" i="23"/>
  <c r="B101" i="23"/>
  <c r="B102" i="23"/>
  <c r="B103" i="23"/>
  <c r="B104" i="23"/>
  <c r="B105" i="23"/>
  <c r="B106" i="23"/>
  <c r="B107" i="23"/>
  <c r="B108" i="23"/>
  <c r="B109" i="23"/>
  <c r="B110" i="23"/>
  <c r="B111" i="23"/>
  <c r="B112" i="23"/>
  <c r="B113" i="23"/>
  <c r="B114" i="23"/>
  <c r="B115" i="23"/>
  <c r="B116" i="23"/>
  <c r="B117" i="23"/>
  <c r="B118" i="23"/>
  <c r="B119" i="23"/>
  <c r="B120" i="23"/>
  <c r="B121" i="23"/>
  <c r="B122" i="23"/>
  <c r="B123" i="23"/>
  <c r="B124" i="23"/>
  <c r="B125" i="23"/>
  <c r="B126" i="23"/>
  <c r="B127" i="23"/>
  <c r="B128" i="23"/>
  <c r="B129" i="23"/>
  <c r="B130" i="23"/>
  <c r="B131" i="23"/>
  <c r="B132" i="23"/>
  <c r="B133" i="23"/>
  <c r="B134" i="23"/>
  <c r="B135" i="23"/>
  <c r="B136" i="23"/>
  <c r="B137" i="23"/>
  <c r="B138" i="23"/>
  <c r="B139" i="23"/>
  <c r="B140" i="23"/>
  <c r="B141" i="23"/>
  <c r="B142" i="23"/>
  <c r="B143" i="23"/>
  <c r="B144" i="23"/>
  <c r="B145" i="23"/>
  <c r="B146" i="23"/>
  <c r="B147" i="23"/>
  <c r="B148" i="23"/>
  <c r="B20" i="23"/>
  <c r="B21" i="23"/>
  <c r="B19" i="23"/>
  <c r="S16" i="37"/>
  <c r="BQ40" i="37"/>
  <c r="E29" i="39" l="1"/>
  <c r="E23" i="39"/>
  <c r="E19" i="39"/>
  <c r="E17" i="39"/>
  <c r="E24" i="39"/>
  <c r="G25" i="4" s="1"/>
  <c r="E22" i="39"/>
  <c r="E14" i="39"/>
  <c r="G58" i="4"/>
  <c r="G56" i="4"/>
  <c r="AG47" i="48"/>
  <c r="G23" i="4"/>
  <c r="AG22" i="48"/>
  <c r="G30" i="4"/>
  <c r="G24" i="4"/>
  <c r="G20" i="4"/>
  <c r="G18" i="4"/>
  <c r="G94" i="4"/>
  <c r="G86" i="4"/>
  <c r="AG85" i="48"/>
  <c r="G70" i="4"/>
  <c r="G142" i="4"/>
  <c r="AG145" i="48"/>
  <c r="G134" i="4"/>
  <c r="AG137" i="48"/>
  <c r="G114" i="4"/>
  <c r="G106" i="4"/>
  <c r="G85" i="4"/>
  <c r="AG80" i="48"/>
  <c r="AG62" i="48"/>
  <c r="G120" i="4"/>
  <c r="G92" i="4"/>
  <c r="G88" i="4"/>
  <c r="AG83" i="48"/>
  <c r="G111" i="4"/>
  <c r="G107" i="4"/>
  <c r="G71" i="4"/>
  <c r="AG74" i="48"/>
  <c r="G53" i="4"/>
  <c r="M136" i="64"/>
  <c r="E34" i="65" s="1"/>
  <c r="D14" i="37"/>
  <c r="IN40" i="37"/>
  <c r="U33" i="39" s="1"/>
  <c r="M35" i="37"/>
  <c r="E106" i="40" s="1"/>
  <c r="M34" i="37"/>
  <c r="E105" i="40" s="1"/>
  <c r="C39" i="37"/>
  <c r="J20" i="4"/>
  <c r="J16" i="4"/>
  <c r="J14" i="4"/>
  <c r="J17" i="4"/>
  <c r="J19" i="4"/>
  <c r="J15" i="4"/>
  <c r="J18" i="4"/>
  <c r="J13" i="4"/>
  <c r="F177" i="4"/>
  <c r="D62" i="39"/>
  <c r="D88" i="39"/>
  <c r="F57" i="32"/>
  <c r="L31" i="37"/>
  <c r="M25" i="37"/>
  <c r="E96" i="40" s="1"/>
  <c r="O13" i="37"/>
  <c r="AH70" i="30"/>
  <c r="F133" i="32"/>
  <c r="AH22" i="30"/>
  <c r="C72" i="32"/>
  <c r="E20" i="32"/>
  <c r="D82" i="32"/>
  <c r="E32" i="32"/>
  <c r="AH110" i="30"/>
  <c r="F141" i="32"/>
  <c r="AH96" i="29"/>
  <c r="AH52" i="31"/>
  <c r="AH20" i="29"/>
  <c r="AH136" i="31"/>
  <c r="AH124" i="29"/>
  <c r="AH116" i="29"/>
  <c r="F137" i="32"/>
  <c r="AH122" i="30"/>
  <c r="K34" i="37"/>
  <c r="O18" i="37"/>
  <c r="N30" i="37"/>
  <c r="K30" i="37"/>
  <c r="K12" i="37"/>
  <c r="V7" i="37"/>
  <c r="E204" i="4" s="1"/>
  <c r="H27" i="37"/>
  <c r="D98" i="40" s="1"/>
  <c r="R26" i="37"/>
  <c r="J15" i="37"/>
  <c r="F39" i="32"/>
  <c r="D26" i="39"/>
  <c r="E26" i="39" s="1"/>
  <c r="AH24" i="23"/>
  <c r="D92" i="39"/>
  <c r="D47" i="39"/>
  <c r="D41" i="39"/>
  <c r="D18" i="39"/>
  <c r="E18" i="39" s="1"/>
  <c r="AH68" i="23"/>
  <c r="F41" i="32"/>
  <c r="F76" i="32"/>
  <c r="AH63" i="23"/>
  <c r="D43" i="39"/>
  <c r="F22" i="32"/>
  <c r="D28" i="39"/>
  <c r="E28" i="39" s="1"/>
  <c r="AH65" i="23"/>
  <c r="AH30" i="23"/>
  <c r="D81" i="39"/>
  <c r="AH26" i="23"/>
  <c r="F85" i="32"/>
  <c r="D51" i="39"/>
  <c r="F73" i="32"/>
  <c r="F34" i="32"/>
  <c r="C60" i="32"/>
  <c r="AH96" i="23"/>
  <c r="D58" i="32"/>
  <c r="C92" i="32"/>
  <c r="E28" i="32"/>
  <c r="F47" i="32"/>
  <c r="F62" i="32"/>
  <c r="D11" i="32"/>
  <c r="AH137" i="31"/>
  <c r="D50" i="32"/>
  <c r="AH144" i="31"/>
  <c r="D45" i="39"/>
  <c r="AH36" i="23"/>
  <c r="F38" i="32"/>
  <c r="AH100" i="23"/>
  <c r="D38" i="39"/>
  <c r="F45" i="32"/>
  <c r="D16" i="39"/>
  <c r="E16" i="39" s="1"/>
  <c r="F55" i="32"/>
  <c r="AH51" i="23"/>
  <c r="F93" i="32"/>
  <c r="AH47" i="23"/>
  <c r="AH93" i="23"/>
  <c r="D73" i="39"/>
  <c r="AH76" i="29"/>
  <c r="D60" i="39"/>
  <c r="AH101" i="23"/>
  <c r="E57" i="32"/>
  <c r="D76" i="39"/>
  <c r="F14" i="32"/>
  <c r="F26" i="32"/>
  <c r="C37" i="37"/>
  <c r="AH45" i="31"/>
  <c r="F37" i="32"/>
  <c r="R12" i="37"/>
  <c r="C86" i="32"/>
  <c r="E85" i="32"/>
  <c r="E61" i="32"/>
  <c r="D107" i="32"/>
  <c r="D31" i="37"/>
  <c r="N150" i="48"/>
  <c r="L38" i="37"/>
  <c r="D186" i="4"/>
  <c r="G183" i="4"/>
  <c r="AH29" i="23"/>
  <c r="B40" i="50"/>
  <c r="AH135" i="31"/>
  <c r="D63" i="32"/>
  <c r="D134" i="39"/>
  <c r="F19" i="32"/>
  <c r="R15" i="37"/>
  <c r="D171" i="4"/>
  <c r="J22" i="37"/>
  <c r="AH85" i="23"/>
  <c r="AH87" i="30"/>
  <c r="C73" i="32"/>
  <c r="D37" i="39"/>
  <c r="B10" i="50"/>
  <c r="H35" i="50"/>
  <c r="B46" i="50"/>
  <c r="B28" i="50"/>
  <c r="B22" i="50"/>
  <c r="E17" i="32"/>
  <c r="AH37" i="29"/>
  <c r="D99" i="32"/>
  <c r="D67" i="32"/>
  <c r="E53" i="32"/>
  <c r="B16" i="50"/>
  <c r="B2" i="50"/>
  <c r="AH142" i="29"/>
  <c r="C134" i="32"/>
  <c r="C94" i="32"/>
  <c r="AH102" i="29"/>
  <c r="AH143" i="29"/>
  <c r="C131" i="32"/>
  <c r="AH139" i="29"/>
  <c r="AH135" i="29"/>
  <c r="C127" i="32"/>
  <c r="D150" i="48"/>
  <c r="E150" i="48"/>
  <c r="J150" i="48"/>
  <c r="EH40" i="37"/>
  <c r="U22" i="39" s="1"/>
  <c r="E34" i="32"/>
  <c r="AH23" i="30"/>
  <c r="AH67" i="30"/>
  <c r="AH29" i="29"/>
  <c r="E77" i="32"/>
  <c r="C65" i="32"/>
  <c r="D131" i="32"/>
  <c r="G150" i="48"/>
  <c r="K150" i="48"/>
  <c r="L11" i="37"/>
  <c r="M12" i="37"/>
  <c r="E83" i="40" s="1"/>
  <c r="K15" i="37"/>
  <c r="M16" i="37"/>
  <c r="E87" i="40" s="1"/>
  <c r="K20" i="37"/>
  <c r="O23" i="37"/>
  <c r="O24" i="37"/>
  <c r="O28" i="37"/>
  <c r="O31" i="37"/>
  <c r="K32" i="37"/>
  <c r="G33" i="37"/>
  <c r="C178" i="40" s="1"/>
  <c r="M39" i="37"/>
  <c r="E110" i="40" s="1"/>
  <c r="C67" i="32"/>
  <c r="AH75" i="29"/>
  <c r="C63" i="32"/>
  <c r="AH71" i="29"/>
  <c r="AH57" i="30"/>
  <c r="D49" i="32"/>
  <c r="E51" i="32"/>
  <c r="AH59" i="31"/>
  <c r="E35" i="32"/>
  <c r="AH43" i="31"/>
  <c r="D124" i="39"/>
  <c r="F124" i="32"/>
  <c r="J36" i="37"/>
  <c r="J19" i="37"/>
  <c r="J20" i="37"/>
  <c r="J27" i="37"/>
  <c r="J18" i="37"/>
  <c r="J21" i="37"/>
  <c r="J13" i="37"/>
  <c r="H35" i="37"/>
  <c r="D106" i="40" s="1"/>
  <c r="H37" i="37"/>
  <c r="D108" i="40" s="1"/>
  <c r="H13" i="37"/>
  <c r="D84" i="40" s="1"/>
  <c r="H12" i="37"/>
  <c r="D83" i="40" s="1"/>
  <c r="F26" i="37"/>
  <c r="F38" i="37"/>
  <c r="AD150" i="48"/>
  <c r="F83" i="32"/>
  <c r="D83" i="39"/>
  <c r="AH87" i="23"/>
  <c r="D79" i="39"/>
  <c r="F79" i="32"/>
  <c r="AH71" i="23"/>
  <c r="D63" i="39"/>
  <c r="O26" i="37"/>
  <c r="C26" i="37"/>
  <c r="O22" i="37"/>
  <c r="K22" i="37"/>
  <c r="M22" i="37"/>
  <c r="E93" i="40" s="1"/>
  <c r="N18" i="37"/>
  <c r="N32" i="37"/>
  <c r="N33" i="37"/>
  <c r="N27" i="37"/>
  <c r="N39" i="37"/>
  <c r="N35" i="37"/>
  <c r="O19" i="37"/>
  <c r="G19" i="37"/>
  <c r="C169" i="40" s="1"/>
  <c r="M27" i="37"/>
  <c r="E98" i="40" s="1"/>
  <c r="L27" i="37"/>
  <c r="O27" i="37"/>
  <c r="O36" i="37"/>
  <c r="L36" i="37"/>
  <c r="G36" i="37"/>
  <c r="C107" i="40" s="1"/>
  <c r="C150" i="48"/>
  <c r="AH53" i="30"/>
  <c r="AH33" i="30"/>
  <c r="H36" i="37"/>
  <c r="D107" i="40" s="1"/>
  <c r="J23" i="37"/>
  <c r="F11" i="37"/>
  <c r="L39" i="37"/>
  <c r="E59" i="32"/>
  <c r="H26" i="37"/>
  <c r="D97" i="40" s="1"/>
  <c r="J17" i="37"/>
  <c r="F17" i="37"/>
  <c r="N28" i="37"/>
  <c r="J37" i="37"/>
  <c r="AH126" i="29"/>
  <c r="C118" i="32"/>
  <c r="C102" i="32"/>
  <c r="AH110" i="29"/>
  <c r="AM136" i="22"/>
  <c r="R17" i="37"/>
  <c r="C138" i="40"/>
  <c r="R33" i="37"/>
  <c r="I14" i="37"/>
  <c r="C122" i="40"/>
  <c r="R16" i="37"/>
  <c r="D15" i="37"/>
  <c r="D24" i="37"/>
  <c r="AH19" i="31"/>
  <c r="E11" i="32"/>
  <c r="AC150" i="48"/>
  <c r="AB150" i="48"/>
  <c r="X150" i="48"/>
  <c r="V150" i="48"/>
  <c r="Q150" i="48"/>
  <c r="P150" i="48"/>
  <c r="M150" i="48"/>
  <c r="F94" i="32"/>
  <c r="D94" i="39"/>
  <c r="AH86" i="23"/>
  <c r="D78" i="39"/>
  <c r="F52" i="32"/>
  <c r="AH60" i="23"/>
  <c r="L37" i="37"/>
  <c r="K29" i="37"/>
  <c r="M17" i="37"/>
  <c r="E88" i="40" s="1"/>
  <c r="L47" i="39"/>
  <c r="F15" i="32"/>
  <c r="D15" i="39"/>
  <c r="E15" i="39" s="1"/>
  <c r="AH23" i="23"/>
  <c r="D190" i="4"/>
  <c r="K85" i="4"/>
  <c r="F192" i="4"/>
  <c r="C10" i="37"/>
  <c r="BZ40" i="37"/>
  <c r="U16" i="39" s="1"/>
  <c r="FB40" i="37"/>
  <c r="U24" i="39" s="1"/>
  <c r="GP40" i="37"/>
  <c r="U28" i="39" s="1"/>
  <c r="ID40" i="37"/>
  <c r="U32" i="39" s="1"/>
  <c r="JR40" i="37"/>
  <c r="U36" i="39" s="1"/>
  <c r="LF40" i="37"/>
  <c r="U40" i="39" s="1"/>
  <c r="CJ40" i="37"/>
  <c r="U17" i="39" s="1"/>
  <c r="DX40" i="37"/>
  <c r="U21" i="39" s="1"/>
  <c r="FL40" i="37"/>
  <c r="U25" i="39" s="1"/>
  <c r="GZ40" i="37"/>
  <c r="U29" i="39" s="1"/>
  <c r="LP40" i="37"/>
  <c r="U41" i="39" s="1"/>
  <c r="KL40" i="37"/>
  <c r="U38" i="39" s="1"/>
  <c r="DD40" i="37"/>
  <c r="U19" i="39" s="1"/>
  <c r="ER40" i="37"/>
  <c r="U23" i="39" s="1"/>
  <c r="GF40" i="37"/>
  <c r="U27" i="39" s="1"/>
  <c r="HT40" i="37"/>
  <c r="U31" i="39" s="1"/>
  <c r="KV40" i="37"/>
  <c r="U39" i="39" s="1"/>
  <c r="H18" i="37"/>
  <c r="D89" i="40" s="1"/>
  <c r="AH91" i="23"/>
  <c r="AH90" i="23"/>
  <c r="AH141" i="30"/>
  <c r="AH27" i="23"/>
  <c r="AH91" i="29"/>
  <c r="D56" i="39"/>
  <c r="O39" i="37"/>
  <c r="B175" i="4"/>
  <c r="D22" i="37"/>
  <c r="N38" i="37"/>
  <c r="F12" i="37"/>
  <c r="L20" i="37"/>
  <c r="AH142" i="31"/>
  <c r="AH79" i="31"/>
  <c r="E91" i="32"/>
  <c r="C19" i="37"/>
  <c r="H31" i="37"/>
  <c r="D102" i="40" s="1"/>
  <c r="J12" i="37"/>
  <c r="E47" i="32"/>
  <c r="K18" i="37"/>
  <c r="K19" i="37"/>
  <c r="AH31" i="29"/>
  <c r="AH149" i="30"/>
  <c r="M18" i="37"/>
  <c r="E89" i="40" s="1"/>
  <c r="AH55" i="29"/>
  <c r="G27" i="37"/>
  <c r="C98" i="40" s="1"/>
  <c r="Y150" i="48"/>
  <c r="T150" i="48"/>
  <c r="M24" i="37"/>
  <c r="E95" i="40" s="1"/>
  <c r="M20" i="37"/>
  <c r="E91" i="40" s="1"/>
  <c r="L12" i="37"/>
  <c r="AB40" i="37"/>
  <c r="U11" i="39" s="1"/>
  <c r="LZ40" i="37"/>
  <c r="U42" i="39" s="1"/>
  <c r="C106" i="32"/>
  <c r="F56" i="32"/>
  <c r="AH146" i="29"/>
  <c r="E188" i="4"/>
  <c r="D29" i="37"/>
  <c r="R11" i="37"/>
  <c r="N36" i="37"/>
  <c r="C18" i="37"/>
  <c r="AH71" i="31"/>
  <c r="M19" i="37"/>
  <c r="E90" i="40" s="1"/>
  <c r="N24" i="37"/>
  <c r="D13" i="32"/>
  <c r="K31" i="37"/>
  <c r="J34" i="37"/>
  <c r="H14" i="37"/>
  <c r="D85" i="40" s="1"/>
  <c r="H30" i="37"/>
  <c r="D101" i="40" s="1"/>
  <c r="AH132" i="23"/>
  <c r="AH59" i="23"/>
  <c r="D27" i="32"/>
  <c r="F77" i="32"/>
  <c r="D31" i="32"/>
  <c r="AH77" i="29"/>
  <c r="F102" i="32"/>
  <c r="E41" i="32"/>
  <c r="E73" i="32"/>
  <c r="AH51" i="30"/>
  <c r="B5" i="50"/>
  <c r="AH89" i="23"/>
  <c r="I2" i="50"/>
  <c r="B35" i="50"/>
  <c r="D247" i="40"/>
  <c r="L28" i="37"/>
  <c r="B194" i="4"/>
  <c r="D6" i="4"/>
  <c r="K89" i="4"/>
  <c r="E168" i="4"/>
  <c r="J81" i="4"/>
  <c r="F166" i="4"/>
  <c r="E171" i="4"/>
  <c r="G175" i="4"/>
  <c r="K81" i="4"/>
  <c r="D182" i="4"/>
  <c r="G192" i="4"/>
  <c r="D180" i="4"/>
  <c r="P164" i="4"/>
  <c r="E182" i="4"/>
  <c r="J85" i="4"/>
  <c r="G191" i="4"/>
  <c r="B6" i="4"/>
  <c r="B178" i="4"/>
  <c r="F193" i="4"/>
  <c r="D183" i="4"/>
  <c r="B168" i="4"/>
  <c r="F179" i="4"/>
  <c r="E175" i="4"/>
  <c r="F185" i="4"/>
  <c r="G177" i="4"/>
  <c r="G179" i="4"/>
  <c r="L81" i="4"/>
  <c r="B164" i="4"/>
  <c r="P166" i="4"/>
  <c r="D175" i="4"/>
  <c r="F175" i="4"/>
  <c r="J84" i="4"/>
  <c r="F194" i="4"/>
  <c r="B163" i="4"/>
  <c r="B184" i="4"/>
  <c r="D176" i="4"/>
  <c r="E194" i="4"/>
  <c r="J90" i="4"/>
  <c r="J88" i="4"/>
  <c r="G182" i="4"/>
  <c r="B174" i="4"/>
  <c r="D191" i="4"/>
  <c r="D194" i="4"/>
  <c r="F190" i="4"/>
  <c r="L89" i="4"/>
  <c r="I124" i="4"/>
  <c r="B167" i="4"/>
  <c r="D193" i="4"/>
  <c r="M6" i="4"/>
  <c r="K86" i="4"/>
  <c r="F187" i="4"/>
  <c r="J3" i="4"/>
  <c r="B183" i="4"/>
  <c r="E186" i="4"/>
  <c r="J124" i="4"/>
  <c r="G186" i="4"/>
  <c r="D192" i="4"/>
  <c r="E190" i="4"/>
  <c r="G188" i="4"/>
  <c r="E177" i="4"/>
  <c r="G189" i="4"/>
  <c r="F173" i="4"/>
  <c r="B182" i="4"/>
  <c r="F189" i="4"/>
  <c r="K84" i="4"/>
  <c r="J82" i="4"/>
  <c r="G178" i="4"/>
  <c r="B185" i="4"/>
  <c r="D177" i="4"/>
  <c r="N124" i="4"/>
  <c r="F178" i="4"/>
  <c r="G172" i="4"/>
  <c r="G167" i="4"/>
  <c r="B187" i="4"/>
  <c r="D188" i="4"/>
  <c r="E189" i="4"/>
  <c r="K87" i="4"/>
  <c r="F183" i="4"/>
  <c r="G184" i="4"/>
  <c r="B190" i="4"/>
  <c r="E193" i="4"/>
  <c r="J2" i="4"/>
  <c r="L85" i="4"/>
  <c r="F168" i="4"/>
  <c r="G181" i="4"/>
  <c r="D179" i="4"/>
  <c r="E187" i="4"/>
  <c r="L84" i="4"/>
  <c r="B173" i="4"/>
  <c r="D174" i="4"/>
  <c r="F188" i="4"/>
  <c r="D169" i="4"/>
  <c r="F181" i="4"/>
  <c r="D172" i="4"/>
  <c r="L83" i="4"/>
  <c r="K83" i="4"/>
  <c r="G174" i="4"/>
  <c r="F171" i="4"/>
  <c r="J89" i="4"/>
  <c r="G168" i="4"/>
  <c r="B171" i="4"/>
  <c r="D166" i="4"/>
  <c r="D184" i="4"/>
  <c r="F186" i="4"/>
  <c r="J86" i="4"/>
  <c r="G165" i="4"/>
  <c r="B165" i="4"/>
  <c r="B191" i="4"/>
  <c r="D185" i="4"/>
  <c r="E191" i="4"/>
  <c r="B3" i="4"/>
  <c r="L124" i="4"/>
  <c r="G169" i="4"/>
  <c r="D165" i="4"/>
  <c r="E184" i="4"/>
  <c r="J83" i="4"/>
  <c r="F165" i="4"/>
  <c r="C6" i="4"/>
  <c r="G193" i="4"/>
  <c r="E170" i="4"/>
  <c r="F172" i="4"/>
  <c r="B170" i="4"/>
  <c r="B180" i="4"/>
  <c r="E13" i="4"/>
  <c r="F14" i="4"/>
  <c r="E17" i="4"/>
  <c r="F18" i="4"/>
  <c r="E21" i="4"/>
  <c r="F22" i="4"/>
  <c r="E25" i="4"/>
  <c r="F26" i="4"/>
  <c r="E29" i="4"/>
  <c r="F30" i="4"/>
  <c r="E33" i="4"/>
  <c r="F34" i="4"/>
  <c r="E37" i="4"/>
  <c r="F38" i="4"/>
  <c r="E41" i="4"/>
  <c r="F42" i="4"/>
  <c r="E45" i="4"/>
  <c r="F46" i="4"/>
  <c r="E49" i="4"/>
  <c r="F50" i="4"/>
  <c r="E53" i="4"/>
  <c r="F54" i="4"/>
  <c r="E57" i="4"/>
  <c r="F58" i="4"/>
  <c r="E61" i="4"/>
  <c r="F62" i="4"/>
  <c r="E65" i="4"/>
  <c r="F66" i="4"/>
  <c r="E69" i="4"/>
  <c r="F70" i="4"/>
  <c r="E73" i="4"/>
  <c r="F74" i="4"/>
  <c r="E77" i="4"/>
  <c r="F78" i="4"/>
  <c r="E81" i="4"/>
  <c r="F82" i="4"/>
  <c r="E85" i="4"/>
  <c r="F86" i="4"/>
  <c r="E89" i="4"/>
  <c r="F90" i="4"/>
  <c r="E93" i="4"/>
  <c r="F94" i="4"/>
  <c r="E97" i="4"/>
  <c r="F98" i="4"/>
  <c r="E101" i="4"/>
  <c r="F102" i="4"/>
  <c r="E105" i="4"/>
  <c r="F106" i="4"/>
  <c r="E109" i="4"/>
  <c r="F110" i="4"/>
  <c r="E113" i="4"/>
  <c r="F114" i="4"/>
  <c r="E117" i="4"/>
  <c r="F118" i="4"/>
  <c r="E121" i="4"/>
  <c r="F122" i="4"/>
  <c r="E125" i="4"/>
  <c r="F126" i="4"/>
  <c r="E129" i="4"/>
  <c r="F130" i="4"/>
  <c r="E133" i="4"/>
  <c r="F134" i="4"/>
  <c r="E137" i="4"/>
  <c r="F138" i="4"/>
  <c r="E141" i="4"/>
  <c r="F142" i="4"/>
  <c r="E12" i="4"/>
  <c r="D16" i="4"/>
  <c r="D20" i="4"/>
  <c r="D24" i="4"/>
  <c r="D28" i="4"/>
  <c r="D32" i="4"/>
  <c r="D36" i="4"/>
  <c r="D40" i="4"/>
  <c r="D44" i="4"/>
  <c r="D48" i="4"/>
  <c r="D52" i="4"/>
  <c r="D56" i="4"/>
  <c r="D60" i="4"/>
  <c r="D64" i="4"/>
  <c r="D68" i="4"/>
  <c r="D72" i="4"/>
  <c r="D76" i="4"/>
  <c r="D80" i="4"/>
  <c r="D84" i="4"/>
  <c r="F13" i="4"/>
  <c r="E16" i="4"/>
  <c r="F17" i="4"/>
  <c r="E20" i="4"/>
  <c r="F21" i="4"/>
  <c r="E24" i="4"/>
  <c r="F25" i="4"/>
  <c r="E28" i="4"/>
  <c r="F29" i="4"/>
  <c r="E32" i="4"/>
  <c r="F33" i="4"/>
  <c r="E36" i="4"/>
  <c r="F37" i="4"/>
  <c r="E40" i="4"/>
  <c r="F41" i="4"/>
  <c r="E44" i="4"/>
  <c r="F45" i="4"/>
  <c r="E48" i="4"/>
  <c r="F49" i="4"/>
  <c r="E52" i="4"/>
  <c r="F53" i="4"/>
  <c r="E56" i="4"/>
  <c r="F57" i="4"/>
  <c r="E60" i="4"/>
  <c r="F61" i="4"/>
  <c r="E64" i="4"/>
  <c r="F65" i="4"/>
  <c r="E68" i="4"/>
  <c r="F69" i="4"/>
  <c r="E72" i="4"/>
  <c r="F73" i="4"/>
  <c r="E76" i="4"/>
  <c r="F77" i="4"/>
  <c r="E80" i="4"/>
  <c r="F81" i="4"/>
  <c r="E84" i="4"/>
  <c r="F85" i="4"/>
  <c r="E88" i="4"/>
  <c r="F89" i="4"/>
  <c r="E92" i="4"/>
  <c r="F93" i="4"/>
  <c r="E96" i="4"/>
  <c r="F97" i="4"/>
  <c r="E100" i="4"/>
  <c r="F101" i="4"/>
  <c r="E104" i="4"/>
  <c r="F105" i="4"/>
  <c r="E108" i="4"/>
  <c r="F109" i="4"/>
  <c r="E112" i="4"/>
  <c r="F113" i="4"/>
  <c r="E116" i="4"/>
  <c r="F117" i="4"/>
  <c r="E120" i="4"/>
  <c r="F121" i="4"/>
  <c r="E124" i="4"/>
  <c r="F125" i="4"/>
  <c r="E128" i="4"/>
  <c r="F129" i="4"/>
  <c r="E132" i="4"/>
  <c r="F133" i="4"/>
  <c r="E136" i="4"/>
  <c r="F137" i="4"/>
  <c r="E140" i="4"/>
  <c r="F141" i="4"/>
  <c r="D13" i="4"/>
  <c r="D17" i="4"/>
  <c r="D21" i="4"/>
  <c r="D25" i="4"/>
  <c r="D29" i="4"/>
  <c r="D33" i="4"/>
  <c r="D37" i="4"/>
  <c r="D41" i="4"/>
  <c r="D45" i="4"/>
  <c r="D49" i="4"/>
  <c r="D53" i="4"/>
  <c r="D57" i="4"/>
  <c r="D61" i="4"/>
  <c r="D65" i="4"/>
  <c r="D69" i="4"/>
  <c r="D73" i="4"/>
  <c r="D77" i="4"/>
  <c r="D81" i="4"/>
  <c r="D85" i="4"/>
  <c r="F15" i="4"/>
  <c r="F19" i="4"/>
  <c r="F23" i="4"/>
  <c r="F27" i="4"/>
  <c r="F31" i="4"/>
  <c r="F35" i="4"/>
  <c r="F39" i="4"/>
  <c r="F43" i="4"/>
  <c r="F47" i="4"/>
  <c r="F51" i="4"/>
  <c r="F55" i="4"/>
  <c r="F59" i="4"/>
  <c r="F63" i="4"/>
  <c r="F67" i="4"/>
  <c r="F71" i="4"/>
  <c r="F75" i="4"/>
  <c r="F79" i="4"/>
  <c r="F83" i="4"/>
  <c r="F87" i="4"/>
  <c r="F91" i="4"/>
  <c r="F95" i="4"/>
  <c r="F99" i="4"/>
  <c r="F103" i="4"/>
  <c r="F107" i="4"/>
  <c r="F111" i="4"/>
  <c r="F115" i="4"/>
  <c r="F119" i="4"/>
  <c r="F123" i="4"/>
  <c r="F127" i="4"/>
  <c r="F131" i="4"/>
  <c r="F135" i="4"/>
  <c r="F139" i="4"/>
  <c r="F12" i="4"/>
  <c r="D19" i="4"/>
  <c r="D27" i="4"/>
  <c r="D35" i="4"/>
  <c r="D43" i="4"/>
  <c r="D51" i="4"/>
  <c r="D59" i="4"/>
  <c r="D67" i="4"/>
  <c r="D75" i="4"/>
  <c r="D83" i="4"/>
  <c r="D89" i="4"/>
  <c r="D93" i="4"/>
  <c r="D97" i="4"/>
  <c r="D101" i="4"/>
  <c r="D105" i="4"/>
  <c r="D109" i="4"/>
  <c r="D113" i="4"/>
  <c r="D117" i="4"/>
  <c r="D121" i="4"/>
  <c r="D125" i="4"/>
  <c r="D129" i="4"/>
  <c r="D133" i="4"/>
  <c r="D137" i="4"/>
  <c r="D141" i="4"/>
  <c r="C14" i="4"/>
  <c r="C18" i="4"/>
  <c r="C22" i="4"/>
  <c r="C26" i="4"/>
  <c r="C30" i="4"/>
  <c r="C34" i="4"/>
  <c r="C38" i="4"/>
  <c r="C42" i="4"/>
  <c r="C46" i="4"/>
  <c r="C50" i="4"/>
  <c r="C54" i="4"/>
  <c r="C58" i="4"/>
  <c r="C62" i="4"/>
  <c r="C66" i="4"/>
  <c r="C70" i="4"/>
  <c r="C74" i="4"/>
  <c r="C78" i="4"/>
  <c r="C82" i="4"/>
  <c r="C86" i="4"/>
  <c r="F16" i="4"/>
  <c r="F20" i="4"/>
  <c r="F24" i="4"/>
  <c r="F28" i="4"/>
  <c r="F32" i="4"/>
  <c r="F36" i="4"/>
  <c r="F40" i="4"/>
  <c r="F44" i="4"/>
  <c r="F48" i="4"/>
  <c r="F52" i="4"/>
  <c r="F56" i="4"/>
  <c r="F60" i="4"/>
  <c r="F64" i="4"/>
  <c r="F68" i="4"/>
  <c r="F72" i="4"/>
  <c r="F76" i="4"/>
  <c r="F80" i="4"/>
  <c r="F84" i="4"/>
  <c r="F88" i="4"/>
  <c r="F92" i="4"/>
  <c r="F96" i="4"/>
  <c r="F100" i="4"/>
  <c r="F104" i="4"/>
  <c r="F108" i="4"/>
  <c r="F112" i="4"/>
  <c r="F116" i="4"/>
  <c r="F120" i="4"/>
  <c r="F124" i="4"/>
  <c r="F128" i="4"/>
  <c r="F132" i="4"/>
  <c r="F136" i="4"/>
  <c r="F140" i="4"/>
  <c r="D15" i="4"/>
  <c r="D23" i="4"/>
  <c r="D31" i="4"/>
  <c r="D39" i="4"/>
  <c r="D47" i="4"/>
  <c r="D55" i="4"/>
  <c r="D63" i="4"/>
  <c r="D71" i="4"/>
  <c r="D79" i="4"/>
  <c r="D87" i="4"/>
  <c r="D91" i="4"/>
  <c r="D95" i="4"/>
  <c r="D99" i="4"/>
  <c r="D103" i="4"/>
  <c r="D107" i="4"/>
  <c r="D111" i="4"/>
  <c r="D115" i="4"/>
  <c r="D119" i="4"/>
  <c r="D123" i="4"/>
  <c r="D127" i="4"/>
  <c r="D131" i="4"/>
  <c r="D135" i="4"/>
  <c r="D139" i="4"/>
  <c r="D12" i="4"/>
  <c r="C16" i="4"/>
  <c r="C20" i="4"/>
  <c r="C24" i="4"/>
  <c r="C28" i="4"/>
  <c r="C32" i="4"/>
  <c r="C36" i="4"/>
  <c r="C40" i="4"/>
  <c r="C44" i="4"/>
  <c r="C48" i="4"/>
  <c r="C52" i="4"/>
  <c r="C56" i="4"/>
  <c r="C60" i="4"/>
  <c r="C64" i="4"/>
  <c r="C68" i="4"/>
  <c r="C72" i="4"/>
  <c r="C76" i="4"/>
  <c r="C80" i="4"/>
  <c r="C84" i="4"/>
  <c r="C88" i="4"/>
  <c r="C92" i="4"/>
  <c r="C96" i="4"/>
  <c r="C100" i="4"/>
  <c r="C104" i="4"/>
  <c r="C108" i="4"/>
  <c r="C112" i="4"/>
  <c r="C116" i="4"/>
  <c r="C120" i="4"/>
  <c r="C124" i="4"/>
  <c r="C128" i="4"/>
  <c r="E15" i="4"/>
  <c r="E19" i="4"/>
  <c r="E23" i="4"/>
  <c r="E27" i="4"/>
  <c r="E31" i="4"/>
  <c r="E35" i="4"/>
  <c r="E39" i="4"/>
  <c r="E43" i="4"/>
  <c r="E47" i="4"/>
  <c r="E51" i="4"/>
  <c r="E55" i="4"/>
  <c r="E59" i="4"/>
  <c r="E63" i="4"/>
  <c r="E67" i="4"/>
  <c r="E71" i="4"/>
  <c r="E75" i="4"/>
  <c r="E79" i="4"/>
  <c r="E83" i="4"/>
  <c r="E87" i="4"/>
  <c r="E91" i="4"/>
  <c r="E95" i="4"/>
  <c r="E99" i="4"/>
  <c r="E103" i="4"/>
  <c r="E107" i="4"/>
  <c r="E111" i="4"/>
  <c r="E115" i="4"/>
  <c r="E119" i="4"/>
  <c r="E123" i="4"/>
  <c r="E127" i="4"/>
  <c r="E131" i="4"/>
  <c r="E135" i="4"/>
  <c r="E139" i="4"/>
  <c r="D18" i="4"/>
  <c r="D26" i="4"/>
  <c r="D34" i="4"/>
  <c r="D42" i="4"/>
  <c r="D50" i="4"/>
  <c r="D58" i="4"/>
  <c r="D66" i="4"/>
  <c r="D74" i="4"/>
  <c r="D82" i="4"/>
  <c r="D88" i="4"/>
  <c r="D92" i="4"/>
  <c r="D96" i="4"/>
  <c r="D100" i="4"/>
  <c r="D104" i="4"/>
  <c r="D108" i="4"/>
  <c r="D112" i="4"/>
  <c r="D116" i="4"/>
  <c r="D120" i="4"/>
  <c r="D124" i="4"/>
  <c r="D128" i="4"/>
  <c r="D132" i="4"/>
  <c r="D136" i="4"/>
  <c r="D140" i="4"/>
  <c r="C13" i="4"/>
  <c r="C17" i="4"/>
  <c r="C21" i="4"/>
  <c r="C25" i="4"/>
  <c r="C29" i="4"/>
  <c r="C33" i="4"/>
  <c r="C37" i="4"/>
  <c r="C41" i="4"/>
  <c r="E26" i="4"/>
  <c r="E42" i="4"/>
  <c r="E58" i="4"/>
  <c r="E74" i="4"/>
  <c r="E90" i="4"/>
  <c r="E106" i="4"/>
  <c r="E122" i="4"/>
  <c r="E138" i="4"/>
  <c r="D14" i="4"/>
  <c r="D46" i="4"/>
  <c r="D78" i="4"/>
  <c r="D98" i="4"/>
  <c r="D114" i="4"/>
  <c r="D130" i="4"/>
  <c r="C15" i="4"/>
  <c r="C31" i="4"/>
  <c r="C45" i="4"/>
  <c r="C53" i="4"/>
  <c r="C61" i="4"/>
  <c r="C69" i="4"/>
  <c r="C77" i="4"/>
  <c r="C85" i="4"/>
  <c r="C91" i="4"/>
  <c r="C97" i="4"/>
  <c r="C102" i="4"/>
  <c r="C107" i="4"/>
  <c r="C113" i="4"/>
  <c r="C118" i="4"/>
  <c r="C123" i="4"/>
  <c r="C129" i="4"/>
  <c r="C133" i="4"/>
  <c r="C137" i="4"/>
  <c r="C141" i="4"/>
  <c r="E30" i="4"/>
  <c r="E46" i="4"/>
  <c r="E110" i="4"/>
  <c r="E142" i="4"/>
  <c r="D102" i="4"/>
  <c r="C19" i="4"/>
  <c r="C55" i="4"/>
  <c r="C87" i="4"/>
  <c r="C98" i="4"/>
  <c r="C114" i="4"/>
  <c r="C134" i="4"/>
  <c r="C142" i="4"/>
  <c r="E18" i="4"/>
  <c r="E34" i="4"/>
  <c r="E50" i="4"/>
  <c r="E66" i="4"/>
  <c r="E82" i="4"/>
  <c r="E98" i="4"/>
  <c r="E114" i="4"/>
  <c r="E130" i="4"/>
  <c r="D30" i="4"/>
  <c r="D62" i="4"/>
  <c r="D90" i="4"/>
  <c r="D106" i="4"/>
  <c r="D122" i="4"/>
  <c r="D138" i="4"/>
  <c r="C23" i="4"/>
  <c r="C39" i="4"/>
  <c r="C49" i="4"/>
  <c r="C57" i="4"/>
  <c r="C65" i="4"/>
  <c r="C73" i="4"/>
  <c r="C81" i="4"/>
  <c r="C89" i="4"/>
  <c r="C94" i="4"/>
  <c r="C99" i="4"/>
  <c r="C105" i="4"/>
  <c r="C110" i="4"/>
  <c r="C115" i="4"/>
  <c r="C121" i="4"/>
  <c r="C126" i="4"/>
  <c r="C131" i="4"/>
  <c r="C135" i="4"/>
  <c r="C139" i="4"/>
  <c r="C12" i="4"/>
  <c r="C111" i="4"/>
  <c r="C122" i="4"/>
  <c r="C132" i="4"/>
  <c r="C136" i="4"/>
  <c r="E78" i="4"/>
  <c r="E126" i="4"/>
  <c r="D22" i="4"/>
  <c r="D86" i="4"/>
  <c r="D134" i="4"/>
  <c r="C35" i="4"/>
  <c r="C63" i="4"/>
  <c r="C79" i="4"/>
  <c r="C93" i="4"/>
  <c r="C109" i="4"/>
  <c r="C119" i="4"/>
  <c r="C130" i="4"/>
  <c r="E22" i="4"/>
  <c r="E38" i="4"/>
  <c r="E54" i="4"/>
  <c r="E70" i="4"/>
  <c r="E86" i="4"/>
  <c r="E102" i="4"/>
  <c r="E118" i="4"/>
  <c r="E134" i="4"/>
  <c r="D38" i="4"/>
  <c r="D70" i="4"/>
  <c r="D94" i="4"/>
  <c r="D110" i="4"/>
  <c r="D126" i="4"/>
  <c r="D142" i="4"/>
  <c r="C27" i="4"/>
  <c r="C43" i="4"/>
  <c r="C51" i="4"/>
  <c r="C59" i="4"/>
  <c r="C67" i="4"/>
  <c r="C75" i="4"/>
  <c r="C83" i="4"/>
  <c r="C90" i="4"/>
  <c r="C95" i="4"/>
  <c r="C101" i="4"/>
  <c r="C106" i="4"/>
  <c r="C117" i="4"/>
  <c r="C127" i="4"/>
  <c r="C140" i="4"/>
  <c r="E14" i="4"/>
  <c r="E62" i="4"/>
  <c r="E94" i="4"/>
  <c r="D54" i="4"/>
  <c r="D118" i="4"/>
  <c r="C47" i="4"/>
  <c r="C71" i="4"/>
  <c r="C103" i="4"/>
  <c r="C125" i="4"/>
  <c r="C138" i="4"/>
  <c r="C105" i="32"/>
  <c r="AH113" i="29"/>
  <c r="C30" i="32"/>
  <c r="AH38" i="29"/>
  <c r="AH76" i="30"/>
  <c r="D68" i="32"/>
  <c r="AH98" i="31"/>
  <c r="E90" i="32"/>
  <c r="AH82" i="31"/>
  <c r="E74" i="32"/>
  <c r="D88" i="32"/>
  <c r="AH96" i="30"/>
  <c r="AH80" i="30"/>
  <c r="D72" i="32"/>
  <c r="AH94" i="31"/>
  <c r="E86" i="32"/>
  <c r="E58" i="32"/>
  <c r="AH66" i="31"/>
  <c r="AH62" i="31"/>
  <c r="AH74" i="29"/>
  <c r="E122" i="32"/>
  <c r="C14" i="32"/>
  <c r="AH22" i="29"/>
  <c r="AH126" i="31"/>
  <c r="E118" i="32"/>
  <c r="AH86" i="31"/>
  <c r="E78" i="32"/>
  <c r="E62" i="32"/>
  <c r="AH109" i="29"/>
  <c r="C101" i="32"/>
  <c r="AH32" i="30"/>
  <c r="D24" i="32"/>
  <c r="AH90" i="31"/>
  <c r="E82" i="32"/>
  <c r="E66" i="32"/>
  <c r="AH74" i="31"/>
  <c r="AH112" i="30"/>
  <c r="Z150" i="48"/>
  <c r="R150" i="48"/>
  <c r="H150" i="48"/>
  <c r="I150" i="48"/>
  <c r="AH98" i="23"/>
  <c r="F90" i="32"/>
  <c r="D86" i="39"/>
  <c r="F86" i="32"/>
  <c r="AH94" i="23"/>
  <c r="D74" i="39"/>
  <c r="AH82" i="23"/>
  <c r="K37" i="37"/>
  <c r="F37" i="37"/>
  <c r="O37" i="37"/>
  <c r="K33" i="37"/>
  <c r="C33" i="37"/>
  <c r="J29" i="37"/>
  <c r="O29" i="37"/>
  <c r="H29" i="37"/>
  <c r="D100" i="40" s="1"/>
  <c r="K25" i="37"/>
  <c r="H25" i="37"/>
  <c r="D96" i="40" s="1"/>
  <c r="G25" i="37"/>
  <c r="C96" i="40" s="1"/>
  <c r="N21" i="37"/>
  <c r="O21" i="37"/>
  <c r="I21" i="37"/>
  <c r="M21" i="37"/>
  <c r="E92" i="40" s="1"/>
  <c r="D21" i="37"/>
  <c r="H17" i="37"/>
  <c r="D88" i="40" s="1"/>
  <c r="O17" i="37"/>
  <c r="G17" i="37"/>
  <c r="C151" i="40" s="1"/>
  <c r="F13" i="37"/>
  <c r="N13" i="37"/>
  <c r="G13" i="37"/>
  <c r="C153" i="40" s="1"/>
  <c r="F150" i="48"/>
  <c r="AH48" i="23"/>
  <c r="D40" i="39"/>
  <c r="F29" i="32"/>
  <c r="AH37" i="23"/>
  <c r="F27" i="32"/>
  <c r="AH35" i="23"/>
  <c r="AH33" i="23"/>
  <c r="D25" i="39"/>
  <c r="E25" i="39" s="1"/>
  <c r="AH25" i="23"/>
  <c r="F17" i="32"/>
  <c r="K124" i="4"/>
  <c r="F191" i="4"/>
  <c r="E179" i="4"/>
  <c r="D173" i="4"/>
  <c r="B189" i="4"/>
  <c r="B169" i="4"/>
  <c r="D178" i="4"/>
  <c r="B192" i="4"/>
  <c r="G166" i="4"/>
  <c r="F164" i="4"/>
  <c r="O124" i="4"/>
  <c r="B4" i="4"/>
  <c r="AL40" i="37"/>
  <c r="U12" i="39" s="1"/>
  <c r="M10" i="37"/>
  <c r="E81" i="40" s="1"/>
  <c r="J10" i="37"/>
  <c r="H10" i="37"/>
  <c r="D81" i="40" s="1"/>
  <c r="G10" i="37"/>
  <c r="C156" i="40" s="1"/>
  <c r="F10" i="37"/>
  <c r="K11" i="37"/>
  <c r="AV40" i="37"/>
  <c r="U13" i="39" s="1"/>
  <c r="M11" i="37"/>
  <c r="E82" i="40" s="1"/>
  <c r="O11" i="37"/>
  <c r="N12" i="37"/>
  <c r="D12" i="37"/>
  <c r="D13" i="37" s="1"/>
  <c r="BF40" i="37"/>
  <c r="U14" i="39" s="1"/>
  <c r="O14" i="37"/>
  <c r="J14" i="37"/>
  <c r="K14" i="37"/>
  <c r="H15" i="37"/>
  <c r="D86" i="40" s="1"/>
  <c r="N15" i="37"/>
  <c r="M15" i="37"/>
  <c r="E86" i="40" s="1"/>
  <c r="O15" i="37"/>
  <c r="H16" i="37"/>
  <c r="D87" i="40" s="1"/>
  <c r="K16" i="37"/>
  <c r="J16" i="37"/>
  <c r="N16" i="37"/>
  <c r="N19" i="37"/>
  <c r="H19" i="37"/>
  <c r="D90" i="40" s="1"/>
  <c r="H20" i="37"/>
  <c r="D91" i="40" s="1"/>
  <c r="G20" i="37"/>
  <c r="C91" i="40" s="1"/>
  <c r="O20" i="37"/>
  <c r="H22" i="37"/>
  <c r="D93" i="40" s="1"/>
  <c r="C22" i="37"/>
  <c r="N22" i="37"/>
  <c r="F22" i="37"/>
  <c r="G23" i="37"/>
  <c r="C173" i="40" s="1"/>
  <c r="M23" i="37"/>
  <c r="E94" i="40" s="1"/>
  <c r="H23" i="37"/>
  <c r="D94" i="40" s="1"/>
  <c r="K23" i="37"/>
  <c r="N23" i="37"/>
  <c r="I24" i="37"/>
  <c r="K24" i="37"/>
  <c r="H24" i="37"/>
  <c r="D95" i="40" s="1"/>
  <c r="N26" i="37"/>
  <c r="K26" i="37"/>
  <c r="G26" i="37"/>
  <c r="C97" i="40" s="1"/>
  <c r="M26" i="37"/>
  <c r="E97" i="40" s="1"/>
  <c r="J26" i="37"/>
  <c r="K27" i="37"/>
  <c r="F27" i="37"/>
  <c r="J28" i="37"/>
  <c r="G28" i="37"/>
  <c r="M28" i="37"/>
  <c r="E99" i="40" s="1"/>
  <c r="F28" i="37"/>
  <c r="J30" i="37"/>
  <c r="G30" i="37"/>
  <c r="C172" i="40" s="1"/>
  <c r="M30" i="37"/>
  <c r="E101" i="40" s="1"/>
  <c r="O30" i="37"/>
  <c r="I31" i="37"/>
  <c r="J31" i="37"/>
  <c r="N31" i="37"/>
  <c r="G31" i="37"/>
  <c r="C102" i="40" s="1"/>
  <c r="O32" i="37"/>
  <c r="G32" i="37"/>
  <c r="H32" i="37"/>
  <c r="D103" i="40" s="1"/>
  <c r="M32" i="37"/>
  <c r="E103" i="40" s="1"/>
  <c r="J32" i="37"/>
  <c r="O34" i="37"/>
  <c r="H34" i="37"/>
  <c r="D105" i="40" s="1"/>
  <c r="N34" i="37"/>
  <c r="F35" i="37"/>
  <c r="K35" i="37"/>
  <c r="J35" i="37"/>
  <c r="O35" i="37"/>
  <c r="K36" i="37"/>
  <c r="M36" i="37"/>
  <c r="E107" i="40" s="1"/>
  <c r="D36" i="37"/>
  <c r="H38" i="37"/>
  <c r="D109" i="40" s="1"/>
  <c r="J38" i="37"/>
  <c r="O38" i="37"/>
  <c r="M38" i="37"/>
  <c r="E109" i="40" s="1"/>
  <c r="I39" i="37"/>
  <c r="H39" i="37"/>
  <c r="D110" i="40" s="1"/>
  <c r="K39" i="37"/>
  <c r="J39" i="37"/>
  <c r="AF150" i="48"/>
  <c r="U150" i="48"/>
  <c r="P167" i="4"/>
  <c r="N17" i="37"/>
  <c r="N37" i="37"/>
  <c r="AH102" i="23"/>
  <c r="D33" i="37"/>
  <c r="O12" i="37"/>
  <c r="F25" i="37"/>
  <c r="H33" i="37"/>
  <c r="D104" i="40" s="1"/>
  <c r="I20" i="37"/>
  <c r="D27" i="39"/>
  <c r="E27" i="39" s="1"/>
  <c r="K17" i="37"/>
  <c r="O10" i="37"/>
  <c r="G18" i="37"/>
  <c r="C89" i="40" s="1"/>
  <c r="G185" i="4"/>
  <c r="K10" i="37"/>
  <c r="L34" i="37"/>
  <c r="L24" i="37"/>
  <c r="L22" i="37"/>
  <c r="L16" i="37"/>
  <c r="L18" i="37"/>
  <c r="L25" i="37"/>
  <c r="L17" i="37"/>
  <c r="L32" i="37"/>
  <c r="D21" i="39"/>
  <c r="E21" i="39" s="1"/>
  <c r="F78" i="32"/>
  <c r="K13" i="37"/>
  <c r="K21" i="37"/>
  <c r="M14" i="37"/>
  <c r="E85" i="40" s="1"/>
  <c r="O16" i="37"/>
  <c r="M33" i="37"/>
  <c r="E104" i="40" s="1"/>
  <c r="N20" i="37"/>
  <c r="L10" i="37"/>
  <c r="M37" i="37"/>
  <c r="E108" i="40" s="1"/>
  <c r="D18" i="37"/>
  <c r="H21" i="37"/>
  <c r="D92" i="40" s="1"/>
  <c r="H11" i="37"/>
  <c r="D82" i="40" s="1"/>
  <c r="I17" i="37"/>
  <c r="J33" i="37"/>
  <c r="D90" i="39"/>
  <c r="J11" i="37"/>
  <c r="N29" i="37"/>
  <c r="F169" i="4"/>
  <c r="G11" i="37"/>
  <c r="R10" i="37"/>
  <c r="D249" i="40"/>
  <c r="D245" i="40"/>
  <c r="D244" i="40"/>
  <c r="D242" i="40"/>
  <c r="D241" i="40"/>
  <c r="D167" i="4"/>
  <c r="F176" i="4"/>
  <c r="E163" i="4"/>
  <c r="F167" i="4"/>
  <c r="E176" i="4"/>
  <c r="E185" i="4"/>
  <c r="E172" i="4"/>
  <c r="E174" i="4"/>
  <c r="D163" i="4"/>
  <c r="B188" i="4"/>
  <c r="G187" i="4"/>
  <c r="G170" i="4"/>
  <c r="G180" i="4"/>
  <c r="J6" i="4"/>
  <c r="E181" i="4"/>
  <c r="D181" i="4"/>
  <c r="D168" i="4"/>
  <c r="B186" i="4"/>
  <c r="G163" i="4"/>
  <c r="B172" i="4"/>
  <c r="F180" i="4"/>
  <c r="M124" i="4"/>
  <c r="E3" i="4"/>
  <c r="J87" i="4"/>
  <c r="L3" i="4"/>
  <c r="F182" i="4"/>
  <c r="E183" i="4"/>
  <c r="E169" i="4"/>
  <c r="E166" i="4"/>
  <c r="B176" i="4"/>
  <c r="G194" i="4"/>
  <c r="G173" i="4"/>
  <c r="E180" i="4"/>
  <c r="E173" i="4"/>
  <c r="D189" i="4"/>
  <c r="D187" i="4"/>
  <c r="D164" i="4"/>
  <c r="B181" i="4"/>
  <c r="G171" i="4"/>
  <c r="B166" i="4"/>
  <c r="G164" i="4"/>
  <c r="K90" i="4"/>
  <c r="E192" i="4"/>
  <c r="E165" i="4"/>
  <c r="E164" i="4"/>
  <c r="B193" i="4"/>
  <c r="B177" i="4"/>
  <c r="G190" i="4"/>
  <c r="G176" i="4"/>
  <c r="F184" i="4"/>
  <c r="K82" i="4"/>
  <c r="F174" i="4"/>
  <c r="E178" i="4"/>
  <c r="D170" i="4"/>
  <c r="E167" i="4"/>
  <c r="B179" i="4"/>
  <c r="F163" i="4"/>
  <c r="L82" i="4"/>
  <c r="K88" i="4"/>
  <c r="F170" i="4"/>
  <c r="L87" i="4"/>
  <c r="C48" i="32"/>
  <c r="E40" i="32"/>
  <c r="AH36" i="29"/>
  <c r="C100" i="32"/>
  <c r="AH108" i="29"/>
  <c r="AH92" i="29"/>
  <c r="C84" i="32"/>
  <c r="AH53" i="29"/>
  <c r="C45" i="32"/>
  <c r="AH33" i="29"/>
  <c r="C25" i="32"/>
  <c r="D135" i="32"/>
  <c r="AH143" i="30"/>
  <c r="D127" i="32"/>
  <c r="AH135" i="30"/>
  <c r="D111" i="32"/>
  <c r="AH119" i="30"/>
  <c r="AH103" i="30"/>
  <c r="D95" i="32"/>
  <c r="D23" i="32"/>
  <c r="AH31" i="30"/>
  <c r="E137" i="32"/>
  <c r="AH145" i="31"/>
  <c r="AH105" i="31"/>
  <c r="E97" i="32"/>
  <c r="E49" i="32"/>
  <c r="AH57" i="31"/>
  <c r="E45" i="32"/>
  <c r="AH53" i="31"/>
  <c r="D98" i="39"/>
  <c r="F98" i="32"/>
  <c r="R39" i="37"/>
  <c r="C133" i="40"/>
  <c r="R19" i="37"/>
  <c r="L14" i="37"/>
  <c r="L13" i="37"/>
  <c r="L33" i="37"/>
  <c r="L15" i="37"/>
  <c r="H37" i="44"/>
  <c r="Q36" i="44"/>
  <c r="L88" i="4"/>
  <c r="Z37" i="44"/>
  <c r="E198" i="4"/>
  <c r="C40" i="32"/>
  <c r="AH48" i="29"/>
  <c r="AH125" i="23"/>
  <c r="D117" i="39"/>
  <c r="D246" i="40"/>
  <c r="E28" i="37"/>
  <c r="E19" i="37"/>
  <c r="AH84" i="29"/>
  <c r="C76" i="32"/>
  <c r="D125" i="39"/>
  <c r="AH133" i="23"/>
  <c r="F113" i="32"/>
  <c r="AH121" i="23"/>
  <c r="AH145" i="23"/>
  <c r="AH88" i="29"/>
  <c r="C56" i="32"/>
  <c r="AH89" i="29"/>
  <c r="AH52" i="29"/>
  <c r="AH99" i="30"/>
  <c r="E89" i="32"/>
  <c r="AH27" i="30"/>
  <c r="AH44" i="29"/>
  <c r="E70" i="32"/>
  <c r="AH108" i="30"/>
  <c r="C110" i="32"/>
  <c r="AH118" i="29"/>
  <c r="C98" i="32"/>
  <c r="AH106" i="29"/>
  <c r="AH145" i="30"/>
  <c r="D137" i="32"/>
  <c r="E15" i="32"/>
  <c r="AH23" i="31"/>
  <c r="AH136" i="23"/>
  <c r="D128" i="39"/>
  <c r="F21" i="37"/>
  <c r="F32" i="37"/>
  <c r="F19" i="37"/>
  <c r="F23" i="37"/>
  <c r="C52" i="32"/>
  <c r="C99" i="32"/>
  <c r="AH28" i="29"/>
  <c r="D140" i="32"/>
  <c r="AH148" i="30"/>
  <c r="D116" i="32"/>
  <c r="AH124" i="30"/>
  <c r="D80" i="32"/>
  <c r="AH88" i="30"/>
  <c r="D40" i="32"/>
  <c r="AH48" i="30"/>
  <c r="AH28" i="30"/>
  <c r="D20" i="32"/>
  <c r="E126" i="32"/>
  <c r="AH134" i="31"/>
  <c r="E110" i="32"/>
  <c r="AH118" i="31"/>
  <c r="AH106" i="31"/>
  <c r="E98" i="32"/>
  <c r="AH135" i="23"/>
  <c r="F127" i="32"/>
  <c r="AH127" i="23"/>
  <c r="F119" i="32"/>
  <c r="C224" i="40"/>
  <c r="C15" i="37"/>
  <c r="C27" i="37"/>
  <c r="C32" i="37"/>
  <c r="C36" i="37"/>
  <c r="C30" i="37"/>
  <c r="G35" i="37"/>
  <c r="G14" i="37"/>
  <c r="C170" i="40" s="1"/>
  <c r="G37" i="37"/>
  <c r="G22" i="37"/>
  <c r="C93" i="40" s="1"/>
  <c r="G24" i="37"/>
  <c r="C152" i="40" s="1"/>
  <c r="G16" i="37"/>
  <c r="C87" i="40" s="1"/>
  <c r="D10" i="37"/>
  <c r="D26" i="37"/>
  <c r="R34" i="37"/>
  <c r="C118" i="40"/>
  <c r="R31" i="37"/>
  <c r="C142" i="40"/>
  <c r="R37" i="37"/>
  <c r="E37" i="44"/>
  <c r="N37" i="44"/>
  <c r="N36" i="44"/>
  <c r="N38" i="44"/>
  <c r="AC37" i="44"/>
  <c r="AC38" i="44"/>
  <c r="AF38" i="44"/>
  <c r="AF36" i="44"/>
  <c r="AF37" i="44"/>
  <c r="L90" i="4"/>
  <c r="R38" i="37"/>
  <c r="E38" i="44"/>
  <c r="E26" i="37"/>
  <c r="AH58" i="29"/>
  <c r="C50" i="32"/>
  <c r="D126" i="32"/>
  <c r="AH134" i="30"/>
  <c r="AH114" i="30"/>
  <c r="D106" i="32"/>
  <c r="AH54" i="30"/>
  <c r="D46" i="32"/>
  <c r="AH34" i="30"/>
  <c r="D26" i="32"/>
  <c r="AH30" i="30"/>
  <c r="D22" i="32"/>
  <c r="E76" i="32"/>
  <c r="AH84" i="31"/>
  <c r="AH68" i="31"/>
  <c r="E60" i="32"/>
  <c r="F131" i="32"/>
  <c r="AH139" i="23"/>
  <c r="D131" i="39"/>
  <c r="F112" i="32"/>
  <c r="AH120" i="23"/>
  <c r="AH112" i="23"/>
  <c r="D104" i="39"/>
  <c r="C134" i="40"/>
  <c r="R18" i="37"/>
  <c r="C129" i="40"/>
  <c r="R25" i="37"/>
  <c r="C119" i="40"/>
  <c r="P170" i="4"/>
  <c r="D250" i="40"/>
  <c r="C245" i="40"/>
  <c r="D229" i="40"/>
  <c r="C223" i="40"/>
  <c r="I26" i="37"/>
  <c r="I27" i="37"/>
  <c r="I13" i="37"/>
  <c r="I22" i="37"/>
  <c r="I33" i="37"/>
  <c r="I37" i="37"/>
  <c r="I38" i="37"/>
  <c r="I19" i="37"/>
  <c r="I25" i="37"/>
  <c r="I28" i="37"/>
  <c r="I10" i="37"/>
  <c r="I32" i="37"/>
  <c r="I11" i="37"/>
  <c r="I15" i="37"/>
  <c r="I30" i="37"/>
  <c r="I35" i="37"/>
  <c r="C132" i="40"/>
  <c r="R14" i="37"/>
  <c r="T37" i="44"/>
  <c r="T36" i="44"/>
  <c r="L86" i="4"/>
  <c r="W36" i="44"/>
  <c r="T38" i="44"/>
  <c r="AH133" i="29"/>
  <c r="C125" i="32"/>
  <c r="AH50" i="29"/>
  <c r="C42" i="32"/>
  <c r="AH126" i="30"/>
  <c r="D118" i="32"/>
  <c r="AH94" i="30"/>
  <c r="D86" i="32"/>
  <c r="AH46" i="30"/>
  <c r="D38" i="32"/>
  <c r="AH96" i="31"/>
  <c r="E88" i="32"/>
  <c r="D139" i="39"/>
  <c r="AH147" i="23"/>
  <c r="F139" i="32"/>
  <c r="D120" i="39"/>
  <c r="AH128" i="23"/>
  <c r="AH102" i="30"/>
  <c r="AH62" i="29"/>
  <c r="W38" i="44"/>
  <c r="Z38" i="44"/>
  <c r="F104" i="32"/>
  <c r="Z36" i="44"/>
  <c r="E18" i="37"/>
  <c r="AH112" i="31"/>
  <c r="E38" i="37"/>
  <c r="Q38" i="44"/>
  <c r="AC36" i="44"/>
  <c r="H38" i="44"/>
  <c r="C242" i="40"/>
  <c r="E34" i="37"/>
  <c r="E31" i="37"/>
  <c r="E36" i="37"/>
  <c r="E14" i="37"/>
  <c r="E39" i="37"/>
  <c r="E37" i="37"/>
  <c r="E29" i="37"/>
  <c r="E21" i="37"/>
  <c r="E15" i="37"/>
  <c r="E11" i="37"/>
  <c r="E27" i="37"/>
  <c r="E33" i="37"/>
  <c r="E23" i="37"/>
  <c r="E17" i="37"/>
  <c r="Q37" i="44"/>
  <c r="E35" i="37"/>
  <c r="AH82" i="29"/>
  <c r="C74" i="32"/>
  <c r="AH54" i="29"/>
  <c r="C46" i="32"/>
  <c r="AH130" i="30"/>
  <c r="D122" i="32"/>
  <c r="D90" i="32"/>
  <c r="AH98" i="30"/>
  <c r="D74" i="32"/>
  <c r="AH82" i="30"/>
  <c r="AH38" i="30"/>
  <c r="D30" i="32"/>
  <c r="AH26" i="30"/>
  <c r="D18" i="32"/>
  <c r="AH140" i="31"/>
  <c r="E132" i="32"/>
  <c r="AH100" i="31"/>
  <c r="E92" i="32"/>
  <c r="E72" i="32"/>
  <c r="AH80" i="31"/>
  <c r="E26" i="32"/>
  <c r="AH34" i="31"/>
  <c r="E18" i="32"/>
  <c r="AH26" i="31"/>
  <c r="D108" i="39"/>
  <c r="F108" i="32"/>
  <c r="E56" i="32"/>
  <c r="AH78" i="30"/>
  <c r="W37" i="44"/>
  <c r="AH72" i="31"/>
  <c r="D112" i="39"/>
  <c r="D66" i="32"/>
  <c r="D34" i="32"/>
  <c r="E30" i="37"/>
  <c r="E20" i="37"/>
  <c r="E22" i="37"/>
  <c r="E124" i="32"/>
  <c r="E25" i="37"/>
  <c r="AH56" i="31"/>
  <c r="AH61" i="29"/>
  <c r="C53" i="32"/>
  <c r="AH21" i="29"/>
  <c r="C13" i="32"/>
  <c r="AH37" i="30"/>
  <c r="D29" i="32"/>
  <c r="AH147" i="31"/>
  <c r="E139" i="32"/>
  <c r="E107" i="32"/>
  <c r="AH115" i="31"/>
  <c r="D103" i="39"/>
  <c r="AH111" i="23"/>
  <c r="F99" i="32"/>
  <c r="AH107" i="23"/>
  <c r="K38" i="44"/>
  <c r="K36" i="44"/>
  <c r="F31" i="37"/>
  <c r="F39" i="37"/>
  <c r="F18" i="37"/>
  <c r="F24" i="37"/>
  <c r="F33" i="37"/>
  <c r="F34" i="37"/>
  <c r="F16" i="37"/>
  <c r="AH136" i="29"/>
  <c r="AH93" i="30"/>
  <c r="F134" i="32"/>
  <c r="AH133" i="30"/>
  <c r="AH41" i="31"/>
  <c r="D127" i="39"/>
  <c r="F36" i="37"/>
  <c r="AH87" i="31"/>
  <c r="AH107" i="31"/>
  <c r="AH83" i="31"/>
  <c r="R30" i="37"/>
  <c r="F15" i="37"/>
  <c r="D105" i="32"/>
  <c r="F14" i="37"/>
  <c r="E25" i="32"/>
  <c r="K37" i="44"/>
  <c r="F103" i="32"/>
  <c r="D99" i="39"/>
  <c r="F29" i="37"/>
  <c r="D109" i="32"/>
  <c r="AH95" i="29"/>
  <c r="C87" i="32"/>
  <c r="C64" i="32"/>
  <c r="AH72" i="29"/>
  <c r="D52" i="32"/>
  <c r="AH60" i="30"/>
  <c r="F129" i="32"/>
  <c r="AH137" i="23"/>
  <c r="C225" i="40"/>
  <c r="L29" i="37"/>
  <c r="L23" i="37"/>
  <c r="L30" i="37"/>
  <c r="L35" i="37"/>
  <c r="L26" i="37"/>
  <c r="L21" i="37"/>
  <c r="G38" i="37"/>
  <c r="C180" i="40" s="1"/>
  <c r="G39" i="37"/>
  <c r="G15" i="37"/>
  <c r="C86" i="40" s="1"/>
  <c r="G12" i="37"/>
  <c r="C83" i="40" s="1"/>
  <c r="G29" i="37"/>
  <c r="G34" i="37"/>
  <c r="C175" i="40" s="1"/>
  <c r="E36" i="44"/>
  <c r="H36" i="44"/>
  <c r="D34" i="37"/>
  <c r="D25" i="37"/>
  <c r="D16" i="37"/>
  <c r="N11" i="37"/>
  <c r="CT40" i="37"/>
  <c r="U18" i="39" s="1"/>
  <c r="FV40" i="37"/>
  <c r="U26" i="39" s="1"/>
  <c r="HJ40" i="37"/>
  <c r="U30" i="39" s="1"/>
  <c r="IX40" i="37"/>
  <c r="U34" i="39" s="1"/>
  <c r="BP40" i="37"/>
  <c r="U15" i="39" s="1"/>
  <c r="DN40" i="37"/>
  <c r="U20" i="39" s="1"/>
  <c r="AM126" i="22"/>
  <c r="AM84" i="22"/>
  <c r="R35" i="37"/>
  <c r="R28" i="37"/>
  <c r="R24" i="37"/>
  <c r="T43" i="39"/>
  <c r="AH35" i="29"/>
  <c r="AM121" i="22"/>
  <c r="AM41" i="22"/>
  <c r="AM23" i="22"/>
  <c r="AM13" i="22"/>
  <c r="N14" i="37"/>
  <c r="I18" i="37"/>
  <c r="L19" i="37"/>
  <c r="F20" i="37"/>
  <c r="G21" i="37"/>
  <c r="I23" i="37"/>
  <c r="J24" i="37"/>
  <c r="F30" i="37"/>
  <c r="M31" i="37"/>
  <c r="E102" i="40" s="1"/>
  <c r="E32" i="37"/>
  <c r="O33" i="37"/>
  <c r="I34" i="37"/>
  <c r="I36" i="37"/>
  <c r="K38" i="37"/>
  <c r="D230" i="40"/>
  <c r="D237" i="40"/>
  <c r="D222" i="40"/>
  <c r="C113" i="32"/>
  <c r="AH121" i="29"/>
  <c r="AH125" i="31"/>
  <c r="E117" i="32"/>
  <c r="F132" i="32"/>
  <c r="AH140" i="23"/>
  <c r="AH105" i="23"/>
  <c r="AH141" i="29"/>
  <c r="T40" i="37"/>
  <c r="D97" i="39"/>
  <c r="E109" i="32"/>
  <c r="D102" i="39"/>
  <c r="AH149" i="29"/>
  <c r="C141" i="32"/>
  <c r="AH129" i="29"/>
  <c r="C121" i="32"/>
  <c r="AH43" i="29"/>
  <c r="C35" i="32"/>
  <c r="AH24" i="29"/>
  <c r="C16" i="32"/>
  <c r="D139" i="32"/>
  <c r="AH147" i="30"/>
  <c r="AH136" i="30"/>
  <c r="D128" i="32"/>
  <c r="D56" i="32"/>
  <c r="AH64" i="30"/>
  <c r="F136" i="32"/>
  <c r="D136" i="39"/>
  <c r="D121" i="39"/>
  <c r="AH129" i="23"/>
  <c r="F100" i="32"/>
  <c r="AH108" i="23"/>
  <c r="D248" i="40"/>
  <c r="AH109" i="31"/>
  <c r="P163" i="4"/>
  <c r="Q163" i="4" s="1"/>
  <c r="C89" i="32"/>
  <c r="E31" i="32"/>
  <c r="AH119" i="29"/>
  <c r="AH35" i="31"/>
  <c r="AH86" i="29"/>
  <c r="AH67" i="29"/>
  <c r="C59" i="32"/>
  <c r="C24" i="32"/>
  <c r="AH32" i="29"/>
  <c r="AH132" i="30"/>
  <c r="D124" i="32"/>
  <c r="D140" i="39"/>
  <c r="F140" i="32"/>
  <c r="AH148" i="23"/>
  <c r="AM69" i="22"/>
  <c r="AM19" i="22"/>
  <c r="AH137" i="29"/>
  <c r="AH68" i="30"/>
  <c r="D132" i="39"/>
  <c r="E105" i="32"/>
  <c r="AH145" i="29"/>
  <c r="C12" i="40"/>
  <c r="S40" i="37"/>
  <c r="AH147" i="29"/>
  <c r="C139" i="32"/>
  <c r="C123" i="32"/>
  <c r="AH131" i="29"/>
  <c r="AH127" i="29"/>
  <c r="C119" i="32"/>
  <c r="C103" i="32"/>
  <c r="AH111" i="29"/>
  <c r="C95" i="32"/>
  <c r="AH103" i="29"/>
  <c r="C91" i="32"/>
  <c r="AH99" i="29"/>
  <c r="AH41" i="29"/>
  <c r="C33" i="32"/>
  <c r="C26" i="32"/>
  <c r="AH34" i="29"/>
  <c r="C18" i="32"/>
  <c r="AH26" i="29"/>
  <c r="D134" i="32"/>
  <c r="AH142" i="30"/>
  <c r="AH62" i="30"/>
  <c r="D54" i="32"/>
  <c r="D51" i="32"/>
  <c r="AH59" i="30"/>
  <c r="AH47" i="30"/>
  <c r="D39" i="32"/>
  <c r="D35" i="32"/>
  <c r="AH43" i="30"/>
  <c r="AH139" i="31"/>
  <c r="E131" i="32"/>
  <c r="E115" i="32"/>
  <c r="AH123" i="31"/>
  <c r="AH119" i="31"/>
  <c r="E111" i="32"/>
  <c r="AH111" i="31"/>
  <c r="E103" i="32"/>
  <c r="E95" i="32"/>
  <c r="AH103" i="31"/>
  <c r="AH37" i="31"/>
  <c r="E29" i="32"/>
  <c r="AH29" i="31"/>
  <c r="E21" i="32"/>
  <c r="F123" i="32"/>
  <c r="D123" i="39"/>
  <c r="AH131" i="23"/>
  <c r="AH124" i="23"/>
  <c r="D116" i="39"/>
  <c r="AM7" i="22"/>
  <c r="C47" i="40"/>
  <c r="P165" i="4"/>
  <c r="C241" i="40"/>
  <c r="C11" i="37"/>
  <c r="C38" i="37"/>
  <c r="C12" i="37"/>
  <c r="C17" i="37"/>
  <c r="C14" i="37"/>
  <c r="C29" i="37"/>
  <c r="C23" i="37"/>
  <c r="C16" i="37"/>
  <c r="C24" i="37"/>
  <c r="C20" i="37"/>
  <c r="C21" i="37"/>
  <c r="C13" i="37"/>
  <c r="C31" i="37"/>
  <c r="C25" i="37"/>
  <c r="C28" i="37"/>
  <c r="C35" i="37"/>
  <c r="C34" i="37"/>
  <c r="D61" i="39"/>
  <c r="F61" i="32"/>
  <c r="D46" i="39"/>
  <c r="AH54" i="23"/>
  <c r="AH52" i="23"/>
  <c r="F44" i="32"/>
  <c r="D44" i="39"/>
  <c r="F42" i="32"/>
  <c r="D42" i="39"/>
  <c r="AH50" i="23"/>
  <c r="D33" i="39"/>
  <c r="E33" i="39" s="1"/>
  <c r="F33" i="32"/>
  <c r="F31" i="32"/>
  <c r="D31" i="39"/>
  <c r="E31" i="39" s="1"/>
  <c r="C114" i="32"/>
  <c r="AH122" i="29"/>
  <c r="AH129" i="30"/>
  <c r="D121" i="32"/>
  <c r="AH58" i="31"/>
  <c r="E50" i="32"/>
  <c r="E84" i="32"/>
  <c r="AH92" i="31"/>
  <c r="D221" i="40"/>
  <c r="N10" i="37"/>
  <c r="E10" i="37"/>
  <c r="E12" i="37"/>
  <c r="I12" i="37"/>
  <c r="M13" i="37"/>
  <c r="E13" i="37"/>
  <c r="E16" i="37"/>
  <c r="I16" i="37"/>
  <c r="J25" i="37"/>
  <c r="O25" i="37"/>
  <c r="N25" i="37"/>
  <c r="H28" i="37"/>
  <c r="D99" i="40" s="1"/>
  <c r="K28" i="37"/>
  <c r="M29" i="37"/>
  <c r="E100" i="40" s="1"/>
  <c r="I29" i="37"/>
  <c r="AE150" i="48"/>
  <c r="AA150" i="48"/>
  <c r="W150" i="48"/>
  <c r="S150" i="48"/>
  <c r="D17" i="37"/>
  <c r="D228" i="40"/>
  <c r="D224" i="40"/>
  <c r="AM137" i="22"/>
  <c r="AM135" i="22"/>
  <c r="AM133" i="22"/>
  <c r="AM131" i="22"/>
  <c r="AM129" i="22"/>
  <c r="AM127" i="22"/>
  <c r="AM125" i="22"/>
  <c r="AM123" i="22"/>
  <c r="AM119" i="22"/>
  <c r="AM117" i="22"/>
  <c r="AM115" i="22"/>
  <c r="AM113" i="22"/>
  <c r="AM111" i="22"/>
  <c r="AM109" i="22"/>
  <c r="AM107" i="22"/>
  <c r="AM105" i="22"/>
  <c r="AM103" i="22"/>
  <c r="AM101" i="22"/>
  <c r="AM99" i="22"/>
  <c r="AM97" i="22"/>
  <c r="AM95" i="22"/>
  <c r="AM93" i="22"/>
  <c r="AM91" i="22"/>
  <c r="AM89" i="22"/>
  <c r="AM87" i="22"/>
  <c r="AM85" i="22"/>
  <c r="AM83" i="22"/>
  <c r="AM81" i="22"/>
  <c r="AM79" i="22"/>
  <c r="AM77" i="22"/>
  <c r="AM75" i="22"/>
  <c r="AM73" i="22"/>
  <c r="AM71" i="22"/>
  <c r="AM67" i="22"/>
  <c r="AM65" i="22"/>
  <c r="AM63" i="22"/>
  <c r="AM61" i="22"/>
  <c r="AM59" i="22"/>
  <c r="AM57" i="22"/>
  <c r="AM55" i="22"/>
  <c r="AM53" i="22"/>
  <c r="AM51" i="22"/>
  <c r="AM49" i="22"/>
  <c r="AM47" i="22"/>
  <c r="AM45" i="22"/>
  <c r="AM43" i="22"/>
  <c r="AM39" i="22"/>
  <c r="AM37" i="22"/>
  <c r="AM35" i="22"/>
  <c r="AM33" i="22"/>
  <c r="AM31" i="22"/>
  <c r="AM29" i="22"/>
  <c r="AM27" i="22"/>
  <c r="AM25" i="22"/>
  <c r="AM21" i="22"/>
  <c r="AM17" i="22"/>
  <c r="AM15" i="22"/>
  <c r="AM11" i="22"/>
  <c r="R32" i="37"/>
  <c r="R36" i="37"/>
  <c r="D239" i="40"/>
  <c r="D235" i="40"/>
  <c r="D233" i="40"/>
  <c r="D227" i="40"/>
  <c r="D226" i="40"/>
  <c r="E24" i="37"/>
  <c r="L150" i="48"/>
  <c r="JH40" i="37"/>
  <c r="U35" i="39" s="1"/>
  <c r="R21" i="37"/>
  <c r="D13" i="39"/>
  <c r="E13" i="39" s="1"/>
  <c r="D240" i="40"/>
  <c r="D236" i="40"/>
  <c r="D223" i="40"/>
  <c r="AM9" i="22"/>
  <c r="AH87" i="29"/>
  <c r="C79" i="32"/>
  <c r="D93" i="32"/>
  <c r="AH101" i="30"/>
  <c r="AH104" i="23"/>
  <c r="D96" i="39"/>
  <c r="F84" i="32"/>
  <c r="AH92" i="23"/>
  <c r="D80" i="39"/>
  <c r="AH88" i="23"/>
  <c r="F68" i="32"/>
  <c r="D68" i="39"/>
  <c r="AH76" i="23"/>
  <c r="AH40" i="23"/>
  <c r="F32" i="32"/>
  <c r="AH38" i="23"/>
  <c r="D30" i="39"/>
  <c r="E30" i="39" s="1"/>
  <c r="AH141" i="23"/>
  <c r="D34" i="39"/>
  <c r="E34" i="39" s="1"/>
  <c r="AH78" i="23"/>
  <c r="E135" i="32"/>
  <c r="AH50" i="30"/>
  <c r="AH132" i="29"/>
  <c r="AH101" i="29"/>
  <c r="C32" i="32"/>
  <c r="AH67" i="23"/>
  <c r="C136" i="32"/>
  <c r="AH41" i="23"/>
  <c r="AH138" i="31"/>
  <c r="D64" i="39"/>
  <c r="C115" i="32"/>
  <c r="E69" i="32"/>
  <c r="AH27" i="29"/>
  <c r="F30" i="32"/>
  <c r="AH22" i="23"/>
  <c r="F40" i="32"/>
  <c r="AH62" i="23"/>
  <c r="C31" i="32"/>
  <c r="AH39" i="29"/>
  <c r="AH125" i="30"/>
  <c r="D117" i="32"/>
  <c r="AH104" i="30"/>
  <c r="D96" i="32"/>
  <c r="D84" i="32"/>
  <c r="AH92" i="30"/>
  <c r="AH49" i="30"/>
  <c r="D41" i="32"/>
  <c r="E141" i="32"/>
  <c r="AH149" i="31"/>
  <c r="AH88" i="31"/>
  <c r="E80" i="32"/>
  <c r="AH31" i="31"/>
  <c r="E23" i="32"/>
  <c r="F105" i="32"/>
  <c r="AH113" i="23"/>
  <c r="AH103" i="23"/>
  <c r="D95" i="39"/>
  <c r="F91" i="32"/>
  <c r="AH99" i="23"/>
  <c r="AH95" i="23"/>
  <c r="F87" i="32"/>
  <c r="AH83" i="23"/>
  <c r="F75" i="32"/>
  <c r="D71" i="39"/>
  <c r="F71" i="32"/>
  <c r="AH79" i="23"/>
  <c r="AH75" i="23"/>
  <c r="D67" i="39"/>
  <c r="F67" i="32"/>
  <c r="D53" i="39"/>
  <c r="AH61" i="23"/>
  <c r="AH44" i="23"/>
  <c r="D36" i="39"/>
  <c r="F50" i="32"/>
  <c r="D50" i="39"/>
  <c r="AH58" i="23"/>
  <c r="AH56" i="23"/>
  <c r="D48" i="39"/>
  <c r="AH32" i="23"/>
  <c r="F24" i="32"/>
  <c r="D20" i="39"/>
  <c r="E20" i="39" s="1"/>
  <c r="AH28" i="23"/>
  <c r="C70" i="32"/>
  <c r="AH78" i="29"/>
  <c r="AH45" i="29"/>
  <c r="C37" i="32"/>
  <c r="D123" i="32"/>
  <c r="AH131" i="30"/>
  <c r="AH128" i="30"/>
  <c r="D120" i="32"/>
  <c r="D87" i="32"/>
  <c r="AH95" i="30"/>
  <c r="D64" i="32"/>
  <c r="AH72" i="30"/>
  <c r="AH40" i="30"/>
  <c r="D32" i="32"/>
  <c r="E30" i="32"/>
  <c r="AH38" i="31"/>
  <c r="AH143" i="23"/>
  <c r="D135" i="39"/>
  <c r="F135" i="32"/>
  <c r="F66" i="32"/>
  <c r="AH74" i="23"/>
  <c r="D35" i="39"/>
  <c r="F35" i="32"/>
  <c r="F12" i="32"/>
  <c r="D12" i="39"/>
  <c r="E12" i="39" s="1"/>
  <c r="AH39" i="23"/>
  <c r="F70" i="32"/>
  <c r="AH49" i="29"/>
  <c r="D82" i="39"/>
  <c r="F54" i="32"/>
  <c r="AH56" i="30"/>
  <c r="AH20" i="23"/>
  <c r="E108" i="32"/>
  <c r="C132" i="32"/>
  <c r="E119" i="32"/>
  <c r="F13" i="32"/>
  <c r="F125" i="32"/>
  <c r="AH149" i="23"/>
  <c r="E67" i="32"/>
  <c r="D59" i="39"/>
  <c r="AH72" i="23"/>
  <c r="AH130" i="23"/>
  <c r="C96" i="32"/>
  <c r="F117" i="32"/>
  <c r="AH20" i="31"/>
  <c r="AH83" i="30"/>
  <c r="E65" i="32"/>
  <c r="C130" i="32"/>
  <c r="D32" i="39"/>
  <c r="E32" i="39" s="1"/>
  <c r="AH80" i="23"/>
  <c r="AH42" i="29"/>
  <c r="F72" i="32"/>
  <c r="E14" i="32"/>
  <c r="D28" i="32"/>
  <c r="AH36" i="30"/>
  <c r="D138" i="39"/>
  <c r="AH146" i="23"/>
  <c r="D114" i="39"/>
  <c r="F114" i="32"/>
  <c r="AH97" i="23"/>
  <c r="D89" i="39"/>
  <c r="F89" i="32"/>
  <c r="F69" i="32"/>
  <c r="AH77" i="23"/>
  <c r="D65" i="39"/>
  <c r="F65" i="32"/>
  <c r="F58" i="32"/>
  <c r="AH66" i="23"/>
  <c r="D58" i="39"/>
  <c r="AH57" i="23"/>
  <c r="D49" i="39"/>
  <c r="F23" i="32"/>
  <c r="AH31" i="23"/>
  <c r="F130" i="32"/>
  <c r="AH138" i="23"/>
  <c r="D107" i="39"/>
  <c r="AH115" i="23"/>
  <c r="F107" i="32"/>
  <c r="AH121" i="30"/>
  <c r="AH47" i="31"/>
  <c r="D65" i="32"/>
  <c r="AH69" i="29"/>
  <c r="D119" i="32"/>
  <c r="AH127" i="30"/>
  <c r="D92" i="32"/>
  <c r="AH100" i="30"/>
  <c r="AH89" i="30"/>
  <c r="D81" i="32"/>
  <c r="D77" i="32"/>
  <c r="AH85" i="30"/>
  <c r="AH118" i="23"/>
  <c r="F110" i="32"/>
  <c r="AH128" i="29"/>
  <c r="C120" i="32"/>
  <c r="AH93" i="29"/>
  <c r="C85" i="32"/>
  <c r="AH25" i="30"/>
  <c r="D17" i="32"/>
  <c r="R23" i="37"/>
  <c r="C117" i="32"/>
  <c r="AH102" i="31"/>
  <c r="D100" i="39"/>
  <c r="D89" i="32"/>
  <c r="D130" i="39"/>
  <c r="E100" i="32"/>
  <c r="AH50" i="31"/>
  <c r="C11" i="32"/>
  <c r="AH19" i="29"/>
  <c r="AH130" i="29"/>
  <c r="C122" i="32"/>
  <c r="C90" i="32"/>
  <c r="AH98" i="29"/>
  <c r="C43" i="32"/>
  <c r="AH51" i="29"/>
  <c r="AH47" i="29"/>
  <c r="C39" i="32"/>
  <c r="D101" i="32"/>
  <c r="AH109" i="30"/>
  <c r="E106" i="32"/>
  <c r="AH114" i="31"/>
  <c r="F126" i="32"/>
  <c r="D126" i="39"/>
  <c r="AH126" i="23"/>
  <c r="F118" i="32"/>
  <c r="D118" i="39"/>
  <c r="AH79" i="30"/>
  <c r="D122" i="39"/>
  <c r="C58" i="32"/>
  <c r="R20" i="37"/>
  <c r="AH131" i="31"/>
  <c r="E113" i="32"/>
  <c r="D47" i="32"/>
  <c r="D132" i="32"/>
  <c r="D73" i="32"/>
  <c r="AH137" i="30"/>
  <c r="D115" i="32"/>
  <c r="D97" i="32"/>
  <c r="D36" i="32"/>
  <c r="D33" i="32"/>
  <c r="AH29" i="30"/>
  <c r="D12" i="32"/>
  <c r="AM134" i="22"/>
  <c r="AM132" i="22"/>
  <c r="AM130" i="22"/>
  <c r="AM128" i="22"/>
  <c r="AM122" i="22"/>
  <c r="AM120" i="22"/>
  <c r="AM112" i="22"/>
  <c r="AM108" i="22"/>
  <c r="AM106" i="22"/>
  <c r="AM104" i="22"/>
  <c r="AM102" i="22"/>
  <c r="AM98" i="22"/>
  <c r="AM96" i="22"/>
  <c r="AM94" i="22"/>
  <c r="AM92" i="22"/>
  <c r="AM88" i="22"/>
  <c r="AM86" i="22"/>
  <c r="AM82" i="22"/>
  <c r="AM78" i="22"/>
  <c r="AM76" i="22"/>
  <c r="AM74" i="22"/>
  <c r="AM70" i="22"/>
  <c r="AM68" i="22"/>
  <c r="AM66" i="22"/>
  <c r="AM64" i="22"/>
  <c r="AM62" i="22"/>
  <c r="AM60" i="22"/>
  <c r="AM58" i="22"/>
  <c r="AM54" i="22"/>
  <c r="AM50" i="22"/>
  <c r="AM48" i="22"/>
  <c r="AM46" i="22"/>
  <c r="AM42" i="22"/>
  <c r="AM40" i="22"/>
  <c r="AM38" i="22"/>
  <c r="AM36" i="22"/>
  <c r="AM34" i="22"/>
  <c r="AM32" i="22"/>
  <c r="AM30" i="22"/>
  <c r="AM28" i="22"/>
  <c r="AM26" i="22"/>
  <c r="AM24" i="22"/>
  <c r="AM22" i="22"/>
  <c r="AM20" i="22"/>
  <c r="AM18" i="22"/>
  <c r="AM16" i="22"/>
  <c r="AM14" i="22"/>
  <c r="AM8" i="22"/>
  <c r="D231" i="40"/>
  <c r="AH112" i="29"/>
  <c r="C104" i="32"/>
  <c r="C97" i="32"/>
  <c r="AH105" i="29"/>
  <c r="AH65" i="29"/>
  <c r="C57" i="32"/>
  <c r="AH118" i="30"/>
  <c r="D110" i="32"/>
  <c r="AH148" i="31"/>
  <c r="E140" i="32"/>
  <c r="E52" i="32"/>
  <c r="AH60" i="31"/>
  <c r="AM124" i="22"/>
  <c r="AM118" i="22"/>
  <c r="AM114" i="22"/>
  <c r="AM90" i="22"/>
  <c r="AM80" i="22"/>
  <c r="AM56" i="22"/>
  <c r="AM52" i="22"/>
  <c r="AM44" i="22"/>
  <c r="AH57" i="29"/>
  <c r="E24" i="32"/>
  <c r="C15" i="32"/>
  <c r="AH23" i="29"/>
  <c r="D138" i="32"/>
  <c r="AH146" i="30"/>
  <c r="D76" i="32"/>
  <c r="AH84" i="30"/>
  <c r="AH65" i="30"/>
  <c r="D57" i="32"/>
  <c r="E112" i="32"/>
  <c r="AH120" i="31"/>
  <c r="F101" i="32"/>
  <c r="AH109" i="23"/>
  <c r="AM100" i="22"/>
  <c r="AM72" i="22"/>
  <c r="AM12" i="22"/>
  <c r="AM10" i="22"/>
  <c r="W40" i="37"/>
  <c r="C120" i="40"/>
  <c r="R13" i="37"/>
  <c r="D101" i="39"/>
  <c r="C140" i="32"/>
  <c r="AH148" i="29"/>
  <c r="AH85" i="29"/>
  <c r="C77" i="32"/>
  <c r="C38" i="32"/>
  <c r="AH46" i="29"/>
  <c r="E120" i="32"/>
  <c r="AH128" i="31"/>
  <c r="E81" i="32"/>
  <c r="AH89" i="31"/>
  <c r="F115" i="32"/>
  <c r="D115" i="39"/>
  <c r="AH123" i="23"/>
  <c r="AM116" i="22"/>
  <c r="AM110" i="22"/>
  <c r="Q40" i="37"/>
  <c r="E205" i="4" s="1"/>
  <c r="AH24" i="30"/>
  <c r="E46" i="32"/>
  <c r="AH52" i="30"/>
  <c r="P40" i="37"/>
  <c r="C107" i="32"/>
  <c r="AH115" i="29"/>
  <c r="AH90" i="29"/>
  <c r="C82" i="32"/>
  <c r="AH70" i="29"/>
  <c r="C62" i="32"/>
  <c r="AH59" i="29"/>
  <c r="C51" i="32"/>
  <c r="AH30" i="29"/>
  <c r="C22" i="32"/>
  <c r="AH25" i="29"/>
  <c r="C17" i="32"/>
  <c r="AH120" i="30"/>
  <c r="D112" i="32"/>
  <c r="D78" i="32"/>
  <c r="AH86" i="30"/>
  <c r="E125" i="32"/>
  <c r="AH133" i="31"/>
  <c r="E114" i="32"/>
  <c r="AH122" i="31"/>
  <c r="AH91" i="31"/>
  <c r="E83" i="32"/>
  <c r="AH63" i="31"/>
  <c r="E55" i="32"/>
  <c r="AH44" i="31"/>
  <c r="E36" i="32"/>
  <c r="F109" i="32"/>
  <c r="D109" i="39"/>
  <c r="AH117" i="23"/>
  <c r="AH114" i="23"/>
  <c r="F106" i="32"/>
  <c r="C121" i="40"/>
  <c r="R27" i="37"/>
  <c r="D187" i="40"/>
  <c r="V40" i="37"/>
  <c r="AH134" i="29"/>
  <c r="C126" i="32"/>
  <c r="C112" i="32"/>
  <c r="AH120" i="29"/>
  <c r="C109" i="32"/>
  <c r="AH117" i="29"/>
  <c r="AH111" i="30"/>
  <c r="D103" i="32"/>
  <c r="D98" i="32"/>
  <c r="AH106" i="30"/>
  <c r="D83" i="32"/>
  <c r="AH91" i="30"/>
  <c r="D61" i="32"/>
  <c r="AH69" i="30"/>
  <c r="D225" i="40"/>
  <c r="AH45" i="30"/>
  <c r="D37" i="32"/>
  <c r="E116" i="32"/>
  <c r="AH124" i="31"/>
  <c r="AH76" i="31"/>
  <c r="E68" i="32"/>
  <c r="E38" i="32"/>
  <c r="AH46" i="31"/>
  <c r="E16" i="32"/>
  <c r="AH24" i="31"/>
  <c r="D53" i="32"/>
  <c r="AH61" i="30"/>
  <c r="AH141" i="31"/>
  <c r="E133" i="32"/>
  <c r="E102" i="32"/>
  <c r="AH110" i="31"/>
  <c r="E96" i="32"/>
  <c r="AH104" i="31"/>
  <c r="AH27" i="31"/>
  <c r="E19" i="32"/>
  <c r="AH21" i="31"/>
  <c r="E13" i="32"/>
  <c r="F111" i="32"/>
  <c r="D111" i="39"/>
  <c r="AH119" i="23"/>
  <c r="D243" i="40"/>
  <c r="D234" i="40"/>
  <c r="D238" i="40"/>
  <c r="D232" i="40"/>
  <c r="R29" i="37"/>
  <c r="C75" i="32"/>
  <c r="AH83" i="29"/>
  <c r="C55" i="32"/>
  <c r="AH63" i="29"/>
  <c r="AH144" i="30"/>
  <c r="D136" i="32"/>
  <c r="D130" i="32"/>
  <c r="AH138" i="30"/>
  <c r="AH116" i="30"/>
  <c r="D108" i="32"/>
  <c r="D69" i="32"/>
  <c r="AH77" i="30"/>
  <c r="AH63" i="30"/>
  <c r="D55" i="32"/>
  <c r="E138" i="32"/>
  <c r="AH146" i="31"/>
  <c r="E43" i="32"/>
  <c r="AH51" i="31"/>
  <c r="AH30" i="31"/>
  <c r="E22" i="32"/>
  <c r="R22" i="37"/>
  <c r="C196" i="40"/>
  <c r="U40" i="37"/>
  <c r="D30" i="37"/>
  <c r="D35" i="37"/>
  <c r="D23" i="37"/>
  <c r="D32" i="37"/>
  <c r="D27" i="37"/>
  <c r="D19" i="37"/>
  <c r="D37" i="37"/>
  <c r="D38" i="37"/>
  <c r="D20" i="37"/>
  <c r="D11" i="37"/>
  <c r="D28" i="37"/>
  <c r="D39" i="37"/>
  <c r="AG63" i="48" l="1"/>
  <c r="G67" i="4"/>
  <c r="G55" i="4"/>
  <c r="G76" i="4"/>
  <c r="AG93" i="48"/>
  <c r="G130" i="4"/>
  <c r="G19" i="4"/>
  <c r="G16" i="4"/>
  <c r="G13" i="4"/>
  <c r="AG141" i="48"/>
  <c r="AG60" i="48"/>
  <c r="G78" i="4"/>
  <c r="AG118" i="48"/>
  <c r="AG121" i="48"/>
  <c r="G40" i="4"/>
  <c r="AG78" i="48"/>
  <c r="AG92" i="48"/>
  <c r="AG95" i="48"/>
  <c r="AG113" i="48"/>
  <c r="AG127" i="48"/>
  <c r="AG149" i="48"/>
  <c r="G138" i="4"/>
  <c r="AG65" i="48"/>
  <c r="G73" i="4"/>
  <c r="AG101" i="48"/>
  <c r="AG99" i="48"/>
  <c r="AG77" i="48"/>
  <c r="AG114" i="48"/>
  <c r="AG109" i="48"/>
  <c r="G102" i="4"/>
  <c r="G123" i="4"/>
  <c r="AG130" i="48"/>
  <c r="G50" i="4"/>
  <c r="AG57" i="48"/>
  <c r="G37" i="4"/>
  <c r="AG44" i="48"/>
  <c r="G96" i="4"/>
  <c r="AG103" i="48"/>
  <c r="G69" i="4"/>
  <c r="AG76" i="48"/>
  <c r="G124" i="4"/>
  <c r="AG131" i="48"/>
  <c r="G133" i="4"/>
  <c r="AG140" i="48"/>
  <c r="AG105" i="48"/>
  <c r="G98" i="4"/>
  <c r="G109" i="4"/>
  <c r="AG116" i="48"/>
  <c r="AG112" i="48"/>
  <c r="G105" i="4"/>
  <c r="G132" i="4"/>
  <c r="AG139" i="48"/>
  <c r="G118" i="4"/>
  <c r="AG125" i="48"/>
  <c r="AG82" i="48"/>
  <c r="G75" i="4"/>
  <c r="G57" i="4"/>
  <c r="AG64" i="48"/>
  <c r="G80" i="4"/>
  <c r="AG87" i="48"/>
  <c r="AG81" i="48"/>
  <c r="G74" i="4"/>
  <c r="G39" i="4"/>
  <c r="AG46" i="48"/>
  <c r="G46" i="4"/>
  <c r="AG53" i="48"/>
  <c r="AG89" i="48"/>
  <c r="G82" i="4"/>
  <c r="G42" i="4"/>
  <c r="AG49" i="48"/>
  <c r="AG70" i="48"/>
  <c r="G63" i="4"/>
  <c r="AG117" i="48"/>
  <c r="G110" i="4"/>
  <c r="AG119" i="48"/>
  <c r="G112" i="4"/>
  <c r="AG134" i="48"/>
  <c r="G127" i="4"/>
  <c r="G101" i="4"/>
  <c r="AG108" i="48"/>
  <c r="AG122" i="48"/>
  <c r="G115" i="4"/>
  <c r="G36" i="4"/>
  <c r="AG43" i="48"/>
  <c r="AG143" i="48"/>
  <c r="G136" i="4"/>
  <c r="AG75" i="48"/>
  <c r="G68" i="4"/>
  <c r="G72" i="4"/>
  <c r="AG79" i="48"/>
  <c r="G34" i="4"/>
  <c r="AG41" i="48"/>
  <c r="AG52" i="48"/>
  <c r="G45" i="4"/>
  <c r="G47" i="4"/>
  <c r="AG54" i="48"/>
  <c r="G117" i="4"/>
  <c r="AG124" i="48"/>
  <c r="G122" i="4"/>
  <c r="AG129" i="48"/>
  <c r="AG107" i="48"/>
  <c r="G100" i="4"/>
  <c r="G128" i="4"/>
  <c r="AG135" i="48"/>
  <c r="AG106" i="48"/>
  <c r="G99" i="4"/>
  <c r="G95" i="4"/>
  <c r="AG102" i="48"/>
  <c r="AG71" i="48"/>
  <c r="G64" i="4"/>
  <c r="AG51" i="48"/>
  <c r="G44" i="4"/>
  <c r="AG55" i="48"/>
  <c r="G48" i="4"/>
  <c r="G116" i="4"/>
  <c r="AG123" i="48"/>
  <c r="G119" i="4"/>
  <c r="AG126" i="48"/>
  <c r="G59" i="4"/>
  <c r="AG66" i="48"/>
  <c r="G66" i="4"/>
  <c r="AG73" i="48"/>
  <c r="G90" i="4"/>
  <c r="AG97" i="48"/>
  <c r="AG40" i="48"/>
  <c r="G33" i="4"/>
  <c r="G83" i="4"/>
  <c r="AG90" i="48"/>
  <c r="AG58" i="48"/>
  <c r="G51" i="4"/>
  <c r="G97" i="4"/>
  <c r="AG104" i="48"/>
  <c r="G137" i="4"/>
  <c r="AG144" i="48"/>
  <c r="G103" i="4"/>
  <c r="AG110" i="48"/>
  <c r="G113" i="4"/>
  <c r="AG120" i="48"/>
  <c r="G140" i="4"/>
  <c r="AG147" i="48"/>
  <c r="G129" i="4"/>
  <c r="AG136" i="48"/>
  <c r="AG133" i="48"/>
  <c r="G126" i="4"/>
  <c r="G91" i="4"/>
  <c r="AG98" i="48"/>
  <c r="G41" i="4"/>
  <c r="AG48" i="48"/>
  <c r="AG91" i="48"/>
  <c r="G84" i="4"/>
  <c r="G61" i="4"/>
  <c r="AG68" i="48"/>
  <c r="G52" i="4"/>
  <c r="AG59" i="48"/>
  <c r="G93" i="4"/>
  <c r="AG100" i="48"/>
  <c r="G131" i="4"/>
  <c r="AG138" i="48"/>
  <c r="G108" i="4"/>
  <c r="AG115" i="48"/>
  <c r="AG146" i="48"/>
  <c r="G139" i="4"/>
  <c r="AG67" i="48"/>
  <c r="G60" i="4"/>
  <c r="G49" i="4"/>
  <c r="AG56" i="48"/>
  <c r="G54" i="4"/>
  <c r="AG61" i="48"/>
  <c r="G65" i="4"/>
  <c r="AG72" i="48"/>
  <c r="G35" i="4"/>
  <c r="AG42" i="48"/>
  <c r="G81" i="4"/>
  <c r="AG88" i="48"/>
  <c r="G43" i="4"/>
  <c r="AG50" i="48"/>
  <c r="G62" i="4"/>
  <c r="AG69" i="48"/>
  <c r="AG148" i="48"/>
  <c r="G141" i="4"/>
  <c r="G104" i="4"/>
  <c r="AG111" i="48"/>
  <c r="G121" i="4"/>
  <c r="AG128" i="48"/>
  <c r="G87" i="4"/>
  <c r="AG94" i="48"/>
  <c r="AG86" i="48"/>
  <c r="G79" i="4"/>
  <c r="G125" i="4"/>
  <c r="AG132" i="48"/>
  <c r="G38" i="4"/>
  <c r="AG45" i="48"/>
  <c r="G135" i="4"/>
  <c r="AG142" i="48"/>
  <c r="G77" i="4"/>
  <c r="AG84" i="48"/>
  <c r="G89" i="4"/>
  <c r="AG96" i="48"/>
  <c r="AG39" i="48"/>
  <c r="G32" i="4"/>
  <c r="J169" i="4"/>
  <c r="AG38" i="48"/>
  <c r="G31" i="4"/>
  <c r="J21" i="4"/>
  <c r="AG37" i="48"/>
  <c r="G29" i="4"/>
  <c r="AG36" i="48"/>
  <c r="G28" i="4"/>
  <c r="AG35" i="48"/>
  <c r="G27" i="4"/>
  <c r="AG34" i="48"/>
  <c r="AG33" i="48"/>
  <c r="G26" i="4"/>
  <c r="AG31" i="48"/>
  <c r="AG32" i="48"/>
  <c r="O150" i="23"/>
  <c r="O19" i="48"/>
  <c r="O150" i="48" s="1"/>
  <c r="AG19" i="23"/>
  <c r="C95" i="40"/>
  <c r="C94" i="40"/>
  <c r="C165" i="40"/>
  <c r="C90" i="40"/>
  <c r="C84" i="40"/>
  <c r="AG30" i="48"/>
  <c r="G22" i="4"/>
  <c r="AG29" i="48"/>
  <c r="AG27" i="48"/>
  <c r="J164" i="4"/>
  <c r="AG25" i="48"/>
  <c r="G21" i="4"/>
  <c r="AG28" i="48"/>
  <c r="E93" i="32"/>
  <c r="E121" i="32"/>
  <c r="AH95" i="31"/>
  <c r="C71" i="32"/>
  <c r="C142" i="32" s="1"/>
  <c r="G17" i="4"/>
  <c r="AG24" i="48"/>
  <c r="AG26" i="48"/>
  <c r="AG23" i="48"/>
  <c r="C81" i="40"/>
  <c r="Q166" i="4"/>
  <c r="C162" i="40"/>
  <c r="C158" i="40"/>
  <c r="C104" i="40"/>
  <c r="G15" i="4"/>
  <c r="C88" i="40"/>
  <c r="C167" i="40"/>
  <c r="C166" i="40"/>
  <c r="J168" i="4"/>
  <c r="J163" i="4"/>
  <c r="P169" i="4" s="1"/>
  <c r="Q170" i="4" s="1"/>
  <c r="C85" i="40"/>
  <c r="C163" i="40"/>
  <c r="Q165" i="4"/>
  <c r="J166" i="4"/>
  <c r="AG21" i="48"/>
  <c r="G14" i="4"/>
  <c r="J40" i="37"/>
  <c r="C161" i="40"/>
  <c r="C157" i="40"/>
  <c r="C101" i="40"/>
  <c r="J165" i="4"/>
  <c r="Q164" i="4"/>
  <c r="C160" i="40"/>
  <c r="C105" i="40"/>
  <c r="O40" i="37"/>
  <c r="E40" i="37"/>
  <c r="C179" i="40"/>
  <c r="Q167" i="4"/>
  <c r="C171" i="40"/>
  <c r="C103" i="40"/>
  <c r="C168" i="40"/>
  <c r="C99" i="40"/>
  <c r="C82" i="40"/>
  <c r="C154" i="40"/>
  <c r="G40" i="37"/>
  <c r="J167" i="4"/>
  <c r="F143" i="4"/>
  <c r="E195" i="4"/>
  <c r="F195" i="4"/>
  <c r="E143" i="4"/>
  <c r="G195" i="4"/>
  <c r="D143" i="4"/>
  <c r="Q12" i="4" s="1"/>
  <c r="K40" i="37"/>
  <c r="C155" i="40"/>
  <c r="U43" i="39"/>
  <c r="C176" i="40"/>
  <c r="C106" i="40"/>
  <c r="N40" i="37"/>
  <c r="C140" i="40" s="1"/>
  <c r="L40" i="37"/>
  <c r="C177" i="40"/>
  <c r="C108" i="40"/>
  <c r="C100" i="40"/>
  <c r="C159" i="40"/>
  <c r="F40" i="37"/>
  <c r="H40" i="37"/>
  <c r="C109" i="40"/>
  <c r="C181" i="40"/>
  <c r="C110" i="40"/>
  <c r="C164" i="40"/>
  <c r="C92" i="40"/>
  <c r="R40" i="37"/>
  <c r="E206" i="4" s="1"/>
  <c r="I40" i="37"/>
  <c r="E84" i="40"/>
  <c r="M40" i="37"/>
  <c r="C40" i="37"/>
  <c r="D142" i="32"/>
  <c r="D40" i="37"/>
  <c r="AG20" i="48" l="1"/>
  <c r="K15" i="4"/>
  <c r="P18" i="4"/>
  <c r="Q18" i="4" s="1"/>
  <c r="P19" i="4"/>
  <c r="Q19" i="4" s="1"/>
  <c r="P20" i="4"/>
  <c r="Q20" i="4" s="1"/>
  <c r="K16" i="4"/>
  <c r="K18" i="4"/>
  <c r="K20" i="4"/>
  <c r="K17" i="4"/>
  <c r="K19" i="4"/>
  <c r="K12" i="4"/>
  <c r="K14" i="4"/>
  <c r="K13" i="4"/>
  <c r="P14" i="4"/>
  <c r="Q13" i="4"/>
  <c r="F11" i="32"/>
  <c r="F142" i="32" s="1"/>
  <c r="D11" i="39"/>
  <c r="E11" i="39" s="1"/>
  <c r="AH19" i="23"/>
  <c r="C174" i="40"/>
  <c r="E142" i="32"/>
  <c r="J170" i="4"/>
  <c r="K168" i="4" s="1"/>
  <c r="Q14" i="4"/>
  <c r="P12" i="4"/>
  <c r="P13" i="4"/>
  <c r="B50" i="40" l="1"/>
  <c r="B130" i="40"/>
  <c r="B38" i="40"/>
  <c r="B93" i="40"/>
  <c r="B155" i="40"/>
  <c r="B188" i="40"/>
  <c r="B141" i="40"/>
  <c r="B105" i="40"/>
  <c r="B175" i="40"/>
  <c r="B32" i="40"/>
  <c r="B210" i="40"/>
  <c r="B61" i="40"/>
  <c r="B196" i="40"/>
  <c r="B27" i="40"/>
  <c r="B64" i="40"/>
  <c r="B132" i="40"/>
  <c r="B85" i="40"/>
  <c r="B170" i="40"/>
  <c r="B157" i="40"/>
  <c r="B21" i="40"/>
  <c r="B54" i="40"/>
  <c r="B121" i="40"/>
  <c r="B205" i="40"/>
  <c r="B98" i="40"/>
  <c r="B59" i="40"/>
  <c r="B118" i="40"/>
  <c r="B207" i="40"/>
  <c r="B102" i="40"/>
  <c r="B158" i="40"/>
  <c r="B40" i="40"/>
  <c r="B136" i="40"/>
  <c r="B82" i="40"/>
  <c r="B25" i="40"/>
  <c r="B154" i="40"/>
  <c r="B193" i="40"/>
  <c r="B65" i="40"/>
  <c r="B159" i="40"/>
  <c r="B100" i="40"/>
  <c r="B192" i="40"/>
  <c r="B117" i="40"/>
  <c r="B23" i="40"/>
  <c r="B55" i="40"/>
  <c r="B197" i="40"/>
  <c r="B86" i="40"/>
  <c r="B66" i="40"/>
  <c r="B28" i="40"/>
  <c r="B126" i="40"/>
  <c r="B161" i="40"/>
  <c r="B135" i="40"/>
  <c r="B164" i="40"/>
  <c r="B92" i="40"/>
  <c r="B18" i="40"/>
  <c r="B53" i="40"/>
  <c r="B202" i="40"/>
  <c r="B208" i="40"/>
  <c r="B103" i="40"/>
  <c r="B171" i="40"/>
  <c r="B63" i="40"/>
  <c r="B139" i="40"/>
  <c r="B24" i="40"/>
  <c r="B11" i="40"/>
  <c r="B47" i="40"/>
  <c r="B119" i="40"/>
  <c r="B187" i="40"/>
  <c r="B156" i="40"/>
  <c r="B81" i="40"/>
  <c r="B120" i="40"/>
  <c r="B153" i="40"/>
  <c r="B84" i="40"/>
  <c r="B195" i="40"/>
  <c r="B26" i="40"/>
  <c r="B52" i="40"/>
  <c r="B151" i="40"/>
  <c r="B29" i="40"/>
  <c r="B67" i="40"/>
  <c r="B199" i="40"/>
  <c r="B116" i="40"/>
  <c r="B88" i="40"/>
  <c r="B165" i="40"/>
  <c r="B124" i="40"/>
  <c r="B51" i="40"/>
  <c r="B83" i="40"/>
  <c r="B17" i="40"/>
  <c r="B194" i="40"/>
  <c r="B70" i="40"/>
  <c r="B129" i="40"/>
  <c r="B162" i="40"/>
  <c r="B19" i="40"/>
  <c r="B96" i="40"/>
  <c r="B191" i="40"/>
  <c r="B57" i="40"/>
  <c r="B125" i="40"/>
  <c r="B204" i="40"/>
  <c r="B97" i="40"/>
  <c r="B167" i="40"/>
  <c r="B13" i="40"/>
  <c r="B160" i="40"/>
  <c r="B198" i="40"/>
  <c r="B87" i="40"/>
  <c r="B122" i="40"/>
  <c r="B12" i="40"/>
  <c r="B46" i="40"/>
  <c r="B91" i="40"/>
  <c r="B15" i="40"/>
  <c r="B166" i="40"/>
  <c r="B201" i="40"/>
  <c r="B127" i="40"/>
  <c r="B48" i="40"/>
  <c r="B169" i="40"/>
  <c r="B68" i="40"/>
  <c r="B30" i="40"/>
  <c r="B133" i="40"/>
  <c r="B90" i="40"/>
  <c r="B190" i="40"/>
  <c r="B200" i="40"/>
  <c r="B134" i="40"/>
  <c r="B58" i="40"/>
  <c r="B22" i="40"/>
  <c r="B163" i="40"/>
  <c r="B89" i="40"/>
  <c r="B20" i="40"/>
  <c r="B172" i="40"/>
  <c r="B56" i="40"/>
  <c r="B137" i="40"/>
  <c r="B206" i="40"/>
  <c r="B101" i="40"/>
  <c r="B94" i="40"/>
  <c r="B203" i="40"/>
  <c r="B128" i="40"/>
  <c r="B173" i="40"/>
  <c r="B39" i="40"/>
  <c r="B69" i="40"/>
  <c r="B106" i="40"/>
  <c r="B143" i="40"/>
  <c r="B33" i="40"/>
  <c r="B72" i="40"/>
  <c r="B176" i="40"/>
  <c r="B211" i="40"/>
  <c r="B108" i="40"/>
  <c r="B35" i="40"/>
  <c r="B213" i="40"/>
  <c r="B60" i="40"/>
  <c r="B177" i="40"/>
  <c r="B142" i="40"/>
  <c r="B138" i="40"/>
  <c r="B104" i="40"/>
  <c r="B209" i="40"/>
  <c r="B31" i="40"/>
  <c r="B178" i="40"/>
  <c r="B71" i="40"/>
  <c r="B186" i="40"/>
  <c r="B16" i="40"/>
  <c r="B62" i="40"/>
  <c r="B152" i="40"/>
  <c r="B95" i="40"/>
  <c r="B123" i="40"/>
  <c r="B131" i="40"/>
  <c r="B189" i="40"/>
  <c r="B14" i="40"/>
  <c r="B49" i="40"/>
  <c r="B168" i="40"/>
  <c r="B99" i="40"/>
  <c r="B180" i="40"/>
  <c r="B109" i="40"/>
  <c r="B36" i="40"/>
  <c r="B145" i="40"/>
  <c r="B214" i="40"/>
  <c r="B74" i="40"/>
  <c r="B215" i="40"/>
  <c r="B110" i="40"/>
  <c r="B37" i="40"/>
  <c r="B181" i="40"/>
  <c r="B146" i="40"/>
  <c r="B75" i="40"/>
  <c r="B144" i="40"/>
  <c r="B212" i="40"/>
  <c r="B107" i="40"/>
  <c r="B34" i="40"/>
  <c r="B179" i="40"/>
  <c r="B73" i="40"/>
  <c r="D142" i="39"/>
  <c r="K167" i="4"/>
  <c r="K169" i="4"/>
  <c r="K166" i="4"/>
  <c r="K164" i="4"/>
  <c r="K163" i="4"/>
  <c r="K165" i="4"/>
  <c r="AG19" i="48" l="1"/>
  <c r="AG150" i="48" s="1"/>
  <c r="G12" i="4"/>
  <c r="G143" i="4" s="1"/>
  <c r="E142" i="39"/>
  <c r="Q15" i="4" l="1"/>
  <c r="P15" i="4"/>
</calcChain>
</file>

<file path=xl/sharedStrings.xml><?xml version="1.0" encoding="utf-8"?>
<sst xmlns="http://schemas.openxmlformats.org/spreadsheetml/2006/main" count="2549" uniqueCount="688">
  <si>
    <t>Total</t>
  </si>
  <si>
    <t>Tendance</t>
  </si>
  <si>
    <t xml:space="preserve">● </t>
  </si>
  <si>
    <t xml:space="preserve"> </t>
  </si>
  <si>
    <t>J2</t>
  </si>
  <si>
    <t>Seance</t>
  </si>
  <si>
    <t>Plaisir</t>
  </si>
  <si>
    <t>RPE</t>
  </si>
  <si>
    <t>Perfo.</t>
  </si>
  <si>
    <t>Moyenne</t>
  </si>
  <si>
    <t>Présent</t>
  </si>
  <si>
    <t>Présence entrainement</t>
  </si>
  <si>
    <t>Blessé</t>
  </si>
  <si>
    <t>Malade</t>
  </si>
  <si>
    <t>Vacances</t>
  </si>
  <si>
    <t>Repos</t>
  </si>
  <si>
    <t>J1</t>
  </si>
  <si>
    <t>Présence à l'entrainement</t>
  </si>
  <si>
    <t>Absent</t>
  </si>
  <si>
    <t>J3</t>
  </si>
  <si>
    <t>J4</t>
  </si>
  <si>
    <t>J5</t>
  </si>
  <si>
    <t>J6</t>
  </si>
  <si>
    <t>J7</t>
  </si>
  <si>
    <t>J8</t>
  </si>
  <si>
    <t>J9</t>
  </si>
  <si>
    <t>J10</t>
  </si>
  <si>
    <t>J11</t>
  </si>
  <si>
    <t>J12</t>
  </si>
  <si>
    <t>Num</t>
  </si>
  <si>
    <t>Nom Prénom</t>
  </si>
  <si>
    <t>Date de naissance</t>
  </si>
  <si>
    <t>Poste</t>
  </si>
  <si>
    <t>Taille</t>
  </si>
  <si>
    <t>Poid</t>
  </si>
  <si>
    <t>IMC</t>
  </si>
  <si>
    <t>Pied</t>
  </si>
  <si>
    <t>Les 2</t>
  </si>
  <si>
    <t>Gardien</t>
  </si>
  <si>
    <t>Défenseur</t>
  </si>
  <si>
    <t>Millieu</t>
  </si>
  <si>
    <t>Attaquant</t>
  </si>
  <si>
    <t>Gaucher</t>
  </si>
  <si>
    <t>N°</t>
  </si>
  <si>
    <t>Excusé</t>
  </si>
  <si>
    <t>J13</t>
  </si>
  <si>
    <t>J14</t>
  </si>
  <si>
    <t>J15</t>
  </si>
  <si>
    <t>J16</t>
  </si>
  <si>
    <t>J17</t>
  </si>
  <si>
    <t>J18</t>
  </si>
  <si>
    <t>J19</t>
  </si>
  <si>
    <t>J20</t>
  </si>
  <si>
    <t>J21</t>
  </si>
  <si>
    <t>J22</t>
  </si>
  <si>
    <t>J23</t>
  </si>
  <si>
    <t>J24</t>
  </si>
  <si>
    <t>J25</t>
  </si>
  <si>
    <t>J26</t>
  </si>
  <si>
    <t>J27</t>
  </si>
  <si>
    <t>J28</t>
  </si>
  <si>
    <t>J29</t>
  </si>
  <si>
    <t>J30</t>
  </si>
  <si>
    <t>TOTAL</t>
  </si>
  <si>
    <t>Présences entrainement</t>
  </si>
  <si>
    <t>Colonne1</t>
  </si>
  <si>
    <t>Droitier</t>
  </si>
  <si>
    <t>ENTRAINEMENT</t>
  </si>
  <si>
    <t>Forme</t>
  </si>
  <si>
    <t>Suivi RPE</t>
  </si>
  <si>
    <t>Ressenti</t>
  </si>
  <si>
    <t>Colonne2</t>
  </si>
  <si>
    <t>Borg</t>
  </si>
  <si>
    <t>Indice Max notation</t>
  </si>
  <si>
    <t>Indice de perfo. Moyen</t>
  </si>
  <si>
    <t>Date</t>
  </si>
  <si>
    <t>Suivi Forme</t>
  </si>
  <si>
    <t>Suivi Plaisir</t>
  </si>
  <si>
    <t>Suivi Perfo.</t>
  </si>
  <si>
    <t>Bilan accompagnement mental</t>
  </si>
  <si>
    <t>Temps de jeu</t>
  </si>
  <si>
    <t>Equipe</t>
  </si>
  <si>
    <t>Adversaire</t>
  </si>
  <si>
    <t>But</t>
  </si>
  <si>
    <t>Suivi des matchs</t>
  </si>
  <si>
    <t>Match</t>
  </si>
  <si>
    <t>Buts</t>
  </si>
  <si>
    <t>Type de match</t>
  </si>
  <si>
    <t>Passes décisives</t>
  </si>
  <si>
    <t>Blessurs</t>
  </si>
  <si>
    <t>Cartons jaunes</t>
  </si>
  <si>
    <t>Cartons rouges</t>
  </si>
  <si>
    <t>RPE Moyenne</t>
  </si>
  <si>
    <t>NB Buts</t>
  </si>
  <si>
    <t>Nb Passes décisives</t>
  </si>
  <si>
    <t>Nb Cartons jaunes</t>
  </si>
  <si>
    <t>Nb Cartons rouges</t>
  </si>
  <si>
    <t>NB Blessurs</t>
  </si>
  <si>
    <t>Total du Temps de jeu</t>
  </si>
  <si>
    <t>Convocation</t>
  </si>
  <si>
    <t>Non convoqué</t>
  </si>
  <si>
    <t>Equipe sup.</t>
  </si>
  <si>
    <t>Indice de perfo.</t>
  </si>
  <si>
    <t>Passe dés.</t>
  </si>
  <si>
    <t>Carton jaune</t>
  </si>
  <si>
    <t>Carton rouge</t>
  </si>
  <si>
    <t>RPE moyenne</t>
  </si>
  <si>
    <t>min</t>
  </si>
  <si>
    <t>Charge</t>
  </si>
  <si>
    <t>Légére</t>
  </si>
  <si>
    <t>Modérée</t>
  </si>
  <si>
    <t>Très élevée</t>
  </si>
  <si>
    <t>Elevée</t>
  </si>
  <si>
    <t>Resenti</t>
  </si>
  <si>
    <t>Durée</t>
  </si>
  <si>
    <t>Legére</t>
  </si>
  <si>
    <t>Charge -</t>
  </si>
  <si>
    <t>Charge +</t>
  </si>
  <si>
    <t>Adresse</t>
  </si>
  <si>
    <t>CP</t>
  </si>
  <si>
    <t>Ville</t>
  </si>
  <si>
    <t>COMPIEGNE</t>
  </si>
  <si>
    <t>LE MEUX</t>
  </si>
  <si>
    <t>A …</t>
  </si>
  <si>
    <t>Amical</t>
  </si>
  <si>
    <t>Brassage</t>
  </si>
  <si>
    <t>Championnat</t>
  </si>
  <si>
    <t>Coupe</t>
  </si>
  <si>
    <t>Match 1</t>
  </si>
  <si>
    <t>Match 2</t>
  </si>
  <si>
    <t>Match 3</t>
  </si>
  <si>
    <t>Match 4</t>
  </si>
  <si>
    <t>Match 5</t>
  </si>
  <si>
    <t>Match 6</t>
  </si>
  <si>
    <t>Match 7</t>
  </si>
  <si>
    <t>Match 8</t>
  </si>
  <si>
    <t>Match 9</t>
  </si>
  <si>
    <t>Match 10</t>
  </si>
  <si>
    <t>Match 11</t>
  </si>
  <si>
    <t>Match 12</t>
  </si>
  <si>
    <t>Match 13</t>
  </si>
  <si>
    <t>Match 14</t>
  </si>
  <si>
    <t>Match 15</t>
  </si>
  <si>
    <t>Match 16</t>
  </si>
  <si>
    <t>Match 17</t>
  </si>
  <si>
    <t>Match 18</t>
  </si>
  <si>
    <t>Match 19</t>
  </si>
  <si>
    <t>Match 20</t>
  </si>
  <si>
    <t>Match 21</t>
  </si>
  <si>
    <t>Match 22</t>
  </si>
  <si>
    <t>Match 23</t>
  </si>
  <si>
    <t>Match 24</t>
  </si>
  <si>
    <t>Match 25</t>
  </si>
  <si>
    <t>Match 26</t>
  </si>
  <si>
    <t>Match 27</t>
  </si>
  <si>
    <t>Match 28</t>
  </si>
  <si>
    <t>Match 29</t>
  </si>
  <si>
    <t>Match 30</t>
  </si>
  <si>
    <t>Match 31</t>
  </si>
  <si>
    <t>Match 32</t>
  </si>
  <si>
    <t>.. /.. /..</t>
  </si>
  <si>
    <t>Objectif du fichier</t>
  </si>
  <si>
    <r>
      <t xml:space="preserve">Guide d'utilisation du fichier </t>
    </r>
    <r>
      <rPr>
        <b/>
        <sz val="25.5"/>
        <color theme="1" tint="0.34998626667073579"/>
        <rFont val="Century Gothic"/>
        <family val="2"/>
        <scheme val="major"/>
      </rPr>
      <t>GESTION DES JOUEURS</t>
    </r>
  </si>
  <si>
    <t xml:space="preserve">Le fichier facilite la gestion d'un effectif de joueur sur une saison. Il vous accompagne dans le suivie des entrainements et des rencontres </t>
  </si>
  <si>
    <t>A quoi servent les onglets ?</t>
  </si>
  <si>
    <t>Chaque onglets permet de consulter ou d'inserrer des données</t>
  </si>
  <si>
    <r>
      <rPr>
        <b/>
        <sz val="10"/>
        <color theme="1"/>
        <rFont val="Calibri"/>
        <family val="2"/>
        <scheme val="minor"/>
      </rPr>
      <t>Entrainement</t>
    </r>
    <r>
      <rPr>
        <sz val="10"/>
        <color theme="1"/>
        <rFont val="Calibri"/>
        <family val="2"/>
        <scheme val="minor"/>
      </rPr>
      <t xml:space="preserve">
Gestion des présences aux entrainements</t>
    </r>
  </si>
  <si>
    <r>
      <rPr>
        <b/>
        <sz val="10"/>
        <color theme="1"/>
        <rFont val="Calibri"/>
        <family val="2"/>
        <scheme val="minor"/>
      </rPr>
      <t>Forme</t>
    </r>
    <r>
      <rPr>
        <sz val="10"/>
        <color theme="1"/>
        <rFont val="Calibri"/>
        <family val="2"/>
        <scheme val="minor"/>
      </rPr>
      <t xml:space="preserve">
Il permet de gerer la forme des joueurs sur chaque seance d'entraienement en saisissant un indice compris entre 0 et 10</t>
    </r>
  </si>
  <si>
    <r>
      <rPr>
        <b/>
        <sz val="10"/>
        <color theme="1"/>
        <rFont val="Calibri"/>
        <family val="2"/>
        <scheme val="minor"/>
      </rPr>
      <t>Plaisir</t>
    </r>
    <r>
      <rPr>
        <sz val="10"/>
        <color theme="1"/>
        <rFont val="Calibri"/>
        <family val="2"/>
        <scheme val="minor"/>
      </rPr>
      <t xml:space="preserve">
Il permet de saisir un indice de plaisir pour chaque seance d'entraienement. Elles sont évaluées par une notre comprise entre  en 0 et 10</t>
    </r>
  </si>
  <si>
    <r>
      <rPr>
        <b/>
        <sz val="10"/>
        <color theme="1"/>
        <rFont val="Calibri"/>
        <family val="2"/>
        <scheme val="minor"/>
      </rPr>
      <t>Performance</t>
    </r>
    <r>
      <rPr>
        <sz val="10"/>
        <color theme="1"/>
        <rFont val="Calibri"/>
        <family val="2"/>
        <scheme val="minor"/>
      </rPr>
      <t xml:space="preserve">
Il permet de saisir un indice de performance pour chaque seance d'entraienement. La performance est évalué par une notre comprise entre  en 0 et 10</t>
    </r>
  </si>
  <si>
    <r>
      <rPr>
        <b/>
        <sz val="10"/>
        <color theme="1"/>
        <rFont val="Calibri"/>
        <family val="2"/>
        <scheme val="minor"/>
      </rPr>
      <t>RPE</t>
    </r>
    <r>
      <rPr>
        <sz val="10"/>
        <color theme="1"/>
        <rFont val="Calibri"/>
        <family val="2"/>
        <scheme val="minor"/>
      </rPr>
      <t xml:space="preserve">
Il permet de saisir un indice de charge pour chaque seance d'entraienement. La difficulté ressenti de la seance par une notre comprise entre  en 0 et 10</t>
    </r>
  </si>
  <si>
    <r>
      <rPr>
        <b/>
        <sz val="10"/>
        <color theme="1"/>
        <rFont val="Calibri (Corps)"/>
      </rPr>
      <t>Bilan mental</t>
    </r>
    <r>
      <rPr>
        <sz val="10"/>
        <color theme="1"/>
        <rFont val="Calibri (Corps)"/>
      </rPr>
      <t xml:space="preserve">
En fonction des 4 notes sur 10 des onglets ci-dessus, cette onglet réalise un bilan mental de votre seance d'entraienement </t>
    </r>
  </si>
  <si>
    <t>Charge Moyenne</t>
  </si>
  <si>
    <t>Contrôle des charges</t>
  </si>
  <si>
    <r>
      <rPr>
        <b/>
        <sz val="10"/>
        <color theme="1"/>
        <rFont val="Calibri"/>
        <family val="2"/>
        <scheme val="minor"/>
      </rPr>
      <t>Contrôle des charges</t>
    </r>
    <r>
      <rPr>
        <sz val="10"/>
        <color theme="1"/>
        <rFont val="Calibri"/>
        <family val="2"/>
        <scheme val="minor"/>
      </rPr>
      <t xml:space="preserve">
En fonction de la durée de votre seance et de la note RPE, cette onglet calcule la charge de travail par seance d'entrainement ainsi que la charge lors des matchs</t>
    </r>
  </si>
  <si>
    <t>Liste des mises à jour</t>
  </si>
  <si>
    <t>Version</t>
  </si>
  <si>
    <t>V1</t>
  </si>
  <si>
    <t>Lancement du fichier GESTION DES JOUEURS</t>
  </si>
  <si>
    <t>Jour</t>
  </si>
  <si>
    <t>UA</t>
  </si>
  <si>
    <t>LUNDI</t>
  </si>
  <si>
    <t>MARDI</t>
  </si>
  <si>
    <t>MERCREDI</t>
  </si>
  <si>
    <t>JEUDI</t>
  </si>
  <si>
    <t>VENDREDI</t>
  </si>
  <si>
    <t>SAMEDI</t>
  </si>
  <si>
    <t>DIMANCHE</t>
  </si>
  <si>
    <t>Semaine légére</t>
  </si>
  <si>
    <t>Semaine modérée</t>
  </si>
  <si>
    <t>Semaine élevée</t>
  </si>
  <si>
    <t>Semaine très élevée</t>
  </si>
  <si>
    <t>Nom</t>
  </si>
  <si>
    <t>Bilan des performances</t>
  </si>
  <si>
    <t>Buteurs</t>
  </si>
  <si>
    <t>Passeurs</t>
  </si>
  <si>
    <t>Passe</t>
  </si>
  <si>
    <t>T. jeu</t>
  </si>
  <si>
    <t>Les buteurs</t>
  </si>
  <si>
    <t>Les passeur</t>
  </si>
  <si>
    <t>Convocation par équipe</t>
  </si>
  <si>
    <t>Temps de jeu moyen</t>
  </si>
  <si>
    <t>T. jeu moyen</t>
  </si>
  <si>
    <t>Cartons</t>
  </si>
  <si>
    <t>Jaune</t>
  </si>
  <si>
    <t>Rouge</t>
  </si>
  <si>
    <t>Les cartons</t>
  </si>
  <si>
    <r>
      <rPr>
        <b/>
        <sz val="10"/>
        <color theme="1"/>
        <rFont val="Calibri (Corps)"/>
      </rPr>
      <t>Fiche collective</t>
    </r>
    <r>
      <rPr>
        <sz val="10"/>
        <color theme="1"/>
        <rFont val="Calibri (Corps)"/>
      </rPr>
      <t xml:space="preserve">
Visualiser les stats de votre équipe </t>
    </r>
    <r>
      <rPr>
        <i/>
        <sz val="10"/>
        <color theme="1"/>
        <rFont val="Calibri (Corps)"/>
      </rPr>
      <t>(meilleur buteur, meilleur passeur, temps de jeu par joueur, cartons…)</t>
    </r>
  </si>
  <si>
    <r>
      <rPr>
        <b/>
        <sz val="10"/>
        <color theme="1"/>
        <rFont val="Calibri (Corps)"/>
      </rPr>
      <t>Fiche joueur</t>
    </r>
    <r>
      <rPr>
        <sz val="10"/>
        <color theme="1"/>
        <rFont val="Calibri (Corps)"/>
      </rPr>
      <t xml:space="preserve">
Visualiser toutes les informations sur les joueurs de votre effectif </t>
    </r>
  </si>
  <si>
    <r>
      <rPr>
        <b/>
        <sz val="10"/>
        <color theme="1"/>
        <rFont val="Calibri (Corps)"/>
      </rPr>
      <t>Match</t>
    </r>
    <r>
      <rPr>
        <sz val="10"/>
        <color theme="1"/>
        <rFont val="Calibri (Corps)"/>
      </rPr>
      <t xml:space="preserve">
Saisir toutes les données sur les matchs jouer dans la saison</t>
    </r>
  </si>
  <si>
    <r>
      <rPr>
        <b/>
        <sz val="10"/>
        <color theme="1"/>
        <rFont val="Calibri (Corps)"/>
      </rPr>
      <t>Base de données - Joueurs</t>
    </r>
    <r>
      <rPr>
        <sz val="10"/>
        <color theme="1"/>
        <rFont val="Calibri (Corps)"/>
      </rPr>
      <t xml:space="preserve">
Entrer les joueurs de votre effectif </t>
    </r>
  </si>
  <si>
    <r>
      <rPr>
        <b/>
        <sz val="10"/>
        <color theme="1"/>
        <rFont val="Calibri (Corps)"/>
      </rPr>
      <t>Paramétres</t>
    </r>
    <r>
      <rPr>
        <sz val="10"/>
        <color theme="1"/>
        <rFont val="Calibri (Corps)"/>
      </rPr>
      <t xml:space="preserve">
Donner permettrant de parameter le fichier</t>
    </r>
  </si>
  <si>
    <t>V1.01</t>
  </si>
  <si>
    <r>
      <rPr>
        <b/>
        <sz val="10"/>
        <color theme="1"/>
        <rFont val="Calibri"/>
        <family val="2"/>
        <scheme val="minor"/>
      </rPr>
      <t>Onglet entrainement</t>
    </r>
    <r>
      <rPr>
        <sz val="10"/>
        <color theme="1"/>
        <rFont val="Calibri"/>
        <family val="2"/>
        <scheme val="minor"/>
      </rPr>
      <t xml:space="preserve">
Correction du calcul des totaux</t>
    </r>
  </si>
  <si>
    <t>.</t>
  </si>
  <si>
    <t>V1.02</t>
  </si>
  <si>
    <r>
      <rPr>
        <b/>
        <sz val="10"/>
        <color theme="1"/>
        <rFont val="Calibri"/>
        <family val="2"/>
        <scheme val="minor"/>
      </rPr>
      <t>Onglet Fiche pointage</t>
    </r>
    <r>
      <rPr>
        <sz val="10"/>
        <color theme="1"/>
        <rFont val="Calibri"/>
        <family val="2"/>
        <scheme val="minor"/>
      </rPr>
      <t xml:space="preserve">
Ajout d'une fiche de pointage. Elle permet au coach d'imprimer une fiche avec les noms qui sont dans la base de donnée des joueurs. </t>
    </r>
  </si>
  <si>
    <t>VMA</t>
  </si>
  <si>
    <t>V1.03</t>
  </si>
  <si>
    <r>
      <rPr>
        <b/>
        <sz val="10"/>
        <color theme="1"/>
        <rFont val="Calibri"/>
        <family val="2"/>
        <scheme val="minor"/>
      </rPr>
      <t>Onglet Base de donnée et Fiche pointage</t>
    </r>
    <r>
      <rPr>
        <sz val="10"/>
        <color theme="1"/>
        <rFont val="Calibri"/>
        <family val="2"/>
        <scheme val="minor"/>
      </rPr>
      <t xml:space="preserve">
Ajout de la VMA du joueur </t>
    </r>
  </si>
  <si>
    <t>Bilan</t>
  </si>
  <si>
    <t>Comment apprenez-vous ?</t>
  </si>
  <si>
    <t>Auditif</t>
  </si>
  <si>
    <t>Kinesthesique</t>
  </si>
  <si>
    <t>Visuel</t>
  </si>
  <si>
    <t>VAK</t>
  </si>
  <si>
    <t>Présence aux entrainement</t>
  </si>
  <si>
    <t>Abs excusée</t>
  </si>
  <si>
    <t>Présence aux entrainements</t>
  </si>
  <si>
    <t>Suivi du poid et de la taille</t>
  </si>
  <si>
    <t>Plus grand</t>
  </si>
  <si>
    <t>Plus petit</t>
  </si>
  <si>
    <t>Maigreur</t>
  </si>
  <si>
    <t>Normal</t>
  </si>
  <si>
    <t>Bonne forme</t>
  </si>
  <si>
    <t>Surcharge</t>
  </si>
  <si>
    <t>Obésité</t>
  </si>
  <si>
    <t>IMC -</t>
  </si>
  <si>
    <t>IMC +</t>
  </si>
  <si>
    <t>Maigueur</t>
  </si>
  <si>
    <t>Taille / Poid</t>
  </si>
  <si>
    <t>Vous apprenez mieux à l'aide d'images et avez en général plus de difficultés à mémoriser les cours dans lequel le professeur ne fait que parler. Une photo vue dans un livre, la paillasse de la salle de SVT sur laquelle vous avez réalisé une expérience, une formule mathématique écrite au tableau, des images de lieux ou de personnes auxquelles le sujet vous a fait penser. Voilà ce dont vous vous souvenez en premier quand vous essayez de vous remémorer un cours. Vous avez besoin de partir d'exemples concrets pour retenir une information plus générale. Mais cela ne veut pas dire que vous vous rappeliez facilement les détails : vous avez plutôt tendance à comprendre un sujet dans son ensemble et à aller tout de suite à l'essentiel. Vous avez parfois du mal à mettre de l'ordre dans vos idées et pouvez être un peu brouillon. Un tableau, un graphique, un schéma, ou encore les couleurs et la présentation d'un texte vous aident à y voir plus clair et à mieux mémoriser. L'expression orale peut représenter une certaine difficulté pour vous. Lorsque vous expliquez quelque chose, il vous est souvent plus facile d'avoir recours à une feuille et à un crayon pour illustrer vos propos.</t>
  </si>
  <si>
    <t>Auditf</t>
  </si>
  <si>
    <t>Contrairement aux visuels, pas besoin de dessins ni de graphiques, écouter vous suffit pour comprendre et vous concentrer. Les monologues d'un enseignants, les cours magistraux vous conviennent parfaitement à condition que le sujet vous à intéresse ! Ce dont vous vous souvenez d'abord : c'est de la voix de l'enseignant, d'un son, d'une musique, du récit d'une histoire. Il ne vous est pas forcément utile de prendre des notes, vous vous fiez facilement à votre mémoire. Vous êtes plutôt doué pour la communication verbale et êtes bon(ne) conteur(teuse). Pour apprendre, vous aimez vous raconter intérieurement les informations en changeant les mots ou en y mettant le ton. Lire à voix haute ou à voix basse vous aide à mieux comprendre. Vous avez besoin d'apprendre point par points dans le détail et dans l'ordre.et avez plus de mal à dégager les landes lignes de ce que vous avez appris.</t>
  </si>
  <si>
    <t>Vous associez fortement un ressenti à vos souvenirs que ce soit une sensation, une ambiance, une odeur, un geste... Vous avez davantage besoin que l'auditif et le visuel de comprendre le pourquoi des choses, de saisir leur origine et de l'appliquer concrètement. C'est en touchant, en associant des émotions que vous donnez du sens aux choses Vous préférer essayer par vous-même, quitte à faire des erreurs plutôt que d'écouter les instructions. Pour mémoriser et vous concentrerions avez besoin de marcher de long en large ou de mimer et le mouvement vous aide à évacuer vos émotions. Cela ne vous simplifie pas la tâche pour apprendre ! Car l'école accorde davantage de place à l'écriture et aux cours théoriques qu'aux démonstrations concrètes.</t>
  </si>
  <si>
    <t>VIFT</t>
  </si>
  <si>
    <t>Defaite</t>
  </si>
  <si>
    <t>Resultat</t>
  </si>
  <si>
    <t>Victoire</t>
  </si>
  <si>
    <t>Nul</t>
  </si>
  <si>
    <t>BP</t>
  </si>
  <si>
    <t>BC</t>
  </si>
  <si>
    <t>DIFF</t>
  </si>
  <si>
    <t>Groupe</t>
  </si>
  <si>
    <t>Concentration</t>
  </si>
  <si>
    <t>Bilan QPF</t>
  </si>
  <si>
    <t>Motivation</t>
  </si>
  <si>
    <t>Maitrise de soi</t>
  </si>
  <si>
    <t>Confiance en soi</t>
  </si>
  <si>
    <t>Intégration sociale</t>
  </si>
  <si>
    <t>Autonomie</t>
  </si>
  <si>
    <t>Accompagnement mental</t>
  </si>
  <si>
    <t>Nb joueur par séance</t>
  </si>
  <si>
    <t>Bilan match</t>
  </si>
  <si>
    <t>Nombre de joueur / Seance</t>
  </si>
  <si>
    <t>Suspendu</t>
  </si>
  <si>
    <t>Suivi des charges</t>
  </si>
  <si>
    <t>Charge d'entrainement par joueur</t>
  </si>
  <si>
    <t>N° ……......</t>
  </si>
  <si>
    <t>U16</t>
  </si>
  <si>
    <t>U17</t>
  </si>
  <si>
    <t>Reprise</t>
  </si>
  <si>
    <t>Auditif / Visuel</t>
  </si>
  <si>
    <t>Semaine</t>
  </si>
  <si>
    <t>C. Prévue</t>
  </si>
  <si>
    <t>Charge indivuelle</t>
  </si>
  <si>
    <t>Charge du groupe</t>
  </si>
  <si>
    <t>F. Objectifs</t>
  </si>
  <si>
    <t>X</t>
  </si>
  <si>
    <t>sdkhfdshfsd</t>
  </si>
  <si>
    <t>Equipe Sup.</t>
  </si>
  <si>
    <t>Non joué</t>
  </si>
  <si>
    <t xml:space="preserve">   RPE moyenne</t>
  </si>
  <si>
    <t>Bilan collectif</t>
  </si>
  <si>
    <t xml:space="preserve">   Nombre de match</t>
  </si>
  <si>
    <t xml:space="preserve">   Victoires</t>
  </si>
  <si>
    <t xml:space="preserve">   Nuls</t>
  </si>
  <si>
    <t xml:space="preserve">   Défaites</t>
  </si>
  <si>
    <t xml:space="preserve">   Buts concédés</t>
  </si>
  <si>
    <t xml:space="preserve">   Buts marqués</t>
  </si>
  <si>
    <t xml:space="preserve">  Différence de buts</t>
  </si>
  <si>
    <t xml:space="preserve">   Charge moyenne</t>
  </si>
  <si>
    <t xml:space="preserve">   Type</t>
  </si>
  <si>
    <t>T. Jeu</t>
  </si>
  <si>
    <t>Temps de jeu en U16</t>
  </si>
  <si>
    <t>Technique J.</t>
  </si>
  <si>
    <t>Technique C.</t>
  </si>
  <si>
    <t>Match J.</t>
  </si>
  <si>
    <t>Match C.</t>
  </si>
  <si>
    <t>Objectif I.</t>
  </si>
  <si>
    <t>Objectif C.</t>
  </si>
  <si>
    <t>Bilan C.</t>
  </si>
  <si>
    <t>Groupe le groupe vie bien et je ressens même une amélioration par rapport à la saison passée.</t>
  </si>
  <si>
    <t xml:space="preserve">Content de sa première partie de saison et de son temps de jeu. </t>
  </si>
  <si>
    <t>Etre plus décisif pour l'équipe. Marquer au moins une fois et faire au moins 3 passes décisives.</t>
  </si>
  <si>
    <t>Monter en U17 Nationaux</t>
  </si>
  <si>
    <t xml:space="preserve">Moyen </t>
  </si>
  <si>
    <t>LE GROUPE</t>
  </si>
  <si>
    <t>TECHNIQUE</t>
  </si>
  <si>
    <t>MATCH</t>
  </si>
  <si>
    <t>INDIVIDUEL</t>
  </si>
  <si>
    <t>COLLECTIF</t>
  </si>
  <si>
    <t>OBJECTIFS</t>
  </si>
  <si>
    <t>MOT DE L'EDUCATEUR</t>
  </si>
  <si>
    <t>Date de l'entretien</t>
  </si>
  <si>
    <t xml:space="preserve">   QUE VAIS-JE FAIRE POUR ATTEINDRE MES OBJECIFS ?</t>
  </si>
  <si>
    <t>1/ Progression sur le poste de défenseur notamment sur ma qualité défensive. 2/ Voudrait faire mieux offensivement en étant plus décisif (Passes dès. / buts)</t>
  </si>
  <si>
    <t>J'ai constaté une réel progression sur l'aspect technique défensive (Distance de marquage, fermeture d'intervalle…). Tu dois continuer ainsi. Ensuite, pour être plus décisif pour l'équipe, il faudra être plus juste sur les choix à effectuer en zone de finition (quand je passe, quand je centre et où je centre, quand je frappe...).</t>
  </si>
  <si>
    <t>Tu dois maintenir ton niveau d'exigence et ton sérieux pour conserver ton temps d'avance et si tu veux faire aussi bien en seconde partie de saison. Tu dois également prendre conscience que tu es un élément important du groupe c'est pourquoi, tu peux prendre la parole sur et hors terrain pour tirer le groupe vers le haut.</t>
  </si>
  <si>
    <t>Continuer de venir m'entraîner en étant toujours autant impliqué et concentré. Etre bien à l'écoute sur l'animation offensive pour progresser et faire les bons choix afin d'être décisif en match</t>
  </si>
  <si>
    <t xml:space="preserve">Ta bonne première partie de saison est la récompense du travail effectué. Continu d'être assidu et à l'écoute pour atteindre tes objectifs notamment sur l'aspect offensif de ton jeu.  </t>
  </si>
  <si>
    <t>Bonne ambiance dans le groupe. Le groupe vie bien comme la saison passée.</t>
  </si>
  <si>
    <t>Meilleure utilisation de mon pied faible. Je suis plus impliqué dans l'animation offensive et notamment dans les actions décisives de mon équipe (notamment 2 buts et 1 passe dès)</t>
  </si>
  <si>
    <t>Je constante un réel changement dans ton jeu, avec beaucoup plus implication et de prise risque. Elle est due à une prise de conscience de tes qualités (confiance en soi) et une meilleure utilisation de celle-ci (maitrise de soi). Malgré un déficit athlétique tu te bats sur chaque ballon pour aider l'équipe à le récupérer. Continu</t>
  </si>
  <si>
    <t xml:space="preserve">Moins de temps de jeu en debut de saison. </t>
  </si>
  <si>
    <t>Effectivement, tu avais moins de temps de jeu en tout début de saison mais, ton attitude à l'entrainement et tes prestations à chaque fois que j'ai fait appel à toi ton permis de regagner du temps de jeu et d'enchainer les derniers match comme titulaire. Tu sais ce qu'il te reste à faire.</t>
  </si>
  <si>
    <t>Améliorer ma finition (choix face au but) et mes choix de jeu (comment organiser le jeu de mon équipe)</t>
  </si>
  <si>
    <t>Jouer la montée en U17</t>
  </si>
  <si>
    <t xml:space="preserve">Etre plus à l'écoute et concentrer sur le travail de finition et des choix offensif durant les séances d'entraînements </t>
  </si>
  <si>
    <t xml:space="preserve">   POINT DE VUE DE L'EDUCATEUR</t>
  </si>
  <si>
    <t>Nous avons constaté une progression par rapport aux objectifs fixés en U15 grâce à ton implication et ton travail. Continu d'être sérieux, ne te décourage pas au premier échec (ex : je ne m'énerve pas ou ne me démotive pas après une passe ratée...). A partir de là si tu restes à l'écoute et impliqué pendant l'entrainement, tu ne pourras que progresser.</t>
  </si>
  <si>
    <t>Groupe homogéne qui vie bien comme la saison passée.</t>
  </si>
  <si>
    <t>N'a pas ressenti de progression durant la 1ère partie de saison.</t>
  </si>
  <si>
    <t xml:space="preserve">Gagner du temps en etant plus sérieux hors des terrains afin d'etre plus présent et plus régulier dans mes prestations.  </t>
  </si>
  <si>
    <t xml:space="preserve">Quand tu es present à l'entrainement ton invetissement est bon. Tu dois continuer de travailler pour amiélorer ta qualité de duel (anticipation, lecture du jeu) et les 1ère relances. 
A toi de faire le necessaire pour être présent le plus souvent possible à l'entrainement </t>
  </si>
  <si>
    <t xml:space="preserve">Finir dans les 3 premiers </t>
  </si>
  <si>
    <t>Etre plus souvent dans le groupe U16 et avoir plus de temps de jeu</t>
  </si>
  <si>
    <t>Etre plus serieux et faire plus à l'entrainement</t>
  </si>
  <si>
    <t xml:space="preserve">Il temps que tu prennes conciense que tu as des qualités et que tu nous les montres le plus réguliérement possible. Pour ca il faudra être très serieux hors du terrain, d'être determiner a t'imposer et de faire preuve de caractére pour bousculer la hierachie.  </t>
  </si>
  <si>
    <t xml:space="preserve">A chaque fois que l'on a fait appel a toi tu as toujours répondu présent. Les pestations ont été bonne maintenant a toi de continuer comme ca pour t'imposer. L'objectif doit d'être le plus régulier possible. Pour étre régulier, il faut etre capable de maintenir son niveau de concentration sur tout le match. </t>
  </si>
  <si>
    <t xml:space="preserve">Content de sa première partie de saison. Continuer a travailler en specifique. </t>
  </si>
  <si>
    <t xml:space="preserve">Garder le même temps de jeu en restant le gardien numéro 1. </t>
  </si>
  <si>
    <t xml:space="preserve">Tu dois prendre conscicen de l'importance du role c'est pourquoi tu dois être plus impliquer dans le "commandement" de la défense en donnant de la voix (c'est imporant pour toi comme pour tes défenseurs). </t>
  </si>
  <si>
    <t xml:space="preserve">La saison passé tu souhaité d'améliorer sur tes dégagements aujourd'hui on commence a voir qu'il y a une progression dans ce domaine. Tu dois continuer a travailler tes gammes dans les specifiques si tu veux continuer de progresser. Il est important de trouver des sources de motivation pour rentre la seance plus motivante. (Prendre le moins de but, gagner le matcht...) </t>
  </si>
  <si>
    <t xml:space="preserve">Prendre moins de but sur la phase retour que sur la phase aller. Reussir a prendre plus la parole </t>
  </si>
  <si>
    <t>Continuer de venir m'entraîner et m'impliquer plus dans les jeux et sitatuations. Me fixer des objectifs pour me motiver.</t>
  </si>
  <si>
    <t xml:space="preserve">Bonne première partie de saison. Il y a eu quelques buts encaissé sur des situations évitables, je pense par manque de concentration. Nous devons étre capable de travailler pour améliorer cela par le travail specifique mais également par une plus forte determiantion pour ne pas encaiser de but soit par tes interventions mais surtout par la direction que tu dois donner a ta défensence.  </t>
  </si>
  <si>
    <t>&lt;</t>
  </si>
  <si>
    <t>&gt;</t>
  </si>
  <si>
    <t>Eq. Sup.</t>
  </si>
  <si>
    <t>ADDA Matteo</t>
  </si>
  <si>
    <t>22 RUE DU GENERAL LECLERC</t>
  </si>
  <si>
    <t>Tel J.</t>
  </si>
  <si>
    <t>TEL P.</t>
  </si>
  <si>
    <t>06 95 96 69 40</t>
  </si>
  <si>
    <t>06 17 82 46 99</t>
  </si>
  <si>
    <t>Niveau</t>
  </si>
  <si>
    <t>Régional</t>
  </si>
  <si>
    <t>Vision</t>
  </si>
  <si>
    <t>Compétition / Jeu</t>
  </si>
  <si>
    <t>ALFONSO Joao</t>
  </si>
  <si>
    <t>BERDAH Matis</t>
  </si>
  <si>
    <t>07 69 94 11 60</t>
  </si>
  <si>
    <t>07 69 91 48 58</t>
  </si>
  <si>
    <t>Pro</t>
  </si>
  <si>
    <t>Compétition</t>
  </si>
  <si>
    <t>CAMARA Bandiougou</t>
  </si>
  <si>
    <t>5 AVENUE DE L'EUROPE</t>
  </si>
  <si>
    <t>07 62 94 73 69</t>
  </si>
  <si>
    <t>07 54 56 86 82</t>
  </si>
  <si>
    <t>CAMARA Moussa</t>
  </si>
  <si>
    <t>07 82 48 87 15</t>
  </si>
  <si>
    <t>AFC</t>
  </si>
  <si>
    <t>CARREAU Ethan</t>
  </si>
  <si>
    <t>2 SQUARE DU LT COLONEL BOISSAUD APT 101</t>
  </si>
  <si>
    <t>248 RUE DE BEAUVAIS</t>
  </si>
  <si>
    <t>CHEVRIERES</t>
  </si>
  <si>
    <t>06 28 73 19 33</t>
  </si>
  <si>
    <t>06 15 36 23 50</t>
  </si>
  <si>
    <t>CHEROD Alexis</t>
  </si>
  <si>
    <t>12 BIS RUE EDOUARD VAILLANT</t>
  </si>
  <si>
    <t>CREIL</t>
  </si>
  <si>
    <t>06 70 71 98 65</t>
  </si>
  <si>
    <t>DJEHICHE Ramzi</t>
  </si>
  <si>
    <t>5 SQUARE CT RAYNAL APT 999</t>
  </si>
  <si>
    <t>07 69 07 93 56</t>
  </si>
  <si>
    <t>06 95 45 31 18</t>
  </si>
  <si>
    <t>DOSIERE Baptiste</t>
  </si>
  <si>
    <t>68 IMPASSE DU CLOS DES RIEUX</t>
  </si>
  <si>
    <t>PONTPOINT</t>
  </si>
  <si>
    <t>06 41 97 27 55</t>
  </si>
  <si>
    <t>06 77 27 50 12</t>
  </si>
  <si>
    <t>National</t>
  </si>
  <si>
    <t>DUQUENOY Thomas</t>
  </si>
  <si>
    <t>KIPRE Jordan</t>
  </si>
  <si>
    <t>KONATE Mamadou</t>
  </si>
  <si>
    <t>1 RUE G BIZET APT 192</t>
  </si>
  <si>
    <t>06 68 13 04 67</t>
  </si>
  <si>
    <t>06 13 76 38 37</t>
  </si>
  <si>
    <t>LECOUFFE Hugo</t>
  </si>
  <si>
    <t>5 BIS RUE DE LA CROIX ST JACQUES</t>
  </si>
  <si>
    <t>MARGNY AUX CERISES</t>
  </si>
  <si>
    <t>Jeu</t>
  </si>
  <si>
    <t>618 RUE JEAN JAURES</t>
  </si>
  <si>
    <t>SAINTINES</t>
  </si>
  <si>
    <t>07 82 88 95 56</t>
  </si>
  <si>
    <t>06 51 25 30 35</t>
  </si>
  <si>
    <t>LEFRANC Nathan</t>
  </si>
  <si>
    <t>MASSOUSSI Elie</t>
  </si>
  <si>
    <t>17 RUE DU CLOS PAGE</t>
  </si>
  <si>
    <t>CHOISY AU BAC</t>
  </si>
  <si>
    <t>NGOUABI Yoann</t>
  </si>
  <si>
    <t>17 RUE SIEYES</t>
  </si>
  <si>
    <t>PONT STE MAXENCE</t>
  </si>
  <si>
    <t>06.18.05.21.87</t>
  </si>
  <si>
    <t>06 63 40 37 43</t>
  </si>
  <si>
    <t>07 69 99 09 37</t>
  </si>
  <si>
    <t>1ère AFC</t>
  </si>
  <si>
    <t>PLANET Mathis</t>
  </si>
  <si>
    <t>14 IMPASSE DU MOULIN</t>
  </si>
  <si>
    <t>LONGUEIL STE MARIE</t>
  </si>
  <si>
    <t>07 67 79 50 15</t>
  </si>
  <si>
    <t>06 63 81 57 44</t>
  </si>
  <si>
    <t>?</t>
  </si>
  <si>
    <t>PRONNIER Nicolas</t>
  </si>
  <si>
    <t>8 RUE DU FORT</t>
  </si>
  <si>
    <t>ACHERY</t>
  </si>
  <si>
    <t>06 50 62 99 53</t>
  </si>
  <si>
    <t>06 15 32 86 43</t>
  </si>
  <si>
    <t>STIOUET Reda</t>
  </si>
  <si>
    <t>14 RUE LEON BLUM</t>
  </si>
  <si>
    <t>02800</t>
  </si>
  <si>
    <t>VILLERS COTTERETS</t>
  </si>
  <si>
    <t>02600</t>
  </si>
  <si>
    <t>06 25 41 15 15</t>
  </si>
  <si>
    <t>06 10 12 67 02</t>
  </si>
  <si>
    <t>ZERDEB Said</t>
  </si>
  <si>
    <t>147 ALLEE DES TOURELLES</t>
  </si>
  <si>
    <t>BETHISY ST PIERRE</t>
  </si>
  <si>
    <t>07 54 57 33 55</t>
  </si>
  <si>
    <t>123 SQUARES DES CASTORS</t>
  </si>
  <si>
    <t>VENETTE</t>
  </si>
  <si>
    <t>Tel Joueur</t>
  </si>
  <si>
    <t>Tel Parent</t>
  </si>
  <si>
    <t>Kinesthesique / Visuel</t>
  </si>
  <si>
    <t>VMAEVAL</t>
  </si>
  <si>
    <t>OSSENI Farouk</t>
  </si>
  <si>
    <t>Ma semaine d'entrainement</t>
  </si>
  <si>
    <t>AFC - Choisy au Bac</t>
  </si>
  <si>
    <t>A Mercière</t>
  </si>
  <si>
    <t>Le Portel - AFC</t>
  </si>
  <si>
    <t>A Le Portel</t>
  </si>
  <si>
    <t>Août</t>
  </si>
  <si>
    <t>Septembre</t>
  </si>
  <si>
    <t>Octobre</t>
  </si>
  <si>
    <t>Novembre</t>
  </si>
  <si>
    <t>Décembre</t>
  </si>
  <si>
    <t>Janvier</t>
  </si>
  <si>
    <t>Février</t>
  </si>
  <si>
    <t>Mars</t>
  </si>
  <si>
    <t>Avril</t>
  </si>
  <si>
    <t>Mai</t>
  </si>
  <si>
    <t>06 45 50 95 23</t>
  </si>
  <si>
    <t>2 RUE DENIS PINPIN</t>
  </si>
  <si>
    <t>Beauvais - AFC</t>
  </si>
  <si>
    <t>A Beauvais</t>
  </si>
  <si>
    <t>06 81 61 09 39</t>
  </si>
  <si>
    <t>06 81 61 15 55</t>
  </si>
  <si>
    <t>100 RUE DE PARIS</t>
  </si>
  <si>
    <t>Section S.</t>
  </si>
  <si>
    <t>Suivi Victoire</t>
  </si>
  <si>
    <t>% Présence</t>
  </si>
  <si>
    <t>% Abs excusée</t>
  </si>
  <si>
    <t>% Abs non excusée</t>
  </si>
  <si>
    <t>Type</t>
  </si>
  <si>
    <t>% Presence</t>
  </si>
  <si>
    <t>% Absence non excusée</t>
  </si>
  <si>
    <t>% Absence excusée</t>
  </si>
  <si>
    <t>Aout</t>
  </si>
  <si>
    <t>Étiquettes de lignes</t>
  </si>
  <si>
    <t>Total général</t>
  </si>
  <si>
    <t>&lt;06/08/2018</t>
  </si>
  <si>
    <t>août</t>
  </si>
  <si>
    <t>sept</t>
  </si>
  <si>
    <t>Decembre</t>
  </si>
  <si>
    <t>Fevrier</t>
  </si>
  <si>
    <t>Juin</t>
  </si>
  <si>
    <t>Nb séance</t>
  </si>
  <si>
    <t>Debut</t>
  </si>
  <si>
    <t>Fin</t>
  </si>
  <si>
    <t>Saison</t>
  </si>
  <si>
    <t>Mois</t>
  </si>
  <si>
    <t>Bilan présences entrainement - Mensuel</t>
  </si>
  <si>
    <t>Bilan présences entrainement - Annuel</t>
  </si>
  <si>
    <r>
      <rPr>
        <b/>
        <sz val="22"/>
        <color theme="3" tint="0.249977111117893"/>
        <rFont val="Century Gothic (En-têtes)_x0000_"/>
      </rPr>
      <t>GESTION DES JOUEUR</t>
    </r>
    <r>
      <rPr>
        <b/>
        <sz val="22"/>
        <color theme="3" tint="0.249977111117893"/>
        <rFont val="Century Gothic"/>
        <family val="1"/>
        <scheme val="major"/>
      </rPr>
      <t>S</t>
    </r>
  </si>
  <si>
    <t>AFC - Cambrai</t>
  </si>
  <si>
    <t>A Cosyns</t>
  </si>
  <si>
    <t>TABLEAU DE BORD</t>
  </si>
  <si>
    <t>Séances entrainement</t>
  </si>
  <si>
    <t>Phase</t>
  </si>
  <si>
    <t>Sous-Principe</t>
  </si>
  <si>
    <t>Sous-Sous-Principe</t>
  </si>
  <si>
    <t>Athlétique</t>
  </si>
  <si>
    <t>Mental</t>
  </si>
  <si>
    <t>Nb joueur</t>
  </si>
  <si>
    <t>OFF</t>
  </si>
  <si>
    <t>DEF</t>
  </si>
  <si>
    <t>Principe</t>
  </si>
  <si>
    <t>Conserver pour Progresser</t>
  </si>
  <si>
    <t>Déséquilibrer le bloc adverse</t>
  </si>
  <si>
    <t>Finir l'action</t>
  </si>
  <si>
    <t>S'organiser pour récupérer</t>
  </si>
  <si>
    <t>Protéger son but</t>
  </si>
  <si>
    <t>P. Aérobie</t>
  </si>
  <si>
    <t>PMA</t>
  </si>
  <si>
    <t>Force</t>
  </si>
  <si>
    <t>Vitesse</t>
  </si>
  <si>
    <t>Force / Vitesse</t>
  </si>
  <si>
    <t>C. Aérobie</t>
  </si>
  <si>
    <t>Coordination</t>
  </si>
  <si>
    <t>Souplesse</t>
  </si>
  <si>
    <t>Renfocement M.</t>
  </si>
  <si>
    <t>Pack prévention</t>
  </si>
  <si>
    <t>Intégration social</t>
  </si>
  <si>
    <t>Transition à la récupération</t>
  </si>
  <si>
    <t>Transition à la perte</t>
  </si>
  <si>
    <t>Phase de jeu</t>
  </si>
  <si>
    <t>Conserver_pour_Progresser</t>
  </si>
  <si>
    <t>Déséquilibrer_le_bloc_adverse</t>
  </si>
  <si>
    <t>Transition_à_la_récupération</t>
  </si>
  <si>
    <t>S'organiser_pour_récupérer</t>
  </si>
  <si>
    <t>Protéger_son_but</t>
  </si>
  <si>
    <t>Transition_à_la_perte</t>
  </si>
  <si>
    <t>Créer_et_utiliser_des_espaces</t>
  </si>
  <si>
    <t>Jouer_dans_l'intervalle_et_entre_les_lignes</t>
  </si>
  <si>
    <t>Jeu_combiné_à_2,_à_3,_enchainer_les_actions</t>
  </si>
  <si>
    <t>Jouer_à_l’opposé_après_avoir_fixé_collectivement</t>
  </si>
  <si>
    <t>Jouer_en_profondeur_après_un_décalage</t>
  </si>
  <si>
    <t>Rechercher_un_joueur_lancé_en_profondeur_dans_le_dos_de_la_défense</t>
  </si>
  <si>
    <t>Jouer_combiné_pour_créer_un_surnombre</t>
  </si>
  <si>
    <t>Se_démarquer_pour_fixer_et_élimine_ou_prendre_de_la_vitesse</t>
  </si>
  <si>
    <t>Finir_l_action</t>
  </si>
  <si>
    <t>PARAMETRES GENERAUX</t>
  </si>
  <si>
    <t>NOMBRE DE SEANCE</t>
  </si>
  <si>
    <t xml:space="preserve">LE GROUPE </t>
  </si>
  <si>
    <t>NOMBRE DE JOUEUR</t>
  </si>
  <si>
    <t>REPARTITION PAR POSTE</t>
  </si>
  <si>
    <t>Milieu</t>
  </si>
  <si>
    <t>COTISATION</t>
  </si>
  <si>
    <t>Cotisation</t>
  </si>
  <si>
    <t>Payée</t>
  </si>
  <si>
    <t>Non payée</t>
  </si>
  <si>
    <t xml:space="preserve">Payée partiellement </t>
  </si>
  <si>
    <t>REPARTITION PAR AGE</t>
  </si>
  <si>
    <t>1er semestre</t>
  </si>
  <si>
    <t>2e semestre</t>
  </si>
  <si>
    <t>REPARTITION PAR PIED</t>
  </si>
  <si>
    <t>LES SEANCES</t>
  </si>
  <si>
    <t>T. EFFECTIF  / SEANCE</t>
  </si>
  <si>
    <t>PHASE DE JEU</t>
  </si>
  <si>
    <t>TYPE DE SEANCE</t>
  </si>
  <si>
    <t>REPARTITION DES PHASES DE JEU OFF</t>
  </si>
  <si>
    <t>REPARTITION DES PHASES DE JEU DEF</t>
  </si>
  <si>
    <t>S'opposer à la progression</t>
  </si>
  <si>
    <t>S'opposer_à_la_progression</t>
  </si>
  <si>
    <t>Se_démarquer_pour_fixer_et_éliminer,_passer_ou_finir</t>
  </si>
  <si>
    <t>S’ajuster_ou_se_réajuster_pour_finir</t>
  </si>
  <si>
    <t>Ambidextre</t>
  </si>
  <si>
    <t>Nb Seance</t>
  </si>
  <si>
    <t>Juillet</t>
  </si>
  <si>
    <t>Créer et utiliser des espaces</t>
  </si>
  <si>
    <t>Jouer dans l'intervalle et entre les lignes</t>
  </si>
  <si>
    <t>Jeu combiné à 2, à 3, enchainer les actions</t>
  </si>
  <si>
    <t>Jouer à l’opposé après avoir fixé collectivement</t>
  </si>
  <si>
    <t>Jouer en profondeur après un décalage</t>
  </si>
  <si>
    <t>Rechercher un joueur lancé en profondeur dans le dos de la défense</t>
  </si>
  <si>
    <t>Jouer combiné pour créer un surnombre</t>
  </si>
  <si>
    <t>Se démarquer pour fixer et élimine ou prendre de la vitesse</t>
  </si>
  <si>
    <t>Se démarquer pour fixer et éliminer, passer ou finir</t>
  </si>
  <si>
    <t>S’ajuster ou se réajuster pour finir</t>
  </si>
  <si>
    <t>PRINCIPES OFFENSIFS</t>
  </si>
  <si>
    <t>Freiner la progression et organiser la prise en charge</t>
  </si>
  <si>
    <t>Anticiper la profondeur quand le porteur n’est pas cadrer</t>
  </si>
  <si>
    <t>Protéger le CJD et organiser ou réorganiser les alignements</t>
  </si>
  <si>
    <t>S’organiser en déséquilibre</t>
  </si>
  <si>
    <t>Densifier et être actif dans le CJD</t>
  </si>
  <si>
    <t>Organiser la pression collective sur le temps de passe</t>
  </si>
  <si>
    <t>Couvrir son partenaire dans l’action défensive</t>
  </si>
  <si>
    <t>Défendre son but, récupérer ou dégager le ballon</t>
  </si>
  <si>
    <t>Anticiper, s’ajuster pour intervenir</t>
  </si>
  <si>
    <t>Freiner_la_progression_et_organiser_la_prise_en_charge</t>
  </si>
  <si>
    <t>S’organiser_en_déséquilibre</t>
  </si>
  <si>
    <t>Anticiper_la_profondeur_quand_le_porteur_n’est_pas_cadrer</t>
  </si>
  <si>
    <t>Densifier_et_être_actif_dans_le_CJD</t>
  </si>
  <si>
    <t>Protéger_le_CJD_et_organiser_ou_réorganiser_les_alignements</t>
  </si>
  <si>
    <t>Organiser_la_pression_collective_sur_le_temps_de_passe</t>
  </si>
  <si>
    <t>Couvrir_son_partenaire_dans_l’action_défensive</t>
  </si>
  <si>
    <t>Anticiper_s_ajuster_pour_intervenir</t>
  </si>
  <si>
    <t>Défendre_son_but_récupérer_ou_dégager_le_ballon</t>
  </si>
  <si>
    <t>S_opposer_à_la_progression</t>
  </si>
  <si>
    <t>S_organiser_pour_récupérer</t>
  </si>
  <si>
    <t>PRINCIPES DEFENSIFS</t>
  </si>
  <si>
    <t xml:space="preserve">S’organiser pour récupérer </t>
  </si>
  <si>
    <t>ATHLETIQUE</t>
  </si>
  <si>
    <t>MENTAL</t>
  </si>
  <si>
    <t>REPARTITION DES DOMINANTES</t>
  </si>
  <si>
    <t>NB JOUEURS / SEANCE</t>
  </si>
  <si>
    <t>PARAMETRES_DU_MODELE_DE_JEU</t>
  </si>
  <si>
    <t>Phase_de_jeu</t>
  </si>
  <si>
    <t>Sous_principe</t>
  </si>
  <si>
    <t>Conserver_pour_progresser</t>
  </si>
  <si>
    <t>Agrandir_l_espace_de_jeu</t>
  </si>
  <si>
    <t>Avancer_dans_l_espace_libre</t>
  </si>
  <si>
    <t>Recherche_d’un_joueur_libre</t>
  </si>
  <si>
    <t>C._Aérobie</t>
  </si>
  <si>
    <t>Force_/_Vitesse</t>
  </si>
  <si>
    <t>P._Aérobie</t>
  </si>
  <si>
    <t>Pack_prévention</t>
  </si>
  <si>
    <t>Renfocement_M.</t>
  </si>
  <si>
    <t>Confiance_en_soi</t>
  </si>
  <si>
    <t>Intégration_social</t>
  </si>
  <si>
    <t>Maitrise_de_soi</t>
  </si>
  <si>
    <t>Sortir_des_zones_de_pressions_et_rechercher_la_zone_libre</t>
  </si>
  <si>
    <t>Se_déplacer_pour_enchainer_vers_l_avant</t>
  </si>
  <si>
    <t>Eliminer_une_ligne_par_la_passe</t>
  </si>
  <si>
    <t>Respecter_les_distances_de_passe</t>
  </si>
  <si>
    <t>Coordonner_les_déplacements_pour_combiner_</t>
  </si>
  <si>
    <t>Fluidité_dans_la_circulation</t>
  </si>
  <si>
    <t>Avoir_des_déplacements_variées_et_coordonnées</t>
  </si>
  <si>
    <t>Jouer_dans_un_espace_libre_entre_les_deux_défenseurs</t>
  </si>
  <si>
    <t>Etablir_des_relations_à_2_ou_à_3_joueurs</t>
  </si>
  <si>
    <t>Faire_des_appels_dans_le_dos_de_la_défense</t>
  </si>
  <si>
    <t>Coordonnée_l_appel_et_la_passe</t>
  </si>
  <si>
    <t>Varier_les_solutions_offertes_au_porteur</t>
  </si>
  <si>
    <t>Reverser_le_jeu_à_l_opposé</t>
  </si>
  <si>
    <t>Apporter_la_supériorité_num._dans_une_zone</t>
  </si>
  <si>
    <t>Masquer_ses_intentions</t>
  </si>
  <si>
    <t>Coordonner_libération_d_espace_et_appels_dans_le_dos</t>
  </si>
  <si>
    <t>Respecter_les_distances_de_passe_en_largueur_et_profondeur</t>
  </si>
  <si>
    <t>Occuper_la_largeur_et_la_profondeur</t>
  </si>
  <si>
    <t>Structurer_l_équipe_sur_la_largueur</t>
  </si>
  <si>
    <t>Coordonner_les_déplacements_pour_combiner</t>
  </si>
  <si>
    <t>Coordonner_la_dernière_passe_et_les_déplacements_devant_le_but</t>
  </si>
  <si>
    <t>Qualité_de_la_relation_denier_passeur_/_finisseur</t>
  </si>
  <si>
    <t>Coordonner_les_déplacement_du_duo_dans_l_axe_et_sur_le_centre</t>
  </si>
  <si>
    <t>Accompagner_l_action_jusqu’à_son_terme</t>
  </si>
  <si>
    <t>Qualité_et_vitesse_du_geste_technique_approprié</t>
  </si>
  <si>
    <t>Harceler_pour_empêcher_l_adversaire_de_s_organiser</t>
  </si>
  <si>
    <t>Coordonner_le_cadrage_couverture</t>
  </si>
  <si>
    <t>Coordonner_les_déplacements_et_protéger_en_priorité_le_CDJ</t>
  </si>
  <si>
    <t>Créer_une_densité_autour_du_porteur</t>
  </si>
  <si>
    <t>Protéger_prioritairement_le_couloir_de_jeu_direct</t>
  </si>
  <si>
    <t>Se_replacer_pour_reformer_le_bloc_équipe</t>
  </si>
  <si>
    <t>Défendre_en_avançant</t>
  </si>
  <si>
    <t>Assurer_la_complémentarité_entre_les_défenseurs_et_le_GB</t>
  </si>
  <si>
    <t>Retarder_l_attaque_ou_orienter_sur_un_côté</t>
  </si>
  <si>
    <t>Ralentir_l’action_adverse</t>
  </si>
  <si>
    <t>Créer_de_la_densité_autour_du_ballon</t>
  </si>
  <si>
    <t>Se_déplacer_sur_le_temps_de_passe</t>
  </si>
  <si>
    <t>Assurer_par_binôme_un_cadrage_couverture</t>
  </si>
  <si>
    <t>Discerner_les_moments_pour_défendre_et_les_moments_de_repli</t>
  </si>
  <si>
    <t>Rester_liés_les_uns_aux_autres_le_plus_longtemps_possible</t>
  </si>
  <si>
    <t>Cadrer_le_porteur_sans_relâcher_la_pression</t>
  </si>
  <si>
    <t>Se_replacer_sous_le_ballon_pour_reformer_des_lignes</t>
  </si>
  <si>
    <t>Synchroniser_les_déplacements_pour_protéger_le_CDJ</t>
  </si>
  <si>
    <t>Prendre_en_compte_les_info._pertinentes_pour_intervenir</t>
  </si>
  <si>
    <t>Utiliser_les_prises_à_2</t>
  </si>
  <si>
    <t>Avoir_un_défenseur_entre_le_ballon_et_le_but</t>
  </si>
  <si>
    <t>Prendre_en_compte_l_action_possible_du_gardien_de_but.</t>
  </si>
  <si>
    <t>Retrouver_les_alignements_en_reformant_les_lignes.</t>
  </si>
  <si>
    <t>Synchroniser_les_déplacement_dans_la_surface_pour_marquer_l_adversaire</t>
  </si>
  <si>
    <t>Synchroniser_les_déplacements_pour_protéger_le_CDJ_et_contrôler_le_j._lancé.</t>
  </si>
  <si>
    <t>Respecter_les_postures_et_distances_d’intervention</t>
  </si>
  <si>
    <t>Seance du</t>
  </si>
  <si>
    <t>:</t>
  </si>
  <si>
    <t>P</t>
  </si>
  <si>
    <t>Gr</t>
  </si>
  <si>
    <t>FORME</t>
  </si>
  <si>
    <t>G</t>
  </si>
  <si>
    <t>Nb Victoire</t>
  </si>
  <si>
    <t>% Victoire</t>
  </si>
  <si>
    <t>Bilan victoires - Mensuel</t>
  </si>
  <si>
    <t>Château T. - AFC</t>
  </si>
  <si>
    <t>A Château</t>
  </si>
  <si>
    <t>C. Réel</t>
  </si>
  <si>
    <t>S - S-1</t>
  </si>
  <si>
    <t>Réel - Prévue</t>
  </si>
  <si>
    <t>% diff.</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</si>
</sst>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3">
    <numFmt numFmtId="164" formatCode="#,##0.00\ &quot;€&quot;_);[Red]\(#,##0.00\ &quot;€&quot;\)"/>
    <numFmt numFmtId="165" formatCode="0.0"/>
    <numFmt numFmtId="166" formatCode="#&quot; min&quot;"/>
  </numFmts>
  <fonts count="118">
    <font>
      <sz val="10"/>
      <color theme="1"/>
      <name val="Calibri"/>
      <family val="2"/>
      <scheme val="minor"/>
    </font>
    <font>
      <b/>
      <sz val="18"/>
      <color theme="1"/>
      <name val="Calibri"/>
      <family val="2"/>
      <scheme val="minor"/>
    </font>
    <font>
      <sz val="25.5"/>
      <color theme="1" tint="0.34998626667073579"/>
      <name val="Century Gothic"/>
      <family val="2"/>
      <scheme val="major"/>
    </font>
    <font>
      <sz val="9"/>
      <color theme="1"/>
      <name val="Century Gothic"/>
      <family val="2"/>
      <scheme val="major"/>
    </font>
    <font>
      <sz val="8"/>
      <color theme="1"/>
      <name val="Century Gothic"/>
      <family val="2"/>
      <scheme val="major"/>
    </font>
    <font>
      <b/>
      <sz val="10"/>
      <color theme="1"/>
      <name val="Century Gothic"/>
      <family val="2"/>
      <scheme val="major"/>
    </font>
    <font>
      <sz val="10"/>
      <color theme="1"/>
      <name val="Calibri"/>
      <family val="2"/>
      <scheme val="minor"/>
    </font>
    <font>
      <b/>
      <sz val="10"/>
      <color theme="1"/>
      <name val="Calibri"/>
      <family val="2"/>
      <scheme val="minor"/>
    </font>
    <font>
      <b/>
      <condense/>
      <extend/>
      <outline/>
      <shadow/>
      <sz val="8"/>
      <color theme="1"/>
      <name val="Century Gothic"/>
      <family val="2"/>
      <scheme val="major"/>
    </font>
    <font>
      <b/>
      <sz val="9"/>
      <color theme="1"/>
      <name val="Century Gothic"/>
      <family val="2"/>
      <scheme val="major"/>
    </font>
    <font>
      <b/>
      <outline/>
      <shadow/>
      <sz val="8"/>
      <color theme="1"/>
      <name val="Century Gothic"/>
      <family val="2"/>
      <scheme val="major"/>
    </font>
    <font>
      <strike/>
      <outline/>
      <shadow/>
      <sz val="8"/>
      <color theme="1"/>
      <name val="Century Gothic"/>
      <family val="2"/>
      <scheme val="major"/>
    </font>
    <font>
      <outline/>
      <shadow/>
      <sz val="9"/>
      <color theme="1"/>
      <name val="Century Gothic"/>
      <family val="2"/>
      <scheme val="major"/>
    </font>
    <font>
      <outline/>
      <shadow/>
      <sz val="8"/>
      <color theme="1"/>
      <name val="Century Gothic"/>
      <family val="2"/>
      <scheme val="major"/>
    </font>
    <font>
      <b/>
      <sz val="26"/>
      <color theme="1" tint="0.34998626667073579"/>
      <name val="Century Gothic"/>
      <family val="2"/>
      <scheme val="major"/>
    </font>
    <font>
      <sz val="14"/>
      <color theme="1" tint="0.34998626667073579"/>
      <name val="Century Gothic"/>
      <family val="2"/>
      <scheme val="major"/>
    </font>
    <font>
      <sz val="10"/>
      <color theme="1"/>
      <name val="Century Gothic"/>
      <family val="2"/>
      <scheme val="major"/>
    </font>
    <font>
      <sz val="26"/>
      <color theme="1"/>
      <name val="Century Gothic"/>
      <family val="2"/>
      <scheme val="major"/>
    </font>
    <font>
      <sz val="14"/>
      <color theme="1"/>
      <name val="Century Gothic"/>
      <family val="2"/>
      <scheme val="major"/>
    </font>
    <font>
      <b/>
      <sz val="14"/>
      <color theme="1" tint="0.34998626667073579"/>
      <name val="Century Gothic"/>
      <family val="2"/>
      <scheme val="major"/>
    </font>
    <font>
      <b/>
      <sz val="14"/>
      <color theme="1"/>
      <name val="Century Gothic"/>
      <family val="2"/>
      <scheme val="major"/>
    </font>
    <font>
      <sz val="8"/>
      <color theme="1"/>
      <name val="Century Gothic (En-têtes)"/>
    </font>
    <font>
      <sz val="10"/>
      <color theme="0"/>
      <name val="Calibri"/>
      <family val="2"/>
      <scheme val="minor"/>
    </font>
    <font>
      <b/>
      <sz val="8"/>
      <color theme="0"/>
      <name val="Century Gothic"/>
      <family val="2"/>
      <scheme val="major"/>
    </font>
    <font>
      <sz val="8"/>
      <name val="Calibri"/>
      <family val="2"/>
      <scheme val="minor"/>
    </font>
    <font>
      <b/>
      <sz val="18"/>
      <color theme="0"/>
      <name val="Century Gothic"/>
      <family val="2"/>
      <scheme val="major"/>
    </font>
    <font>
      <strike/>
      <outline/>
      <shadow/>
      <sz val="8"/>
      <color theme="0"/>
      <name val="Century Gothic"/>
      <family val="2"/>
      <scheme val="major"/>
    </font>
    <font>
      <strike/>
      <outline/>
      <shadow/>
      <sz val="1"/>
      <color theme="0" tint="-0.14999847407452621"/>
      <name val="Century Gothic"/>
      <family val="2"/>
      <scheme val="major"/>
    </font>
    <font>
      <b/>
      <sz val="14"/>
      <color theme="1" tint="0.249977111117893"/>
      <name val="Century Gothic"/>
      <family val="2"/>
      <scheme val="major"/>
    </font>
    <font>
      <b/>
      <sz val="26"/>
      <color theme="1"/>
      <name val="Century Gothic"/>
      <family val="2"/>
      <scheme val="major"/>
    </font>
    <font>
      <b/>
      <sz val="12"/>
      <color theme="0"/>
      <name val="Calibri"/>
      <family val="2"/>
      <scheme val="minor"/>
    </font>
    <font>
      <b/>
      <sz val="10"/>
      <color theme="0"/>
      <name val="Calibri"/>
      <family val="2"/>
      <scheme val="minor"/>
    </font>
    <font>
      <sz val="10"/>
      <name val="Calibri"/>
      <family val="2"/>
      <scheme val="minor"/>
    </font>
    <font>
      <b/>
      <sz val="20"/>
      <name val="Century Gothic"/>
      <family val="2"/>
      <scheme val="major"/>
    </font>
    <font>
      <b/>
      <i/>
      <sz val="8"/>
      <color theme="1"/>
      <name val="Century Gothic"/>
      <family val="2"/>
      <scheme val="major"/>
    </font>
    <font>
      <sz val="8"/>
      <color theme="0" tint="-0.14999847407452621"/>
      <name val="Century Gothic"/>
      <family val="2"/>
      <scheme val="major"/>
    </font>
    <font>
      <sz val="8"/>
      <color theme="0" tint="-0.249977111117893"/>
      <name val="Century Gothic"/>
      <family val="2"/>
      <scheme val="major"/>
    </font>
    <font>
      <outline/>
      <shadow/>
      <sz val="8"/>
      <color theme="0"/>
      <name val="Century Gothic"/>
      <family val="2"/>
      <scheme val="major"/>
    </font>
    <font>
      <sz val="12"/>
      <color theme="1"/>
      <name val="Century Gothic"/>
      <family val="2"/>
      <scheme val="major"/>
    </font>
    <font>
      <sz val="9"/>
      <color theme="0"/>
      <name val="Calibri"/>
      <family val="2"/>
      <scheme val="minor"/>
    </font>
    <font>
      <b/>
      <sz val="12"/>
      <name val="Calibri"/>
      <family val="2"/>
      <scheme val="minor"/>
    </font>
    <font>
      <b/>
      <sz val="12"/>
      <name val="Century Gothic"/>
      <family val="2"/>
      <scheme val="major"/>
    </font>
    <font>
      <b/>
      <i/>
      <sz val="12"/>
      <color theme="1"/>
      <name val="Century Gothic"/>
      <family val="2"/>
      <scheme val="major"/>
    </font>
    <font>
      <sz val="12"/>
      <name val="Calibri"/>
      <family val="2"/>
      <scheme val="minor"/>
    </font>
    <font>
      <b/>
      <sz val="12"/>
      <color theme="1"/>
      <name val="Century Gothic"/>
      <family val="2"/>
      <scheme val="major"/>
    </font>
    <font>
      <b/>
      <sz val="25.5"/>
      <color theme="1" tint="0.34998626667073579"/>
      <name val="Century Gothic"/>
      <family val="2"/>
      <scheme val="major"/>
    </font>
    <font>
      <sz val="9"/>
      <color theme="1"/>
      <name val="Calibri"/>
      <family val="2"/>
      <scheme val="minor"/>
    </font>
    <font>
      <sz val="10"/>
      <color theme="1"/>
      <name val="Calibri (Corps)"/>
    </font>
    <font>
      <b/>
      <sz val="10"/>
      <color theme="1"/>
      <name val="Calibri (Corps)"/>
    </font>
    <font>
      <sz val="1"/>
      <color theme="1"/>
      <name val="Century Gothic"/>
      <family val="2"/>
      <scheme val="major"/>
    </font>
    <font>
      <b/>
      <sz val="12"/>
      <color theme="0"/>
      <name val="Century Gothic"/>
      <family val="2"/>
      <scheme val="major"/>
    </font>
    <font>
      <u/>
      <sz val="10"/>
      <color theme="10"/>
      <name val="Calibri"/>
      <family val="2"/>
      <scheme val="minor"/>
    </font>
    <font>
      <b/>
      <sz val="12"/>
      <color theme="10"/>
      <name val="Century Gothic"/>
      <family val="2"/>
      <scheme val="major"/>
    </font>
    <font>
      <i/>
      <sz val="10"/>
      <color theme="1"/>
      <name val="Calibri (Corps)"/>
    </font>
    <font>
      <b/>
      <sz val="14"/>
      <color theme="1"/>
      <name val="Calibri"/>
      <family val="2"/>
      <scheme val="minor"/>
    </font>
    <font>
      <b/>
      <sz val="12"/>
      <color theme="1"/>
      <name val="Calibri"/>
      <family val="2"/>
      <scheme val="minor"/>
    </font>
    <font>
      <b/>
      <sz val="11"/>
      <color theme="1"/>
      <name val="Calibri"/>
      <family val="2"/>
      <scheme val="minor"/>
    </font>
    <font>
      <sz val="14"/>
      <color theme="1" tint="0.249977111117893"/>
      <name val="Century Gothic"/>
      <family val="2"/>
      <scheme val="major"/>
    </font>
    <font>
      <sz val="10"/>
      <color theme="1" tint="0.249977111117893"/>
      <name val="Century Gothic"/>
      <family val="2"/>
      <scheme val="major"/>
    </font>
    <font>
      <b/>
      <sz val="22"/>
      <color theme="1" tint="0.34998626667073579"/>
      <name val="Century Gothic"/>
      <family val="2"/>
      <scheme val="major"/>
    </font>
    <font>
      <b/>
      <sz val="14"/>
      <color theme="0"/>
      <name val="Calibri"/>
      <family val="2"/>
      <scheme val="minor"/>
    </font>
    <font>
      <b/>
      <sz val="14"/>
      <name val="Century Gothic"/>
      <family val="2"/>
      <scheme val="major"/>
    </font>
    <font>
      <b/>
      <sz val="16"/>
      <color theme="0"/>
      <name val="Century Gothic"/>
      <family val="2"/>
      <scheme val="major"/>
    </font>
    <font>
      <b/>
      <sz val="14"/>
      <color theme="0"/>
      <name val="Century Gothic"/>
      <family val="2"/>
      <scheme val="major"/>
    </font>
    <font>
      <b/>
      <sz val="22"/>
      <color theme="0"/>
      <name val="Century Gothic"/>
      <family val="2"/>
      <scheme val="major"/>
    </font>
    <font>
      <sz val="12"/>
      <color theme="1"/>
      <name val="Calibri"/>
      <family val="2"/>
      <scheme val="minor"/>
    </font>
    <font>
      <sz val="14"/>
      <color theme="1"/>
      <name val="Calibri"/>
      <family val="2"/>
      <scheme val="minor"/>
    </font>
    <font>
      <sz val="10"/>
      <color theme="1"/>
      <name val="Calibri"/>
      <family val="2"/>
      <scheme val="minor"/>
    </font>
    <font>
      <sz val="10"/>
      <color theme="0"/>
      <name val="Calibri"/>
      <family val="2"/>
      <scheme val="minor"/>
    </font>
    <font>
      <sz val="9"/>
      <color theme="0"/>
      <name val="Calibri"/>
      <family val="2"/>
      <scheme val="minor"/>
    </font>
    <font>
      <sz val="9"/>
      <color theme="1"/>
      <name val="Century Gothic"/>
      <family val="2"/>
      <scheme val="major"/>
    </font>
    <font>
      <sz val="8"/>
      <color theme="1"/>
      <name val="Century Gothic"/>
      <family val="2"/>
      <scheme val="major"/>
    </font>
    <font>
      <b/>
      <outline/>
      <shadow/>
      <sz val="9"/>
      <color theme="0"/>
      <name val="Century Gothic"/>
      <family val="2"/>
      <scheme val="major"/>
    </font>
    <font>
      <b/>
      <sz val="10"/>
      <color theme="0"/>
      <name val="Calibri"/>
      <family val="2"/>
      <scheme val="minor"/>
    </font>
    <font>
      <outline/>
      <shadow/>
      <sz val="8"/>
      <color theme="0"/>
      <name val="Century Gothic"/>
      <family val="2"/>
      <scheme val="major"/>
    </font>
    <font>
      <outline/>
      <shadow/>
      <sz val="8"/>
      <color theme="1"/>
      <name val="Century Gothic"/>
      <family val="2"/>
      <scheme val="major"/>
    </font>
    <font>
      <b/>
      <condense/>
      <extend/>
      <outline/>
      <shadow/>
      <sz val="8"/>
      <color theme="1"/>
      <name val="Century Gothic"/>
      <family val="2"/>
      <scheme val="major"/>
    </font>
    <font>
      <b/>
      <outline/>
      <shadow/>
      <sz val="8"/>
      <color theme="1"/>
      <name val="Century Gothic"/>
      <family val="2"/>
      <scheme val="major"/>
    </font>
    <font>
      <b/>
      <sz val="26"/>
      <color theme="1"/>
      <name val="Century Gothic"/>
      <family val="2"/>
      <scheme val="major"/>
    </font>
    <font>
      <sz val="10"/>
      <color theme="1"/>
      <name val="Calibri"/>
      <family val="2"/>
      <scheme val="minor"/>
    </font>
    <font>
      <b/>
      <sz val="10"/>
      <color theme="1"/>
      <name val="Century Gothic"/>
      <family val="2"/>
      <scheme val="major"/>
    </font>
    <font>
      <b/>
      <sz val="10"/>
      <color theme="1"/>
      <name val="Calibri"/>
      <family val="2"/>
      <scheme val="minor"/>
    </font>
    <font>
      <sz val="9"/>
      <color theme="1"/>
      <name val="Century Gothic"/>
      <family val="2"/>
      <scheme val="major"/>
    </font>
    <font>
      <outline/>
      <shadow/>
      <sz val="9"/>
      <color theme="1"/>
      <name val="Century Gothic"/>
      <family val="2"/>
      <scheme val="major"/>
    </font>
    <font>
      <sz val="8"/>
      <color theme="1"/>
      <name val="Century Gothic (En-têtes)"/>
    </font>
    <font>
      <outline/>
      <shadow/>
      <sz val="8"/>
      <color theme="1"/>
      <name val="Century Gothic"/>
      <family val="2"/>
      <scheme val="major"/>
    </font>
    <font>
      <b/>
      <outline/>
      <shadow/>
      <sz val="8"/>
      <color theme="1"/>
      <name val="Century Gothic"/>
      <family val="2"/>
      <scheme val="major"/>
    </font>
    <font>
      <b/>
      <condense/>
      <extend/>
      <outline/>
      <shadow/>
      <sz val="8"/>
      <color theme="1"/>
      <name val="Century Gothic"/>
      <family val="2"/>
      <scheme val="major"/>
    </font>
    <font>
      <b/>
      <sz val="18"/>
      <color theme="0"/>
      <name val="Century Gothic"/>
      <family val="2"/>
      <scheme val="major"/>
    </font>
    <font>
      <b/>
      <sz val="10"/>
      <color theme="0"/>
      <name val="Calibri"/>
      <family val="2"/>
      <scheme val="minor"/>
    </font>
    <font>
      <sz val="9"/>
      <color theme="1"/>
      <name val="Calibri"/>
      <family val="2"/>
      <scheme val="minor"/>
    </font>
    <font>
      <b/>
      <sz val="12"/>
      <color theme="0"/>
      <name val="Calibri"/>
      <family val="2"/>
      <scheme val="minor"/>
    </font>
    <font>
      <u/>
      <sz val="10"/>
      <color theme="11"/>
      <name val="Calibri"/>
      <family val="2"/>
      <scheme val="minor"/>
    </font>
    <font>
      <sz val="10"/>
      <color theme="1"/>
      <name val="Calibri"/>
      <family val="2"/>
      <scheme val="minor"/>
    </font>
    <font>
      <b/>
      <sz val="12"/>
      <color theme="1" tint="0.34998626667073579"/>
      <name val="Century Gothic"/>
      <family val="2"/>
      <scheme val="major"/>
    </font>
    <font>
      <sz val="10"/>
      <color theme="1" tint="0.34998626667073579"/>
      <name val="Century Gothic"/>
      <family val="2"/>
      <scheme val="major"/>
    </font>
    <font>
      <sz val="8"/>
      <color theme="1"/>
      <name val="Calibri"/>
      <family val="2"/>
      <scheme val="minor"/>
    </font>
    <font>
      <b/>
      <sz val="8"/>
      <color theme="1"/>
      <name val="Calibri"/>
      <family val="2"/>
      <scheme val="minor"/>
    </font>
    <font>
      <b/>
      <sz val="9"/>
      <color theme="0"/>
      <name val="Calibri"/>
      <family val="2"/>
      <scheme val="minor"/>
    </font>
    <font>
      <sz val="10"/>
      <color theme="1" tint="0.249977111117893"/>
      <name val="Calibri"/>
      <family val="2"/>
      <scheme val="minor"/>
    </font>
    <font>
      <sz val="1"/>
      <color theme="1" tint="0.34998626667073579"/>
      <name val="Century Gothic"/>
      <family val="2"/>
      <scheme val="major"/>
    </font>
    <font>
      <b/>
      <sz val="22"/>
      <color theme="3" tint="0.249977111117893"/>
      <name val="Century Gothic (En-têtes)_x0000_"/>
    </font>
    <font>
      <b/>
      <sz val="22"/>
      <color theme="3" tint="0.249977111117893"/>
      <name val="Century Gothic"/>
      <family val="1"/>
      <scheme val="major"/>
    </font>
    <font>
      <sz val="10"/>
      <color rgb="FF000000"/>
      <name val="Calibri"/>
      <family val="2"/>
    </font>
    <font>
      <sz val="12"/>
      <color rgb="FF000000"/>
      <name val="Calibri"/>
      <family val="2"/>
    </font>
    <font>
      <sz val="8"/>
      <color theme="1"/>
      <name val="Century Gothic"/>
      <family val="1"/>
      <scheme val="major"/>
    </font>
    <font>
      <sz val="11"/>
      <color theme="1"/>
      <name val="Century Gothic"/>
      <family val="2"/>
      <scheme val="major"/>
    </font>
    <font>
      <b/>
      <sz val="20"/>
      <color theme="3"/>
      <name val="Calibri"/>
      <family val="2"/>
      <scheme val="minor"/>
    </font>
    <font>
      <b/>
      <sz val="18"/>
      <color theme="4" tint="-0.499984740745262"/>
      <name val="Century Gothic"/>
      <family val="2"/>
      <scheme val="major"/>
    </font>
    <font>
      <sz val="10"/>
      <color theme="4" tint="-0.499984740745262"/>
      <name val="Calibri"/>
      <family val="2"/>
      <scheme val="minor"/>
    </font>
    <font>
      <b/>
      <sz val="20"/>
      <color theme="4" tint="-0.499984740745262"/>
      <name val="Calibri"/>
      <family val="2"/>
      <scheme val="minor"/>
    </font>
    <font>
      <b/>
      <sz val="18"/>
      <color rgb="FF0070C0"/>
      <name val="Century Gothic"/>
      <family val="2"/>
      <scheme val="major"/>
    </font>
    <font>
      <b/>
      <sz val="20"/>
      <color rgb="FF0070C0"/>
      <name val="Calibri"/>
      <family val="2"/>
      <scheme val="minor"/>
    </font>
    <font>
      <b/>
      <sz val="20"/>
      <color theme="3"/>
      <name val="Century Gothic"/>
      <family val="2"/>
      <scheme val="major"/>
    </font>
    <font>
      <b/>
      <sz val="22"/>
      <color theme="3" tint="0.34998626667073579"/>
      <name val="Century Gothic (En-têtes)_x0000_"/>
    </font>
    <font>
      <b/>
      <sz val="11"/>
      <color theme="0"/>
      <name val="Calibri"/>
      <family val="2"/>
      <scheme val="minor"/>
    </font>
    <font>
      <sz val="11"/>
      <color theme="0"/>
      <name val="Calibri"/>
      <family val="2"/>
      <scheme val="minor"/>
    </font>
    <font>
      <i/>
      <outline/>
      <shadow/>
      <sz val="8"/>
      <color theme="1"/>
      <name val="Century Gothic"/>
      <family val="2"/>
      <scheme val="major"/>
    </font>
  </fonts>
  <fills count="30">
    <fill>
      <patternFill patternType="none"/>
    </fill>
    <fill>
      <patternFill patternType="gray125"/>
    </fill>
    <fill>
      <patternFill patternType="solid">
        <fgColor theme="0" tint="-4.9989318521683403E-2"/>
        <bgColor indexed="64"/>
      </patternFill>
    </fill>
    <fill>
      <patternFill patternType="solid">
        <fgColor theme="1" tint="0.34998626667073579"/>
        <bgColor indexed="64"/>
      </patternFill>
    </fill>
    <fill>
      <patternFill patternType="solid">
        <fgColor theme="6"/>
        <bgColor indexed="64"/>
      </patternFill>
    </fill>
    <fill>
      <patternFill patternType="solid">
        <fgColor theme="5"/>
        <bgColor indexed="64"/>
      </patternFill>
    </fill>
    <fill>
      <patternFill patternType="solid">
        <fgColor theme="5" tint="0.39997558519241921"/>
        <bgColor indexed="64"/>
      </patternFill>
    </fill>
    <fill>
      <patternFill patternType="solid">
        <fgColor theme="6" tint="0.39997558519241921"/>
        <bgColor indexed="64"/>
      </patternFill>
    </fill>
    <fill>
      <patternFill patternType="solid">
        <fgColor theme="4"/>
        <bgColor indexed="64"/>
      </patternFill>
    </fill>
    <fill>
      <patternFill patternType="solid">
        <fgColor theme="4" tint="0.39997558519241921"/>
        <bgColor indexed="64"/>
      </patternFill>
    </fill>
    <fill>
      <patternFill patternType="solid">
        <fgColor theme="7" tint="-0.249977111117893"/>
        <bgColor indexed="64"/>
      </patternFill>
    </fill>
    <fill>
      <patternFill patternType="solid">
        <fgColor theme="7" tint="0.39997558519241921"/>
        <bgColor indexed="64"/>
      </patternFill>
    </fill>
    <fill>
      <patternFill patternType="solid">
        <fgColor theme="0" tint="-0.34998626667073579"/>
        <bgColor indexed="64"/>
      </patternFill>
    </fill>
    <fill>
      <patternFill patternType="solid">
        <fgColor theme="0" tint="-0.14999847407452621"/>
        <bgColor indexed="64"/>
      </patternFill>
    </fill>
    <fill>
      <patternFill patternType="solid">
        <fgColor theme="7"/>
        <bgColor indexed="64"/>
      </patternFill>
    </fill>
    <fill>
      <patternFill patternType="solid">
        <fgColor theme="9"/>
        <bgColor indexed="64"/>
      </patternFill>
    </fill>
    <fill>
      <patternFill patternType="solid">
        <fgColor rgb="FFFF0000"/>
        <bgColor indexed="64"/>
      </patternFill>
    </fill>
    <fill>
      <patternFill patternType="solid">
        <fgColor theme="9" tint="0.79998168889431442"/>
        <bgColor indexed="64"/>
      </patternFill>
    </fill>
    <fill>
      <patternFill patternType="solid">
        <fgColor theme="0" tint="-0.249977111117893"/>
        <bgColor indexed="64"/>
      </patternFill>
    </fill>
    <fill>
      <patternFill patternType="solid">
        <fgColor theme="0" tint="-0.14996795556505021"/>
        <bgColor indexed="64"/>
      </patternFill>
    </fill>
    <fill>
      <patternFill patternType="solid">
        <fgColor theme="3" tint="0.249977111117893"/>
        <bgColor indexed="64"/>
      </patternFill>
    </fill>
    <fill>
      <patternFill patternType="solid">
        <fgColor rgb="FFF9F9F9"/>
        <bgColor indexed="64"/>
      </patternFill>
    </fill>
    <fill>
      <patternFill patternType="solid">
        <fgColor theme="4" tint="0.79998168889431442"/>
        <bgColor indexed="64"/>
      </patternFill>
    </fill>
    <fill>
      <patternFill patternType="solid">
        <fgColor rgb="FF0070C0"/>
        <bgColor indexed="64"/>
      </patternFill>
    </fill>
    <fill>
      <patternFill patternType="solid">
        <fgColor theme="4" tint="0.59999389629810485"/>
        <bgColor indexed="64"/>
      </patternFill>
    </fill>
    <fill>
      <patternFill patternType="solid">
        <fgColor theme="3" tint="0.34998626667073579"/>
        <bgColor indexed="64"/>
      </patternFill>
    </fill>
    <fill>
      <patternFill patternType="solid">
        <fgColor theme="8"/>
        <bgColor indexed="64"/>
      </patternFill>
    </fill>
    <fill>
      <patternFill patternType="solid">
        <fgColor theme="4" tint="0.79998168889431442"/>
        <bgColor theme="0" tint="-0.14999847407452621"/>
      </patternFill>
    </fill>
    <fill>
      <patternFill patternType="solid">
        <fgColor rgb="FF002060"/>
        <bgColor indexed="64"/>
      </patternFill>
    </fill>
    <fill>
      <patternFill patternType="solid">
        <fgColor theme="0" tint="-0.499984740745262"/>
        <bgColor indexed="64"/>
      </patternFill>
    </fill>
  </fills>
  <borders count="97">
    <border>
      <left/>
      <right/>
      <top/>
      <bottom/>
      <diagonal/>
    </border>
    <border>
      <left/>
      <right/>
      <top style="thin">
        <color theme="1" tint="0.499984740745262"/>
      </top>
      <bottom style="thin">
        <color theme="0" tint="-0.14996795556505021"/>
      </bottom>
      <diagonal/>
    </border>
    <border>
      <left/>
      <right style="thin">
        <color theme="0" tint="-0.14996795556505021"/>
      </right>
      <top/>
      <bottom/>
      <diagonal/>
    </border>
    <border>
      <left style="thin">
        <color theme="0" tint="-0.14996795556505021"/>
      </left>
      <right style="thin">
        <color theme="0" tint="-0.14996795556505021"/>
      </right>
      <top/>
      <bottom/>
      <diagonal/>
    </border>
    <border>
      <left style="thin">
        <color theme="0" tint="-0.14996795556505021"/>
      </left>
      <right/>
      <top/>
      <bottom/>
      <diagonal/>
    </border>
    <border>
      <left style="thin">
        <color theme="0" tint="-0.14996795556505021"/>
      </left>
      <right style="thin">
        <color theme="0" tint="-0.14993743705557422"/>
      </right>
      <top/>
      <bottom/>
      <diagonal/>
    </border>
    <border>
      <left/>
      <right/>
      <top style="thin">
        <color theme="1" tint="0.499984740745262"/>
      </top>
      <bottom/>
      <diagonal/>
    </border>
    <border>
      <left/>
      <right/>
      <top style="thin">
        <color theme="0" tint="-0.14993743705557422"/>
      </top>
      <bottom/>
      <diagonal/>
    </border>
    <border>
      <left/>
      <right style="thin">
        <color theme="0" tint="-0.14996795556505021"/>
      </right>
      <top style="thin">
        <color theme="0" tint="-0.14993743705557422"/>
      </top>
      <bottom/>
      <diagonal/>
    </border>
    <border>
      <left style="thin">
        <color theme="0" tint="-0.14996795556505021"/>
      </left>
      <right style="thin">
        <color theme="0" tint="-0.14996795556505021"/>
      </right>
      <top style="thin">
        <color theme="0" tint="-0.14993743705557422"/>
      </top>
      <bottom/>
      <diagonal/>
    </border>
    <border>
      <left/>
      <right/>
      <top/>
      <bottom style="thin">
        <color theme="0" tint="-0.14993743705557422"/>
      </bottom>
      <diagonal/>
    </border>
    <border>
      <left/>
      <right style="thin">
        <color theme="0" tint="-0.14996795556505021"/>
      </right>
      <top/>
      <bottom style="thin">
        <color theme="0" tint="-0.14993743705557422"/>
      </bottom>
      <diagonal/>
    </border>
    <border>
      <left style="thin">
        <color theme="0" tint="-0.14996795556505021"/>
      </left>
      <right style="thin">
        <color theme="0" tint="-0.14996795556505021"/>
      </right>
      <top/>
      <bottom style="thin">
        <color theme="0" tint="-0.14993743705557422"/>
      </bottom>
      <diagonal/>
    </border>
    <border>
      <left/>
      <right/>
      <top style="thin">
        <color theme="1" tint="0.499984740745262"/>
      </top>
      <bottom style="thin">
        <color theme="0" tint="-0.14993743705557422"/>
      </bottom>
      <diagonal/>
    </border>
    <border>
      <left/>
      <right style="thin">
        <color theme="1" tint="0.249977111117893"/>
      </right>
      <top/>
      <bottom/>
      <diagonal/>
    </border>
    <border>
      <left style="thin">
        <color theme="1" tint="0.249977111117893"/>
      </left>
      <right style="thin">
        <color theme="1" tint="0.249977111117893"/>
      </right>
      <top/>
      <bottom/>
      <diagonal/>
    </border>
    <border>
      <left/>
      <right style="thin">
        <color theme="1" tint="0.249977111117893"/>
      </right>
      <top/>
      <bottom style="medium">
        <color theme="1" tint="0.249977111117893"/>
      </bottom>
      <diagonal/>
    </border>
    <border>
      <left style="thin">
        <color theme="1" tint="0.249977111117893"/>
      </left>
      <right style="thin">
        <color theme="1" tint="0.249977111117893"/>
      </right>
      <top/>
      <bottom style="medium">
        <color theme="1" tint="0.249977111117893"/>
      </bottom>
      <diagonal/>
    </border>
    <border>
      <left style="thin">
        <color theme="1" tint="0.249977111117893"/>
      </left>
      <right style="medium">
        <color theme="1" tint="0.249977111117893"/>
      </right>
      <top/>
      <bottom/>
      <diagonal/>
    </border>
    <border>
      <left style="thin">
        <color theme="1" tint="0.249977111117893"/>
      </left>
      <right style="medium">
        <color theme="1" tint="0.249977111117893"/>
      </right>
      <top/>
      <bottom style="medium">
        <color theme="1" tint="0.249977111117893"/>
      </bottom>
      <diagonal/>
    </border>
    <border>
      <left style="medium">
        <color theme="1" tint="0.249977111117893"/>
      </left>
      <right style="thin">
        <color theme="1" tint="0.249977111117893"/>
      </right>
      <top/>
      <bottom style="medium">
        <color theme="1" tint="0.249977111117893"/>
      </bottom>
      <diagonal/>
    </border>
    <border>
      <left/>
      <right style="medium">
        <color theme="1" tint="0.249977111117893"/>
      </right>
      <top/>
      <bottom style="medium">
        <color theme="1" tint="0.249977111117893"/>
      </bottom>
      <diagonal/>
    </border>
    <border>
      <left style="medium">
        <color theme="1" tint="0.249977111117893"/>
      </left>
      <right style="thin">
        <color theme="1" tint="0.249977111117893"/>
      </right>
      <top style="medium">
        <color theme="1" tint="0.249977111117893"/>
      </top>
      <bottom/>
      <diagonal/>
    </border>
    <border>
      <left style="thin">
        <color theme="1" tint="0.249977111117893"/>
      </left>
      <right style="thin">
        <color theme="1" tint="0.249977111117893"/>
      </right>
      <top style="medium">
        <color theme="1" tint="0.249977111117893"/>
      </top>
      <bottom/>
      <diagonal/>
    </border>
    <border>
      <left/>
      <right style="thin">
        <color theme="1" tint="0.249977111117893"/>
      </right>
      <top style="medium">
        <color theme="1" tint="0.249977111117893"/>
      </top>
      <bottom/>
      <diagonal/>
    </border>
    <border>
      <left style="thin">
        <color theme="1" tint="0.249977111117893"/>
      </left>
      <right style="medium">
        <color theme="1" tint="0.249977111117893"/>
      </right>
      <top style="medium">
        <color theme="1" tint="0.249977111117893"/>
      </top>
      <bottom/>
      <diagonal/>
    </border>
    <border>
      <left/>
      <right style="medium">
        <color theme="1" tint="0.249977111117893"/>
      </right>
      <top style="medium">
        <color theme="1" tint="0.249977111117893"/>
      </top>
      <bottom/>
      <diagonal/>
    </border>
    <border>
      <left style="medium">
        <color theme="1" tint="0.249977111117893"/>
      </left>
      <right style="thin">
        <color theme="1" tint="0.249977111117893"/>
      </right>
      <top/>
      <bottom/>
      <diagonal/>
    </border>
    <border>
      <left/>
      <right style="medium">
        <color theme="1" tint="0.249977111117893"/>
      </right>
      <top/>
      <bottom/>
      <diagonal/>
    </border>
    <border>
      <left style="medium">
        <color theme="0" tint="-0.24994659260841701"/>
      </left>
      <right style="thin">
        <color theme="0" tint="-0.24994659260841701"/>
      </right>
      <top style="medium">
        <color theme="1" tint="0.249977111117893"/>
      </top>
      <bottom/>
      <diagonal/>
    </border>
    <border>
      <left style="thin">
        <color theme="0" tint="-0.24994659260841701"/>
      </left>
      <right style="thin">
        <color theme="0" tint="-0.24994659260841701"/>
      </right>
      <top style="medium">
        <color theme="1" tint="0.249977111117893"/>
      </top>
      <bottom/>
      <diagonal/>
    </border>
    <border>
      <left style="thin">
        <color theme="0" tint="-0.24994659260841701"/>
      </left>
      <right style="medium">
        <color theme="0" tint="-0.24994659260841701"/>
      </right>
      <top style="medium">
        <color theme="1" tint="0.249977111117893"/>
      </top>
      <bottom/>
      <diagonal/>
    </border>
    <border>
      <left/>
      <right style="medium">
        <color theme="0" tint="-0.24994659260841701"/>
      </right>
      <top style="medium">
        <color theme="0" tint="-0.24994659260841701"/>
      </top>
      <bottom/>
      <diagonal/>
    </border>
    <border>
      <left/>
      <right style="thin">
        <color theme="0" tint="-0.14996795556505021"/>
      </right>
      <top style="thin">
        <color theme="0" tint="-0.14996795556505021"/>
      </top>
      <bottom/>
      <diagonal/>
    </border>
    <border>
      <left/>
      <right style="thin">
        <color theme="0" tint="-0.14999847407452621"/>
      </right>
      <top/>
      <bottom style="thin">
        <color theme="0" tint="-0.14996795556505021"/>
      </bottom>
      <diagonal/>
    </border>
    <border>
      <left style="thin">
        <color theme="0" tint="-0.14999847407452621"/>
      </left>
      <right style="thin">
        <color theme="0" tint="-0.14999847407452621"/>
      </right>
      <top/>
      <bottom style="thin">
        <color theme="0" tint="-0.14996795556505021"/>
      </bottom>
      <diagonal/>
    </border>
    <border>
      <left style="medium">
        <color theme="1" tint="0.249977111117893"/>
      </left>
      <right/>
      <top/>
      <bottom/>
      <diagonal/>
    </border>
    <border>
      <left style="medium">
        <color theme="1" tint="0.249977111117893"/>
      </left>
      <right style="thin">
        <color theme="1" tint="0.249977111117893"/>
      </right>
      <top style="thin">
        <color theme="1" tint="0.249977111117893"/>
      </top>
      <bottom/>
      <diagonal/>
    </border>
    <border>
      <left style="thin">
        <color theme="1" tint="0.249977111117893"/>
      </left>
      <right style="thin">
        <color theme="1" tint="0.249977111117893"/>
      </right>
      <top style="thin">
        <color theme="1" tint="0.249977111117893"/>
      </top>
      <bottom/>
      <diagonal/>
    </border>
    <border>
      <left style="thin">
        <color theme="1" tint="0.249977111117893"/>
      </left>
      <right style="medium">
        <color theme="1" tint="0.249977111117893"/>
      </right>
      <top style="thin">
        <color theme="1" tint="0.249977111117893"/>
      </top>
      <bottom/>
      <diagonal/>
    </border>
    <border>
      <left style="medium">
        <color theme="1" tint="0.249977111117893"/>
      </left>
      <right/>
      <top style="thin">
        <color theme="1" tint="0.249977111117893"/>
      </top>
      <bottom style="thin">
        <color theme="1" tint="0.249977111117893"/>
      </bottom>
      <diagonal/>
    </border>
    <border>
      <left/>
      <right/>
      <top style="thin">
        <color theme="1" tint="0.249977111117893"/>
      </top>
      <bottom style="thin">
        <color theme="1" tint="0.249977111117893"/>
      </bottom>
      <diagonal/>
    </border>
    <border>
      <left/>
      <right style="medium">
        <color theme="1" tint="0.249977111117893"/>
      </right>
      <top style="thin">
        <color theme="1" tint="0.249977111117893"/>
      </top>
      <bottom style="thin">
        <color theme="1" tint="0.249977111117893"/>
      </bottom>
      <diagonal/>
    </border>
    <border>
      <left style="medium">
        <color theme="1" tint="0.249977111117893"/>
      </left>
      <right/>
      <top style="medium">
        <color theme="1" tint="0.249977111117893"/>
      </top>
      <bottom/>
      <diagonal/>
    </border>
    <border>
      <left/>
      <right/>
      <top style="medium">
        <color theme="1" tint="0.249977111117893"/>
      </top>
      <bottom/>
      <diagonal/>
    </border>
    <border>
      <left style="medium">
        <color theme="1" tint="0.249977111117893"/>
      </left>
      <right/>
      <top/>
      <bottom style="thin">
        <color theme="1" tint="0.249977111117893"/>
      </bottom>
      <diagonal/>
    </border>
    <border>
      <left/>
      <right/>
      <top/>
      <bottom style="thin">
        <color theme="1" tint="0.249977111117893"/>
      </bottom>
      <diagonal/>
    </border>
    <border>
      <left/>
      <right style="medium">
        <color theme="1" tint="0.249977111117893"/>
      </right>
      <top/>
      <bottom style="thin">
        <color theme="1" tint="0.249977111117893"/>
      </bottom>
      <diagonal/>
    </border>
    <border>
      <left style="medium">
        <color theme="1" tint="0.24994659260841701"/>
      </left>
      <right style="medium">
        <color theme="1" tint="0.249977111117893"/>
      </right>
      <top style="medium">
        <color theme="1" tint="0.24994659260841701"/>
      </top>
      <bottom/>
      <diagonal/>
    </border>
    <border>
      <left style="medium">
        <color theme="1" tint="0.24994659260841701"/>
      </left>
      <right style="medium">
        <color theme="1" tint="0.249977111117893"/>
      </right>
      <top/>
      <bottom/>
      <diagonal/>
    </border>
    <border>
      <left style="medium">
        <color theme="1" tint="0.24994659260841701"/>
      </left>
      <right style="medium">
        <color theme="1" tint="0.249977111117893"/>
      </right>
      <top/>
      <bottom style="medium">
        <color theme="0" tint="-0.24994659260841701"/>
      </bottom>
      <diagonal/>
    </border>
    <border>
      <left/>
      <right style="thin">
        <color theme="1" tint="0.249977111117893"/>
      </right>
      <top style="thin">
        <color theme="1" tint="0.249977111117893"/>
      </top>
      <bottom/>
      <diagonal/>
    </border>
    <border>
      <left style="medium">
        <color auto="1"/>
      </left>
      <right/>
      <top style="medium">
        <color auto="1"/>
      </top>
      <bottom style="thin">
        <color auto="1"/>
      </bottom>
      <diagonal/>
    </border>
    <border>
      <left/>
      <right/>
      <top style="medium">
        <color auto="1"/>
      </top>
      <bottom style="thin">
        <color auto="1"/>
      </bottom>
      <diagonal/>
    </border>
    <border>
      <left/>
      <right style="medium">
        <color auto="1"/>
      </right>
      <top style="medium">
        <color auto="1"/>
      </top>
      <bottom style="thin">
        <color auto="1"/>
      </bottom>
      <diagonal/>
    </border>
    <border>
      <left style="medium">
        <color auto="1"/>
      </left>
      <right/>
      <top style="thin">
        <color auto="1"/>
      </top>
      <bottom style="medium">
        <color auto="1"/>
      </bottom>
      <diagonal/>
    </border>
    <border>
      <left/>
      <right/>
      <top style="thin">
        <color auto="1"/>
      </top>
      <bottom style="medium">
        <color auto="1"/>
      </bottom>
      <diagonal/>
    </border>
    <border>
      <left/>
      <right style="medium">
        <color auto="1"/>
      </right>
      <top style="thin">
        <color auto="1"/>
      </top>
      <bottom style="medium">
        <color auto="1"/>
      </bottom>
      <diagonal/>
    </border>
    <border>
      <left/>
      <right/>
      <top style="thin">
        <color auto="1"/>
      </top>
      <bottom/>
      <diagonal/>
    </border>
    <border>
      <left/>
      <right/>
      <top/>
      <bottom style="thin">
        <color auto="1"/>
      </bottom>
      <diagonal/>
    </border>
    <border>
      <left style="medium">
        <color auto="1"/>
      </left>
      <right/>
      <top style="thin">
        <color auto="1"/>
      </top>
      <bottom/>
      <diagonal/>
    </border>
    <border>
      <left/>
      <right style="medium">
        <color auto="1"/>
      </right>
      <top style="thin">
        <color auto="1"/>
      </top>
      <bottom/>
      <diagonal/>
    </border>
    <border>
      <left style="thin">
        <color auto="1"/>
      </left>
      <right style="thin">
        <color auto="1"/>
      </right>
      <top/>
      <bottom/>
      <diagonal/>
    </border>
    <border>
      <left style="thin">
        <color theme="0" tint="-0.24994659260841701"/>
      </left>
      <right/>
      <top style="medium">
        <color theme="1" tint="0.249977111117893"/>
      </top>
      <bottom/>
      <diagonal/>
    </border>
    <border>
      <left/>
      <right style="medium">
        <color theme="0" tint="-0.24994659260841701"/>
      </right>
      <top style="medium">
        <color theme="1" tint="0.249977111117893"/>
      </top>
      <bottom/>
      <diagonal/>
    </border>
    <border>
      <left style="medium">
        <color auto="1"/>
      </left>
      <right/>
      <top style="medium">
        <color auto="1"/>
      </top>
      <bottom/>
      <diagonal/>
    </border>
    <border>
      <left/>
      <right/>
      <top style="medium">
        <color auto="1"/>
      </top>
      <bottom/>
      <diagonal/>
    </border>
    <border>
      <left/>
      <right style="medium">
        <color auto="1"/>
      </right>
      <top style="medium">
        <color auto="1"/>
      </top>
      <bottom/>
      <diagonal/>
    </border>
    <border>
      <left style="medium">
        <color auto="1"/>
      </left>
      <right style="medium">
        <color auto="1"/>
      </right>
      <top style="medium">
        <color auto="1"/>
      </top>
      <bottom/>
      <diagonal/>
    </border>
    <border>
      <left style="medium">
        <color auto="1"/>
      </left>
      <right/>
      <top/>
      <bottom/>
      <diagonal/>
    </border>
    <border>
      <left/>
      <right style="medium">
        <color auto="1"/>
      </right>
      <top/>
      <bottom/>
      <diagonal/>
    </border>
    <border>
      <left style="medium">
        <color auto="1"/>
      </left>
      <right style="medium">
        <color auto="1"/>
      </right>
      <top/>
      <bottom/>
      <diagonal/>
    </border>
    <border>
      <left style="medium">
        <color auto="1"/>
      </left>
      <right/>
      <top/>
      <bottom style="medium">
        <color auto="1"/>
      </bottom>
      <diagonal/>
    </border>
    <border>
      <left/>
      <right style="medium">
        <color auto="1"/>
      </right>
      <top/>
      <bottom style="medium">
        <color auto="1"/>
      </bottom>
      <diagonal/>
    </border>
    <border>
      <left style="thin">
        <color auto="1"/>
      </left>
      <right style="thin">
        <color auto="1"/>
      </right>
      <top/>
      <bottom style="medium">
        <color auto="1"/>
      </bottom>
      <diagonal/>
    </border>
    <border>
      <left style="medium">
        <color auto="1"/>
      </left>
      <right style="medium">
        <color auto="1"/>
      </right>
      <top/>
      <bottom style="medium">
        <color auto="1"/>
      </bottom>
      <diagonal/>
    </border>
    <border>
      <left style="thin">
        <color auto="1"/>
      </left>
      <right style="thin">
        <color auto="1"/>
      </right>
      <top style="medium">
        <color auto="1"/>
      </top>
      <bottom/>
      <diagonal/>
    </border>
    <border>
      <left style="medium">
        <color auto="1"/>
      </left>
      <right style="thin">
        <color auto="1"/>
      </right>
      <top/>
      <bottom/>
      <diagonal/>
    </border>
    <border>
      <left style="medium">
        <color auto="1"/>
      </left>
      <right style="thin">
        <color auto="1"/>
      </right>
      <top/>
      <bottom style="medium">
        <color auto="1"/>
      </bottom>
      <diagonal/>
    </border>
    <border>
      <left/>
      <right style="thin">
        <color auto="1"/>
      </right>
      <top/>
      <bottom/>
      <diagonal/>
    </border>
    <border>
      <left/>
      <right style="thin">
        <color auto="1"/>
      </right>
      <top/>
      <bottom style="medium">
        <color auto="1"/>
      </bottom>
      <diagonal/>
    </border>
    <border>
      <left style="medium">
        <color auto="1"/>
      </left>
      <right style="thin">
        <color auto="1"/>
      </right>
      <top style="medium">
        <color auto="1"/>
      </top>
      <bottom/>
      <diagonal/>
    </border>
    <border>
      <left style="thin">
        <color auto="1"/>
      </left>
      <right style="medium">
        <color auto="1"/>
      </right>
      <top style="medium">
        <color auto="1"/>
      </top>
      <bottom/>
      <diagonal/>
    </border>
    <border>
      <left style="thin">
        <color auto="1"/>
      </left>
      <right style="medium">
        <color auto="1"/>
      </right>
      <top/>
      <bottom/>
      <diagonal/>
    </border>
    <border>
      <left style="thin">
        <color auto="1"/>
      </left>
      <right style="medium">
        <color auto="1"/>
      </right>
      <top/>
      <bottom style="medium">
        <color auto="1"/>
      </bottom>
      <diagonal/>
    </border>
    <border>
      <left/>
      <right style="thin">
        <color auto="1"/>
      </right>
      <top style="medium">
        <color auto="1"/>
      </top>
      <bottom/>
      <diagonal/>
    </border>
    <border>
      <left style="thin">
        <color theme="0" tint="-0.14996795556505021"/>
      </left>
      <right/>
      <top style="thin">
        <color theme="0" tint="-0.14993743705557422"/>
      </top>
      <bottom/>
      <diagonal/>
    </border>
    <border>
      <left style="thin">
        <color theme="0" tint="-0.14996795556505021"/>
      </left>
      <right/>
      <top/>
      <bottom style="thin">
        <color theme="0" tint="-0.14993743705557422"/>
      </bottom>
      <diagonal/>
    </border>
    <border>
      <left style="thin">
        <color theme="0" tint="-0.14996795556505021"/>
      </left>
      <right/>
      <top style="thin">
        <color theme="0" tint="-0.14996795556505021"/>
      </top>
      <bottom/>
      <diagonal/>
    </border>
    <border>
      <left/>
      <right style="thin">
        <color theme="0" tint="-4.9989318521683403E-2"/>
      </right>
      <top style="thin">
        <color theme="1" tint="0.499984740745262"/>
      </top>
      <bottom style="thin">
        <color theme="0" tint="-0.14993743705557422"/>
      </bottom>
      <diagonal/>
    </border>
    <border>
      <left/>
      <right/>
      <top style="thin">
        <color theme="1" tint="0.34998626667073579"/>
      </top>
      <bottom style="medium">
        <color theme="1" tint="0.34998626667073579"/>
      </bottom>
      <diagonal/>
    </border>
    <border>
      <left style="thin">
        <color theme="0" tint="-4.9989318521683403E-2"/>
      </left>
      <right style="thin">
        <color theme="0" tint="-4.9989318521683403E-2"/>
      </right>
      <top style="thin">
        <color theme="0" tint="-4.9989318521683403E-2"/>
      </top>
      <bottom style="thin">
        <color theme="0" tint="-4.9989318521683403E-2"/>
      </bottom>
      <diagonal/>
    </border>
    <border>
      <left style="thin">
        <color theme="0" tint="-4.9989318521683403E-2"/>
      </left>
      <right style="thin">
        <color theme="0" tint="-4.9989318521683403E-2"/>
      </right>
      <top/>
      <bottom style="thin">
        <color theme="0" tint="-4.9989318521683403E-2"/>
      </bottom>
      <diagonal/>
    </border>
    <border>
      <left style="thin">
        <color theme="0" tint="-4.9989318521683403E-2"/>
      </left>
      <right style="thin">
        <color theme="0" tint="-4.9989318521683403E-2"/>
      </right>
      <top style="thin">
        <color theme="0" tint="-4.9989318521683403E-2"/>
      </top>
      <bottom style="medium">
        <color theme="1" tint="0.34998626667073579"/>
      </bottom>
      <diagonal/>
    </border>
    <border>
      <left/>
      <right style="thin">
        <color theme="3"/>
      </right>
      <top/>
      <bottom/>
      <diagonal/>
    </border>
    <border>
      <left style="thin">
        <color rgb="FF002060"/>
      </left>
      <right style="thin">
        <color rgb="FF002060"/>
      </right>
      <top/>
      <bottom/>
      <diagonal/>
    </border>
    <border>
      <left style="thin">
        <color rgb="FF002060"/>
      </left>
      <right style="thin">
        <color theme="3"/>
      </right>
      <top/>
      <bottom/>
      <diagonal/>
    </border>
  </borders>
  <cellStyleXfs count="4">
    <xf numFmtId="0" fontId="0" fillId="0" borderId="0"/>
    <xf numFmtId="0" fontId="51" fillId="0" borderId="0" applyNumberFormat="0" applyFill="0" applyBorder="0" applyAlignment="0" applyProtection="0"/>
    <xf numFmtId="0" fontId="92" fillId="0" borderId="0" applyNumberFormat="0" applyFill="0" applyBorder="0" applyAlignment="0" applyProtection="0"/>
    <xf numFmtId="0" fontId="92" fillId="0" borderId="0" applyNumberFormat="0" applyFill="0" applyBorder="0" applyAlignment="0" applyProtection="0"/>
  </cellStyleXfs>
  <cellXfs count="669">
    <xf numFmtId="0" fontId="0" fillId="0" borderId="0" xfId="0"/>
    <xf numFmtId="0" fontId="1" fillId="0" borderId="0" xfId="0" applyFont="1"/>
    <xf numFmtId="0" fontId="2" fillId="0" borderId="0" xfId="0" applyFont="1"/>
    <xf numFmtId="0" fontId="3" fillId="0" borderId="0" xfId="0" applyFont="1" applyAlignment="1">
      <alignment horizontal="left" indent="1"/>
    </xf>
    <xf numFmtId="0" fontId="3" fillId="2" borderId="0" xfId="0" applyFont="1" applyFill="1" applyAlignment="1">
      <alignment horizontal="left" indent="1"/>
    </xf>
    <xf numFmtId="0" fontId="3" fillId="0" borderId="0" xfId="0" applyFont="1" applyFill="1" applyBorder="1" applyAlignment="1">
      <alignment horizontal="left" indent="1"/>
    </xf>
    <xf numFmtId="0" fontId="4" fillId="0" borderId="0" xfId="0" applyFont="1" applyFill="1" applyBorder="1" applyAlignment="1">
      <alignment horizontal="left" indent="1"/>
    </xf>
    <xf numFmtId="0" fontId="3" fillId="2" borderId="0" xfId="0" applyFont="1" applyFill="1" applyBorder="1" applyAlignment="1">
      <alignment horizontal="left" indent="1"/>
    </xf>
    <xf numFmtId="0" fontId="3" fillId="0" borderId="0" xfId="0" applyFont="1"/>
    <xf numFmtId="0" fontId="6" fillId="0" borderId="0" xfId="0" applyFont="1" applyAlignment="1">
      <alignment horizontal="right" vertical="top"/>
    </xf>
    <xf numFmtId="0" fontId="8" fillId="2" borderId="0" xfId="0" applyFont="1" applyFill="1" applyBorder="1" applyAlignment="1">
      <alignment horizontal="left" indent="1"/>
    </xf>
    <xf numFmtId="0" fontId="8" fillId="0" borderId="0" xfId="0" applyFont="1" applyFill="1" applyBorder="1" applyAlignment="1">
      <alignment horizontal="left" indent="1"/>
    </xf>
    <xf numFmtId="0" fontId="8" fillId="2" borderId="0" xfId="0" applyFont="1" applyFill="1" applyAlignment="1">
      <alignment horizontal="left" indent="1"/>
    </xf>
    <xf numFmtId="4" fontId="8" fillId="0" borderId="0" xfId="0" applyNumberFormat="1" applyFont="1" applyAlignment="1">
      <alignment horizontal="right" indent="1"/>
    </xf>
    <xf numFmtId="14" fontId="4" fillId="2" borderId="0" xfId="0" applyNumberFormat="1" applyFont="1" applyFill="1" applyBorder="1" applyAlignment="1">
      <alignment horizontal="left" indent="1"/>
    </xf>
    <xf numFmtId="0" fontId="9" fillId="0" borderId="1" xfId="0" applyFont="1" applyFill="1" applyBorder="1" applyAlignment="1">
      <alignment horizontal="left" indent="1"/>
    </xf>
    <xf numFmtId="0" fontId="10" fillId="0" borderId="0" xfId="0" applyFont="1"/>
    <xf numFmtId="0" fontId="12" fillId="0" borderId="0" xfId="0" applyFont="1" applyAlignment="1">
      <alignment horizontal="left" indent="1"/>
    </xf>
    <xf numFmtId="0" fontId="7" fillId="0" borderId="0" xfId="0" applyFont="1"/>
    <xf numFmtId="0" fontId="4" fillId="0" borderId="3" xfId="0" applyFont="1" applyFill="1" applyBorder="1" applyAlignment="1">
      <alignment horizontal="center"/>
    </xf>
    <xf numFmtId="4" fontId="8" fillId="0" borderId="0" xfId="0" applyNumberFormat="1" applyFont="1" applyFill="1" applyBorder="1" applyAlignment="1">
      <alignment horizontal="right" indent="1"/>
    </xf>
    <xf numFmtId="4" fontId="8" fillId="2" borderId="0" xfId="0" applyNumberFormat="1" applyFont="1" applyFill="1" applyBorder="1" applyAlignment="1">
      <alignment horizontal="center"/>
    </xf>
    <xf numFmtId="1" fontId="4" fillId="2" borderId="0" xfId="0" applyNumberFormat="1" applyFont="1" applyFill="1" applyBorder="1" applyAlignment="1">
      <alignment horizontal="center" vertical="center"/>
    </xf>
    <xf numFmtId="49" fontId="3" fillId="0" borderId="0" xfId="0" applyNumberFormat="1" applyFont="1" applyAlignment="1">
      <alignment horizontal="left" indent="1"/>
    </xf>
    <xf numFmtId="0" fontId="8" fillId="0" borderId="0" xfId="0" applyFont="1" applyAlignment="1">
      <alignment horizontal="right" indent="1"/>
    </xf>
    <xf numFmtId="0" fontId="0" fillId="0" borderId="0" xfId="0" applyAlignment="1">
      <alignment horizontal="center" vertical="center"/>
    </xf>
    <xf numFmtId="0" fontId="16" fillId="2" borderId="0" xfId="0" applyFont="1" applyFill="1" applyAlignment="1">
      <alignment vertical="center"/>
    </xf>
    <xf numFmtId="0" fontId="17" fillId="2" borderId="0" xfId="0" applyFont="1" applyFill="1" applyAlignment="1">
      <alignment horizontal="center" vertical="center"/>
    </xf>
    <xf numFmtId="0" fontId="0" fillId="0" borderId="0" xfId="0" applyBorder="1"/>
    <xf numFmtId="14" fontId="21" fillId="2" borderId="0" xfId="0" applyNumberFormat="1" applyFont="1" applyFill="1" applyBorder="1" applyAlignment="1">
      <alignment horizontal="left" indent="1"/>
    </xf>
    <xf numFmtId="0" fontId="22" fillId="3" borderId="0" xfId="0" applyFont="1" applyFill="1" applyAlignment="1">
      <alignment horizontal="center" vertical="center" wrapText="1"/>
    </xf>
    <xf numFmtId="0" fontId="8" fillId="0" borderId="0" xfId="0" applyFont="1" applyFill="1" applyAlignment="1">
      <alignment horizontal="left" indent="1"/>
    </xf>
    <xf numFmtId="4" fontId="8" fillId="0" borderId="0" xfId="0" applyNumberFormat="1" applyFont="1" applyFill="1" applyAlignment="1">
      <alignment horizontal="right" indent="1"/>
    </xf>
    <xf numFmtId="4" fontId="4" fillId="0" borderId="0" xfId="0" applyNumberFormat="1" applyFont="1" applyFill="1"/>
    <xf numFmtId="0" fontId="8" fillId="0" borderId="0" xfId="0" applyFont="1" applyFill="1" applyAlignment="1">
      <alignment horizontal="right" indent="1"/>
    </xf>
    <xf numFmtId="0" fontId="10" fillId="0" borderId="0" xfId="0" applyFont="1" applyFill="1"/>
    <xf numFmtId="0" fontId="9" fillId="2" borderId="1" xfId="0" applyFont="1" applyFill="1" applyBorder="1" applyAlignment="1">
      <alignment horizontal="left"/>
    </xf>
    <xf numFmtId="0" fontId="3" fillId="2" borderId="0" xfId="0" applyFont="1" applyFill="1" applyAlignment="1">
      <alignment horizontal="left"/>
    </xf>
    <xf numFmtId="49" fontId="3" fillId="2" borderId="0" xfId="0" applyNumberFormat="1" applyFont="1" applyFill="1" applyAlignment="1">
      <alignment horizontal="left" indent="1"/>
    </xf>
    <xf numFmtId="0" fontId="3" fillId="0" borderId="0" xfId="0" applyFont="1" applyFill="1" applyAlignment="1">
      <alignment horizontal="left" indent="1"/>
    </xf>
    <xf numFmtId="14" fontId="23" fillId="3" borderId="2" xfId="0" applyNumberFormat="1" applyFont="1" applyFill="1" applyBorder="1" applyAlignment="1">
      <alignment horizontal="left" vertical="center"/>
    </xf>
    <xf numFmtId="0" fontId="19" fillId="0" borderId="0" xfId="0" applyFont="1" applyFill="1" applyAlignment="1">
      <alignment vertical="center"/>
    </xf>
    <xf numFmtId="0" fontId="20" fillId="0" borderId="0" xfId="0" applyFont="1" applyFill="1" applyAlignment="1">
      <alignment horizontal="left" vertical="center"/>
    </xf>
    <xf numFmtId="0" fontId="16" fillId="0" borderId="0" xfId="0" applyFont="1" applyFill="1" applyAlignment="1">
      <alignment vertical="center"/>
    </xf>
    <xf numFmtId="0" fontId="0" fillId="0" borderId="0" xfId="0" applyAlignment="1">
      <alignment horizontal="center"/>
    </xf>
    <xf numFmtId="0" fontId="22" fillId="3" borderId="5" xfId="0" applyFont="1" applyFill="1" applyBorder="1" applyAlignment="1">
      <alignment horizontal="center" vertical="center"/>
    </xf>
    <xf numFmtId="2" fontId="26" fillId="3" borderId="0" xfId="0" applyNumberFormat="1" applyFont="1" applyFill="1" applyAlignment="1">
      <alignment horizontal="center"/>
    </xf>
    <xf numFmtId="0" fontId="12" fillId="2" borderId="0" xfId="0" applyFont="1" applyFill="1" applyAlignment="1">
      <alignment horizontal="left" indent="1"/>
    </xf>
    <xf numFmtId="0" fontId="11" fillId="3" borderId="0" xfId="0" applyFont="1" applyFill="1"/>
    <xf numFmtId="0" fontId="27" fillId="0" borderId="3" xfId="0" applyNumberFormat="1" applyFont="1" applyFill="1" applyBorder="1" applyAlignment="1">
      <alignment horizontal="center"/>
    </xf>
    <xf numFmtId="14" fontId="4" fillId="2" borderId="2" xfId="0" applyNumberFormat="1" applyFont="1" applyFill="1" applyBorder="1" applyAlignment="1">
      <alignment horizontal="left" indent="1"/>
    </xf>
    <xf numFmtId="2" fontId="4" fillId="0" borderId="3" xfId="0" applyNumberFormat="1" applyFont="1" applyFill="1" applyBorder="1" applyAlignment="1">
      <alignment horizontal="center"/>
    </xf>
    <xf numFmtId="0" fontId="9" fillId="0" borderId="6" xfId="0" applyFont="1" applyFill="1" applyBorder="1" applyAlignment="1">
      <alignment horizontal="left" indent="1"/>
    </xf>
    <xf numFmtId="2" fontId="4" fillId="0" borderId="9" xfId="0" applyNumberFormat="1" applyFont="1" applyFill="1" applyBorder="1" applyAlignment="1">
      <alignment horizontal="center"/>
    </xf>
    <xf numFmtId="0" fontId="29" fillId="0" borderId="0" xfId="0" applyFont="1" applyAlignment="1">
      <alignment vertical="center"/>
    </xf>
    <xf numFmtId="0" fontId="14" fillId="0" borderId="0" xfId="0" applyFont="1" applyAlignment="1">
      <alignment vertical="center"/>
    </xf>
    <xf numFmtId="0" fontId="0" fillId="0" borderId="0" xfId="0" applyFill="1" applyBorder="1"/>
    <xf numFmtId="0" fontId="22" fillId="0" borderId="0" xfId="0" applyFont="1" applyFill="1" applyBorder="1" applyAlignment="1">
      <alignment horizontal="center" vertical="center" wrapText="1"/>
    </xf>
    <xf numFmtId="0" fontId="3" fillId="2" borderId="0" xfId="0" applyFont="1" applyFill="1" applyBorder="1" applyAlignment="1">
      <alignment horizontal="left" vertical="center"/>
    </xf>
    <xf numFmtId="0" fontId="3" fillId="5" borderId="0" xfId="0" applyFont="1" applyFill="1" applyBorder="1" applyAlignment="1">
      <alignment horizontal="left" vertical="center"/>
    </xf>
    <xf numFmtId="4" fontId="8" fillId="5" borderId="0" xfId="0" applyNumberFormat="1" applyFont="1" applyFill="1" applyBorder="1" applyAlignment="1">
      <alignment horizontal="center"/>
    </xf>
    <xf numFmtId="0" fontId="3" fillId="4" borderId="0" xfId="0" applyFont="1" applyFill="1" applyBorder="1" applyAlignment="1">
      <alignment horizontal="left" vertical="center"/>
    </xf>
    <xf numFmtId="4" fontId="8" fillId="4" borderId="0" xfId="0" applyNumberFormat="1" applyFont="1" applyFill="1" applyBorder="1" applyAlignment="1">
      <alignment horizontal="center"/>
    </xf>
    <xf numFmtId="0" fontId="3" fillId="8" borderId="0" xfId="0" applyFont="1" applyFill="1" applyBorder="1" applyAlignment="1">
      <alignment horizontal="left" vertical="center"/>
    </xf>
    <xf numFmtId="4" fontId="8" fillId="8" borderId="0" xfId="0" applyNumberFormat="1" applyFont="1" applyFill="1" applyBorder="1" applyAlignment="1">
      <alignment horizontal="center"/>
    </xf>
    <xf numFmtId="4" fontId="8" fillId="10" borderId="0" xfId="0" applyNumberFormat="1" applyFont="1" applyFill="1" applyBorder="1" applyAlignment="1">
      <alignment horizontal="center"/>
    </xf>
    <xf numFmtId="0" fontId="12" fillId="10" borderId="0" xfId="0" applyFont="1" applyFill="1" applyAlignment="1">
      <alignment horizontal="left" vertical="center"/>
    </xf>
    <xf numFmtId="2" fontId="13" fillId="11" borderId="0" xfId="0" applyNumberFormat="1" applyFont="1" applyFill="1" applyAlignment="1">
      <alignment horizontal="center" vertical="center"/>
    </xf>
    <xf numFmtId="2" fontId="4" fillId="6" borderId="0" xfId="0" applyNumberFormat="1" applyFont="1" applyFill="1" applyBorder="1" applyAlignment="1">
      <alignment horizontal="center" vertical="center"/>
    </xf>
    <xf numFmtId="2" fontId="4" fillId="7" borderId="0" xfId="0" applyNumberFormat="1" applyFont="1" applyFill="1" applyBorder="1" applyAlignment="1">
      <alignment horizontal="center" vertical="center"/>
    </xf>
    <xf numFmtId="2" fontId="4" fillId="9" borderId="0" xfId="0" applyNumberFormat="1" applyFont="1" applyFill="1" applyBorder="1" applyAlignment="1">
      <alignment horizontal="center" vertical="center"/>
    </xf>
    <xf numFmtId="14" fontId="4" fillId="2" borderId="2" xfId="0" applyNumberFormat="1" applyFont="1" applyFill="1" applyBorder="1" applyAlignment="1">
      <alignment horizontal="left" indent="1"/>
    </xf>
    <xf numFmtId="0" fontId="29" fillId="0" borderId="0" xfId="0" applyFont="1"/>
    <xf numFmtId="0" fontId="0" fillId="0" borderId="0" xfId="0" applyFill="1"/>
    <xf numFmtId="0" fontId="31" fillId="12" borderId="16" xfId="0" applyNumberFormat="1" applyFont="1" applyFill="1" applyBorder="1" applyAlignment="1" applyProtection="1">
      <alignment horizontal="center" vertical="center" textRotation="90" wrapText="1"/>
      <protection locked="0"/>
    </xf>
    <xf numFmtId="0" fontId="31" fillId="12" borderId="20" xfId="0" applyNumberFormat="1" applyFont="1" applyFill="1" applyBorder="1" applyAlignment="1" applyProtection="1">
      <alignment horizontal="center" vertical="center" textRotation="90" wrapText="1"/>
      <protection locked="0"/>
    </xf>
    <xf numFmtId="0" fontId="31" fillId="3" borderId="29" xfId="0" applyFont="1" applyFill="1" applyBorder="1" applyAlignment="1">
      <alignment horizontal="center" vertical="center" wrapText="1"/>
    </xf>
    <xf numFmtId="0" fontId="31" fillId="3" borderId="30" xfId="0" applyFont="1" applyFill="1" applyBorder="1" applyAlignment="1">
      <alignment horizontal="center" vertical="center" wrapText="1"/>
    </xf>
    <xf numFmtId="0" fontId="31" fillId="3" borderId="31" xfId="0" applyFont="1" applyFill="1" applyBorder="1" applyAlignment="1">
      <alignment horizontal="center" vertical="center" wrapText="1"/>
    </xf>
    <xf numFmtId="0" fontId="30" fillId="3" borderId="32" xfId="0" applyFont="1" applyFill="1" applyBorder="1" applyAlignment="1">
      <alignment horizontal="center" vertical="center" wrapText="1"/>
    </xf>
    <xf numFmtId="0" fontId="34" fillId="0" borderId="13" xfId="0" applyFont="1" applyFill="1" applyBorder="1" applyAlignment="1">
      <alignment vertical="center"/>
    </xf>
    <xf numFmtId="1" fontId="4" fillId="0" borderId="3" xfId="0" applyNumberFormat="1" applyFont="1" applyFill="1" applyBorder="1" applyAlignment="1">
      <alignment horizontal="center"/>
    </xf>
    <xf numFmtId="1" fontId="4" fillId="0" borderId="9" xfId="0" applyNumberFormat="1" applyFont="1" applyFill="1" applyBorder="1" applyAlignment="1">
      <alignment horizontal="center" vertical="center"/>
    </xf>
    <xf numFmtId="9" fontId="36" fillId="0" borderId="9" xfId="0" applyNumberFormat="1" applyFont="1" applyFill="1" applyBorder="1" applyAlignment="1">
      <alignment horizontal="center" vertical="center"/>
    </xf>
    <xf numFmtId="14" fontId="21" fillId="0" borderId="0" xfId="0" applyNumberFormat="1" applyFont="1" applyFill="1" applyBorder="1" applyAlignment="1">
      <alignment horizontal="left" indent="1"/>
    </xf>
    <xf numFmtId="4" fontId="8" fillId="0" borderId="0" xfId="0" applyNumberFormat="1" applyFont="1" applyFill="1" applyBorder="1" applyAlignment="1">
      <alignment horizontal="center"/>
    </xf>
    <xf numFmtId="1" fontId="10" fillId="0" borderId="0" xfId="0" applyNumberFormat="1" applyFont="1" applyFill="1" applyAlignment="1">
      <alignment horizontal="center" vertical="center"/>
    </xf>
    <xf numFmtId="0" fontId="38" fillId="2" borderId="0" xfId="0" applyFont="1" applyFill="1"/>
    <xf numFmtId="0" fontId="38" fillId="2" borderId="0" xfId="0" applyFont="1" applyFill="1" applyAlignment="1">
      <alignment vertical="center"/>
    </xf>
    <xf numFmtId="0" fontId="38" fillId="2" borderId="0" xfId="0" applyFont="1" applyFill="1" applyAlignment="1">
      <alignment horizontal="left" vertical="center"/>
    </xf>
    <xf numFmtId="0" fontId="39" fillId="3" borderId="0" xfId="0" applyFont="1" applyFill="1" applyAlignment="1">
      <alignment horizontal="center" vertical="center" wrapText="1"/>
    </xf>
    <xf numFmtId="0" fontId="17" fillId="2" borderId="0" xfId="0" applyFont="1" applyFill="1" applyAlignment="1">
      <alignment horizontal="right" vertical="center"/>
    </xf>
    <xf numFmtId="14" fontId="8" fillId="2" borderId="0" xfId="0" applyNumberFormat="1" applyFont="1" applyFill="1" applyAlignment="1">
      <alignment horizontal="left" indent="1"/>
    </xf>
    <xf numFmtId="14" fontId="4" fillId="2" borderId="0" xfId="0" applyNumberFormat="1" applyFont="1" applyFill="1" applyBorder="1" applyAlignment="1">
      <alignment horizontal="left" indent="1"/>
    </xf>
    <xf numFmtId="0" fontId="0" fillId="0" borderId="0" xfId="0" applyFont="1"/>
    <xf numFmtId="0" fontId="32" fillId="13" borderId="48" xfId="0" applyFont="1" applyFill="1" applyBorder="1" applyAlignment="1">
      <alignment horizontal="center" vertical="center" wrapText="1"/>
    </xf>
    <xf numFmtId="0" fontId="32" fillId="13" borderId="49" xfId="0" applyFont="1" applyFill="1" applyBorder="1" applyAlignment="1">
      <alignment horizontal="center" vertical="center" wrapText="1"/>
    </xf>
    <xf numFmtId="0" fontId="31" fillId="12" borderId="21" xfId="0" applyNumberFormat="1" applyFont="1" applyFill="1" applyBorder="1" applyAlignment="1" applyProtection="1">
      <alignment horizontal="center" vertical="center" textRotation="90" wrapText="1"/>
      <protection locked="0"/>
    </xf>
    <xf numFmtId="0" fontId="43" fillId="13" borderId="22" xfId="0" applyFont="1" applyFill="1" applyBorder="1" applyAlignment="1">
      <alignment horizontal="center" vertical="center" wrapText="1"/>
    </xf>
    <xf numFmtId="0" fontId="43" fillId="13" borderId="24" xfId="0" applyFont="1" applyFill="1" applyBorder="1" applyAlignment="1">
      <alignment horizontal="center" vertical="center" wrapText="1"/>
    </xf>
    <xf numFmtId="0" fontId="43" fillId="13" borderId="25" xfId="0" applyFont="1" applyFill="1" applyBorder="1" applyAlignment="1">
      <alignment horizontal="center" vertical="center" wrapText="1"/>
    </xf>
    <xf numFmtId="0" fontId="43" fillId="13" borderId="23" xfId="0" applyFont="1" applyFill="1" applyBorder="1" applyAlignment="1">
      <alignment horizontal="center" vertical="center" wrapText="1"/>
    </xf>
    <xf numFmtId="0" fontId="32" fillId="13" borderId="24" xfId="0" applyFont="1" applyFill="1" applyBorder="1" applyAlignment="1" applyProtection="1">
      <alignment horizontal="center" vertical="center" wrapText="1"/>
      <protection locked="0"/>
    </xf>
    <xf numFmtId="0" fontId="32" fillId="13" borderId="26" xfId="0" applyFont="1" applyFill="1" applyBorder="1" applyAlignment="1" applyProtection="1">
      <alignment horizontal="center" vertical="center" wrapText="1"/>
      <protection locked="0"/>
    </xf>
    <xf numFmtId="1" fontId="13" fillId="0" borderId="0" xfId="0" applyNumberFormat="1" applyFont="1" applyFill="1" applyAlignment="1">
      <alignment horizontal="center" vertical="center"/>
    </xf>
    <xf numFmtId="1" fontId="21" fillId="2" borderId="0" xfId="0" applyNumberFormat="1" applyFont="1" applyFill="1" applyBorder="1" applyAlignment="1">
      <alignment horizontal="center"/>
    </xf>
    <xf numFmtId="0" fontId="8" fillId="2" borderId="0" xfId="0" applyNumberFormat="1" applyFont="1" applyFill="1" applyBorder="1" applyAlignment="1">
      <alignment horizontal="center"/>
    </xf>
    <xf numFmtId="0" fontId="32" fillId="0" borderId="14" xfId="0" applyFont="1" applyFill="1" applyBorder="1" applyAlignment="1" applyProtection="1">
      <alignment horizontal="center" vertical="center"/>
      <protection locked="0"/>
    </xf>
    <xf numFmtId="0" fontId="32" fillId="0" borderId="28" xfId="0" applyFont="1" applyFill="1" applyBorder="1" applyAlignment="1" applyProtection="1">
      <alignment horizontal="center" vertical="center"/>
      <protection locked="0"/>
    </xf>
    <xf numFmtId="0" fontId="32" fillId="13" borderId="14" xfId="0" applyFont="1" applyFill="1" applyBorder="1" applyAlignment="1" applyProtection="1">
      <alignment horizontal="center" vertical="center"/>
      <protection locked="0"/>
    </xf>
    <xf numFmtId="0" fontId="32" fillId="13" borderId="28" xfId="0" applyFont="1" applyFill="1" applyBorder="1" applyAlignment="1" applyProtection="1">
      <alignment horizontal="center" vertical="center"/>
      <protection locked="0"/>
    </xf>
    <xf numFmtId="0" fontId="32" fillId="0" borderId="16" xfId="0" applyFont="1" applyFill="1" applyBorder="1" applyAlignment="1" applyProtection="1">
      <alignment horizontal="center" vertical="center"/>
      <protection locked="0"/>
    </xf>
    <xf numFmtId="0" fontId="32" fillId="0" borderId="21" xfId="0" applyFont="1" applyFill="1" applyBorder="1" applyAlignment="1" applyProtection="1">
      <alignment horizontal="center" vertical="center"/>
      <protection locked="0"/>
    </xf>
    <xf numFmtId="0" fontId="4" fillId="2" borderId="0" xfId="0" applyNumberFormat="1" applyFont="1" applyFill="1" applyBorder="1" applyAlignment="1">
      <alignment horizontal="center" vertical="center"/>
    </xf>
    <xf numFmtId="0" fontId="4" fillId="0" borderId="0" xfId="0" applyNumberFormat="1" applyFont="1" applyFill="1" applyBorder="1" applyAlignment="1">
      <alignment horizontal="center" vertical="center"/>
    </xf>
    <xf numFmtId="0" fontId="3" fillId="2" borderId="0" xfId="0" applyNumberFormat="1" applyFont="1" applyFill="1" applyBorder="1" applyAlignment="1">
      <alignment horizontal="left" indent="1"/>
    </xf>
    <xf numFmtId="0" fontId="13" fillId="0" borderId="0" xfId="0" applyNumberFormat="1" applyFont="1" applyFill="1" applyBorder="1" applyAlignment="1">
      <alignment horizontal="center" vertical="center"/>
    </xf>
    <xf numFmtId="1" fontId="4" fillId="0" borderId="0" xfId="0" applyNumberFormat="1" applyFont="1" applyAlignment="1" applyProtection="1">
      <alignment horizontal="center"/>
      <protection locked="0"/>
    </xf>
    <xf numFmtId="14" fontId="4" fillId="2" borderId="0" xfId="0" applyNumberFormat="1" applyFont="1" applyFill="1" applyBorder="1" applyAlignment="1" applyProtection="1">
      <alignment horizontal="left" indent="1"/>
    </xf>
    <xf numFmtId="0" fontId="0" fillId="0" borderId="0" xfId="0" applyProtection="1">
      <protection locked="0"/>
    </xf>
    <xf numFmtId="14" fontId="0" fillId="0" borderId="0" xfId="0" applyNumberFormat="1" applyAlignment="1" applyProtection="1">
      <alignment horizontal="left"/>
      <protection locked="0"/>
    </xf>
    <xf numFmtId="0" fontId="0" fillId="0" borderId="0" xfId="0" applyAlignment="1" applyProtection="1">
      <alignment horizontal="left"/>
      <protection locked="0"/>
    </xf>
    <xf numFmtId="1" fontId="32" fillId="13" borderId="24" xfId="0" applyNumberFormat="1" applyFont="1" applyFill="1" applyBorder="1" applyAlignment="1" applyProtection="1">
      <alignment horizontal="center" vertical="center" wrapText="1"/>
      <protection locked="0"/>
    </xf>
    <xf numFmtId="1" fontId="32" fillId="0" borderId="14" xfId="0" applyNumberFormat="1" applyFont="1" applyFill="1" applyBorder="1" applyAlignment="1" applyProtection="1">
      <alignment horizontal="center" vertical="center"/>
      <protection locked="0"/>
    </xf>
    <xf numFmtId="1" fontId="32" fillId="13" borderId="14" xfId="0" applyNumberFormat="1" applyFont="1" applyFill="1" applyBorder="1" applyAlignment="1" applyProtection="1">
      <alignment horizontal="center" vertical="center"/>
      <protection locked="0"/>
    </xf>
    <xf numFmtId="1" fontId="32" fillId="0" borderId="16" xfId="0" applyNumberFormat="1" applyFont="1" applyFill="1" applyBorder="1" applyAlignment="1" applyProtection="1">
      <alignment horizontal="center" vertical="center"/>
      <protection locked="0"/>
    </xf>
    <xf numFmtId="0" fontId="13" fillId="2" borderId="0" xfId="0" applyNumberFormat="1" applyFont="1" applyFill="1" applyBorder="1" applyAlignment="1">
      <alignment horizontal="center" vertical="center"/>
    </xf>
    <xf numFmtId="0" fontId="13" fillId="2" borderId="0" xfId="0" applyNumberFormat="1" applyFont="1" applyFill="1" applyAlignment="1">
      <alignment horizontal="center" vertical="center"/>
    </xf>
    <xf numFmtId="0" fontId="32" fillId="13" borderId="23" xfId="0" applyFont="1" applyFill="1" applyBorder="1" applyAlignment="1" applyProtection="1">
      <alignment horizontal="center" vertical="center" wrapText="1"/>
    </xf>
    <xf numFmtId="0" fontId="32" fillId="13" borderId="15" xfId="0" applyFont="1" applyFill="1" applyBorder="1" applyAlignment="1" applyProtection="1">
      <alignment horizontal="center" vertical="center" wrapText="1"/>
    </xf>
    <xf numFmtId="0" fontId="32" fillId="0" borderId="15" xfId="0" applyFont="1" applyFill="1" applyBorder="1" applyAlignment="1" applyProtection="1">
      <alignment horizontal="center" vertical="center" wrapText="1"/>
    </xf>
    <xf numFmtId="0" fontId="32" fillId="0" borderId="17" xfId="0" applyFont="1" applyFill="1" applyBorder="1" applyAlignment="1" applyProtection="1">
      <alignment horizontal="center" vertical="center" wrapText="1"/>
    </xf>
    <xf numFmtId="2" fontId="8" fillId="2" borderId="0" xfId="0" applyNumberFormat="1" applyFont="1" applyFill="1" applyBorder="1" applyAlignment="1">
      <alignment horizontal="center"/>
    </xf>
    <xf numFmtId="0" fontId="0" fillId="0" borderId="0" xfId="0" applyAlignment="1">
      <alignment horizontal="left" indent="1"/>
    </xf>
    <xf numFmtId="0" fontId="38" fillId="0" borderId="0" xfId="0" applyFont="1" applyAlignment="1">
      <alignment vertical="center" wrapText="1"/>
    </xf>
    <xf numFmtId="0" fontId="44" fillId="0" borderId="0" xfId="0" applyFont="1" applyAlignment="1">
      <alignment horizontal="center"/>
    </xf>
    <xf numFmtId="0" fontId="44" fillId="0" borderId="0" xfId="0" applyFont="1"/>
    <xf numFmtId="0" fontId="52" fillId="12" borderId="0" xfId="1" applyFont="1" applyFill="1" applyAlignment="1">
      <alignment horizontal="center" vertical="center" wrapText="1"/>
    </xf>
    <xf numFmtId="0" fontId="32" fillId="0" borderId="49" xfId="0" applyFont="1" applyFill="1" applyBorder="1" applyAlignment="1">
      <alignment horizontal="center" vertical="center" wrapText="1"/>
    </xf>
    <xf numFmtId="2" fontId="43" fillId="13" borderId="24" xfId="0" applyNumberFormat="1" applyFont="1" applyFill="1" applyBorder="1" applyAlignment="1">
      <alignment horizontal="center" vertical="center" wrapText="1"/>
    </xf>
    <xf numFmtId="0" fontId="43" fillId="0" borderId="27" xfId="0" applyFont="1" applyFill="1" applyBorder="1" applyAlignment="1">
      <alignment horizontal="center" vertical="center" wrapText="1"/>
    </xf>
    <xf numFmtId="0" fontId="43" fillId="0" borderId="15" xfId="0" applyFont="1" applyFill="1" applyBorder="1" applyAlignment="1">
      <alignment horizontal="center" vertical="center" wrapText="1"/>
    </xf>
    <xf numFmtId="0" fontId="43" fillId="0" borderId="18" xfId="0" applyFont="1" applyFill="1" applyBorder="1" applyAlignment="1">
      <alignment horizontal="center" vertical="center" wrapText="1"/>
    </xf>
    <xf numFmtId="0" fontId="43" fillId="0" borderId="14" xfId="0" applyFont="1" applyFill="1" applyBorder="1" applyAlignment="1">
      <alignment horizontal="center" vertical="center" wrapText="1"/>
    </xf>
    <xf numFmtId="2" fontId="43" fillId="0" borderId="14" xfId="0" applyNumberFormat="1" applyFont="1" applyFill="1" applyBorder="1" applyAlignment="1">
      <alignment horizontal="center" vertical="center" wrapText="1"/>
    </xf>
    <xf numFmtId="0" fontId="43" fillId="13" borderId="27" xfId="0" applyFont="1" applyFill="1" applyBorder="1" applyAlignment="1">
      <alignment horizontal="center" vertical="center" wrapText="1"/>
    </xf>
    <xf numFmtId="0" fontId="43" fillId="13" borderId="15" xfId="0" applyFont="1" applyFill="1" applyBorder="1" applyAlignment="1">
      <alignment horizontal="center" vertical="center" wrapText="1"/>
    </xf>
    <xf numFmtId="0" fontId="43" fillId="13" borderId="18" xfId="0" applyFont="1" applyFill="1" applyBorder="1" applyAlignment="1">
      <alignment horizontal="center" vertical="center" wrapText="1"/>
    </xf>
    <xf numFmtId="0" fontId="43" fillId="13" borderId="14" xfId="0" applyFont="1" applyFill="1" applyBorder="1" applyAlignment="1">
      <alignment horizontal="center" vertical="center" wrapText="1"/>
    </xf>
    <xf numFmtId="2" fontId="43" fillId="13" borderId="14" xfId="0" applyNumberFormat="1" applyFont="1" applyFill="1" applyBorder="1" applyAlignment="1">
      <alignment horizontal="center" vertical="center" wrapText="1"/>
    </xf>
    <xf numFmtId="0" fontId="32" fillId="0" borderId="50" xfId="0" applyFont="1" applyFill="1" applyBorder="1" applyAlignment="1">
      <alignment horizontal="center" vertical="center" wrapText="1"/>
    </xf>
    <xf numFmtId="0" fontId="43" fillId="0" borderId="20" xfId="0" applyFont="1" applyFill="1" applyBorder="1" applyAlignment="1">
      <alignment horizontal="center" vertical="center" wrapText="1"/>
    </xf>
    <xf numFmtId="0" fontId="43" fillId="0" borderId="17" xfId="0" applyFont="1" applyFill="1" applyBorder="1" applyAlignment="1">
      <alignment horizontal="center" vertical="center" wrapText="1"/>
    </xf>
    <xf numFmtId="0" fontId="43" fillId="0" borderId="19" xfId="0" applyFont="1" applyFill="1" applyBorder="1" applyAlignment="1">
      <alignment horizontal="center" vertical="center" wrapText="1"/>
    </xf>
    <xf numFmtId="0" fontId="43" fillId="0" borderId="16" xfId="0" applyFont="1" applyFill="1" applyBorder="1" applyAlignment="1">
      <alignment horizontal="center" vertical="center" wrapText="1"/>
    </xf>
    <xf numFmtId="2" fontId="43" fillId="0" borderId="16" xfId="0" applyNumberFormat="1" applyFont="1" applyFill="1" applyBorder="1" applyAlignment="1">
      <alignment horizontal="center" vertical="center" wrapText="1"/>
    </xf>
    <xf numFmtId="0" fontId="44" fillId="0" borderId="0" xfId="0" applyFont="1" applyAlignment="1">
      <alignment horizontal="center" vertical="center" wrapText="1"/>
    </xf>
    <xf numFmtId="0" fontId="0" fillId="0" borderId="0" xfId="0" applyAlignment="1">
      <alignment horizontal="left" vertical="center"/>
    </xf>
    <xf numFmtId="0" fontId="19" fillId="2" borderId="0" xfId="0" applyFont="1" applyFill="1" applyAlignment="1">
      <alignment horizontal="left" vertical="center"/>
    </xf>
    <xf numFmtId="0" fontId="16" fillId="2" borderId="0" xfId="0" applyFont="1" applyFill="1" applyAlignment="1">
      <alignment horizontal="left" vertical="center"/>
    </xf>
    <xf numFmtId="2" fontId="37" fillId="3" borderId="0" xfId="0" applyNumberFormat="1" applyFont="1" applyFill="1" applyAlignment="1">
      <alignment horizontal="center"/>
    </xf>
    <xf numFmtId="2" fontId="31" fillId="3" borderId="30" xfId="0" applyNumberFormat="1" applyFont="1" applyFill="1" applyBorder="1" applyAlignment="1">
      <alignment horizontal="center" vertical="center" wrapText="1"/>
    </xf>
    <xf numFmtId="0" fontId="31" fillId="3" borderId="64" xfId="0" applyFont="1" applyFill="1" applyBorder="1" applyAlignment="1">
      <alignment horizontal="center" vertical="center" wrapText="1"/>
    </xf>
    <xf numFmtId="0" fontId="31" fillId="3" borderId="63" xfId="0" applyFont="1" applyFill="1" applyBorder="1" applyAlignment="1">
      <alignment horizontal="center" vertical="center" wrapText="1"/>
    </xf>
    <xf numFmtId="1" fontId="43" fillId="13" borderId="23" xfId="0" applyNumberFormat="1" applyFont="1" applyFill="1" applyBorder="1" applyAlignment="1">
      <alignment horizontal="center" vertical="center" wrapText="1"/>
    </xf>
    <xf numFmtId="1" fontId="43" fillId="0" borderId="15" xfId="0" applyNumberFormat="1" applyFont="1" applyFill="1" applyBorder="1" applyAlignment="1">
      <alignment horizontal="center" vertical="center" wrapText="1"/>
    </xf>
    <xf numFmtId="1" fontId="43" fillId="13" borderId="15" xfId="0" applyNumberFormat="1" applyFont="1" applyFill="1" applyBorder="1" applyAlignment="1">
      <alignment horizontal="center" vertical="center" wrapText="1"/>
    </xf>
    <xf numFmtId="1" fontId="43" fillId="0" borderId="17" xfId="0" applyNumberFormat="1" applyFont="1" applyFill="1" applyBorder="1" applyAlignment="1">
      <alignment horizontal="center" vertical="center" wrapText="1"/>
    </xf>
    <xf numFmtId="1" fontId="31" fillId="3" borderId="30" xfId="0" applyNumberFormat="1" applyFont="1" applyFill="1" applyBorder="1" applyAlignment="1">
      <alignment horizontal="center" vertical="center" wrapText="1"/>
    </xf>
    <xf numFmtId="0" fontId="50" fillId="12" borderId="0" xfId="1" applyFont="1" applyFill="1" applyAlignment="1">
      <alignment horizontal="center" vertical="center"/>
    </xf>
    <xf numFmtId="0" fontId="52" fillId="12" borderId="0" xfId="1" applyFont="1" applyFill="1" applyAlignment="1">
      <alignment horizontal="center" vertical="center" wrapText="1"/>
    </xf>
    <xf numFmtId="0" fontId="50" fillId="12" borderId="0" xfId="1" applyFont="1" applyFill="1" applyAlignment="1">
      <alignment horizontal="center" vertical="center" wrapText="1"/>
    </xf>
    <xf numFmtId="0" fontId="29" fillId="0" borderId="0" xfId="0" applyFont="1" applyAlignment="1">
      <alignment horizontal="left" vertical="center"/>
    </xf>
    <xf numFmtId="0" fontId="0" fillId="0" borderId="0" xfId="0" applyAlignment="1">
      <alignment vertical="center"/>
    </xf>
    <xf numFmtId="0" fontId="56" fillId="0" borderId="0" xfId="0" applyFont="1" applyAlignment="1">
      <alignment horizontal="center" vertical="center"/>
    </xf>
    <xf numFmtId="0" fontId="57" fillId="2" borderId="0" xfId="0" applyFont="1" applyFill="1" applyAlignment="1">
      <alignment horizontal="left" vertical="center"/>
    </xf>
    <xf numFmtId="0" fontId="58" fillId="2" borderId="0" xfId="0" applyFont="1" applyFill="1" applyAlignment="1">
      <alignment horizontal="left" vertical="center"/>
    </xf>
    <xf numFmtId="0" fontId="28" fillId="2" borderId="0" xfId="0" applyFont="1" applyFill="1" applyAlignment="1">
      <alignment horizontal="left" vertical="center"/>
    </xf>
    <xf numFmtId="0" fontId="0" fillId="0" borderId="0" xfId="0" applyNumberFormat="1" applyAlignment="1">
      <alignment horizontal="left" indent="1"/>
    </xf>
    <xf numFmtId="0" fontId="52" fillId="0" borderId="0" xfId="1" applyFont="1" applyFill="1" applyAlignment="1">
      <alignment horizontal="center" vertical="center" wrapText="1"/>
    </xf>
    <xf numFmtId="0" fontId="44" fillId="0" borderId="0" xfId="0" applyFont="1" applyFill="1" applyAlignment="1">
      <alignment horizontal="center"/>
    </xf>
    <xf numFmtId="0" fontId="44" fillId="0" borderId="0" xfId="0" applyFont="1" applyFill="1"/>
    <xf numFmtId="0" fontId="44" fillId="0" borderId="0" xfId="0" applyFont="1" applyFill="1" applyAlignment="1">
      <alignment horizontal="center" vertical="center" wrapText="1"/>
    </xf>
    <xf numFmtId="0" fontId="38" fillId="0" borderId="0" xfId="0" applyFont="1" applyFill="1" applyAlignment="1">
      <alignment vertical="center" wrapText="1"/>
    </xf>
    <xf numFmtId="0" fontId="50" fillId="0" borderId="0" xfId="1" applyFont="1" applyFill="1" applyAlignment="1">
      <alignment horizontal="center" vertical="center" wrapText="1"/>
    </xf>
    <xf numFmtId="0" fontId="50" fillId="0" borderId="0" xfId="1" applyFont="1" applyFill="1" applyAlignment="1">
      <alignment horizontal="center" vertical="center"/>
    </xf>
    <xf numFmtId="0" fontId="0" fillId="13" borderId="68" xfId="0" applyFill="1" applyBorder="1" applyAlignment="1">
      <alignment vertical="center"/>
    </xf>
    <xf numFmtId="0" fontId="0" fillId="13" borderId="71" xfId="0" applyFill="1" applyBorder="1" applyAlignment="1">
      <alignment vertical="center"/>
    </xf>
    <xf numFmtId="0" fontId="7" fillId="13" borderId="68" xfId="0" applyFont="1" applyFill="1" applyBorder="1"/>
    <xf numFmtId="2" fontId="0" fillId="13" borderId="65" xfId="0" applyNumberFormat="1" applyFont="1" applyFill="1" applyBorder="1" applyAlignment="1">
      <alignment horizontal="center" vertical="center"/>
    </xf>
    <xf numFmtId="2" fontId="0" fillId="13" borderId="67" xfId="0" applyNumberFormat="1" applyFont="1" applyFill="1" applyBorder="1" applyAlignment="1">
      <alignment horizontal="center" vertical="center"/>
    </xf>
    <xf numFmtId="0" fontId="7" fillId="13" borderId="71" xfId="0" applyFont="1" applyFill="1" applyBorder="1"/>
    <xf numFmtId="2" fontId="0" fillId="13" borderId="69" xfId="0" applyNumberFormat="1" applyFont="1" applyFill="1" applyBorder="1" applyAlignment="1">
      <alignment horizontal="center" vertical="center"/>
    </xf>
    <xf numFmtId="2" fontId="0" fillId="13" borderId="70" xfId="0" applyNumberFormat="1" applyFont="1" applyFill="1" applyBorder="1" applyAlignment="1">
      <alignment horizontal="center" vertical="center"/>
    </xf>
    <xf numFmtId="0" fontId="7" fillId="13" borderId="75" xfId="0" applyFont="1" applyFill="1" applyBorder="1"/>
    <xf numFmtId="2" fontId="0" fillId="13" borderId="76" xfId="0" applyNumberFormat="1" applyFont="1" applyFill="1" applyBorder="1" applyAlignment="1">
      <alignment horizontal="center" vertical="center"/>
    </xf>
    <xf numFmtId="2" fontId="0" fillId="13" borderId="62" xfId="0" applyNumberFormat="1" applyFont="1" applyFill="1" applyBorder="1" applyAlignment="1">
      <alignment horizontal="center" vertical="center"/>
    </xf>
    <xf numFmtId="2" fontId="7" fillId="13" borderId="72" xfId="0" applyNumberFormat="1" applyFont="1" applyFill="1" applyBorder="1" applyAlignment="1">
      <alignment horizontal="center"/>
    </xf>
    <xf numFmtId="2" fontId="7" fillId="13" borderId="74" xfId="0" applyNumberFormat="1" applyFont="1" applyFill="1" applyBorder="1" applyAlignment="1">
      <alignment horizontal="center"/>
    </xf>
    <xf numFmtId="2" fontId="7" fillId="13" borderId="73" xfId="0" applyNumberFormat="1" applyFont="1" applyFill="1" applyBorder="1" applyAlignment="1">
      <alignment horizontal="center"/>
    </xf>
    <xf numFmtId="0" fontId="0" fillId="0" borderId="71" xfId="0" applyFill="1" applyBorder="1" applyAlignment="1">
      <alignment vertical="center"/>
    </xf>
    <xf numFmtId="0" fontId="0" fillId="0" borderId="75" xfId="0" applyFill="1" applyBorder="1" applyAlignment="1">
      <alignment vertical="center"/>
    </xf>
    <xf numFmtId="0" fontId="7" fillId="0" borderId="60" xfId="0" applyFont="1" applyBorder="1" applyAlignment="1">
      <alignment horizontal="center" vertical="center"/>
    </xf>
    <xf numFmtId="0" fontId="7" fillId="0" borderId="58" xfId="0" applyFont="1" applyBorder="1" applyAlignment="1">
      <alignment horizontal="center" vertical="center"/>
    </xf>
    <xf numFmtId="0" fontId="7" fillId="0" borderId="61" xfId="0" applyFont="1" applyBorder="1" applyAlignment="1">
      <alignment horizontal="center" vertical="center"/>
    </xf>
    <xf numFmtId="2" fontId="0" fillId="13" borderId="82" xfId="0" applyNumberFormat="1" applyFill="1" applyBorder="1" applyAlignment="1">
      <alignment horizontal="center" vertical="center"/>
    </xf>
    <xf numFmtId="2" fontId="0" fillId="0" borderId="83" xfId="0" applyNumberFormat="1" applyFill="1" applyBorder="1" applyAlignment="1">
      <alignment horizontal="center" vertical="center"/>
    </xf>
    <xf numFmtId="2" fontId="0" fillId="13" borderId="83" xfId="0" applyNumberFormat="1" applyFill="1" applyBorder="1" applyAlignment="1">
      <alignment horizontal="center" vertical="center"/>
    </xf>
    <xf numFmtId="2" fontId="0" fillId="0" borderId="84" xfId="0" applyNumberFormat="1" applyFill="1" applyBorder="1" applyAlignment="1">
      <alignment horizontal="center" vertical="center"/>
    </xf>
    <xf numFmtId="2" fontId="0" fillId="13" borderId="84" xfId="0" applyNumberFormat="1" applyFill="1" applyBorder="1" applyAlignment="1">
      <alignment horizontal="center" vertical="center"/>
    </xf>
    <xf numFmtId="0" fontId="46" fillId="0" borderId="0" xfId="0" applyFont="1" applyAlignment="1">
      <alignment vertical="center"/>
    </xf>
    <xf numFmtId="2" fontId="0" fillId="13" borderId="81" xfId="0" applyNumberFormat="1" applyFill="1" applyBorder="1" applyAlignment="1" applyProtection="1">
      <alignment horizontal="center" vertical="center"/>
      <protection locked="0"/>
    </xf>
    <xf numFmtId="0" fontId="0" fillId="13" borderId="76" xfId="0" applyFill="1" applyBorder="1" applyAlignment="1" applyProtection="1">
      <alignment horizontal="center" vertical="center"/>
      <protection locked="0"/>
    </xf>
    <xf numFmtId="2" fontId="0" fillId="0" borderId="77" xfId="0" applyNumberFormat="1" applyFill="1" applyBorder="1" applyAlignment="1" applyProtection="1">
      <alignment horizontal="center" vertical="center"/>
      <protection locked="0"/>
    </xf>
    <xf numFmtId="0" fontId="0" fillId="0" borderId="62" xfId="0" applyFill="1" applyBorder="1" applyAlignment="1" applyProtection="1">
      <alignment horizontal="center" vertical="center"/>
      <protection locked="0"/>
    </xf>
    <xf numFmtId="2" fontId="0" fillId="13" borderId="77" xfId="0" applyNumberFormat="1" applyFill="1" applyBorder="1" applyAlignment="1" applyProtection="1">
      <alignment horizontal="center" vertical="center"/>
      <protection locked="0"/>
    </xf>
    <xf numFmtId="0" fontId="0" fillId="13" borderId="62" xfId="0" applyFill="1" applyBorder="1" applyAlignment="1" applyProtection="1">
      <alignment horizontal="center" vertical="center"/>
      <protection locked="0"/>
    </xf>
    <xf numFmtId="2" fontId="0" fillId="0" borderId="78" xfId="0" applyNumberFormat="1" applyFill="1" applyBorder="1" applyAlignment="1" applyProtection="1">
      <alignment horizontal="center" vertical="center"/>
      <protection locked="0"/>
    </xf>
    <xf numFmtId="0" fontId="0" fillId="0" borderId="74" xfId="0" applyFill="1" applyBorder="1" applyAlignment="1" applyProtection="1">
      <alignment horizontal="center" vertical="center"/>
      <protection locked="0"/>
    </xf>
    <xf numFmtId="2" fontId="0" fillId="13" borderId="85" xfId="0" applyNumberFormat="1" applyFill="1" applyBorder="1" applyAlignment="1" applyProtection="1">
      <alignment horizontal="center" vertical="center"/>
      <protection locked="0"/>
    </xf>
    <xf numFmtId="2" fontId="0" fillId="0" borderId="79" xfId="0" applyNumberFormat="1" applyFill="1" applyBorder="1" applyAlignment="1" applyProtection="1">
      <alignment horizontal="center" vertical="center"/>
      <protection locked="0"/>
    </xf>
    <xf numFmtId="2" fontId="0" fillId="13" borderId="79" xfId="0" applyNumberFormat="1" applyFill="1" applyBorder="1" applyAlignment="1" applyProtection="1">
      <alignment horizontal="center" vertical="center"/>
      <protection locked="0"/>
    </xf>
    <xf numFmtId="2" fontId="0" fillId="0" borderId="80" xfId="0" applyNumberFormat="1" applyFill="1" applyBorder="1" applyAlignment="1" applyProtection="1">
      <alignment horizontal="center" vertical="center"/>
      <protection locked="0"/>
    </xf>
    <xf numFmtId="17" fontId="7" fillId="0" borderId="0" xfId="0" applyNumberFormat="1" applyFont="1" applyAlignment="1">
      <alignment horizontal="left"/>
    </xf>
    <xf numFmtId="17" fontId="7" fillId="0" borderId="0" xfId="0" applyNumberFormat="1" applyFont="1" applyAlignment="1">
      <alignment horizontal="left" indent="5"/>
    </xf>
    <xf numFmtId="2" fontId="0" fillId="0" borderId="0" xfId="0" applyNumberFormat="1" applyAlignment="1">
      <alignment horizontal="center"/>
    </xf>
    <xf numFmtId="0" fontId="55" fillId="0" borderId="0" xfId="0" applyFont="1"/>
    <xf numFmtId="0" fontId="0" fillId="0" borderId="0" xfId="0" applyAlignment="1">
      <alignment vertical="top" wrapText="1"/>
    </xf>
    <xf numFmtId="0" fontId="0" fillId="0" borderId="0" xfId="0" applyAlignment="1">
      <alignment vertical="top"/>
    </xf>
    <xf numFmtId="0" fontId="61" fillId="0" borderId="46" xfId="0" applyNumberFormat="1" applyFont="1" applyFill="1" applyBorder="1" applyAlignment="1" applyProtection="1">
      <alignment horizontal="center" vertical="center" wrapText="1"/>
      <protection locked="0"/>
    </xf>
    <xf numFmtId="0" fontId="25" fillId="12" borderId="45" xfId="0" applyFont="1" applyFill="1" applyBorder="1" applyAlignment="1">
      <alignment vertical="center"/>
    </xf>
    <xf numFmtId="0" fontId="63" fillId="12" borderId="36" xfId="0" applyFont="1" applyFill="1" applyBorder="1" applyAlignment="1">
      <alignment vertical="center"/>
    </xf>
    <xf numFmtId="0" fontId="62" fillId="12" borderId="46" xfId="0" applyFont="1" applyFill="1" applyBorder="1" applyAlignment="1">
      <alignment vertical="center"/>
    </xf>
    <xf numFmtId="0" fontId="61" fillId="0" borderId="46" xfId="0" applyNumberFormat="1" applyFont="1" applyFill="1" applyBorder="1" applyAlignment="1" applyProtection="1">
      <alignment horizontal="center" vertical="center"/>
      <protection locked="0"/>
    </xf>
    <xf numFmtId="0" fontId="0" fillId="0" borderId="0" xfId="0" applyFont="1" applyAlignment="1">
      <alignment vertical="top" wrapText="1"/>
    </xf>
    <xf numFmtId="0" fontId="0" fillId="0" borderId="0" xfId="0" applyFont="1" applyAlignment="1">
      <alignment vertical="top"/>
    </xf>
    <xf numFmtId="0" fontId="65" fillId="0" borderId="0" xfId="0" applyFont="1" applyAlignment="1">
      <alignment wrapText="1"/>
    </xf>
    <xf numFmtId="9" fontId="0" fillId="0" borderId="0" xfId="0" applyNumberFormat="1" applyFont="1" applyAlignment="1">
      <alignment horizontal="center" vertical="center"/>
    </xf>
    <xf numFmtId="0" fontId="7" fillId="0" borderId="0" xfId="0" applyNumberFormat="1" applyFont="1" applyAlignment="1">
      <alignment horizontal="left"/>
    </xf>
    <xf numFmtId="9" fontId="0" fillId="0" borderId="0" xfId="0" applyNumberFormat="1" applyAlignment="1">
      <alignment horizontal="center"/>
    </xf>
    <xf numFmtId="9" fontId="0" fillId="0" borderId="0" xfId="0" applyNumberFormat="1"/>
    <xf numFmtId="14" fontId="0" fillId="0" borderId="0" xfId="0" applyNumberFormat="1" applyAlignment="1">
      <alignment horizontal="left" indent="1"/>
    </xf>
    <xf numFmtId="0" fontId="61" fillId="0" borderId="0" xfId="0" applyFont="1" applyFill="1" applyBorder="1" applyAlignment="1" applyProtection="1">
      <alignment horizontal="center" vertical="center" wrapText="1"/>
      <protection locked="0"/>
    </xf>
    <xf numFmtId="0" fontId="20" fillId="0" borderId="0" xfId="0" applyFont="1"/>
    <xf numFmtId="0" fontId="63" fillId="12" borderId="0" xfId="0" applyFont="1" applyFill="1" applyBorder="1" applyAlignment="1">
      <alignment vertical="center"/>
    </xf>
    <xf numFmtId="0" fontId="61" fillId="0" borderId="36" xfId="0" applyFont="1" applyFill="1" applyBorder="1" applyAlignment="1" applyProtection="1">
      <alignment horizontal="center" vertical="center" wrapText="1"/>
      <protection locked="0"/>
    </xf>
    <xf numFmtId="0" fontId="61" fillId="0" borderId="28" xfId="0" applyFont="1" applyFill="1" applyBorder="1" applyAlignment="1" applyProtection="1">
      <alignment horizontal="center" vertical="center" wrapText="1"/>
      <protection locked="0"/>
    </xf>
    <xf numFmtId="0" fontId="66" fillId="0" borderId="0" xfId="0" applyFont="1"/>
    <xf numFmtId="14" fontId="4" fillId="2" borderId="0" xfId="0" applyNumberFormat="1" applyFont="1" applyFill="1" applyBorder="1" applyAlignment="1">
      <alignment horizontal="left" indent="1"/>
    </xf>
    <xf numFmtId="3" fontId="8" fillId="0" borderId="0" xfId="0" applyNumberFormat="1" applyFont="1" applyAlignment="1">
      <alignment horizontal="right" indent="1"/>
    </xf>
    <xf numFmtId="1" fontId="37" fillId="3" borderId="0" xfId="0" applyNumberFormat="1" applyFont="1" applyFill="1" applyAlignment="1">
      <alignment horizontal="center"/>
    </xf>
    <xf numFmtId="0" fontId="0" fillId="0" borderId="0" xfId="0" applyAlignment="1">
      <alignment vertical="center" wrapText="1"/>
    </xf>
    <xf numFmtId="0" fontId="0" fillId="0" borderId="0" xfId="0" applyAlignment="1">
      <alignment horizontal="left"/>
    </xf>
    <xf numFmtId="1" fontId="8" fillId="0" borderId="0" xfId="0" applyNumberFormat="1" applyFont="1" applyAlignment="1">
      <alignment horizontal="right" indent="1"/>
    </xf>
    <xf numFmtId="0" fontId="0" fillId="0" borderId="2" xfId="0" applyFont="1" applyFill="1" applyBorder="1" applyAlignment="1">
      <alignment horizontal="center"/>
    </xf>
    <xf numFmtId="0" fontId="0" fillId="0" borderId="3" xfId="0" applyFont="1" applyFill="1" applyBorder="1" applyAlignment="1">
      <alignment horizontal="center"/>
    </xf>
    <xf numFmtId="0" fontId="67" fillId="0" borderId="0" xfId="0" applyFont="1"/>
    <xf numFmtId="0" fontId="67" fillId="0" borderId="0" xfId="0" applyFont="1" applyBorder="1"/>
    <xf numFmtId="0" fontId="68" fillId="0" borderId="0" xfId="0" applyFont="1" applyFill="1" applyAlignment="1">
      <alignment horizontal="center" vertical="center" wrapText="1"/>
    </xf>
    <xf numFmtId="0" fontId="69" fillId="3" borderId="0" xfId="0" applyFont="1" applyFill="1" applyAlignment="1">
      <alignment horizontal="center" vertical="center" wrapText="1"/>
    </xf>
    <xf numFmtId="0" fontId="70" fillId="2" borderId="0" xfId="0" applyFont="1" applyFill="1" applyAlignment="1">
      <alignment horizontal="left"/>
    </xf>
    <xf numFmtId="49" fontId="70" fillId="0" borderId="0" xfId="0" applyNumberFormat="1" applyFont="1" applyAlignment="1">
      <alignment horizontal="left" indent="1"/>
    </xf>
    <xf numFmtId="49" fontId="70" fillId="2" borderId="0" xfId="0" applyNumberFormat="1" applyFont="1" applyFill="1" applyAlignment="1">
      <alignment horizontal="left" indent="1"/>
    </xf>
    <xf numFmtId="0" fontId="70" fillId="0" borderId="0" xfId="0" applyFont="1" applyFill="1" applyAlignment="1">
      <alignment horizontal="left" indent="1"/>
    </xf>
    <xf numFmtId="0" fontId="70" fillId="2" borderId="0" xfId="0" applyFont="1" applyFill="1" applyAlignment="1">
      <alignment horizontal="left" indent="1"/>
    </xf>
    <xf numFmtId="0" fontId="70" fillId="0" borderId="0" xfId="0" applyFont="1" applyAlignment="1">
      <alignment horizontal="left" indent="1"/>
    </xf>
    <xf numFmtId="0" fontId="72" fillId="3" borderId="34" xfId="0" applyFont="1" applyFill="1" applyBorder="1" applyAlignment="1">
      <alignment horizontal="center" vertical="center"/>
    </xf>
    <xf numFmtId="0" fontId="73" fillId="3" borderId="35" xfId="0" applyFont="1" applyFill="1" applyBorder="1" applyAlignment="1">
      <alignment horizontal="center" vertical="center"/>
    </xf>
    <xf numFmtId="0" fontId="73" fillId="3" borderId="0" xfId="0" applyFont="1" applyFill="1" applyAlignment="1">
      <alignment horizontal="center" vertical="center"/>
    </xf>
    <xf numFmtId="0" fontId="71" fillId="0" borderId="0" xfId="0" applyNumberFormat="1" applyFont="1" applyAlignment="1" applyProtection="1">
      <alignment horizontal="center"/>
      <protection locked="0"/>
    </xf>
    <xf numFmtId="1" fontId="74" fillId="3" borderId="33" xfId="0" applyNumberFormat="1" applyFont="1" applyFill="1" applyBorder="1" applyAlignment="1">
      <alignment horizontal="center" vertical="center"/>
    </xf>
    <xf numFmtId="1" fontId="74" fillId="3" borderId="2" xfId="0" applyNumberFormat="1" applyFont="1" applyFill="1" applyBorder="1" applyAlignment="1">
      <alignment horizontal="center" vertical="center"/>
    </xf>
    <xf numFmtId="1" fontId="74" fillId="3" borderId="3" xfId="0" applyNumberFormat="1" applyFont="1" applyFill="1" applyBorder="1" applyAlignment="1">
      <alignment horizontal="center" vertical="center"/>
    </xf>
    <xf numFmtId="0" fontId="76" fillId="0" borderId="0" xfId="0" applyFont="1" applyFill="1" applyAlignment="1">
      <alignment horizontal="left" indent="1"/>
    </xf>
    <xf numFmtId="4" fontId="76" fillId="0" borderId="0" xfId="0" applyNumberFormat="1" applyFont="1" applyFill="1" applyAlignment="1">
      <alignment horizontal="right" indent="1"/>
    </xf>
    <xf numFmtId="4" fontId="71" fillId="0" borderId="0" xfId="0" applyNumberFormat="1" applyFont="1" applyFill="1"/>
    <xf numFmtId="0" fontId="76" fillId="0" borderId="0" xfId="0" applyFont="1" applyFill="1" applyAlignment="1">
      <alignment horizontal="right" indent="1"/>
    </xf>
    <xf numFmtId="0" fontId="77" fillId="0" borderId="0" xfId="0" applyFont="1" applyFill="1"/>
    <xf numFmtId="4" fontId="76" fillId="0" borderId="0" xfId="0" applyNumberFormat="1" applyFont="1" applyAlignment="1">
      <alignment horizontal="right" indent="1"/>
    </xf>
    <xf numFmtId="0" fontId="76" fillId="0" borderId="0" xfId="0" applyFont="1" applyAlignment="1">
      <alignment horizontal="right" indent="1"/>
    </xf>
    <xf numFmtId="0" fontId="77" fillId="0" borderId="0" xfId="0" applyFont="1"/>
    <xf numFmtId="0" fontId="4" fillId="0" borderId="0" xfId="0" applyNumberFormat="1" applyFont="1" applyAlignment="1" applyProtection="1">
      <alignment horizontal="center"/>
      <protection locked="0"/>
    </xf>
    <xf numFmtId="1" fontId="4" fillId="0" borderId="12" xfId="0" applyNumberFormat="1" applyFont="1" applyFill="1" applyBorder="1" applyAlignment="1">
      <alignment horizontal="center"/>
    </xf>
    <xf numFmtId="0" fontId="78" fillId="0" borderId="0" xfId="0" applyFont="1" applyAlignment="1">
      <alignment vertical="center"/>
    </xf>
    <xf numFmtId="0" fontId="79" fillId="0" borderId="0" xfId="0" applyFont="1"/>
    <xf numFmtId="0" fontId="80" fillId="0" borderId="0" xfId="0" applyFont="1"/>
    <xf numFmtId="0" fontId="80" fillId="0" borderId="0" xfId="0" applyFont="1" applyAlignment="1">
      <alignment horizontal="left"/>
    </xf>
    <xf numFmtId="0" fontId="82" fillId="0" borderId="0" xfId="0" applyFont="1" applyFill="1" applyBorder="1" applyAlignment="1">
      <alignment horizontal="left" vertical="center"/>
    </xf>
    <xf numFmtId="0" fontId="83" fillId="0" borderId="0" xfId="0" applyFont="1" applyFill="1" applyAlignment="1">
      <alignment horizontal="left" vertical="center"/>
    </xf>
    <xf numFmtId="0" fontId="83" fillId="0" borderId="0" xfId="0" applyFont="1" applyFill="1" applyAlignment="1">
      <alignment horizontal="left"/>
    </xf>
    <xf numFmtId="14" fontId="84" fillId="0" borderId="0" xfId="0" applyNumberFormat="1" applyFont="1" applyFill="1" applyBorder="1" applyAlignment="1">
      <alignment horizontal="left" indent="1"/>
    </xf>
    <xf numFmtId="0" fontId="84" fillId="0" borderId="0" xfId="0" applyNumberFormat="1" applyFont="1" applyFill="1" applyBorder="1" applyAlignment="1">
      <alignment horizontal="center" vertical="center"/>
    </xf>
    <xf numFmtId="2" fontId="85" fillId="0" borderId="0" xfId="0" applyNumberFormat="1" applyFont="1" applyFill="1" applyAlignment="1">
      <alignment horizontal="center" vertical="center"/>
    </xf>
    <xf numFmtId="1" fontId="86" fillId="0" borderId="0" xfId="0" applyNumberFormat="1" applyFont="1" applyFill="1" applyAlignment="1">
      <alignment horizontal="center" vertical="center"/>
    </xf>
    <xf numFmtId="0" fontId="84" fillId="0" borderId="0" xfId="0" applyNumberFormat="1" applyFont="1" applyFill="1" applyBorder="1" applyAlignment="1">
      <alignment horizontal="center"/>
    </xf>
    <xf numFmtId="14" fontId="87" fillId="0" borderId="0" xfId="0" applyNumberFormat="1" applyFont="1" applyFill="1" applyBorder="1" applyAlignment="1">
      <alignment horizontal="left" indent="1"/>
    </xf>
    <xf numFmtId="0" fontId="87" fillId="0" borderId="0" xfId="0" applyFont="1" applyFill="1" applyBorder="1" applyAlignment="1">
      <alignment horizontal="center"/>
    </xf>
    <xf numFmtId="4" fontId="87" fillId="0" borderId="0" xfId="0" applyNumberFormat="1" applyFont="1" applyFill="1" applyBorder="1" applyAlignment="1">
      <alignment horizontal="center"/>
    </xf>
    <xf numFmtId="1" fontId="86" fillId="0" borderId="0" xfId="0" applyNumberFormat="1" applyFont="1" applyFill="1" applyAlignment="1">
      <alignment horizontal="center"/>
    </xf>
    <xf numFmtId="0" fontId="81" fillId="0" borderId="0" xfId="0" applyFont="1" applyAlignment="1">
      <alignment horizontal="center" vertical="center"/>
    </xf>
    <xf numFmtId="0" fontId="79" fillId="0" borderId="0" xfId="0" applyFont="1" applyFill="1"/>
    <xf numFmtId="164" fontId="79" fillId="0" borderId="0" xfId="0" applyNumberFormat="1" applyFont="1"/>
    <xf numFmtId="0" fontId="0" fillId="0" borderId="0" xfId="0" applyAlignment="1" applyProtection="1">
      <alignment horizontal="center"/>
      <protection locked="0"/>
    </xf>
    <xf numFmtId="0" fontId="11" fillId="0" borderId="0" xfId="0" applyFont="1"/>
    <xf numFmtId="14" fontId="4" fillId="2" borderId="2" xfId="0" applyNumberFormat="1" applyFont="1" applyFill="1" applyBorder="1" applyAlignment="1">
      <alignment horizontal="left" indent="1"/>
    </xf>
    <xf numFmtId="0" fontId="63" fillId="12" borderId="0" xfId="0" applyFont="1" applyFill="1" applyBorder="1" applyAlignment="1">
      <alignment horizontal="center" vertical="center"/>
    </xf>
    <xf numFmtId="0" fontId="62" fillId="12" borderId="46" xfId="0" applyFont="1" applyFill="1" applyBorder="1" applyAlignment="1">
      <alignment horizontal="center" vertical="center"/>
    </xf>
    <xf numFmtId="0" fontId="28" fillId="2" borderId="0" xfId="0" applyFont="1" applyFill="1" applyAlignment="1">
      <alignment horizontal="left" vertical="center"/>
    </xf>
    <xf numFmtId="0" fontId="38" fillId="2" borderId="0" xfId="0" applyFont="1" applyFill="1" applyAlignment="1">
      <alignment horizontal="center" vertical="center"/>
    </xf>
    <xf numFmtId="0" fontId="9" fillId="2" borderId="13" xfId="0" applyFont="1" applyFill="1" applyBorder="1" applyAlignment="1"/>
    <xf numFmtId="14" fontId="4" fillId="2" borderId="0" xfId="0" applyNumberFormat="1" applyFont="1" applyFill="1" applyBorder="1" applyAlignment="1"/>
    <xf numFmtId="14" fontId="4" fillId="2" borderId="2" xfId="0" applyNumberFormat="1" applyFont="1" applyFill="1" applyBorder="1" applyAlignment="1"/>
    <xf numFmtId="14" fontId="4" fillId="2" borderId="10" xfId="0" applyNumberFormat="1" applyFont="1" applyFill="1" applyBorder="1" applyAlignment="1"/>
    <xf numFmtId="0" fontId="9" fillId="0" borderId="0" xfId="0" applyFont="1" applyFill="1" applyBorder="1" applyAlignment="1">
      <alignment horizontal="left" indent="1"/>
    </xf>
    <xf numFmtId="9" fontId="35" fillId="0" borderId="4" xfId="0" applyNumberFormat="1" applyFont="1" applyFill="1" applyBorder="1" applyAlignment="1">
      <alignment horizontal="center" vertical="center"/>
    </xf>
    <xf numFmtId="0" fontId="12" fillId="0" borderId="0" xfId="0" applyFont="1" applyFill="1" applyAlignment="1">
      <alignment horizontal="left" indent="1"/>
    </xf>
    <xf numFmtId="0" fontId="13" fillId="0" borderId="0" xfId="0" applyNumberFormat="1" applyFont="1" applyFill="1" applyAlignment="1">
      <alignment horizontal="center" vertical="center"/>
    </xf>
    <xf numFmtId="2" fontId="8" fillId="0" borderId="0" xfId="0" applyNumberFormat="1" applyFont="1" applyFill="1" applyBorder="1" applyAlignment="1">
      <alignment horizontal="center"/>
    </xf>
    <xf numFmtId="1" fontId="4" fillId="0" borderId="0" xfId="0" applyNumberFormat="1" applyFont="1" applyFill="1" applyBorder="1" applyAlignment="1">
      <alignment horizontal="center" vertical="center"/>
    </xf>
    <xf numFmtId="0" fontId="22" fillId="3" borderId="0" xfId="0" applyFont="1" applyFill="1" applyBorder="1" applyAlignment="1">
      <alignment horizontal="center" vertical="center"/>
    </xf>
    <xf numFmtId="9" fontId="35" fillId="0" borderId="88" xfId="0" applyNumberFormat="1" applyFont="1" applyFill="1" applyBorder="1" applyAlignment="1">
      <alignment horizontal="center" vertical="center"/>
    </xf>
    <xf numFmtId="9" fontId="49" fillId="0" borderId="86" xfId="0" applyNumberFormat="1" applyFont="1" applyFill="1" applyBorder="1" applyAlignment="1">
      <alignment horizontal="center"/>
    </xf>
    <xf numFmtId="9" fontId="35" fillId="0" borderId="0" xfId="0" applyNumberFormat="1" applyFont="1" applyFill="1" applyBorder="1" applyAlignment="1">
      <alignment horizontal="center" vertical="center"/>
    </xf>
    <xf numFmtId="0" fontId="4" fillId="0" borderId="4" xfId="0" applyNumberFormat="1" applyFont="1" applyFill="1" applyBorder="1" applyAlignment="1">
      <alignment horizontal="center"/>
    </xf>
    <xf numFmtId="9" fontId="49" fillId="0" borderId="0" xfId="0" applyNumberFormat="1" applyFont="1" applyFill="1" applyBorder="1" applyAlignment="1">
      <alignment horizontal="center"/>
    </xf>
    <xf numFmtId="0" fontId="4" fillId="0" borderId="86" xfId="0" applyNumberFormat="1" applyFont="1" applyFill="1" applyBorder="1" applyAlignment="1">
      <alignment horizontal="center"/>
    </xf>
    <xf numFmtId="0" fontId="9" fillId="2" borderId="89" xfId="0" applyFont="1" applyFill="1" applyBorder="1" applyAlignment="1"/>
    <xf numFmtId="0" fontId="4" fillId="2" borderId="4" xfId="0" applyNumberFormat="1" applyFont="1" applyFill="1" applyBorder="1" applyAlignment="1">
      <alignment horizontal="center"/>
    </xf>
    <xf numFmtId="14" fontId="4" fillId="0" borderId="0" xfId="0" applyNumberFormat="1" applyFont="1" applyFill="1" applyBorder="1" applyAlignment="1"/>
    <xf numFmtId="14" fontId="4" fillId="0" borderId="7" xfId="0" applyNumberFormat="1" applyFont="1" applyFill="1" applyBorder="1" applyAlignment="1"/>
    <xf numFmtId="2" fontId="4" fillId="2" borderId="4" xfId="0" applyNumberFormat="1" applyFont="1" applyFill="1" applyBorder="1" applyAlignment="1">
      <alignment horizontal="center"/>
    </xf>
    <xf numFmtId="1" fontId="4" fillId="2" borderId="87" xfId="0" applyNumberFormat="1" applyFont="1" applyFill="1" applyBorder="1" applyAlignment="1">
      <alignment horizontal="center" vertical="center"/>
    </xf>
    <xf numFmtId="14" fontId="8" fillId="0" borderId="0" xfId="0" applyNumberFormat="1" applyFont="1" applyFill="1" applyBorder="1" applyAlignment="1">
      <alignment horizontal="left" indent="1"/>
    </xf>
    <xf numFmtId="0" fontId="8" fillId="0" borderId="0" xfId="0" applyFont="1" applyFill="1" applyBorder="1" applyAlignment="1">
      <alignment horizontal="center"/>
    </xf>
    <xf numFmtId="1" fontId="10" fillId="0" borderId="0" xfId="0" applyNumberFormat="1" applyFont="1" applyFill="1" applyAlignment="1">
      <alignment horizontal="center"/>
    </xf>
    <xf numFmtId="0" fontId="84" fillId="0" borderId="0" xfId="0" applyNumberFormat="1" applyFont="1" applyFill="1" applyBorder="1" applyAlignment="1">
      <alignment horizontal="left" indent="1"/>
    </xf>
    <xf numFmtId="0" fontId="38" fillId="2" borderId="0" xfId="0" applyFont="1" applyFill="1" applyAlignment="1">
      <alignment horizontal="center" vertical="center"/>
    </xf>
    <xf numFmtId="49" fontId="0" fillId="0" borderId="0" xfId="0" applyNumberFormat="1" applyFont="1" applyAlignment="1">
      <alignment horizontal="left" vertical="center" wrapText="1"/>
    </xf>
    <xf numFmtId="49" fontId="93" fillId="0" borderId="0" xfId="0" applyNumberFormat="1" applyFont="1" applyAlignment="1">
      <alignment horizontal="left" vertical="center" wrapText="1"/>
    </xf>
    <xf numFmtId="0" fontId="7" fillId="0" borderId="0" xfId="0" applyFont="1" applyAlignment="1">
      <alignment vertical="center"/>
    </xf>
    <xf numFmtId="0" fontId="25" fillId="0" borderId="0" xfId="0" applyFont="1" applyFill="1" applyAlignment="1">
      <alignment vertical="center"/>
    </xf>
    <xf numFmtId="0" fontId="38" fillId="0" borderId="0" xfId="0" applyFont="1" applyFill="1" applyAlignment="1">
      <alignment vertical="top"/>
    </xf>
    <xf numFmtId="0" fontId="38" fillId="2" borderId="0" xfId="0" applyFont="1" applyFill="1" applyAlignment="1">
      <alignment horizontal="right" vertical="center"/>
    </xf>
    <xf numFmtId="0" fontId="16" fillId="2" borderId="0" xfId="0" applyFont="1" applyFill="1" applyAlignment="1">
      <alignment vertical="top"/>
    </xf>
    <xf numFmtId="0" fontId="97" fillId="0" borderId="0" xfId="0" applyFont="1"/>
    <xf numFmtId="0" fontId="5" fillId="2" borderId="0" xfId="0" applyFont="1" applyFill="1" applyAlignment="1">
      <alignment horizontal="right" vertical="top"/>
    </xf>
    <xf numFmtId="14" fontId="0" fillId="0" borderId="0" xfId="0" applyNumberFormat="1" applyFont="1" applyAlignment="1">
      <alignment horizontal="center" vertical="center" textRotation="90"/>
    </xf>
    <xf numFmtId="0" fontId="0" fillId="0" borderId="0" xfId="0" applyFont="1" applyAlignment="1">
      <alignment horizontal="center" vertical="center" textRotation="90"/>
    </xf>
    <xf numFmtId="0" fontId="96" fillId="2" borderId="0" xfId="0" applyFont="1" applyFill="1" applyAlignment="1">
      <alignment vertical="center"/>
    </xf>
    <xf numFmtId="0" fontId="0" fillId="0" borderId="0" xfId="0" applyFont="1" applyAlignment="1">
      <alignment horizontal="left"/>
    </xf>
    <xf numFmtId="0" fontId="0" fillId="0" borderId="0" xfId="0" applyFont="1" applyFill="1" applyBorder="1"/>
    <xf numFmtId="0" fontId="79" fillId="0" borderId="0" xfId="0" applyFont="1" applyAlignment="1"/>
    <xf numFmtId="0" fontId="79" fillId="0" borderId="0" xfId="0" applyFont="1" applyBorder="1"/>
    <xf numFmtId="0" fontId="0" fillId="0" borderId="0" xfId="0" applyFont="1" applyFill="1" applyBorder="1" applyAlignment="1">
      <alignment horizontal="center" vertical="center"/>
    </xf>
    <xf numFmtId="0" fontId="0" fillId="8" borderId="0" xfId="0" applyFont="1" applyFill="1" applyAlignment="1">
      <alignment horizontal="left"/>
    </xf>
    <xf numFmtId="0" fontId="0" fillId="8" borderId="0" xfId="0" applyFont="1" applyFill="1" applyAlignment="1">
      <alignment horizontal="right"/>
    </xf>
    <xf numFmtId="0" fontId="0" fillId="14" borderId="0" xfId="0" applyFont="1" applyFill="1" applyAlignment="1">
      <alignment horizontal="right"/>
    </xf>
    <xf numFmtId="0" fontId="79" fillId="14" borderId="0" xfId="0" applyFont="1" applyFill="1" applyAlignment="1">
      <alignment horizontal="left"/>
    </xf>
    <xf numFmtId="0" fontId="79" fillId="15" borderId="0" xfId="0" applyFont="1" applyFill="1" applyAlignment="1">
      <alignment horizontal="left"/>
    </xf>
    <xf numFmtId="0" fontId="0" fillId="5" borderId="0" xfId="0" applyFont="1" applyFill="1" applyAlignment="1"/>
    <xf numFmtId="0" fontId="0" fillId="5" borderId="0" xfId="0" applyFont="1" applyFill="1" applyAlignment="1">
      <alignment horizontal="right"/>
    </xf>
    <xf numFmtId="0" fontId="0" fillId="15" borderId="0" xfId="0" applyFont="1" applyFill="1" applyAlignment="1">
      <alignment horizontal="right"/>
    </xf>
    <xf numFmtId="49" fontId="0" fillId="0" borderId="0" xfId="0" applyNumberFormat="1" applyAlignment="1" applyProtection="1">
      <alignment horizontal="left"/>
      <protection locked="0"/>
    </xf>
    <xf numFmtId="1" fontId="4" fillId="0" borderId="0" xfId="0" applyNumberFormat="1" applyFont="1" applyAlignment="1" applyProtection="1">
      <alignment horizontal="center"/>
    </xf>
    <xf numFmtId="0" fontId="28" fillId="2" borderId="0" xfId="0" applyFont="1" applyFill="1" applyAlignment="1">
      <alignment vertical="center"/>
    </xf>
    <xf numFmtId="165" fontId="0" fillId="0" borderId="0" xfId="0" applyNumberFormat="1" applyAlignment="1" applyProtection="1">
      <alignment horizontal="center"/>
      <protection locked="0"/>
    </xf>
    <xf numFmtId="165" fontId="0" fillId="0" borderId="0" xfId="0" applyNumberFormat="1" applyAlignment="1">
      <alignment horizontal="center" vertical="center"/>
    </xf>
    <xf numFmtId="165" fontId="0" fillId="0" borderId="0" xfId="0" applyNumberFormat="1" applyAlignment="1">
      <alignment horizontal="center" vertical="center" wrapText="1"/>
    </xf>
    <xf numFmtId="165" fontId="0" fillId="0" borderId="0" xfId="0" applyNumberFormat="1" applyAlignment="1">
      <alignment vertical="center"/>
    </xf>
    <xf numFmtId="165" fontId="0" fillId="0" borderId="0" xfId="0" applyNumberFormat="1" applyAlignment="1" applyProtection="1">
      <alignment horizontal="left"/>
      <protection locked="0"/>
    </xf>
    <xf numFmtId="0" fontId="0" fillId="0" borderId="0" xfId="0" applyNumberFormat="1" applyAlignment="1" applyProtection="1">
      <alignment horizontal="center"/>
      <protection locked="0"/>
    </xf>
    <xf numFmtId="0" fontId="7" fillId="0" borderId="0" xfId="0" applyNumberFormat="1" applyFont="1" applyAlignment="1">
      <alignment horizontal="left" indent="5"/>
    </xf>
    <xf numFmtId="14" fontId="4" fillId="2" borderId="0" xfId="0" applyNumberFormat="1" applyFont="1" applyFill="1" applyBorder="1" applyAlignment="1">
      <alignment horizontal="left" indent="1"/>
    </xf>
    <xf numFmtId="0" fontId="45" fillId="0" borderId="0" xfId="0" applyFont="1"/>
    <xf numFmtId="0" fontId="0" fillId="2" borderId="0" xfId="0" applyFill="1" applyAlignment="1">
      <alignment horizontal="center"/>
    </xf>
    <xf numFmtId="0" fontId="7" fillId="0" borderId="0" xfId="0" applyFont="1" applyAlignment="1">
      <alignment horizontal="left"/>
    </xf>
    <xf numFmtId="0" fontId="7" fillId="2" borderId="0" xfId="0" applyFont="1" applyFill="1" applyAlignment="1">
      <alignment horizontal="left"/>
    </xf>
    <xf numFmtId="9" fontId="7" fillId="0" borderId="0" xfId="0" applyNumberFormat="1" applyFont="1" applyAlignment="1">
      <alignment horizontal="center"/>
    </xf>
    <xf numFmtId="0" fontId="7" fillId="2" borderId="0" xfId="0" applyFont="1" applyFill="1"/>
    <xf numFmtId="9" fontId="7" fillId="2" borderId="0" xfId="0" applyNumberFormat="1" applyFont="1" applyFill="1" applyAlignment="1">
      <alignment horizontal="center"/>
    </xf>
    <xf numFmtId="0" fontId="0" fillId="0" borderId="0" xfId="0" applyFont="1" applyAlignment="1">
      <alignment horizontal="left" vertical="center"/>
    </xf>
    <xf numFmtId="0" fontId="4" fillId="2" borderId="2" xfId="0" applyNumberFormat="1" applyFont="1" applyFill="1" applyBorder="1" applyAlignment="1">
      <alignment horizontal="left" indent="1"/>
    </xf>
    <xf numFmtId="0" fontId="7" fillId="0" borderId="0" xfId="0" applyFont="1" applyBorder="1" applyAlignment="1">
      <alignment horizontal="left"/>
    </xf>
    <xf numFmtId="0" fontId="0" fillId="0" borderId="0" xfId="0" applyBorder="1" applyAlignment="1">
      <alignment horizontal="center"/>
    </xf>
    <xf numFmtId="9" fontId="4" fillId="0" borderId="9" xfId="0" applyNumberFormat="1" applyFont="1" applyFill="1" applyBorder="1" applyAlignment="1">
      <alignment horizontal="center"/>
    </xf>
    <xf numFmtId="9" fontId="4" fillId="0" borderId="3" xfId="0" applyNumberFormat="1" applyFont="1" applyFill="1" applyBorder="1" applyAlignment="1">
      <alignment horizontal="center"/>
    </xf>
    <xf numFmtId="9" fontId="4" fillId="0" borderId="12" xfId="0" applyNumberFormat="1" applyFont="1" applyFill="1" applyBorder="1" applyAlignment="1">
      <alignment horizontal="center"/>
    </xf>
    <xf numFmtId="0" fontId="99" fillId="0" borderId="0" xfId="0" applyFont="1"/>
    <xf numFmtId="2" fontId="100" fillId="0" borderId="88" xfId="0" applyNumberFormat="1" applyFont="1" applyFill="1" applyBorder="1" applyAlignment="1">
      <alignment horizontal="center"/>
    </xf>
    <xf numFmtId="2" fontId="100" fillId="0" borderId="87" xfId="0" applyNumberFormat="1" applyFont="1" applyFill="1" applyBorder="1" applyAlignment="1">
      <alignment horizontal="center"/>
    </xf>
    <xf numFmtId="2" fontId="100" fillId="0" borderId="4" xfId="0" applyNumberFormat="1" applyFont="1" applyFill="1" applyBorder="1" applyAlignment="1">
      <alignment horizontal="center"/>
    </xf>
    <xf numFmtId="2" fontId="100" fillId="0" borderId="86" xfId="0" applyNumberFormat="1" applyFont="1" applyFill="1" applyBorder="1" applyAlignment="1">
      <alignment horizontal="center"/>
    </xf>
    <xf numFmtId="9" fontId="35" fillId="0" borderId="88" xfId="0" applyNumberFormat="1" applyFont="1" applyFill="1" applyBorder="1" applyAlignment="1">
      <alignment horizontal="center"/>
    </xf>
    <xf numFmtId="9" fontId="35" fillId="0" borderId="4" xfId="0" applyNumberFormat="1" applyFont="1" applyFill="1" applyBorder="1" applyAlignment="1">
      <alignment horizontal="center"/>
    </xf>
    <xf numFmtId="4" fontId="8" fillId="2" borderId="0" xfId="0" applyNumberFormat="1" applyFont="1" applyFill="1" applyAlignment="1">
      <alignment horizontal="right" indent="1"/>
    </xf>
    <xf numFmtId="3" fontId="8" fillId="0" borderId="0" xfId="0" applyNumberFormat="1" applyFont="1" applyAlignment="1">
      <alignment horizontal="center"/>
    </xf>
    <xf numFmtId="0" fontId="67" fillId="0" borderId="0" xfId="0" applyFont="1" applyAlignment="1">
      <alignment horizontal="center"/>
    </xf>
    <xf numFmtId="0" fontId="0" fillId="0" borderId="0" xfId="0" pivotButton="1"/>
    <xf numFmtId="0" fontId="0" fillId="0" borderId="0" xfId="0" applyNumberFormat="1"/>
    <xf numFmtId="0" fontId="0" fillId="0" borderId="0" xfId="0" applyFill="1" applyAlignment="1">
      <alignment horizontal="center"/>
    </xf>
    <xf numFmtId="14" fontId="67" fillId="0" borderId="0" xfId="0" applyNumberFormat="1" applyFont="1"/>
    <xf numFmtId="0" fontId="7" fillId="0" borderId="90" xfId="0" applyFont="1" applyFill="1" applyBorder="1" applyAlignment="1">
      <alignment horizontal="left" vertical="center"/>
    </xf>
    <xf numFmtId="0" fontId="98" fillId="3" borderId="90" xfId="0" applyFont="1" applyFill="1" applyBorder="1" applyAlignment="1">
      <alignment horizontal="center" vertical="center" wrapText="1"/>
    </xf>
    <xf numFmtId="0" fontId="7" fillId="0" borderId="91" xfId="0" applyFont="1" applyFill="1" applyBorder="1" applyAlignment="1">
      <alignment horizontal="left" vertical="center"/>
    </xf>
    <xf numFmtId="0" fontId="0" fillId="0" borderId="91" xfId="0" applyFont="1" applyFill="1" applyBorder="1" applyAlignment="1">
      <alignment horizontal="center" vertical="center"/>
    </xf>
    <xf numFmtId="0" fontId="7" fillId="13" borderId="91" xfId="0" applyFont="1" applyFill="1" applyBorder="1" applyAlignment="1">
      <alignment horizontal="left" vertical="center"/>
    </xf>
    <xf numFmtId="0" fontId="0" fillId="13" borderId="91" xfId="0" applyFont="1" applyFill="1" applyBorder="1" applyAlignment="1">
      <alignment horizontal="center" vertical="center"/>
    </xf>
    <xf numFmtId="0" fontId="7" fillId="19" borderId="91" xfId="0" applyFont="1" applyFill="1" applyBorder="1" applyAlignment="1">
      <alignment horizontal="left" vertical="center"/>
    </xf>
    <xf numFmtId="0" fontId="0" fillId="19" borderId="91" xfId="0" applyFont="1" applyFill="1" applyBorder="1" applyAlignment="1">
      <alignment horizontal="center" vertical="center"/>
    </xf>
    <xf numFmtId="0" fontId="7" fillId="0" borderId="92" xfId="0" applyFont="1" applyFill="1" applyBorder="1" applyAlignment="1">
      <alignment horizontal="left" vertical="center"/>
    </xf>
    <xf numFmtId="0" fontId="0" fillId="0" borderId="92" xfId="0" applyFont="1" applyFill="1" applyBorder="1" applyAlignment="1">
      <alignment horizontal="center" vertical="center"/>
    </xf>
    <xf numFmtId="0" fontId="7" fillId="0" borderId="93" xfId="0" applyFont="1" applyFill="1" applyBorder="1" applyAlignment="1">
      <alignment horizontal="left" vertical="center"/>
    </xf>
    <xf numFmtId="0" fontId="0" fillId="0" borderId="93" xfId="0" applyBorder="1" applyAlignment="1">
      <alignment horizontal="center" vertical="center"/>
    </xf>
    <xf numFmtId="0" fontId="0" fillId="20" borderId="0" xfId="0" applyFill="1"/>
    <xf numFmtId="0" fontId="0" fillId="21" borderId="0" xfId="0" applyFill="1"/>
    <xf numFmtId="0" fontId="102" fillId="21" borderId="0" xfId="0" applyFont="1" applyFill="1" applyAlignment="1">
      <alignment vertical="center"/>
    </xf>
    <xf numFmtId="0" fontId="0" fillId="21" borderId="0" xfId="0" applyFill="1" applyAlignment="1">
      <alignment vertical="center"/>
    </xf>
    <xf numFmtId="1" fontId="105" fillId="0" borderId="0" xfId="0" applyNumberFormat="1" applyFont="1" applyAlignment="1" applyProtection="1">
      <alignment horizontal="center"/>
      <protection locked="0"/>
    </xf>
    <xf numFmtId="0" fontId="0" fillId="2" borderId="0" xfId="0" applyFill="1"/>
    <xf numFmtId="1" fontId="13" fillId="0" borderId="0" xfId="0" applyNumberFormat="1" applyFont="1" applyFill="1" applyAlignment="1" applyProtection="1">
      <alignment horizontal="center"/>
      <protection locked="0"/>
    </xf>
    <xf numFmtId="14" fontId="71" fillId="2" borderId="0" xfId="0" applyNumberFormat="1" applyFont="1" applyFill="1" applyBorder="1" applyAlignment="1" applyProtection="1">
      <alignment horizontal="left" indent="1"/>
    </xf>
    <xf numFmtId="1" fontId="71" fillId="0" borderId="0" xfId="0" applyNumberFormat="1" applyFont="1" applyFill="1" applyBorder="1" applyAlignment="1" applyProtection="1">
      <alignment horizontal="left" indent="1"/>
    </xf>
    <xf numFmtId="1" fontId="0" fillId="0" borderId="0" xfId="0" applyNumberFormat="1"/>
    <xf numFmtId="1" fontId="0" fillId="0" borderId="0" xfId="0" applyNumberFormat="1" applyAlignment="1">
      <alignment horizontal="center"/>
    </xf>
    <xf numFmtId="0" fontId="13" fillId="2" borderId="0" xfId="0" applyFont="1" applyFill="1" applyAlignment="1">
      <alignment horizontal="left" indent="1"/>
    </xf>
    <xf numFmtId="1" fontId="71" fillId="0" borderId="0" xfId="0" applyNumberFormat="1" applyFont="1" applyFill="1" applyBorder="1" applyAlignment="1" applyProtection="1">
      <alignment horizontal="center" vertical="center"/>
      <protection locked="0"/>
    </xf>
    <xf numFmtId="1" fontId="71" fillId="0" borderId="0" xfId="0" applyNumberFormat="1" applyFont="1" applyFill="1" applyAlignment="1" applyProtection="1">
      <alignment horizontal="center" vertical="center"/>
      <protection locked="0"/>
    </xf>
    <xf numFmtId="1" fontId="75" fillId="0" borderId="0" xfId="0" applyNumberFormat="1" applyFont="1" applyFill="1" applyAlignment="1" applyProtection="1">
      <alignment horizontal="center" vertical="center"/>
      <protection locked="0"/>
    </xf>
    <xf numFmtId="1" fontId="13" fillId="0" borderId="0" xfId="0" applyNumberFormat="1" applyFont="1" applyFill="1" applyAlignment="1" applyProtection="1">
      <alignment horizontal="center" vertical="center"/>
      <protection locked="0"/>
    </xf>
    <xf numFmtId="0" fontId="0" fillId="2" borderId="0" xfId="0" applyFill="1" applyAlignment="1">
      <alignment horizontal="left" vertical="center" indent="1"/>
    </xf>
    <xf numFmtId="0" fontId="0" fillId="2" borderId="0" xfId="0" applyFill="1" applyAlignment="1">
      <alignment horizontal="left" indent="1"/>
    </xf>
    <xf numFmtId="14" fontId="4" fillId="2" borderId="2" xfId="0" applyNumberFormat="1" applyFont="1" applyFill="1" applyBorder="1" applyAlignment="1">
      <alignment horizontal="left" vertical="center" indent="1"/>
    </xf>
    <xf numFmtId="14" fontId="13" fillId="2" borderId="2" xfId="0" applyNumberFormat="1" applyFont="1" applyFill="1" applyBorder="1" applyAlignment="1">
      <alignment horizontal="left" vertical="center" indent="1"/>
    </xf>
    <xf numFmtId="14" fontId="13" fillId="2" borderId="0" xfId="0" applyNumberFormat="1" applyFont="1" applyFill="1" applyAlignment="1">
      <alignment horizontal="left" vertical="center" indent="1"/>
    </xf>
    <xf numFmtId="0" fontId="0" fillId="18" borderId="0" xfId="0" applyFill="1"/>
    <xf numFmtId="0" fontId="0" fillId="0" borderId="0" xfId="0" applyFill="1" applyAlignment="1">
      <alignment vertical="center"/>
    </xf>
    <xf numFmtId="0" fontId="101" fillId="0" borderId="0" xfId="0" applyFont="1" applyFill="1" applyAlignment="1">
      <alignment vertical="center"/>
    </xf>
    <xf numFmtId="0" fontId="0" fillId="8" borderId="0" xfId="0" applyFill="1"/>
    <xf numFmtId="0" fontId="32" fillId="8" borderId="0" xfId="0" applyFont="1" applyFill="1"/>
    <xf numFmtId="0" fontId="0" fillId="0" borderId="0" xfId="0" applyNumberFormat="1" applyAlignment="1" applyProtection="1">
      <alignment horizontal="center"/>
    </xf>
    <xf numFmtId="0" fontId="0" fillId="22" borderId="0" xfId="0" applyFill="1"/>
    <xf numFmtId="0" fontId="44" fillId="22" borderId="0" xfId="0" applyFont="1" applyFill="1"/>
    <xf numFmtId="0" fontId="110" fillId="22" borderId="0" xfId="0" applyFont="1" applyFill="1" applyAlignment="1">
      <alignment horizontal="center" vertical="center"/>
    </xf>
    <xf numFmtId="0" fontId="106" fillId="22" borderId="0" xfId="0" applyFont="1" applyFill="1" applyBorder="1" applyAlignment="1">
      <alignment vertical="center"/>
    </xf>
    <xf numFmtId="0" fontId="106" fillId="22" borderId="0" xfId="0" applyFont="1" applyFill="1" applyAlignment="1">
      <alignment vertical="center"/>
    </xf>
    <xf numFmtId="0" fontId="0" fillId="22" borderId="0" xfId="0" applyFont="1" applyFill="1" applyBorder="1"/>
    <xf numFmtId="0" fontId="109" fillId="22" borderId="0" xfId="0" applyFont="1" applyFill="1"/>
    <xf numFmtId="0" fontId="32" fillId="22" borderId="0" xfId="0" applyFont="1" applyFill="1"/>
    <xf numFmtId="0" fontId="108" fillId="22" borderId="0" xfId="0" applyFont="1" applyFill="1" applyAlignment="1">
      <alignment horizontal="left" vertical="center"/>
    </xf>
    <xf numFmtId="0" fontId="108" fillId="8" borderId="0" xfId="0" applyFont="1" applyFill="1" applyAlignment="1">
      <alignment horizontal="left" vertical="center"/>
    </xf>
    <xf numFmtId="0" fontId="109" fillId="8" borderId="0" xfId="0" applyFont="1" applyFill="1"/>
    <xf numFmtId="0" fontId="112" fillId="22" borderId="0" xfId="0" applyFont="1" applyFill="1" applyAlignment="1">
      <alignment horizontal="center" vertical="center"/>
    </xf>
    <xf numFmtId="0" fontId="0" fillId="23" borderId="0" xfId="0" applyFill="1"/>
    <xf numFmtId="0" fontId="107" fillId="23" borderId="0" xfId="0" applyFont="1" applyFill="1" applyAlignment="1">
      <alignment horizontal="center" vertical="center"/>
    </xf>
    <xf numFmtId="0" fontId="38" fillId="22" borderId="0" xfId="0" applyFont="1" applyFill="1"/>
    <xf numFmtId="1" fontId="113" fillId="22" borderId="0" xfId="0" applyNumberFormat="1" applyFont="1" applyFill="1" applyAlignment="1">
      <alignment horizontal="center" vertical="center"/>
    </xf>
    <xf numFmtId="0" fontId="16" fillId="22" borderId="0" xfId="0" applyFont="1" applyFill="1"/>
    <xf numFmtId="1" fontId="112" fillId="22" borderId="0" xfId="0" applyNumberFormat="1" applyFont="1" applyFill="1" applyAlignment="1">
      <alignment horizontal="center" vertical="center"/>
    </xf>
    <xf numFmtId="1" fontId="107" fillId="22" borderId="0" xfId="0" applyNumberFormat="1" applyFont="1" applyFill="1" applyAlignment="1">
      <alignment horizontal="center" vertical="center"/>
    </xf>
    <xf numFmtId="0" fontId="0" fillId="24" borderId="0" xfId="0" applyFill="1"/>
    <xf numFmtId="0" fontId="0" fillId="24" borderId="0" xfId="0" applyFill="1" applyAlignment="1">
      <alignment vertical="center"/>
    </xf>
    <xf numFmtId="0" fontId="32" fillId="24" borderId="0" xfId="0" applyFont="1" applyFill="1"/>
    <xf numFmtId="0" fontId="114" fillId="24" borderId="0" xfId="0" applyFont="1" applyFill="1" applyAlignment="1">
      <alignment vertical="center"/>
    </xf>
    <xf numFmtId="0" fontId="0" fillId="25" borderId="0" xfId="0" applyFill="1"/>
    <xf numFmtId="0" fontId="111" fillId="22" borderId="0" xfId="0" applyFont="1" applyFill="1" applyAlignment="1">
      <alignment vertical="center"/>
    </xf>
    <xf numFmtId="166" fontId="112" fillId="22" borderId="0" xfId="0" applyNumberFormat="1" applyFont="1" applyFill="1" applyAlignment="1">
      <alignment horizontal="center" vertical="center"/>
    </xf>
    <xf numFmtId="0" fontId="42" fillId="22" borderId="0" xfId="0" applyFont="1" applyFill="1" applyAlignment="1">
      <alignment horizontal="left" indent="1"/>
    </xf>
    <xf numFmtId="0" fontId="106" fillId="22" borderId="0" xfId="0" applyFont="1" applyFill="1" applyBorder="1" applyAlignment="1">
      <alignment vertical="center" wrapText="1"/>
    </xf>
    <xf numFmtId="0" fontId="106" fillId="22" borderId="0" xfId="0" applyFont="1" applyFill="1" applyAlignment="1">
      <alignment vertical="center" wrapText="1"/>
    </xf>
    <xf numFmtId="0" fontId="0" fillId="0" borderId="0" xfId="0" applyAlignment="1"/>
    <xf numFmtId="0" fontId="0" fillId="22" borderId="0" xfId="0" applyFill="1" applyAlignment="1">
      <alignment vertical="center"/>
    </xf>
    <xf numFmtId="0" fontId="44" fillId="22" borderId="0" xfId="0" applyFont="1" applyFill="1" applyAlignment="1"/>
    <xf numFmtId="0" fontId="0" fillId="5" borderId="0" xfId="0" applyFill="1"/>
    <xf numFmtId="0" fontId="44" fillId="5" borderId="0" xfId="0" applyFont="1" applyFill="1" applyAlignment="1"/>
    <xf numFmtId="0" fontId="0" fillId="2" borderId="0" xfId="0" applyFont="1" applyFill="1" applyBorder="1"/>
    <xf numFmtId="0" fontId="44" fillId="14" borderId="0" xfId="0" applyFont="1" applyFill="1" applyAlignment="1"/>
    <xf numFmtId="0" fontId="0" fillId="14" borderId="0" xfId="0" applyFill="1"/>
    <xf numFmtId="0" fontId="44" fillId="26" borderId="0" xfId="0" applyFont="1" applyFill="1" applyAlignment="1"/>
    <xf numFmtId="0" fontId="0" fillId="26" borderId="0" xfId="0" applyFill="1"/>
    <xf numFmtId="0" fontId="44" fillId="4" borderId="0" xfId="0" applyFont="1" applyFill="1" applyAlignment="1"/>
    <xf numFmtId="0" fontId="0" fillId="4" borderId="0" xfId="0" applyFill="1"/>
    <xf numFmtId="0" fontId="44" fillId="22" borderId="0" xfId="0" applyFont="1" applyFill="1" applyAlignment="1">
      <alignment vertical="center"/>
    </xf>
    <xf numFmtId="0" fontId="0" fillId="0" borderId="0" xfId="0" applyFill="1" applyAlignment="1"/>
    <xf numFmtId="0" fontId="0" fillId="2" borderId="0" xfId="0" applyFont="1" applyFill="1" applyBorder="1" applyAlignment="1"/>
    <xf numFmtId="0" fontId="54" fillId="0" borderId="0" xfId="0" applyFont="1" applyAlignment="1">
      <alignment horizontal="center" vertical="center"/>
    </xf>
    <xf numFmtId="0" fontId="0" fillId="27" borderId="94" xfId="0" applyFont="1" applyFill="1" applyBorder="1" applyAlignment="1">
      <alignment horizontal="center" vertical="center"/>
    </xf>
    <xf numFmtId="0" fontId="0" fillId="22" borderId="0" xfId="0" applyFill="1" applyBorder="1"/>
    <xf numFmtId="0" fontId="0" fillId="0" borderId="94" xfId="0" applyFont="1" applyFill="1" applyBorder="1" applyAlignment="1">
      <alignment horizontal="center" vertical="center"/>
    </xf>
    <xf numFmtId="0" fontId="0" fillId="0" borderId="94" xfId="0" applyBorder="1"/>
    <xf numFmtId="11" fontId="0" fillId="0" borderId="0" xfId="0" applyNumberFormat="1"/>
    <xf numFmtId="0" fontId="0" fillId="22" borderId="94" xfId="0" applyFont="1" applyFill="1" applyBorder="1" applyAlignment="1">
      <alignment horizontal="center" vertical="center"/>
    </xf>
    <xf numFmtId="0" fontId="55" fillId="0" borderId="0" xfId="0" applyFont="1" applyAlignment="1">
      <alignment vertical="center"/>
    </xf>
    <xf numFmtId="0" fontId="55" fillId="0" borderId="0" xfId="0" applyFont="1" applyAlignment="1">
      <alignment horizontal="center" vertical="center"/>
    </xf>
    <xf numFmtId="0" fontId="116" fillId="28" borderId="0" xfId="0" applyFont="1" applyFill="1"/>
    <xf numFmtId="0" fontId="115" fillId="28" borderId="0" xfId="0" applyFont="1" applyFill="1" applyAlignment="1">
      <alignment horizontal="center"/>
    </xf>
    <xf numFmtId="0" fontId="115" fillId="28" borderId="0" xfId="0" applyFont="1" applyFill="1" applyBorder="1" applyAlignment="1">
      <alignment horizontal="center"/>
    </xf>
    <xf numFmtId="0" fontId="0" fillId="22" borderId="95" xfId="0" applyFill="1" applyBorder="1"/>
    <xf numFmtId="0" fontId="0" fillId="0" borderId="95" xfId="0" applyBorder="1"/>
    <xf numFmtId="0" fontId="0" fillId="0" borderId="95" xfId="0" applyFill="1" applyBorder="1"/>
    <xf numFmtId="0" fontId="0" fillId="27" borderId="0" xfId="0" applyFont="1" applyFill="1" applyBorder="1" applyAlignment="1">
      <alignment vertical="center"/>
    </xf>
    <xf numFmtId="0" fontId="0" fillId="0" borderId="0" xfId="0" applyFont="1" applyFill="1" applyBorder="1" applyAlignment="1">
      <alignment vertical="center"/>
    </xf>
    <xf numFmtId="0" fontId="96" fillId="22" borderId="96" xfId="0" applyFont="1" applyFill="1" applyBorder="1" applyAlignment="1">
      <alignment horizontal="center" vertical="center"/>
    </xf>
    <xf numFmtId="0" fontId="96" fillId="0" borderId="96" xfId="0" applyFont="1" applyBorder="1" applyAlignment="1">
      <alignment horizontal="center" vertical="center"/>
    </xf>
    <xf numFmtId="0" fontId="96" fillId="0" borderId="96" xfId="0" applyFont="1" applyFill="1" applyBorder="1" applyAlignment="1">
      <alignment horizontal="center" vertical="center"/>
    </xf>
    <xf numFmtId="0" fontId="115" fillId="28" borderId="0" xfId="0" applyFont="1" applyFill="1" applyAlignment="1">
      <alignment horizontal="center" vertical="center"/>
    </xf>
    <xf numFmtId="0" fontId="116" fillId="28" borderId="0" xfId="0" applyFont="1" applyFill="1" applyAlignment="1">
      <alignment horizontal="center" vertical="center"/>
    </xf>
    <xf numFmtId="0" fontId="0" fillId="13" borderId="92" xfId="0" applyFont="1" applyFill="1" applyBorder="1" applyAlignment="1">
      <alignment horizontal="center" vertical="center"/>
    </xf>
    <xf numFmtId="10" fontId="0" fillId="13" borderId="92" xfId="0" applyNumberFormat="1" applyFont="1" applyFill="1" applyBorder="1" applyAlignment="1">
      <alignment horizontal="center" vertical="center"/>
    </xf>
    <xf numFmtId="10" fontId="0" fillId="0" borderId="92" xfId="0" applyNumberFormat="1" applyFont="1" applyFill="1" applyBorder="1" applyAlignment="1">
      <alignment horizontal="center" vertical="center"/>
    </xf>
    <xf numFmtId="1" fontId="86" fillId="29" borderId="0" xfId="0" applyNumberFormat="1" applyFont="1" applyFill="1" applyAlignment="1">
      <alignment horizontal="center" vertical="center"/>
    </xf>
    <xf numFmtId="1" fontId="86" fillId="2" borderId="0" xfId="0" applyNumberFormat="1" applyFont="1" applyFill="1" applyAlignment="1">
      <alignment horizontal="center" vertical="center"/>
    </xf>
    <xf numFmtId="0" fontId="11" fillId="0" borderId="0" xfId="0" applyFont="1" applyFill="1"/>
    <xf numFmtId="0" fontId="12" fillId="0" borderId="0" xfId="0" applyFont="1" applyFill="1" applyAlignment="1">
      <alignment horizontal="left"/>
    </xf>
    <xf numFmtId="0" fontId="12" fillId="0" borderId="0" xfId="0" applyFont="1" applyFill="1" applyAlignment="1">
      <alignment horizontal="left" vertical="center"/>
    </xf>
    <xf numFmtId="3" fontId="8" fillId="0" borderId="0" xfId="0" applyNumberFormat="1" applyFont="1" applyFill="1" applyBorder="1" applyAlignment="1">
      <alignment horizontal="center"/>
    </xf>
    <xf numFmtId="0" fontId="13" fillId="0" borderId="0" xfId="0" applyFont="1" applyFill="1" applyAlignment="1">
      <alignment horizontal="center"/>
    </xf>
    <xf numFmtId="9" fontId="117" fillId="0" borderId="0" xfId="0" applyNumberFormat="1" applyFont="1" applyFill="1" applyAlignment="1">
      <alignment horizontal="center" vertical="center"/>
    </xf>
    <xf numFmtId="14" fontId="0" fillId="0" borderId="55" xfId="0" applyNumberFormat="1" applyFont="1" applyBorder="1" applyAlignment="1">
      <alignment horizontal="center" vertical="center"/>
    </xf>
    <xf numFmtId="0" fontId="0" fillId="0" borderId="56" xfId="0" applyFont="1" applyBorder="1" applyAlignment="1">
      <alignment horizontal="center" vertical="center"/>
    </xf>
    <xf numFmtId="0" fontId="0" fillId="0" borderId="56" xfId="0" applyFont="1" applyBorder="1" applyAlignment="1">
      <alignment horizontal="left" vertical="center" wrapText="1"/>
    </xf>
    <xf numFmtId="0" fontId="0" fillId="0" borderId="56" xfId="0" applyFont="1" applyBorder="1" applyAlignment="1">
      <alignment horizontal="left" vertical="center"/>
    </xf>
    <xf numFmtId="0" fontId="0" fillId="0" borderId="57" xfId="0" applyFont="1" applyBorder="1" applyAlignment="1">
      <alignment horizontal="left" vertical="center"/>
    </xf>
    <xf numFmtId="14" fontId="0" fillId="0" borderId="60" xfId="0" applyNumberFormat="1" applyFont="1" applyBorder="1" applyAlignment="1">
      <alignment horizontal="center" vertical="center"/>
    </xf>
    <xf numFmtId="0" fontId="0" fillId="0" borderId="58" xfId="0" applyFont="1" applyBorder="1" applyAlignment="1">
      <alignment horizontal="center" vertical="center"/>
    </xf>
    <xf numFmtId="0" fontId="0" fillId="0" borderId="58" xfId="0" applyFont="1" applyBorder="1" applyAlignment="1">
      <alignment horizontal="left" vertical="center" wrapText="1"/>
    </xf>
    <xf numFmtId="0" fontId="0" fillId="0" borderId="58" xfId="0" applyFont="1" applyBorder="1" applyAlignment="1">
      <alignment horizontal="left" vertical="center"/>
    </xf>
    <xf numFmtId="0" fontId="0" fillId="0" borderId="61" xfId="0" applyFont="1" applyBorder="1" applyAlignment="1">
      <alignment horizontal="left" vertical="center"/>
    </xf>
    <xf numFmtId="0" fontId="47" fillId="0" borderId="0" xfId="0" applyFont="1" applyAlignment="1">
      <alignment horizontal="left" vertical="top" wrapText="1"/>
    </xf>
    <xf numFmtId="0" fontId="16" fillId="0" borderId="0" xfId="0" applyFont="1" applyAlignment="1">
      <alignment horizontal="left" vertical="top"/>
    </xf>
    <xf numFmtId="0" fontId="0" fillId="0" borderId="0" xfId="0" applyFont="1" applyAlignment="1">
      <alignment horizontal="left" vertical="top" wrapText="1"/>
    </xf>
    <xf numFmtId="0" fontId="0" fillId="0" borderId="0" xfId="0" applyFont="1" applyAlignment="1">
      <alignment horizontal="left" vertical="top"/>
    </xf>
    <xf numFmtId="0" fontId="44" fillId="2" borderId="0" xfId="0" applyFont="1" applyFill="1" applyAlignment="1">
      <alignment horizontal="left" vertical="center" indent="1"/>
    </xf>
    <xf numFmtId="0" fontId="5" fillId="2" borderId="52" xfId="0" applyFont="1" applyFill="1" applyBorder="1" applyAlignment="1">
      <alignment horizontal="center"/>
    </xf>
    <xf numFmtId="0" fontId="5" fillId="2" borderId="53" xfId="0" applyFont="1" applyFill="1" applyBorder="1" applyAlignment="1">
      <alignment horizontal="center"/>
    </xf>
    <xf numFmtId="0" fontId="5" fillId="2" borderId="54" xfId="0" applyFont="1" applyFill="1" applyBorder="1" applyAlignment="1">
      <alignment horizontal="center"/>
    </xf>
    <xf numFmtId="0" fontId="0" fillId="0" borderId="0" xfId="0" applyFont="1" applyAlignment="1">
      <alignment vertical="top" wrapText="1"/>
    </xf>
    <xf numFmtId="0" fontId="6" fillId="0" borderId="0" xfId="0" applyFont="1" applyAlignment="1">
      <alignment vertical="top" wrapText="1"/>
    </xf>
    <xf numFmtId="0" fontId="0" fillId="0" borderId="0" xfId="0" applyFont="1" applyAlignment="1">
      <alignment horizontal="left" vertical="center" wrapText="1"/>
    </xf>
    <xf numFmtId="0" fontId="6" fillId="0" borderId="0" xfId="0" applyFont="1" applyAlignment="1">
      <alignment horizontal="left" vertical="center" wrapText="1"/>
    </xf>
    <xf numFmtId="0" fontId="7" fillId="18" borderId="0" xfId="0" applyFont="1" applyFill="1" applyAlignment="1">
      <alignment horizontal="center"/>
    </xf>
    <xf numFmtId="0" fontId="7" fillId="13" borderId="0" xfId="0" applyFont="1" applyFill="1" applyAlignment="1">
      <alignment horizontal="center"/>
    </xf>
    <xf numFmtId="0" fontId="0" fillId="13" borderId="0" xfId="0" applyFill="1" applyAlignment="1">
      <alignment horizontal="center"/>
    </xf>
    <xf numFmtId="0" fontId="7" fillId="13" borderId="0" xfId="0" applyFont="1" applyFill="1" applyBorder="1" applyAlignment="1">
      <alignment horizontal="center"/>
    </xf>
    <xf numFmtId="0" fontId="7" fillId="0" borderId="92" xfId="0" applyFont="1" applyFill="1" applyBorder="1" applyAlignment="1">
      <alignment horizontal="center" vertical="center"/>
    </xf>
    <xf numFmtId="0" fontId="7" fillId="0" borderId="91" xfId="0" applyFont="1" applyFill="1" applyBorder="1" applyAlignment="1">
      <alignment horizontal="center" vertical="center"/>
    </xf>
    <xf numFmtId="0" fontId="7" fillId="0" borderId="92" xfId="0" applyFont="1" applyFill="1" applyBorder="1" applyAlignment="1">
      <alignment vertical="center"/>
    </xf>
    <xf numFmtId="0" fontId="7" fillId="0" borderId="91" xfId="0" applyFont="1" applyFill="1" applyBorder="1" applyAlignment="1">
      <alignment vertical="center"/>
    </xf>
    <xf numFmtId="14" fontId="97" fillId="0" borderId="92" xfId="0" applyNumberFormat="1" applyFont="1" applyFill="1" applyBorder="1" applyAlignment="1">
      <alignment horizontal="center" vertical="center"/>
    </xf>
    <xf numFmtId="14" fontId="97" fillId="0" borderId="91" xfId="0" applyNumberFormat="1" applyFont="1" applyFill="1" applyBorder="1" applyAlignment="1">
      <alignment horizontal="center" vertical="center"/>
    </xf>
    <xf numFmtId="0" fontId="7" fillId="13" borderId="91" xfId="0" applyFont="1" applyFill="1" applyBorder="1" applyAlignment="1">
      <alignment vertical="center"/>
    </xf>
    <xf numFmtId="14" fontId="97" fillId="13" borderId="91" xfId="0" applyNumberFormat="1" applyFont="1" applyFill="1" applyBorder="1" applyAlignment="1">
      <alignment horizontal="center" vertical="center"/>
    </xf>
    <xf numFmtId="0" fontId="7" fillId="0" borderId="93" xfId="0" applyFont="1" applyFill="1" applyBorder="1" applyAlignment="1">
      <alignment vertical="center"/>
    </xf>
    <xf numFmtId="0" fontId="7" fillId="0" borderId="93" xfId="0" applyFont="1" applyFill="1" applyBorder="1" applyAlignment="1">
      <alignment horizontal="center" vertical="center"/>
    </xf>
    <xf numFmtId="0" fontId="79" fillId="8" borderId="0" xfId="0" applyFont="1" applyFill="1" applyAlignment="1">
      <alignment horizontal="center"/>
    </xf>
    <xf numFmtId="0" fontId="79" fillId="5" borderId="0" xfId="0" applyFont="1" applyFill="1" applyAlignment="1">
      <alignment horizontal="center"/>
    </xf>
    <xf numFmtId="0" fontId="79" fillId="15" borderId="0" xfId="0" applyFont="1" applyFill="1" applyAlignment="1">
      <alignment horizontal="center"/>
    </xf>
    <xf numFmtId="0" fontId="79" fillId="14" borderId="0" xfId="0" applyFont="1" applyFill="1" applyAlignment="1">
      <alignment horizontal="center"/>
    </xf>
    <xf numFmtId="0" fontId="79" fillId="16" borderId="0" xfId="0" applyFont="1" applyFill="1" applyAlignment="1">
      <alignment horizontal="center"/>
    </xf>
    <xf numFmtId="0" fontId="0" fillId="0" borderId="0" xfId="0" applyFont="1" applyAlignment="1">
      <alignment horizontal="center"/>
    </xf>
    <xf numFmtId="0" fontId="0" fillId="0" borderId="0" xfId="0" applyFont="1" applyFill="1" applyAlignment="1">
      <alignment horizontal="center"/>
    </xf>
    <xf numFmtId="0" fontId="79" fillId="0" borderId="0" xfId="0" applyFont="1" applyAlignment="1">
      <alignment horizontal="center"/>
    </xf>
    <xf numFmtId="1" fontId="79" fillId="0" borderId="0" xfId="0" applyNumberFormat="1" applyFont="1" applyBorder="1" applyAlignment="1" applyProtection="1">
      <alignment horizontal="center" vertical="center"/>
      <protection locked="0"/>
    </xf>
    <xf numFmtId="1" fontId="79" fillId="0" borderId="0" xfId="0" applyNumberFormat="1" applyFont="1" applyAlignment="1" applyProtection="1">
      <alignment horizontal="center" vertical="center"/>
      <protection locked="0"/>
    </xf>
    <xf numFmtId="0" fontId="7" fillId="15" borderId="0" xfId="0" applyFont="1" applyFill="1" applyAlignment="1">
      <alignment horizontal="center"/>
    </xf>
    <xf numFmtId="0" fontId="7" fillId="14" borderId="0" xfId="0" applyFont="1" applyFill="1" applyAlignment="1">
      <alignment horizontal="center"/>
    </xf>
    <xf numFmtId="0" fontId="7" fillId="5" borderId="0" xfId="0" applyFont="1" applyFill="1" applyAlignment="1">
      <alignment horizontal="center"/>
    </xf>
    <xf numFmtId="0" fontId="7" fillId="8" borderId="0" xfId="0" applyFont="1" applyFill="1" applyAlignment="1">
      <alignment horizontal="center"/>
    </xf>
    <xf numFmtId="1" fontId="81" fillId="0" borderId="0" xfId="0" applyNumberFormat="1" applyFont="1" applyAlignment="1">
      <alignment horizontal="center"/>
    </xf>
    <xf numFmtId="1" fontId="79" fillId="0" borderId="58" xfId="0" applyNumberFormat="1" applyFont="1" applyBorder="1" applyAlignment="1" applyProtection="1">
      <alignment horizontal="center" vertical="center"/>
      <protection locked="0"/>
    </xf>
    <xf numFmtId="1" fontId="79" fillId="0" borderId="59" xfId="0" applyNumberFormat="1" applyFont="1" applyBorder="1" applyAlignment="1" applyProtection="1">
      <alignment horizontal="center" vertical="center"/>
      <protection locked="0"/>
    </xf>
    <xf numFmtId="0" fontId="81" fillId="0" borderId="58" xfId="0" applyFont="1" applyBorder="1" applyAlignment="1">
      <alignment horizontal="center" vertical="center"/>
    </xf>
    <xf numFmtId="0" fontId="81" fillId="0" borderId="0" xfId="0" applyFont="1" applyBorder="1" applyAlignment="1">
      <alignment horizontal="center" vertical="center"/>
    </xf>
    <xf numFmtId="0" fontId="91" fillId="3" borderId="58" xfId="0" applyFont="1" applyFill="1" applyBorder="1" applyAlignment="1">
      <alignment horizontal="center" vertical="center"/>
    </xf>
    <xf numFmtId="0" fontId="91" fillId="3" borderId="59" xfId="0" applyFont="1" applyFill="1" applyBorder="1" applyAlignment="1">
      <alignment horizontal="center" vertical="center"/>
    </xf>
    <xf numFmtId="0" fontId="25" fillId="3" borderId="0" xfId="0" applyFont="1" applyFill="1" applyAlignment="1">
      <alignment horizontal="center" vertical="center"/>
    </xf>
    <xf numFmtId="0" fontId="88" fillId="3" borderId="0" xfId="0" applyFont="1" applyFill="1" applyAlignment="1">
      <alignment horizontal="center" vertical="center"/>
    </xf>
    <xf numFmtId="0" fontId="89" fillId="3" borderId="58" xfId="0" applyFont="1" applyFill="1" applyBorder="1" applyAlignment="1">
      <alignment horizontal="left" vertical="center" indent="1"/>
    </xf>
    <xf numFmtId="0" fontId="89" fillId="3" borderId="59" xfId="0" applyFont="1" applyFill="1" applyBorder="1" applyAlignment="1">
      <alignment horizontal="left" vertical="center" indent="1"/>
    </xf>
    <xf numFmtId="0" fontId="90" fillId="13" borderId="58" xfId="0" applyFont="1" applyFill="1" applyBorder="1" applyAlignment="1">
      <alignment horizontal="left" vertical="center" indent="1"/>
    </xf>
    <xf numFmtId="0" fontId="90" fillId="13" borderId="59" xfId="0" applyFont="1" applyFill="1" applyBorder="1" applyAlignment="1">
      <alignment horizontal="left" vertical="center" indent="1"/>
    </xf>
    <xf numFmtId="0" fontId="89" fillId="3" borderId="58" xfId="0" applyFont="1" applyFill="1" applyBorder="1" applyAlignment="1">
      <alignment horizontal="center" vertical="center"/>
    </xf>
    <xf numFmtId="0" fontId="89" fillId="3" borderId="59" xfId="0" applyFont="1" applyFill="1" applyBorder="1" applyAlignment="1">
      <alignment horizontal="center" vertical="center"/>
    </xf>
    <xf numFmtId="0" fontId="90" fillId="13" borderId="58" xfId="0" applyFont="1" applyFill="1" applyBorder="1" applyAlignment="1">
      <alignment horizontal="center" vertical="center"/>
    </xf>
    <xf numFmtId="0" fontId="90" fillId="13" borderId="59" xfId="0" applyFont="1" applyFill="1" applyBorder="1" applyAlignment="1">
      <alignment horizontal="center" vertical="center"/>
    </xf>
    <xf numFmtId="0" fontId="80" fillId="8" borderId="0" xfId="0" applyFont="1" applyFill="1" applyAlignment="1">
      <alignment horizontal="center"/>
    </xf>
    <xf numFmtId="0" fontId="80" fillId="5" borderId="0" xfId="0" applyFont="1" applyFill="1" applyAlignment="1">
      <alignment horizontal="center"/>
    </xf>
    <xf numFmtId="0" fontId="80" fillId="15" borderId="0" xfId="0" applyFont="1" applyFill="1" applyAlignment="1">
      <alignment horizontal="center"/>
    </xf>
    <xf numFmtId="0" fontId="80" fillId="14" borderId="0" xfId="0" applyFont="1" applyFill="1" applyAlignment="1">
      <alignment horizontal="center"/>
    </xf>
    <xf numFmtId="0" fontId="80" fillId="16" borderId="0" xfId="0" applyFont="1" applyFill="1" applyAlignment="1">
      <alignment horizontal="center"/>
    </xf>
    <xf numFmtId="0" fontId="46" fillId="17" borderId="0" xfId="0" applyFont="1" applyFill="1" applyAlignment="1">
      <alignment horizontal="center" vertical="center"/>
    </xf>
    <xf numFmtId="0" fontId="46" fillId="5" borderId="0" xfId="0" applyFont="1" applyFill="1" applyAlignment="1">
      <alignment horizontal="center" vertical="center"/>
    </xf>
    <xf numFmtId="0" fontId="46" fillId="4" borderId="0" xfId="0" applyFont="1" applyFill="1" applyAlignment="1">
      <alignment horizontal="center" vertical="center"/>
    </xf>
    <xf numFmtId="0" fontId="46" fillId="11" borderId="0" xfId="0" applyFont="1" applyFill="1" applyAlignment="1">
      <alignment horizontal="center" vertical="center"/>
    </xf>
    <xf numFmtId="0" fontId="46" fillId="14" borderId="0" xfId="0" applyFont="1" applyFill="1" applyAlignment="1">
      <alignment horizontal="center" vertical="center"/>
    </xf>
    <xf numFmtId="17" fontId="56" fillId="0" borderId="65" xfId="0" applyNumberFormat="1" applyFont="1" applyBorder="1" applyAlignment="1">
      <alignment horizontal="center" vertical="center"/>
    </xf>
    <xf numFmtId="0" fontId="56" fillId="0" borderId="66" xfId="0" applyFont="1" applyBorder="1" applyAlignment="1">
      <alignment horizontal="center" vertical="center"/>
    </xf>
    <xf numFmtId="0" fontId="56" fillId="0" borderId="67" xfId="0" applyFont="1" applyBorder="1" applyAlignment="1">
      <alignment horizontal="center" vertical="center"/>
    </xf>
    <xf numFmtId="0" fontId="61" fillId="0" borderId="0" xfId="0" applyFont="1" applyFill="1" applyBorder="1" applyAlignment="1" applyProtection="1">
      <alignment horizontal="center" vertical="center" wrapText="1"/>
      <protection locked="0"/>
    </xf>
    <xf numFmtId="0" fontId="64" fillId="12" borderId="43" xfId="0" applyFont="1" applyFill="1" applyBorder="1" applyAlignment="1">
      <alignment horizontal="center" vertical="center"/>
    </xf>
    <xf numFmtId="0" fontId="64" fillId="12" borderId="44" xfId="0" applyFont="1" applyFill="1" applyBorder="1" applyAlignment="1">
      <alignment horizontal="center" vertical="center"/>
    </xf>
    <xf numFmtId="0" fontId="64" fillId="12" borderId="26" xfId="0" applyFont="1" applyFill="1" applyBorder="1" applyAlignment="1">
      <alignment horizontal="center" vertical="center"/>
    </xf>
    <xf numFmtId="0" fontId="64" fillId="12" borderId="36" xfId="0" applyFont="1" applyFill="1" applyBorder="1" applyAlignment="1">
      <alignment horizontal="center" vertical="center"/>
    </xf>
    <xf numFmtId="0" fontId="64" fillId="12" borderId="0" xfId="0" applyFont="1" applyFill="1" applyBorder="1" applyAlignment="1">
      <alignment horizontal="center" vertical="center"/>
    </xf>
    <xf numFmtId="0" fontId="64" fillId="12" borderId="28" xfId="0" applyFont="1" applyFill="1" applyBorder="1" applyAlignment="1">
      <alignment horizontal="center" vertical="center"/>
    </xf>
    <xf numFmtId="0" fontId="63" fillId="12" borderId="0" xfId="0" applyFont="1" applyFill="1" applyBorder="1" applyAlignment="1">
      <alignment horizontal="center" vertical="center"/>
    </xf>
    <xf numFmtId="0" fontId="62" fillId="12" borderId="46" xfId="0" applyFont="1" applyFill="1" applyBorder="1" applyAlignment="1">
      <alignment horizontal="center" vertical="center"/>
    </xf>
    <xf numFmtId="0" fontId="62" fillId="12" borderId="46" xfId="0" applyNumberFormat="1" applyFont="1" applyFill="1" applyBorder="1" applyAlignment="1">
      <alignment horizontal="center" vertical="center"/>
    </xf>
    <xf numFmtId="0" fontId="63" fillId="12" borderId="28" xfId="0" applyFont="1" applyFill="1" applyBorder="1" applyAlignment="1">
      <alignment horizontal="center" vertical="center"/>
    </xf>
    <xf numFmtId="0" fontId="62" fillId="12" borderId="47" xfId="0" applyNumberFormat="1" applyFont="1" applyFill="1" applyBorder="1" applyAlignment="1">
      <alignment horizontal="center" vertical="center"/>
    </xf>
    <xf numFmtId="0" fontId="40" fillId="0" borderId="37" xfId="0" applyNumberFormat="1" applyFont="1" applyFill="1" applyBorder="1" applyAlignment="1" applyProtection="1">
      <alignment horizontal="center" vertical="center" textRotation="90" wrapText="1"/>
      <protection locked="0"/>
    </xf>
    <xf numFmtId="0" fontId="40" fillId="0" borderId="20" xfId="0" applyNumberFormat="1" applyFont="1" applyFill="1" applyBorder="1" applyAlignment="1" applyProtection="1">
      <alignment horizontal="center" vertical="center" textRotation="90" wrapText="1"/>
      <protection locked="0"/>
    </xf>
    <xf numFmtId="0" fontId="40" fillId="0" borderId="38" xfId="0" applyNumberFormat="1" applyFont="1" applyFill="1" applyBorder="1" applyAlignment="1" applyProtection="1">
      <alignment horizontal="center" vertical="center" textRotation="90" wrapText="1"/>
      <protection locked="0"/>
    </xf>
    <xf numFmtId="0" fontId="40" fillId="0" borderId="17" xfId="0" applyNumberFormat="1" applyFont="1" applyFill="1" applyBorder="1" applyAlignment="1" applyProtection="1">
      <alignment horizontal="center" vertical="center" textRotation="90" wrapText="1"/>
      <protection locked="0"/>
    </xf>
    <xf numFmtId="0" fontId="40" fillId="0" borderId="39" xfId="0" applyNumberFormat="1" applyFont="1" applyFill="1" applyBorder="1" applyAlignment="1" applyProtection="1">
      <alignment horizontal="center" vertical="center" textRotation="90" wrapText="1"/>
      <protection locked="0"/>
    </xf>
    <xf numFmtId="0" fontId="40" fillId="0" borderId="19" xfId="0" applyNumberFormat="1" applyFont="1" applyFill="1" applyBorder="1" applyAlignment="1" applyProtection="1">
      <alignment horizontal="center" vertical="center" textRotation="90" wrapText="1"/>
      <protection locked="0"/>
    </xf>
    <xf numFmtId="0" fontId="41" fillId="0" borderId="46" xfId="0" applyFont="1" applyFill="1" applyBorder="1" applyAlignment="1" applyProtection="1">
      <alignment horizontal="center" vertical="center"/>
      <protection locked="0"/>
    </xf>
    <xf numFmtId="0" fontId="41" fillId="0" borderId="47" xfId="0" applyFont="1" applyFill="1" applyBorder="1" applyAlignment="1" applyProtection="1">
      <alignment horizontal="center" vertical="center"/>
      <protection locked="0"/>
    </xf>
    <xf numFmtId="14" fontId="41" fillId="0" borderId="45" xfId="0" applyNumberFormat="1" applyFont="1" applyFill="1" applyBorder="1" applyAlignment="1" applyProtection="1">
      <alignment horizontal="left" vertical="center" wrapText="1"/>
      <protection locked="0"/>
    </xf>
    <xf numFmtId="14" fontId="41" fillId="0" borderId="46" xfId="0" applyNumberFormat="1" applyFont="1" applyFill="1" applyBorder="1" applyAlignment="1" applyProtection="1">
      <alignment horizontal="left" vertical="center" wrapText="1"/>
      <protection locked="0"/>
    </xf>
    <xf numFmtId="0" fontId="33" fillId="0" borderId="36" xfId="0" applyFont="1" applyFill="1" applyBorder="1" applyAlignment="1" applyProtection="1">
      <alignment horizontal="center" vertical="center" wrapText="1"/>
      <protection locked="0"/>
    </xf>
    <xf numFmtId="0" fontId="33" fillId="0" borderId="0" xfId="0" applyFont="1" applyFill="1" applyBorder="1" applyAlignment="1" applyProtection="1">
      <alignment horizontal="center" vertical="center" wrapText="1"/>
      <protection locked="0"/>
    </xf>
    <xf numFmtId="0" fontId="33" fillId="0" borderId="28" xfId="0" applyFont="1" applyFill="1" applyBorder="1" applyAlignment="1" applyProtection="1">
      <alignment horizontal="center" vertical="center" wrapText="1"/>
      <protection locked="0"/>
    </xf>
    <xf numFmtId="0" fontId="42" fillId="0" borderId="43" xfId="0" applyFont="1" applyBorder="1" applyAlignment="1">
      <alignment horizontal="center"/>
    </xf>
    <xf numFmtId="0" fontId="42" fillId="0" borderId="44" xfId="0" applyFont="1" applyBorder="1" applyAlignment="1">
      <alignment horizontal="center"/>
    </xf>
    <xf numFmtId="0" fontId="42" fillId="0" borderId="26" xfId="0" applyFont="1" applyBorder="1" applyAlignment="1">
      <alignment horizontal="center"/>
    </xf>
    <xf numFmtId="0" fontId="30" fillId="12" borderId="40" xfId="0" applyNumberFormat="1" applyFont="1" applyFill="1" applyBorder="1" applyAlignment="1" applyProtection="1">
      <alignment horizontal="center" vertical="center" wrapText="1"/>
      <protection locked="0"/>
    </xf>
    <xf numFmtId="0" fontId="30" fillId="12" borderId="41" xfId="0" applyNumberFormat="1" applyFont="1" applyFill="1" applyBorder="1" applyAlignment="1" applyProtection="1">
      <alignment horizontal="center" vertical="center" wrapText="1"/>
      <protection locked="0"/>
    </xf>
    <xf numFmtId="0" fontId="30" fillId="12" borderId="42" xfId="0" applyNumberFormat="1" applyFont="1" applyFill="1" applyBorder="1" applyAlignment="1" applyProtection="1">
      <alignment horizontal="center" vertical="center" wrapText="1"/>
      <protection locked="0"/>
    </xf>
    <xf numFmtId="0" fontId="30" fillId="12" borderId="38" xfId="0" applyNumberFormat="1" applyFont="1" applyFill="1" applyBorder="1" applyAlignment="1" applyProtection="1">
      <alignment horizontal="center" vertical="center" textRotation="90"/>
      <protection locked="0"/>
    </xf>
    <xf numFmtId="0" fontId="30" fillId="12" borderId="17" xfId="0" applyNumberFormat="1" applyFont="1" applyFill="1" applyBorder="1" applyAlignment="1" applyProtection="1">
      <alignment horizontal="center" vertical="center" textRotation="90"/>
      <protection locked="0"/>
    </xf>
    <xf numFmtId="0" fontId="30" fillId="12" borderId="38" xfId="0" applyNumberFormat="1" applyFont="1" applyFill="1" applyBorder="1" applyAlignment="1" applyProtection="1">
      <alignment horizontal="center" vertical="center" textRotation="90" wrapText="1"/>
      <protection locked="0"/>
    </xf>
    <xf numFmtId="0" fontId="30" fillId="12" borderId="17" xfId="0" applyNumberFormat="1" applyFont="1" applyFill="1" applyBorder="1" applyAlignment="1" applyProtection="1">
      <alignment horizontal="center" vertical="center" textRotation="90" wrapText="1"/>
      <protection locked="0"/>
    </xf>
    <xf numFmtId="0" fontId="30" fillId="12" borderId="39" xfId="0" applyNumberFormat="1" applyFont="1" applyFill="1" applyBorder="1" applyAlignment="1" applyProtection="1">
      <alignment horizontal="center" vertical="center" textRotation="90" wrapText="1"/>
      <protection locked="0"/>
    </xf>
    <xf numFmtId="0" fontId="30" fillId="12" borderId="19" xfId="0" applyNumberFormat="1" applyFont="1" applyFill="1" applyBorder="1" applyAlignment="1" applyProtection="1">
      <alignment horizontal="center" vertical="center" textRotation="90" wrapText="1"/>
      <protection locked="0"/>
    </xf>
    <xf numFmtId="0" fontId="30" fillId="12" borderId="51" xfId="0" applyNumberFormat="1" applyFont="1" applyFill="1" applyBorder="1" applyAlignment="1" applyProtection="1">
      <alignment horizontal="center" vertical="center" textRotation="90" wrapText="1"/>
      <protection locked="0"/>
    </xf>
    <xf numFmtId="0" fontId="30" fillId="12" borderId="16" xfId="0" applyNumberFormat="1" applyFont="1" applyFill="1" applyBorder="1" applyAlignment="1" applyProtection="1">
      <alignment horizontal="center" vertical="center" textRotation="90" wrapText="1"/>
      <protection locked="0"/>
    </xf>
    <xf numFmtId="0" fontId="61" fillId="0" borderId="0" xfId="0" applyFont="1" applyFill="1" applyBorder="1" applyAlignment="1" applyProtection="1">
      <alignment horizontal="center" vertical="top" wrapText="1"/>
      <protection locked="0"/>
    </xf>
    <xf numFmtId="0" fontId="9" fillId="2" borderId="13" xfId="0" applyFont="1" applyFill="1" applyBorder="1" applyAlignment="1">
      <alignment horizontal="left"/>
    </xf>
    <xf numFmtId="14" fontId="4" fillId="2" borderId="7" xfId="0" applyNumberFormat="1" applyFont="1" applyFill="1" applyBorder="1" applyAlignment="1">
      <alignment horizontal="left" indent="1"/>
    </xf>
    <xf numFmtId="14" fontId="4" fillId="2" borderId="8" xfId="0" applyNumberFormat="1" applyFont="1" applyFill="1" applyBorder="1" applyAlignment="1">
      <alignment horizontal="left" indent="1"/>
    </xf>
    <xf numFmtId="0" fontId="38" fillId="2" borderId="0" xfId="0" applyFont="1" applyFill="1" applyAlignment="1">
      <alignment horizontal="left" vertical="center"/>
    </xf>
    <xf numFmtId="0" fontId="38" fillId="2" borderId="0" xfId="0" applyFont="1" applyFill="1" applyAlignment="1">
      <alignment horizontal="left" vertical="top"/>
    </xf>
    <xf numFmtId="0" fontId="38" fillId="2" borderId="0" xfId="0" applyFont="1" applyFill="1" applyAlignment="1">
      <alignment horizontal="center" vertical="center"/>
    </xf>
    <xf numFmtId="14" fontId="4" fillId="2" borderId="0" xfId="0" applyNumberFormat="1" applyFont="1" applyFill="1" applyBorder="1" applyAlignment="1">
      <alignment horizontal="left" indent="1"/>
    </xf>
    <xf numFmtId="14" fontId="4" fillId="2" borderId="2" xfId="0" applyNumberFormat="1" applyFont="1" applyFill="1" applyBorder="1" applyAlignment="1">
      <alignment horizontal="left" indent="1"/>
    </xf>
    <xf numFmtId="14" fontId="4" fillId="2" borderId="10" xfId="0" applyNumberFormat="1" applyFont="1" applyFill="1" applyBorder="1" applyAlignment="1">
      <alignment horizontal="left" indent="1"/>
    </xf>
    <xf numFmtId="14" fontId="4" fillId="2" borderId="11" xfId="0" applyNumberFormat="1" applyFont="1" applyFill="1" applyBorder="1" applyAlignment="1">
      <alignment horizontal="left" indent="1"/>
    </xf>
    <xf numFmtId="0" fontId="14" fillId="2" borderId="0" xfId="0" applyFont="1" applyFill="1" applyAlignment="1">
      <alignment horizontal="left" vertical="center"/>
    </xf>
    <xf numFmtId="14" fontId="15" fillId="2" borderId="0" xfId="0" applyNumberFormat="1" applyFont="1" applyFill="1" applyAlignment="1">
      <alignment horizontal="left" vertical="center"/>
    </xf>
    <xf numFmtId="0" fontId="18" fillId="2" borderId="0" xfId="0" applyFont="1" applyFill="1" applyAlignment="1">
      <alignment horizontal="right" vertical="center"/>
    </xf>
    <xf numFmtId="0" fontId="59" fillId="2" borderId="0" xfId="0" applyFont="1" applyFill="1" applyAlignment="1">
      <alignment horizontal="center" vertical="center"/>
    </xf>
    <xf numFmtId="0" fontId="60" fillId="3" borderId="0" xfId="0" applyFont="1" applyFill="1" applyAlignment="1">
      <alignment horizontal="center" vertical="center"/>
    </xf>
    <xf numFmtId="0" fontId="54" fillId="0" borderId="0" xfId="0" applyFont="1" applyAlignment="1">
      <alignment horizontal="right" vertical="center"/>
    </xf>
    <xf numFmtId="14" fontId="54" fillId="0" borderId="0" xfId="0" applyNumberFormat="1" applyFont="1" applyAlignment="1">
      <alignment horizontal="center" vertical="center"/>
    </xf>
    <xf numFmtId="0" fontId="0" fillId="0" borderId="0" xfId="0" applyAlignment="1">
      <alignment horizontal="left" vertical="top" wrapText="1"/>
    </xf>
    <xf numFmtId="0" fontId="55" fillId="0" borderId="0" xfId="0" applyFont="1" applyAlignment="1">
      <alignment horizontal="left" wrapText="1"/>
    </xf>
    <xf numFmtId="0" fontId="50" fillId="12" borderId="0" xfId="1" applyFont="1" applyFill="1" applyAlignment="1">
      <alignment horizontal="center" vertical="center"/>
    </xf>
    <xf numFmtId="0" fontId="52" fillId="12" borderId="0" xfId="1" applyFont="1" applyFill="1" applyAlignment="1">
      <alignment horizontal="center" vertical="center" wrapText="1"/>
    </xf>
    <xf numFmtId="0" fontId="50" fillId="12" borderId="0" xfId="1" applyFont="1" applyFill="1" applyAlignment="1">
      <alignment horizontal="center" vertical="center" wrapText="1"/>
    </xf>
    <xf numFmtId="0" fontId="16" fillId="2" borderId="0" xfId="0" applyFont="1" applyFill="1" applyAlignment="1">
      <alignment horizontal="center" vertical="center"/>
    </xf>
    <xf numFmtId="14" fontId="7" fillId="2" borderId="0" xfId="0" applyNumberFormat="1" applyFont="1" applyFill="1" applyAlignment="1">
      <alignment horizontal="center" vertical="center"/>
    </xf>
    <xf numFmtId="0" fontId="96" fillId="2" borderId="0" xfId="0" applyNumberFormat="1" applyFont="1" applyFill="1" applyAlignment="1">
      <alignment horizontal="left" vertical="center" wrapText="1"/>
    </xf>
    <xf numFmtId="0" fontId="50" fillId="3" borderId="0" xfId="0" applyFont="1" applyFill="1" applyAlignment="1">
      <alignment horizontal="center" vertical="center"/>
    </xf>
    <xf numFmtId="0" fontId="98" fillId="3" borderId="0" xfId="0" applyFont="1" applyFill="1" applyAlignment="1">
      <alignment horizontal="center"/>
    </xf>
    <xf numFmtId="14" fontId="95" fillId="2" borderId="0" xfId="0" applyNumberFormat="1" applyFont="1" applyFill="1" applyAlignment="1">
      <alignment horizontal="left" vertical="top"/>
    </xf>
    <xf numFmtId="0" fontId="94" fillId="2" borderId="0" xfId="0" applyFont="1" applyFill="1" applyAlignment="1">
      <alignment horizontal="left" vertical="center"/>
    </xf>
    <xf numFmtId="0" fontId="98" fillId="3" borderId="0" xfId="0" applyFont="1" applyFill="1" applyAlignment="1">
      <alignment horizontal="left" vertical="center"/>
    </xf>
    <xf numFmtId="0" fontId="97" fillId="18" borderId="0" xfId="0" applyFont="1" applyFill="1" applyAlignment="1">
      <alignment horizontal="left" vertical="center" wrapText="1"/>
    </xf>
    <xf numFmtId="0" fontId="101" fillId="0" borderId="0" xfId="0" applyFont="1" applyFill="1" applyAlignment="1">
      <alignment horizontal="left" vertical="center"/>
    </xf>
  </cellXfs>
  <cellStyles count="4">
    <cellStyle name="Lien hypertexte" xfId="1" builtinId="8"/>
    <cellStyle name="Lien hypertexte visité" xfId="2" builtinId="9" hidden="1"/>
    <cellStyle name="Lien hypertexte visité" xfId="3" builtinId="9" hidden="1"/>
    <cellStyle name="Normal" xfId="0" builtinId="0" customBuiltin="1"/>
  </cellStyles>
  <dxfs count="778">
    <dxf>
      <alignment horizontal="center" vertical="bottom" textRotation="0" wrapText="0" indent="0" justifyLastLine="0" shrinkToFit="0" readingOrder="0"/>
    </dxf>
    <dxf>
      <alignment horizontal="center" vertical="bottom" textRotation="0" wrapText="0" indent="0" justifyLastLine="0" shrinkToFit="0" readingOrder="0"/>
    </dxf>
    <dxf>
      <alignment horizontal="center" vertical="bottom" textRotation="0" wrapText="0" indent="0" justifyLastLine="0" shrinkToFit="0" readingOrder="0"/>
    </dxf>
    <dxf>
      <alignment horizontal="center" vertical="bottom" textRotation="0" wrapText="0" indent="0" justifyLastLine="0" shrinkToFit="0" readingOrder="0"/>
    </dxf>
    <dxf>
      <alignment horizontal="center" vertical="center" textRotation="0" wrapText="0" indent="0" justifyLastLine="0" shrinkToFit="0"/>
    </dxf>
    <dxf>
      <alignment horizontal="center" vertical="center" textRotation="0" wrapText="0" indent="0" justifyLastLine="0" shrinkToFit="0"/>
    </dxf>
    <dxf>
      <alignment horizontal="center" vertical="bottom" textRotation="0" wrapText="0" indent="0" justifyLastLine="0" shrinkToFit="0"/>
    </dxf>
    <dxf>
      <alignment horizontal="center" vertical="bottom" textRotation="0" wrapText="0" indent="0" justifyLastLine="0" shrinkToFit="0"/>
    </dxf>
    <dxf>
      <alignment horizontal="center" vertical="bottom" textRotation="0" wrapText="0" indent="0" justifyLastLine="0" shrinkToFit="0"/>
    </dxf>
    <dxf>
      <font>
        <b/>
        <i val="0"/>
        <strike val="0"/>
        <condense val="0"/>
        <extend val="0"/>
        <outline val="0"/>
        <shadow val="0"/>
        <u val="none"/>
        <vertAlign val="baseline"/>
        <sz val="10"/>
        <color theme="1"/>
        <name val="Calibri"/>
        <scheme val="minor"/>
      </font>
    </dxf>
    <dxf>
      <font>
        <color auto="1"/>
      </font>
      <fill>
        <patternFill>
          <bgColor rgb="FF00B0F0"/>
        </patternFill>
      </fill>
    </dxf>
    <dxf>
      <font>
        <b/>
        <i val="0"/>
        <strike val="0"/>
        <color auto="1"/>
      </font>
      <fill>
        <patternFill>
          <bgColor theme="5"/>
        </patternFill>
      </fill>
    </dxf>
    <dxf>
      <font>
        <b/>
        <i val="0"/>
        <color auto="1"/>
      </font>
      <fill>
        <patternFill>
          <bgColor theme="5"/>
        </patternFill>
      </fill>
    </dxf>
    <dxf>
      <alignment horizontal="left" vertical="bottom" textRotation="0" wrapText="0" indent="0" justifyLastLine="0" shrinkToFit="0"/>
      <protection locked="0" hidden="0"/>
    </dxf>
    <dxf>
      <alignment horizontal="left" vertical="bottom" textRotation="0" wrapText="0" indent="0" justifyLastLine="0" shrinkToFit="0"/>
      <protection locked="0" hidden="0"/>
    </dxf>
    <dxf>
      <alignment horizontal="center" vertical="bottom" textRotation="0" wrapText="0" indent="0" justifyLastLine="0" shrinkToFit="0" readingOrder="0"/>
      <protection locked="0" hidden="0"/>
    </dxf>
    <dxf>
      <alignment horizontal="left" vertical="bottom" textRotation="0" wrapText="0" indent="0" justifyLastLine="0" shrinkToFit="0"/>
      <protection locked="0" hidden="0"/>
    </dxf>
    <dxf>
      <numFmt numFmtId="165" formatCode="0.0"/>
      <alignment horizontal="left" vertical="bottom" textRotation="0" wrapText="0" indent="0" justifyLastLine="0" shrinkToFit="0"/>
      <protection locked="0" hidden="0"/>
    </dxf>
    <dxf>
      <numFmt numFmtId="165" formatCode="0.0"/>
      <alignment horizontal="left" vertical="bottom" textRotation="0" wrapText="0" indent="0" justifyLastLine="0" shrinkToFit="0"/>
      <protection locked="0" hidden="0"/>
    </dxf>
    <dxf>
      <numFmt numFmtId="165" formatCode="0.0"/>
      <alignment horizontal="left" vertical="bottom" textRotation="0" wrapText="0" indent="0" justifyLastLine="0" shrinkToFit="0" readingOrder="0"/>
      <protection locked="0" hidden="0"/>
    </dxf>
    <dxf>
      <alignment horizontal="left" vertical="bottom" textRotation="0" wrapText="0" indent="0" justifyLastLine="0" shrinkToFit="0" readingOrder="0"/>
      <protection locked="0" hidden="0"/>
    </dxf>
    <dxf>
      <alignment horizontal="left" vertical="bottom" textRotation="0" wrapText="0" indent="0" justifyLastLine="0" shrinkToFit="0"/>
      <protection locked="0" hidden="0"/>
    </dxf>
    <dxf>
      <alignment horizontal="left" vertical="bottom" textRotation="0" wrapText="0" indent="0" justifyLastLine="0" shrinkToFit="0"/>
      <protection locked="0" hidden="0"/>
    </dxf>
    <dxf>
      <alignment horizontal="left" vertical="bottom" textRotation="0" wrapText="0" indent="0" justifyLastLine="0" shrinkToFit="0"/>
      <protection locked="0" hidden="0"/>
    </dxf>
    <dxf>
      <alignment horizontal="left" vertical="bottom" textRotation="0" wrapText="0" indent="0" justifyLastLine="0" shrinkToFit="0"/>
      <protection locked="0" hidden="0"/>
    </dxf>
    <dxf>
      <alignment horizontal="left" vertical="bottom" textRotation="0" wrapText="0" indent="0" justifyLastLine="0" shrinkToFit="0"/>
      <protection locked="0" hidden="0"/>
    </dxf>
    <dxf>
      <alignment horizontal="left" vertical="bottom" textRotation="0" wrapText="0" indent="0" justifyLastLine="0" shrinkToFit="0"/>
      <protection locked="0" hidden="0"/>
    </dxf>
    <dxf>
      <alignment horizontal="left" vertical="bottom" textRotation="0" wrapText="0" indent="0" justifyLastLine="0" shrinkToFit="0"/>
      <protection locked="0" hidden="0"/>
    </dxf>
    <dxf>
      <numFmt numFmtId="0" formatCode="General"/>
      <alignment horizontal="center" vertical="bottom" textRotation="0" wrapText="0" indent="0" justifyLastLine="0" shrinkToFit="0" readingOrder="0"/>
      <protection locked="1" hidden="0"/>
    </dxf>
    <dxf>
      <numFmt numFmtId="19" formatCode="dd/mm/yyyy"/>
      <alignment horizontal="left" vertical="bottom" textRotation="0" wrapText="0" indent="0" justifyLastLine="0" shrinkToFit="0"/>
      <protection locked="0" hidden="0"/>
    </dxf>
    <dxf>
      <protection locked="0" hidden="0"/>
    </dxf>
    <dxf>
      <alignment horizontal="center" vertical="center" textRotation="0" wrapText="0" indent="0" justifyLastLine="0" shrinkToFit="0" readingOrder="0"/>
    </dxf>
    <dxf>
      <font>
        <b val="0"/>
        <strike val="0"/>
        <outline val="0"/>
        <shadow val="0"/>
        <u val="none"/>
        <vertAlign val="baseline"/>
        <sz val="10"/>
        <color theme="1"/>
        <name val="Calibri"/>
        <scheme val="minor"/>
      </font>
      <numFmt numFmtId="30" formatCode="@"/>
      <alignment horizontal="left" vertical="center" textRotation="0" wrapText="1" indent="0" justifyLastLine="0" shrinkToFit="0" readingOrder="0"/>
    </dxf>
    <dxf>
      <font>
        <b val="0"/>
        <strike val="0"/>
        <outline val="0"/>
        <shadow val="0"/>
        <u val="none"/>
        <vertAlign val="baseline"/>
        <sz val="10"/>
        <color theme="1"/>
        <name val="Calibri"/>
        <scheme val="minor"/>
      </font>
      <numFmt numFmtId="30" formatCode="@"/>
      <alignment horizontal="left" vertical="center" textRotation="0" wrapText="1" indent="0" justifyLastLine="0" shrinkToFit="0" readingOrder="0"/>
    </dxf>
    <dxf>
      <font>
        <b val="0"/>
        <strike val="0"/>
        <outline val="0"/>
        <shadow val="0"/>
        <u val="none"/>
        <vertAlign val="baseline"/>
        <sz val="10"/>
        <color theme="1"/>
        <name val="Calibri"/>
        <scheme val="minor"/>
      </font>
      <numFmt numFmtId="30" formatCode="@"/>
      <alignment horizontal="left" vertical="center" textRotation="0" wrapText="1" indent="0" justifyLastLine="0" shrinkToFit="0" readingOrder="0"/>
    </dxf>
    <dxf>
      <font>
        <b val="0"/>
        <strike val="0"/>
        <outline val="0"/>
        <shadow val="0"/>
        <u val="none"/>
        <vertAlign val="baseline"/>
        <sz val="10"/>
        <color theme="1"/>
        <name val="Calibri"/>
        <scheme val="minor"/>
      </font>
      <numFmt numFmtId="30" formatCode="@"/>
      <alignment horizontal="left" vertical="center" textRotation="0" wrapText="1" indent="0" justifyLastLine="0" shrinkToFit="0" readingOrder="0"/>
    </dxf>
    <dxf>
      <font>
        <b val="0"/>
        <strike val="0"/>
        <outline val="0"/>
        <shadow val="0"/>
        <u val="none"/>
        <vertAlign val="baseline"/>
        <sz val="10"/>
        <color theme="1"/>
        <name val="Calibri"/>
        <scheme val="minor"/>
      </font>
      <numFmt numFmtId="30" formatCode="@"/>
      <alignment horizontal="left" vertical="center" textRotation="0" wrapText="1" indent="0" justifyLastLine="0" shrinkToFit="0" readingOrder="0"/>
    </dxf>
    <dxf>
      <font>
        <b val="0"/>
        <strike val="0"/>
        <outline val="0"/>
        <shadow val="0"/>
        <u val="none"/>
        <vertAlign val="baseline"/>
        <sz val="10"/>
        <color theme="1"/>
        <name val="Calibri"/>
        <scheme val="minor"/>
      </font>
      <numFmt numFmtId="30" formatCode="@"/>
      <alignment horizontal="left" vertical="center" textRotation="0" wrapText="1" indent="0" justifyLastLine="0" shrinkToFit="0" readingOrder="0"/>
    </dxf>
    <dxf>
      <font>
        <b val="0"/>
        <strike val="0"/>
        <outline val="0"/>
        <shadow val="0"/>
        <u val="none"/>
        <vertAlign val="baseline"/>
        <sz val="10"/>
        <color theme="1"/>
        <name val="Calibri"/>
        <scheme val="minor"/>
      </font>
      <numFmt numFmtId="30" formatCode="@"/>
      <alignment horizontal="left" vertical="center" textRotation="0" wrapText="1" indent="0" justifyLastLine="0" shrinkToFit="0" readingOrder="0"/>
    </dxf>
    <dxf>
      <font>
        <b val="0"/>
        <strike val="0"/>
        <outline val="0"/>
        <shadow val="0"/>
        <u val="none"/>
        <vertAlign val="baseline"/>
        <sz val="10"/>
        <color theme="1"/>
        <name val="Calibri"/>
        <scheme val="minor"/>
      </font>
      <numFmt numFmtId="30" formatCode="@"/>
      <alignment horizontal="left" vertical="center" textRotation="0" wrapText="1" indent="0" justifyLastLine="0" shrinkToFit="0" readingOrder="0"/>
    </dxf>
    <dxf>
      <font>
        <b val="0"/>
        <strike val="0"/>
        <outline val="0"/>
        <shadow val="0"/>
        <u val="none"/>
        <vertAlign val="baseline"/>
        <sz val="10"/>
        <color theme="1"/>
        <name val="Calibri"/>
        <scheme val="minor"/>
      </font>
      <numFmt numFmtId="30" formatCode="@"/>
      <alignment horizontal="left" vertical="center" textRotation="0" wrapText="1" indent="0" justifyLastLine="0" shrinkToFit="0" readingOrder="0"/>
    </dxf>
    <dxf>
      <font>
        <b val="0"/>
        <i val="0"/>
        <strike val="0"/>
        <condense val="0"/>
        <extend val="0"/>
        <outline val="0"/>
        <shadow val="0"/>
        <u val="none"/>
        <vertAlign val="baseline"/>
        <sz val="10"/>
        <color theme="1"/>
        <name val="Calibri"/>
        <scheme val="minor"/>
      </font>
      <alignment horizontal="center" vertical="center" textRotation="90" wrapText="0" indent="0" justifyLastLine="0" shrinkToFit="0" readingOrder="0"/>
    </dxf>
    <dxf>
      <font>
        <b/>
      </font>
      <alignment vertical="center" textRotation="0" wrapText="0" indent="0" justifyLastLine="0" shrinkToFit="0" readingOrder="0"/>
    </dxf>
    <dxf>
      <alignment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
      <numFmt numFmtId="0" formatCode="General"/>
      <alignment horizontal="left" vertical="bottom" textRotation="0" wrapText="0" indent="1" justifyLastLine="0" shrinkToFit="0" readingOrder="0"/>
    </dxf>
    <dxf>
      <alignment horizontal="center" vertical="bottom" textRotation="0" wrapText="0" indent="0" justifyLastLine="0" shrinkToFit="0" readingOrder="0"/>
    </dxf>
    <dxf>
      <alignment horizontal="center" vertical="bottom" textRotation="0" wrapText="0" indent="0" justifyLastLine="0" shrinkToFit="0" readingOrder="0"/>
    </dxf>
    <dxf>
      <alignment horizontal="left" vertical="bottom" textRotation="0" wrapText="0" indent="1" justifyLastLine="0" shrinkToFit="0" readingOrder="0"/>
    </dxf>
    <dxf>
      <numFmt numFmtId="2" formatCode="0.00"/>
      <alignment horizontal="center" vertical="bottom" textRotation="0" wrapText="0" indent="0" justifyLastLine="0" shrinkToFit="0" readingOrder="0"/>
    </dxf>
    <dxf>
      <alignment horizontal="left" vertical="bottom" textRotation="0" wrapText="0" indent="1" justifyLastLine="0" shrinkToFit="0" readingOrder="0"/>
    </dxf>
    <dxf>
      <alignment horizontal="center" vertical="bottom" textRotation="0" wrapText="0" indent="0" justifyLastLine="0" shrinkToFit="0" readingOrder="0"/>
    </dxf>
    <dxf>
      <alignment horizontal="center" vertical="bottom" textRotation="0" wrapText="0" indent="0" justifyLastLine="0" shrinkToFit="0" readingOrder="0"/>
    </dxf>
    <dxf>
      <alignment horizontal="center" vertical="bottom" textRotation="0" wrapText="0" indent="0" justifyLastLine="0" shrinkToFit="0" readingOrder="0"/>
    </dxf>
    <dxf>
      <alignment horizontal="left" vertical="bottom" textRotation="0" wrapText="0" indent="1" justifyLastLine="0" shrinkToFit="0" readingOrder="0"/>
    </dxf>
    <dxf>
      <alignment horizontal="center" vertical="bottom" textRotation="0" wrapText="0" indent="0" justifyLastLine="0" shrinkToFit="0" readingOrder="0"/>
    </dxf>
    <dxf>
      <alignment horizontal="center" vertical="bottom" textRotation="0" wrapText="0" indent="0" justifyLastLine="0" shrinkToFit="0" readingOrder="0"/>
    </dxf>
    <dxf>
      <alignment horizontal="left" vertical="bottom" textRotation="0" wrapText="0" indent="1" justifyLastLine="0" shrinkToFit="0" readingOrder="0"/>
    </dxf>
    <dxf>
      <alignment horizontal="center" vertical="bottom" textRotation="0" wrapText="0" indent="0" justifyLastLine="0" shrinkToFit="0"/>
    </dxf>
    <dxf>
      <alignment horizontal="center" vertical="bottom" textRotation="0" wrapText="0" indent="0" justifyLastLine="0" shrinkToFit="0"/>
    </dxf>
    <dxf>
      <alignment horizontal="left" vertical="bottom" textRotation="0" wrapText="0" relativeIndent="1" justifyLastLine="0" shrinkToFit="0"/>
    </dxf>
    <dxf>
      <font>
        <b val="0"/>
        <strike val="0"/>
        <outline val="0"/>
        <shadow val="0"/>
        <u val="none"/>
        <vertAlign val="baseline"/>
        <sz val="10"/>
        <color theme="1"/>
        <name val="Calibri"/>
        <scheme val="minor"/>
      </font>
      <numFmt numFmtId="13" formatCode="0%"/>
      <alignment horizontal="center" vertical="center" textRotation="0" wrapText="0" indent="0" justifyLastLine="0" shrinkToFit="0" readingOrder="0"/>
    </dxf>
    <dxf>
      <font>
        <b val="0"/>
        <strike val="0"/>
        <outline val="0"/>
        <shadow val="0"/>
        <u val="none"/>
        <vertAlign val="baseline"/>
        <sz val="10"/>
        <color theme="1"/>
        <name val="Calibri"/>
        <scheme val="minor"/>
      </font>
      <numFmt numFmtId="13" formatCode="0%"/>
      <alignment horizontal="center" vertical="center" textRotation="0" wrapText="0" indent="0" justifyLastLine="0" shrinkToFit="0" readingOrder="0"/>
    </dxf>
    <dxf>
      <font>
        <b val="0"/>
        <strike val="0"/>
        <outline val="0"/>
        <shadow val="0"/>
        <u val="none"/>
        <vertAlign val="baseline"/>
        <sz val="10"/>
        <color theme="1"/>
        <name val="Calibri"/>
        <scheme val="minor"/>
      </font>
      <numFmt numFmtId="13" formatCode="0%"/>
      <alignment horizontal="center" vertical="center" textRotation="0" wrapText="0" indent="0" justifyLastLine="0" shrinkToFit="0" readingOrder="0"/>
    </dxf>
    <dxf>
      <font>
        <b val="0"/>
        <strike val="0"/>
        <outline val="0"/>
        <shadow val="0"/>
        <u val="none"/>
        <vertAlign val="baseline"/>
        <sz val="10"/>
        <color theme="1"/>
        <name val="Calibri"/>
        <scheme val="minor"/>
      </font>
      <numFmt numFmtId="13" formatCode="0%"/>
      <alignment horizontal="center" vertical="center" textRotation="0" wrapText="0" indent="0" justifyLastLine="0" shrinkToFit="0" readingOrder="0"/>
    </dxf>
    <dxf>
      <font>
        <b val="0"/>
        <strike val="0"/>
        <outline val="0"/>
        <shadow val="0"/>
        <u val="none"/>
        <vertAlign val="baseline"/>
        <sz val="10"/>
        <color theme="1"/>
        <name val="Calibri"/>
        <scheme val="minor"/>
      </font>
      <numFmt numFmtId="13" formatCode="0%"/>
      <alignment horizontal="center" vertical="center" textRotation="0" wrapText="0" indent="0" justifyLastLine="0" shrinkToFit="0" readingOrder="0"/>
    </dxf>
    <dxf>
      <font>
        <b val="0"/>
        <strike val="0"/>
        <outline val="0"/>
        <shadow val="0"/>
        <u val="none"/>
        <vertAlign val="baseline"/>
        <sz val="10"/>
        <color theme="1"/>
        <name val="Calibri"/>
        <scheme val="minor"/>
      </font>
      <numFmt numFmtId="13" formatCode="0%"/>
      <alignment horizontal="center" vertical="center" textRotation="0" wrapText="0" indent="0" justifyLastLine="0" shrinkToFit="0" readingOrder="0"/>
    </dxf>
    <dxf>
      <alignment vertical="center" textRotation="0" wrapText="0" indent="0" justifyLastLine="0" shrinkToFit="0" readingOrder="0"/>
    </dxf>
    <dxf>
      <alignment vertical="center" textRotation="0" wrapText="0" indent="0" justifyLastLine="0" shrinkToFit="0" readingOrder="0"/>
    </dxf>
    <dxf>
      <font>
        <b/>
        <strike val="0"/>
        <outline val="0"/>
        <shadow val="0"/>
        <u val="none"/>
        <vertAlign val="baseline"/>
        <sz val="11"/>
        <color theme="1"/>
        <name val="Calibri"/>
        <scheme val="minor"/>
      </font>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
      <alignment vertical="center" textRotation="0" wrapText="0" indent="0" justifyLastLine="0" shrinkToFit="0" readingOrder="0"/>
    </dxf>
    <dxf>
      <alignment vertical="center" textRotation="0" wrapText="0" indent="0" justifyLastLine="0" shrinkToFit="0" readingOrder="0"/>
    </dxf>
    <dxf>
      <font>
        <strike val="0"/>
        <color auto="1"/>
      </font>
      <fill>
        <patternFill>
          <bgColor theme="7" tint="0.39994506668294322"/>
        </patternFill>
      </fill>
    </dxf>
    <dxf>
      <font>
        <strike val="0"/>
        <color auto="1"/>
      </font>
      <fill>
        <patternFill>
          <bgColor theme="5" tint="0.39994506668294322"/>
        </patternFill>
      </fill>
    </dxf>
    <dxf>
      <font>
        <strike val="0"/>
        <color auto="1"/>
      </font>
      <fill>
        <patternFill>
          <bgColor theme="6" tint="0.39994506668294322"/>
        </patternFill>
      </fill>
    </dxf>
    <dxf>
      <font>
        <strike val="0"/>
        <color auto="1"/>
      </font>
      <fill>
        <patternFill>
          <bgColor theme="4"/>
        </patternFill>
      </fill>
    </dxf>
    <dxf>
      <numFmt numFmtId="13" formatCode="0%"/>
    </dxf>
    <dxf>
      <numFmt numFmtId="13" formatCode="0%"/>
    </dxf>
    <dxf>
      <numFmt numFmtId="13" formatCode="0%"/>
    </dxf>
    <dxf>
      <numFmt numFmtId="13" formatCode="0%"/>
      <alignment horizontal="center" vertical="bottom" textRotation="0" wrapText="0" indent="0" justifyLastLine="0" shrinkToFit="0" readingOrder="0"/>
    </dxf>
    <dxf>
      <numFmt numFmtId="13" formatCode="0%"/>
      <alignment horizontal="center" vertical="bottom" textRotation="0" wrapText="0" indent="0" justifyLastLine="0" shrinkToFit="0" readingOrder="0"/>
    </dxf>
    <dxf>
      <numFmt numFmtId="13" formatCode="0%"/>
      <alignment horizontal="center" vertical="bottom" textRotation="0" wrapText="0" indent="0" justifyLastLine="0" shrinkToFit="0" readingOrder="0"/>
    </dxf>
    <dxf>
      <font>
        <b/>
        <i val="0"/>
        <strike val="0"/>
        <condense val="0"/>
        <extend val="0"/>
        <outline val="0"/>
        <shadow val="0"/>
        <u val="none"/>
        <vertAlign val="baseline"/>
        <sz val="10"/>
        <color theme="1"/>
        <name val="Calibri"/>
        <scheme val="minor"/>
      </font>
      <numFmt numFmtId="0" formatCode="General"/>
      <alignment horizontal="left" vertical="bottom" textRotation="0" wrapText="0" indent="0" justifyLastLine="0" shrinkToFit="0" readingOrder="0"/>
    </dxf>
    <dxf>
      <numFmt numFmtId="2" formatCode="0.00"/>
      <alignment horizontal="center" vertical="bottom" textRotation="0" wrapText="0" indent="0" justifyLastLine="0" shrinkToFit="0" readingOrder="0"/>
    </dxf>
    <dxf>
      <alignment horizontal="center" vertical="bottom" textRotation="0" wrapText="0" indent="0" justifyLastLine="0" shrinkToFit="0" readingOrder="0"/>
    </dxf>
    <dxf>
      <alignment horizontal="center" vertical="bottom" textRotation="0" wrapText="0" indent="0" justifyLastLine="0" shrinkToFit="0" readingOrder="0"/>
    </dxf>
    <dxf>
      <font>
        <b/>
        <i val="0"/>
        <strike val="0"/>
        <condense val="0"/>
        <extend val="0"/>
        <outline val="0"/>
        <shadow val="0"/>
        <u val="none"/>
        <vertAlign val="baseline"/>
        <sz val="10"/>
        <color theme="1"/>
        <name val="Calibri"/>
        <scheme val="minor"/>
      </font>
      <numFmt numFmtId="0" formatCode="General"/>
      <alignment horizontal="left" vertical="bottom" textRotation="0" wrapText="0" indent="5" justifyLastLine="0" shrinkToFit="0" readingOrder="0"/>
    </dxf>
    <dxf>
      <font>
        <b/>
        <i val="0"/>
        <strike val="0"/>
        <condense/>
        <extend/>
        <outline/>
        <shadow/>
        <u val="none"/>
        <vertAlign val="baseline"/>
        <sz val="8"/>
        <color theme="1"/>
        <name val="Century Gothic"/>
        <scheme val="major"/>
      </font>
      <numFmt numFmtId="2" formatCode="0.00"/>
      <fill>
        <patternFill patternType="none">
          <fgColor indexed="64"/>
          <bgColor indexed="65"/>
        </patternFill>
      </fill>
      <alignment horizontal="center" vertical="bottom" textRotation="0" wrapText="0" indent="0" justifyLastLine="0" shrinkToFit="0" readingOrder="0"/>
      <border diagonalUp="0" diagonalDown="0" outline="0">
        <left/>
        <right/>
        <top/>
        <bottom/>
      </border>
    </dxf>
    <dxf>
      <font>
        <b/>
        <i val="0"/>
        <strike val="0"/>
        <outline/>
        <shadow/>
        <u val="none"/>
        <vertAlign val="baseline"/>
        <sz val="8"/>
        <color theme="1"/>
        <name val="Century Gothic"/>
        <scheme val="major"/>
      </font>
      <numFmt numFmtId="0" formatCode="General"/>
      <fill>
        <patternFill patternType="none">
          <fgColor indexed="64"/>
          <bgColor auto="1"/>
        </patternFill>
      </fill>
      <alignment horizontal="center" vertical="center" textRotation="0" wrapText="0" indent="0" justifyLastLine="0" shrinkToFit="0" readingOrder="0"/>
    </dxf>
    <dxf>
      <font>
        <b/>
        <i val="0"/>
        <strike val="0"/>
        <condense/>
        <extend/>
        <outline/>
        <shadow/>
        <u val="none"/>
        <vertAlign val="baseline"/>
        <sz val="8"/>
        <color theme="1"/>
        <name val="Century Gothic"/>
        <scheme val="major"/>
      </font>
      <numFmt numFmtId="2" formatCode="0.00"/>
      <fill>
        <patternFill patternType="solid">
          <fgColor indexed="64"/>
          <bgColor theme="0" tint="-4.9989318521683403E-2"/>
        </patternFill>
      </fill>
      <alignment horizontal="center" vertical="bottom" textRotation="0" wrapText="0" indent="0" justifyLastLine="0" shrinkToFit="0" readingOrder="0"/>
      <border diagonalUp="0" diagonalDown="0" outline="0">
        <left/>
        <right/>
        <top/>
        <bottom/>
      </border>
    </dxf>
    <dxf>
      <font>
        <b/>
        <i val="0"/>
        <strike val="0"/>
        <outline/>
        <shadow/>
        <u val="none"/>
        <vertAlign val="baseline"/>
        <sz val="8"/>
        <color theme="1"/>
        <name val="Century Gothic"/>
        <scheme val="major"/>
      </font>
      <numFmt numFmtId="0" formatCode="General"/>
      <fill>
        <patternFill patternType="solid">
          <fgColor indexed="64"/>
          <bgColor theme="0" tint="-4.9989318521683403E-2"/>
        </patternFill>
      </fill>
      <alignment horizontal="center" vertical="center" textRotation="0" wrapText="0" indent="0" justifyLastLine="0" shrinkToFit="0" readingOrder="0"/>
    </dxf>
    <dxf>
      <font>
        <b/>
        <i val="0"/>
        <strike val="0"/>
        <condense/>
        <extend/>
        <outline/>
        <shadow/>
        <u val="none"/>
        <vertAlign val="baseline"/>
        <sz val="8"/>
        <color theme="1"/>
        <name val="Century Gothic"/>
        <scheme val="major"/>
      </font>
      <numFmt numFmtId="4" formatCode="#,##0.00"/>
      <fill>
        <patternFill patternType="none">
          <fgColor indexed="64"/>
          <bgColor indexed="65"/>
        </patternFill>
      </fill>
      <alignment horizontal="center" vertical="bottom" textRotation="0" wrapText="0" indent="0" justifyLastLine="0" shrinkToFit="0" readingOrder="0"/>
      <border diagonalUp="0" diagonalDown="0" outline="0">
        <left/>
        <right/>
        <top/>
        <bottom/>
      </border>
    </dxf>
    <dxf>
      <font>
        <b/>
        <i val="0"/>
        <strike val="0"/>
        <condense/>
        <extend/>
        <outline/>
        <shadow/>
        <u val="none"/>
        <vertAlign val="baseline"/>
        <sz val="8"/>
        <color theme="1"/>
        <name val="Century Gothic"/>
        <scheme val="major"/>
      </font>
      <numFmt numFmtId="0" formatCode="General"/>
      <fill>
        <patternFill patternType="solid">
          <fgColor indexed="64"/>
          <bgColor theme="0" tint="-4.9989318521683403E-2"/>
        </patternFill>
      </fill>
      <alignment horizontal="center" vertical="bottom" textRotation="0" wrapText="0" indent="0" justifyLastLine="0" shrinkToFit="0" readingOrder="0"/>
      <border diagonalUp="0" diagonalDown="0" outline="0">
        <left/>
        <right/>
        <top/>
        <bottom/>
      </border>
    </dxf>
    <dxf>
      <font>
        <b/>
        <i val="0"/>
        <strike val="0"/>
        <outline/>
        <shadow/>
        <u val="none"/>
        <vertAlign val="baseline"/>
        <sz val="8"/>
        <color theme="1"/>
        <name val="Century Gothic"/>
        <scheme val="major"/>
      </font>
      <numFmt numFmtId="0" formatCode="General"/>
      <fill>
        <patternFill patternType="solid">
          <fgColor indexed="64"/>
          <bgColor theme="0" tint="-4.9989318521683403E-2"/>
        </patternFill>
      </fill>
      <alignment horizontal="center" vertical="center" textRotation="0" wrapText="0" indent="0" justifyLastLine="0" shrinkToFit="0" readingOrder="0"/>
    </dxf>
    <dxf>
      <font>
        <b/>
        <i val="0"/>
        <strike val="0"/>
        <condense/>
        <extend/>
        <outline/>
        <shadow/>
        <u val="none"/>
        <vertAlign val="baseline"/>
        <sz val="8"/>
        <color theme="1"/>
        <name val="Century Gothic"/>
        <scheme val="major"/>
      </font>
      <fill>
        <patternFill patternType="none">
          <fgColor indexed="64"/>
          <bgColor indexed="65"/>
        </patternFill>
      </fill>
      <alignment horizontal="left" vertical="bottom" textRotation="0" wrapText="0" indent="1" justifyLastLine="0" shrinkToFit="0" readingOrder="0"/>
      <border diagonalUp="0" diagonalDown="0" outline="0">
        <left/>
        <right/>
        <top/>
        <bottom/>
      </border>
    </dxf>
    <dxf>
      <font>
        <strike/>
        <outline/>
        <shadow/>
        <u val="none"/>
        <vertAlign val="baseline"/>
        <sz val="8"/>
        <color theme="1"/>
      </font>
      <alignment horizontal="left" vertical="bottom" textRotation="0" wrapText="0" indent="1" justifyLastLine="0" shrinkToFit="0" readingOrder="0"/>
    </dxf>
    <dxf>
      <font>
        <b/>
        <i val="0"/>
        <strike val="0"/>
        <condense/>
        <extend/>
        <outline/>
        <shadow/>
        <u val="none"/>
        <vertAlign val="baseline"/>
        <sz val="8"/>
        <color theme="1"/>
        <name val="Century Gothic"/>
        <scheme val="major"/>
      </font>
      <fill>
        <patternFill patternType="solid">
          <fgColor indexed="64"/>
          <bgColor theme="0" tint="-4.9989318521683403E-2"/>
        </patternFill>
      </fill>
      <alignment horizontal="left" vertical="bottom" textRotation="0" wrapText="0" indent="1" justifyLastLine="0" shrinkToFit="0" readingOrder="0"/>
      <border diagonalUp="0" diagonalDown="0" outline="0">
        <left/>
        <right/>
        <top/>
        <bottom/>
      </border>
    </dxf>
    <dxf>
      <font>
        <b val="0"/>
        <i val="0"/>
        <strike val="0"/>
        <outline/>
        <shadow/>
        <u val="none"/>
        <vertAlign val="baseline"/>
        <sz val="8"/>
        <color theme="1"/>
        <name val="Century Gothic (En-têtes)"/>
      </font>
      <numFmt numFmtId="0" formatCode="General"/>
      <fill>
        <patternFill patternType="solid">
          <fgColor indexed="64"/>
          <bgColor theme="0" tint="-4.9989318521683403E-2"/>
        </patternFill>
      </fill>
      <alignment horizontal="center" vertical="bottom" textRotation="0" wrapText="0" indent="0" justifyLastLine="0" shrinkToFit="0" readingOrder="0"/>
    </dxf>
    <dxf>
      <font>
        <b/>
        <i val="0"/>
        <strike val="0"/>
        <outline/>
        <shadow/>
        <u val="none"/>
        <vertAlign val="baseline"/>
        <sz val="8"/>
        <color theme="1"/>
        <name val="Century Gothic"/>
        <scheme val="major"/>
      </font>
    </dxf>
    <dxf>
      <font>
        <strike/>
        <outline/>
        <shadow/>
        <u val="none"/>
        <vertAlign val="baseline"/>
        <sz val="8"/>
        <color theme="1"/>
        <name val="Century Gothic"/>
        <scheme val="major"/>
      </font>
    </dxf>
    <dxf>
      <font>
        <strike/>
        <outline/>
        <shadow/>
        <u val="none"/>
        <vertAlign val="baseline"/>
        <sz val="9"/>
        <color theme="1"/>
        <name val="Century Gothic"/>
        <scheme val="major"/>
      </font>
      <alignment horizontal="left" vertical="bottom" textRotation="0" wrapText="0" relativeIndent="1" justifyLastLine="0" shrinkToFit="0" readingOrder="0"/>
    </dxf>
    <dxf>
      <font>
        <b/>
        <i val="0"/>
        <strike val="0"/>
        <condense/>
        <extend/>
        <outline/>
        <shadow/>
        <u val="none"/>
        <vertAlign val="baseline"/>
        <sz val="8"/>
        <color theme="1"/>
        <name val="Century Gothic"/>
        <family val="2"/>
        <scheme val="major"/>
      </font>
      <numFmt numFmtId="4" formatCode="#,##0.00"/>
      <fill>
        <patternFill patternType="none">
          <fgColor indexed="64"/>
          <bgColor indexed="65"/>
        </patternFill>
      </fill>
      <alignment horizontal="center" vertical="bottom" textRotation="0" wrapText="0" indent="0" justifyLastLine="0" shrinkToFit="0" readingOrder="0"/>
      <border diagonalUp="0" diagonalDown="0" outline="0">
        <left/>
        <right/>
        <top/>
        <bottom/>
      </border>
    </dxf>
    <dxf>
      <font>
        <b/>
        <i val="0"/>
        <strike val="0"/>
        <outline/>
        <shadow/>
        <u val="none"/>
        <vertAlign val="baseline"/>
        <sz val="8"/>
        <color theme="1"/>
        <name val="Century Gothic"/>
        <scheme val="major"/>
      </font>
      <numFmt numFmtId="1" formatCode="0"/>
      <fill>
        <patternFill patternType="none">
          <fgColor indexed="64"/>
          <bgColor auto="1"/>
        </patternFill>
      </fill>
      <alignment horizontal="center" vertical="center" textRotation="0" wrapText="0" indent="0" justifyLastLine="0" shrinkToFit="0" readingOrder="0"/>
    </dxf>
    <dxf>
      <font>
        <b/>
        <i val="0"/>
        <strike val="0"/>
        <condense/>
        <extend/>
        <outline/>
        <shadow/>
        <u val="none"/>
        <vertAlign val="baseline"/>
        <sz val="8"/>
        <color theme="1"/>
        <name val="Century Gothic"/>
        <family val="2"/>
        <scheme val="major"/>
      </font>
      <numFmt numFmtId="4" formatCode="#,##0.00"/>
      <fill>
        <patternFill patternType="solid">
          <fgColor indexed="64"/>
          <bgColor theme="0" tint="-4.9989318521683403E-2"/>
        </patternFill>
      </fill>
      <alignment horizontal="center" vertical="bottom" textRotation="0" wrapText="0" indent="0" justifyLastLine="0" shrinkToFit="0" readingOrder="0"/>
      <border diagonalUp="0" diagonalDown="0" outline="0">
        <left/>
        <right/>
        <top/>
        <bottom/>
      </border>
    </dxf>
    <dxf>
      <font>
        <b/>
        <i val="0"/>
        <strike val="0"/>
        <outline/>
        <shadow/>
        <u val="none"/>
        <vertAlign val="baseline"/>
        <sz val="8"/>
        <color theme="1"/>
        <name val="Century Gothic"/>
        <scheme val="major"/>
      </font>
      <numFmt numFmtId="1" formatCode="0"/>
      <fill>
        <patternFill patternType="solid">
          <fgColor indexed="64"/>
          <bgColor theme="0" tint="-4.9989318521683403E-2"/>
        </patternFill>
      </fill>
      <alignment horizontal="center" vertical="center" textRotation="0" wrapText="0" indent="0" justifyLastLine="0" shrinkToFit="0" readingOrder="0"/>
    </dxf>
    <dxf>
      <font>
        <b/>
        <i val="0"/>
        <strike val="0"/>
        <condense/>
        <extend/>
        <outline/>
        <shadow/>
        <u val="none"/>
        <vertAlign val="baseline"/>
        <sz val="8"/>
        <color theme="1"/>
        <name val="Century Gothic"/>
        <family val="2"/>
        <scheme val="major"/>
      </font>
      <numFmt numFmtId="4" formatCode="#,##0.00"/>
      <fill>
        <patternFill patternType="none">
          <fgColor indexed="64"/>
          <bgColor indexed="65"/>
        </patternFill>
      </fill>
      <alignment horizontal="center" vertical="bottom" textRotation="0" wrapText="0" indent="0" justifyLastLine="0" shrinkToFit="0" readingOrder="0"/>
      <border diagonalUp="0" diagonalDown="0" outline="0">
        <left/>
        <right/>
        <top/>
        <bottom/>
      </border>
    </dxf>
    <dxf>
      <font>
        <b/>
        <i val="0"/>
        <strike val="0"/>
        <outline/>
        <shadow/>
        <u val="none"/>
        <vertAlign val="baseline"/>
        <sz val="8"/>
        <color theme="1"/>
        <name val="Century Gothic"/>
        <scheme val="major"/>
      </font>
      <numFmt numFmtId="1" formatCode="0"/>
      <fill>
        <patternFill patternType="none">
          <fgColor indexed="64"/>
          <bgColor auto="1"/>
        </patternFill>
      </fill>
      <alignment horizontal="center" vertical="center" textRotation="0" wrapText="0" indent="0" justifyLastLine="0" shrinkToFit="0" readingOrder="0"/>
    </dxf>
    <dxf>
      <font>
        <b/>
        <i val="0"/>
        <strike val="0"/>
        <condense/>
        <extend/>
        <outline/>
        <shadow/>
        <u val="none"/>
        <vertAlign val="baseline"/>
        <sz val="8"/>
        <color theme="1"/>
        <name val="Century Gothic"/>
        <family val="2"/>
        <scheme val="major"/>
      </font>
      <numFmt numFmtId="4" formatCode="#,##0.00"/>
      <fill>
        <patternFill patternType="solid">
          <fgColor indexed="64"/>
          <bgColor theme="0" tint="-4.9989318521683403E-2"/>
        </patternFill>
      </fill>
      <alignment horizontal="center" vertical="bottom" textRotation="0" wrapText="0" indent="0" justifyLastLine="0" shrinkToFit="0" readingOrder="0"/>
      <border diagonalUp="0" diagonalDown="0" outline="0">
        <left/>
        <right/>
        <top/>
        <bottom/>
      </border>
    </dxf>
    <dxf>
      <font>
        <b/>
        <i val="0"/>
        <strike val="0"/>
        <outline/>
        <shadow/>
        <u val="none"/>
        <vertAlign val="baseline"/>
        <sz val="8"/>
        <color theme="1"/>
        <name val="Century Gothic"/>
        <scheme val="major"/>
      </font>
      <numFmt numFmtId="1" formatCode="0"/>
      <fill>
        <patternFill patternType="solid">
          <fgColor indexed="64"/>
          <bgColor theme="0" tint="-4.9989318521683403E-2"/>
        </patternFill>
      </fill>
      <alignment horizontal="center" vertical="center" textRotation="0" wrapText="0" indent="0" justifyLastLine="0" shrinkToFit="0" readingOrder="0"/>
    </dxf>
    <dxf>
      <font>
        <b/>
        <i val="0"/>
        <strike val="0"/>
        <condense/>
        <extend/>
        <outline/>
        <shadow/>
        <u val="none"/>
        <vertAlign val="baseline"/>
        <sz val="8"/>
        <color theme="1"/>
        <name val="Century Gothic"/>
        <family val="2"/>
        <scheme val="major"/>
      </font>
      <fill>
        <patternFill patternType="none">
          <fgColor indexed="64"/>
          <bgColor indexed="65"/>
        </patternFill>
      </fill>
      <alignment horizontal="left" vertical="bottom" textRotation="0" wrapText="0" indent="1" justifyLastLine="0" shrinkToFit="0" readingOrder="0"/>
      <border diagonalUp="0" diagonalDown="0" outline="0">
        <left/>
        <right/>
        <top/>
        <bottom/>
      </border>
    </dxf>
    <dxf>
      <font>
        <strike/>
        <outline/>
        <shadow/>
        <u val="none"/>
        <vertAlign val="baseline"/>
        <sz val="8"/>
        <color theme="1"/>
      </font>
      <alignment horizontal="left" vertical="bottom" textRotation="0" wrapText="0" indent="1" justifyLastLine="0" shrinkToFit="0" readingOrder="0"/>
    </dxf>
    <dxf>
      <font>
        <b/>
        <i val="0"/>
        <strike val="0"/>
        <condense/>
        <extend/>
        <outline/>
        <shadow/>
        <u val="none"/>
        <vertAlign val="baseline"/>
        <sz val="8"/>
        <color theme="1"/>
        <name val="Century Gothic"/>
        <family val="2"/>
        <scheme val="major"/>
      </font>
      <fill>
        <patternFill patternType="solid">
          <fgColor indexed="64"/>
          <bgColor theme="0" tint="-4.9989318521683403E-2"/>
        </patternFill>
      </fill>
      <alignment horizontal="left" vertical="bottom" textRotation="0" wrapText="0" indent="1" justifyLastLine="0" shrinkToFit="0" readingOrder="0"/>
      <border diagonalUp="0" diagonalDown="0" outline="0">
        <left/>
        <right/>
        <top/>
        <bottom/>
      </border>
    </dxf>
    <dxf>
      <font>
        <b val="0"/>
        <i val="0"/>
        <strike val="0"/>
        <outline/>
        <shadow/>
        <u val="none"/>
        <vertAlign val="baseline"/>
        <sz val="8"/>
        <color theme="1"/>
        <name val="Century Gothic (En-têtes)"/>
      </font>
      <numFmt numFmtId="0" formatCode="General"/>
      <fill>
        <patternFill patternType="solid">
          <fgColor indexed="64"/>
          <bgColor theme="0" tint="-4.9989318521683403E-2"/>
        </patternFill>
      </fill>
      <alignment horizontal="left" vertical="bottom" textRotation="0" wrapText="0" indent="1" justifyLastLine="0" shrinkToFit="0" readingOrder="0"/>
    </dxf>
    <dxf>
      <font>
        <b/>
        <i val="0"/>
        <strike val="0"/>
        <outline/>
        <shadow/>
        <u val="none"/>
        <vertAlign val="baseline"/>
        <sz val="8"/>
        <color theme="1"/>
        <name val="Century Gothic"/>
        <scheme val="major"/>
      </font>
    </dxf>
    <dxf>
      <font>
        <strike/>
        <outline/>
        <shadow/>
        <u val="none"/>
        <vertAlign val="baseline"/>
        <sz val="8"/>
        <color theme="1"/>
        <name val="Century Gothic"/>
        <scheme val="major"/>
      </font>
    </dxf>
    <dxf>
      <font>
        <strike/>
        <outline/>
        <shadow/>
        <u val="none"/>
        <vertAlign val="baseline"/>
        <sz val="9"/>
        <color theme="1"/>
        <name val="Century Gothic"/>
        <scheme val="major"/>
      </font>
      <alignment horizontal="left" vertical="bottom" textRotation="0" wrapText="0" relativeIndent="1" justifyLastLine="0" shrinkToFit="0" readingOrder="0"/>
    </dxf>
    <dxf>
      <font>
        <strike val="0"/>
      </font>
      <fill>
        <patternFill>
          <bgColor theme="7" tint="0.39994506668294322"/>
        </patternFill>
      </fill>
    </dxf>
    <dxf>
      <fill>
        <patternFill>
          <bgColor theme="6"/>
        </patternFill>
      </fill>
    </dxf>
    <dxf>
      <font>
        <strike val="0"/>
      </font>
      <fill>
        <patternFill>
          <bgColor theme="9" tint="0.79998168889431442"/>
        </patternFill>
      </fill>
    </dxf>
    <dxf>
      <font>
        <strike val="0"/>
      </font>
      <fill>
        <patternFill>
          <bgColor theme="9"/>
        </patternFill>
      </fill>
    </dxf>
    <dxf>
      <font>
        <strike val="0"/>
      </font>
      <fill>
        <patternFill>
          <bgColor theme="7" tint="-0.24994659260841701"/>
        </patternFill>
      </fill>
    </dxf>
    <dxf>
      <font>
        <b/>
        <i val="0"/>
        <strike val="0"/>
        <condense val="0"/>
        <extend val="0"/>
        <outline/>
        <shadow/>
        <u val="none"/>
        <vertAlign val="baseline"/>
        <sz val="8"/>
        <color theme="1"/>
        <name val="Century Gothic"/>
        <family val="2"/>
        <scheme val="major"/>
      </font>
      <fill>
        <patternFill patternType="none">
          <fgColor indexed="64"/>
          <bgColor indexed="65"/>
        </patternFill>
      </fill>
    </dxf>
    <dxf>
      <font>
        <strike/>
        <outline/>
        <shadow/>
        <u val="none"/>
        <vertAlign val="baseline"/>
        <sz val="8"/>
        <color theme="1"/>
        <name val="Century Gothic"/>
        <scheme val="major"/>
      </font>
      <fill>
        <patternFill patternType="none">
          <fgColor indexed="64"/>
          <bgColor auto="1"/>
        </patternFill>
      </fill>
    </dxf>
    <dxf>
      <font>
        <b/>
        <i val="0"/>
        <strike val="0"/>
        <condense val="0"/>
        <extend val="0"/>
        <outline/>
        <shadow/>
        <u val="none"/>
        <vertAlign val="baseline"/>
        <sz val="8"/>
        <color theme="1"/>
        <name val="Century Gothic"/>
        <family val="2"/>
        <scheme val="major"/>
      </font>
      <fill>
        <patternFill patternType="none">
          <fgColor indexed="64"/>
          <bgColor indexed="65"/>
        </patternFill>
      </fill>
    </dxf>
    <dxf>
      <font>
        <strike/>
        <outline/>
        <shadow/>
        <u val="none"/>
        <vertAlign val="baseline"/>
        <sz val="8"/>
        <color theme="1"/>
        <name val="Century Gothic"/>
        <scheme val="major"/>
      </font>
      <fill>
        <patternFill patternType="none">
          <fgColor indexed="64"/>
          <bgColor auto="1"/>
        </patternFill>
      </fill>
    </dxf>
    <dxf>
      <font>
        <b/>
        <i val="0"/>
        <strike val="0"/>
        <condense val="0"/>
        <extend val="0"/>
        <outline/>
        <shadow/>
        <u val="none"/>
        <vertAlign val="baseline"/>
        <sz val="8"/>
        <color theme="1"/>
        <name val="Century Gothic"/>
        <family val="2"/>
        <scheme val="major"/>
      </font>
      <numFmt numFmtId="1" formatCode="0"/>
      <fill>
        <patternFill patternType="none">
          <fgColor indexed="64"/>
          <bgColor indexed="65"/>
        </patternFill>
      </fill>
      <alignment horizontal="center" vertical="bottom" textRotation="0" wrapText="0" indent="0" justifyLastLine="0" shrinkToFit="0" readingOrder="0"/>
    </dxf>
    <dxf>
      <font>
        <b/>
        <i val="0"/>
        <strike val="0"/>
        <outline/>
        <shadow/>
        <u val="none"/>
        <vertAlign val="baseline"/>
        <sz val="8"/>
        <color theme="1"/>
        <name val="Century Gothic"/>
        <scheme val="major"/>
      </font>
      <numFmt numFmtId="1" formatCode="0"/>
      <fill>
        <patternFill patternType="none">
          <fgColor indexed="64"/>
          <bgColor auto="1"/>
        </patternFill>
      </fill>
    </dxf>
    <dxf>
      <font>
        <b/>
        <i val="0"/>
        <strike val="0"/>
        <condense/>
        <extend/>
        <outline/>
        <shadow/>
        <u val="none"/>
        <vertAlign val="baseline"/>
        <sz val="8"/>
        <color theme="1"/>
        <name val="Century Gothic"/>
        <family val="2"/>
        <scheme val="major"/>
      </font>
      <numFmt numFmtId="3" formatCode="#,##0"/>
      <fill>
        <patternFill patternType="none">
          <fgColor indexed="64"/>
          <bgColor indexed="65"/>
        </patternFill>
      </fill>
      <alignment horizontal="center" vertical="bottom" textRotation="0" wrapText="0" indent="0" justifyLastLine="0" shrinkToFit="0" readingOrder="0"/>
      <border diagonalUp="0" diagonalDown="0" outline="0">
        <left/>
        <right/>
        <top/>
        <bottom/>
      </border>
    </dxf>
    <dxf>
      <font>
        <b/>
        <i val="0"/>
        <strike val="0"/>
        <outline/>
        <shadow/>
        <u val="none"/>
        <vertAlign val="baseline"/>
        <sz val="8"/>
        <color theme="1"/>
        <name val="Century Gothic"/>
        <scheme val="major"/>
      </font>
      <numFmt numFmtId="2" formatCode="0.00"/>
      <fill>
        <patternFill patternType="none">
          <fgColor indexed="64"/>
          <bgColor auto="1"/>
        </patternFill>
      </fill>
      <alignment horizontal="center" vertical="center" textRotation="0" wrapText="0" indent="0" justifyLastLine="0" shrinkToFit="0" readingOrder="0"/>
    </dxf>
    <dxf>
      <font>
        <b/>
        <i val="0"/>
        <strike val="0"/>
        <condense/>
        <extend/>
        <outline/>
        <shadow/>
        <u val="none"/>
        <vertAlign val="baseline"/>
        <sz val="8"/>
        <color theme="1"/>
        <name val="Century Gothic"/>
        <family val="2"/>
        <scheme val="major"/>
      </font>
      <fill>
        <patternFill patternType="none">
          <fgColor indexed="64"/>
          <bgColor indexed="65"/>
        </patternFill>
      </fill>
      <alignment horizontal="center" vertical="bottom" textRotation="0" wrapText="0" indent="0" justifyLastLine="0" shrinkToFit="0" readingOrder="0"/>
      <border diagonalUp="0" diagonalDown="0" outline="0">
        <left/>
        <right/>
        <top/>
        <bottom/>
      </border>
    </dxf>
    <dxf>
      <font>
        <b val="0"/>
        <i val="0"/>
        <strike val="0"/>
        <condense val="0"/>
        <extend val="0"/>
        <outline val="0"/>
        <shadow val="0"/>
        <u val="none"/>
        <vertAlign val="baseline"/>
        <sz val="8"/>
        <color theme="1"/>
        <name val="Century Gothic (En-têtes)"/>
        <scheme val="none"/>
      </font>
      <numFmt numFmtId="0" formatCode="General"/>
      <fill>
        <patternFill patternType="none">
          <fgColor indexed="64"/>
          <bgColor indexed="65"/>
        </patternFill>
      </fill>
      <alignment horizontal="center" vertical="center" textRotation="0" wrapText="0" indent="0" justifyLastLine="0" shrinkToFit="0" readingOrder="0"/>
    </dxf>
    <dxf>
      <font>
        <b/>
        <i val="0"/>
        <strike val="0"/>
        <condense/>
        <extend/>
        <outline/>
        <shadow/>
        <u val="none"/>
        <vertAlign val="baseline"/>
        <sz val="8"/>
        <color theme="1"/>
        <name val="Century Gothic"/>
        <family val="2"/>
        <scheme val="major"/>
      </font>
      <numFmt numFmtId="19" formatCode="dd/mm/yyyy"/>
      <fill>
        <patternFill patternType="none">
          <fgColor indexed="64"/>
          <bgColor indexed="65"/>
        </patternFill>
      </fill>
      <alignment horizontal="left" vertical="bottom" textRotation="0" wrapText="0" indent="1" justifyLastLine="0" shrinkToFit="0" readingOrder="0"/>
      <border diagonalUp="0" diagonalDown="0" outline="0">
        <left/>
        <right/>
        <top/>
        <bottom/>
      </border>
    </dxf>
    <dxf>
      <font>
        <b val="0"/>
        <i val="0"/>
        <strike val="0"/>
        <outline/>
        <shadow/>
        <u val="none"/>
        <vertAlign val="baseline"/>
        <sz val="8"/>
        <color theme="1"/>
        <name val="Century Gothic (En-têtes)"/>
      </font>
      <numFmt numFmtId="0" formatCode="General"/>
      <fill>
        <patternFill patternType="none">
          <fgColor indexed="64"/>
          <bgColor auto="1"/>
        </patternFill>
      </fill>
      <alignment horizontal="center" vertical="bottom" textRotation="0" wrapText="0" indent="0" justifyLastLine="0" shrinkToFit="0" readingOrder="0"/>
    </dxf>
    <dxf>
      <font>
        <b/>
        <i val="0"/>
        <strike val="0"/>
        <outline/>
        <shadow/>
        <u val="none"/>
        <vertAlign val="baseline"/>
        <sz val="8"/>
        <color theme="1"/>
        <name val="Century Gothic"/>
        <scheme val="major"/>
      </font>
      <fill>
        <patternFill patternType="none">
          <fgColor indexed="64"/>
          <bgColor auto="1"/>
        </patternFill>
      </fill>
    </dxf>
    <dxf>
      <font>
        <strike/>
        <outline/>
        <shadow/>
        <u val="none"/>
        <vertAlign val="baseline"/>
        <sz val="8"/>
        <color theme="1"/>
        <name val="Century Gothic"/>
        <scheme val="major"/>
      </font>
      <fill>
        <patternFill patternType="none">
          <fgColor indexed="64"/>
          <bgColor auto="1"/>
        </patternFill>
      </fill>
    </dxf>
    <dxf>
      <font>
        <strike/>
        <outline/>
        <shadow/>
        <u val="none"/>
        <vertAlign val="baseline"/>
        <sz val="9"/>
        <color theme="1"/>
        <name val="Century Gothic"/>
        <scheme val="major"/>
      </font>
      <fill>
        <patternFill patternType="none">
          <fgColor indexed="64"/>
          <bgColor auto="1"/>
        </patternFill>
      </fill>
      <alignment horizontal="left" vertical="bottom" textRotation="0" wrapText="0" relativeIndent="1" justifyLastLine="0" shrinkToFit="0" readingOrder="0"/>
    </dxf>
    <dxf>
      <font>
        <b/>
        <i val="0"/>
        <strike val="0"/>
        <condense val="0"/>
        <extend val="0"/>
        <outline/>
        <shadow/>
        <u val="none"/>
        <vertAlign val="baseline"/>
        <sz val="8"/>
        <color theme="1"/>
        <name val="Century Gothic"/>
        <scheme val="major"/>
      </font>
      <numFmt numFmtId="1" formatCode="0"/>
      <fill>
        <patternFill patternType="none">
          <fgColor indexed="64"/>
          <bgColor indexed="65"/>
        </patternFill>
      </fill>
      <alignment horizontal="center" vertical="bottom" textRotation="0" wrapText="0" indent="0" justifyLastLine="0" shrinkToFit="0" readingOrder="0"/>
    </dxf>
    <dxf>
      <font>
        <b/>
        <i val="0"/>
        <strike val="0"/>
        <outline/>
        <shadow/>
        <u val="none"/>
        <vertAlign val="baseline"/>
        <sz val="8"/>
        <color theme="1"/>
        <name val="Century Gothic"/>
        <scheme val="major"/>
      </font>
      <numFmt numFmtId="1" formatCode="0"/>
      <fill>
        <patternFill patternType="none">
          <fgColor indexed="64"/>
          <bgColor auto="1"/>
        </patternFill>
      </fill>
    </dxf>
    <dxf>
      <font>
        <b/>
        <i val="0"/>
        <strike val="0"/>
        <condense/>
        <extend/>
        <outline/>
        <shadow/>
        <u val="none"/>
        <vertAlign val="baseline"/>
        <sz val="8"/>
        <color theme="1"/>
        <name val="Century Gothic"/>
        <scheme val="major"/>
      </font>
      <numFmt numFmtId="4" formatCode="#,##0.00"/>
      <fill>
        <patternFill patternType="none">
          <fgColor indexed="64"/>
          <bgColor indexed="65"/>
        </patternFill>
      </fill>
      <alignment horizontal="center" vertical="bottom" textRotation="0" wrapText="0" indent="0" justifyLastLine="0" shrinkToFit="0" readingOrder="0"/>
      <border diagonalUp="0" diagonalDown="0" outline="0">
        <left/>
        <right/>
        <top/>
        <bottom/>
      </border>
    </dxf>
    <dxf>
      <font>
        <b/>
        <i val="0"/>
        <strike val="0"/>
        <outline/>
        <shadow/>
        <u val="none"/>
        <vertAlign val="baseline"/>
        <sz val="8"/>
        <color theme="1"/>
        <name val="Century Gothic"/>
        <scheme val="major"/>
      </font>
      <numFmt numFmtId="2" formatCode="0.00"/>
      <fill>
        <patternFill patternType="none">
          <fgColor indexed="64"/>
          <bgColor auto="1"/>
        </patternFill>
      </fill>
      <alignment horizontal="center" vertical="center" textRotation="0" wrapText="0" indent="0" justifyLastLine="0" shrinkToFit="0" readingOrder="0"/>
    </dxf>
    <dxf>
      <font>
        <b/>
        <i val="0"/>
        <strike val="0"/>
        <condense/>
        <extend/>
        <outline/>
        <shadow/>
        <u val="none"/>
        <vertAlign val="baseline"/>
        <sz val="8"/>
        <color theme="1"/>
        <name val="Century Gothic"/>
        <scheme val="major"/>
      </font>
      <fill>
        <patternFill patternType="none">
          <fgColor indexed="64"/>
          <bgColor indexed="65"/>
        </patternFill>
      </fill>
      <alignment horizontal="center" vertical="bottom" textRotation="0" wrapText="0" indent="0" justifyLastLine="0" shrinkToFit="0" readingOrder="0"/>
      <border diagonalUp="0" diagonalDown="0" outline="0">
        <left/>
        <right/>
        <top/>
        <bottom/>
      </border>
    </dxf>
    <dxf>
      <font>
        <b val="0"/>
        <i val="0"/>
        <strike val="0"/>
        <condense val="0"/>
        <extend val="0"/>
        <outline val="0"/>
        <shadow val="0"/>
        <u val="none"/>
        <vertAlign val="baseline"/>
        <sz val="8"/>
        <color theme="1"/>
        <name val="Century Gothic (En-têtes)"/>
        <scheme val="none"/>
      </font>
      <numFmt numFmtId="0" formatCode="General"/>
      <fill>
        <patternFill patternType="none">
          <fgColor indexed="64"/>
          <bgColor indexed="65"/>
        </patternFill>
      </fill>
      <alignment horizontal="center" vertical="center" textRotation="0" wrapText="0" indent="0" justifyLastLine="0" shrinkToFit="0" readingOrder="0"/>
    </dxf>
    <dxf>
      <font>
        <b/>
        <i val="0"/>
        <strike val="0"/>
        <condense/>
        <extend/>
        <outline/>
        <shadow/>
        <u val="none"/>
        <vertAlign val="baseline"/>
        <sz val="8"/>
        <color theme="1"/>
        <name val="Century Gothic"/>
        <scheme val="major"/>
      </font>
      <numFmt numFmtId="19" formatCode="dd/mm/yyyy"/>
      <fill>
        <patternFill patternType="none">
          <fgColor indexed="64"/>
          <bgColor indexed="65"/>
        </patternFill>
      </fill>
      <alignment horizontal="left" vertical="bottom" textRotation="0" wrapText="0" indent="1" justifyLastLine="0" shrinkToFit="0" readingOrder="0"/>
      <border diagonalUp="0" diagonalDown="0" outline="0">
        <left/>
        <right/>
        <top/>
        <bottom/>
      </border>
    </dxf>
    <dxf>
      <font>
        <b val="0"/>
        <i val="0"/>
        <strike val="0"/>
        <outline/>
        <shadow/>
        <u val="none"/>
        <vertAlign val="baseline"/>
        <sz val="8"/>
        <color theme="1"/>
        <name val="Century Gothic (En-têtes)"/>
      </font>
      <numFmt numFmtId="0" formatCode="General"/>
      <fill>
        <patternFill patternType="none">
          <fgColor indexed="64"/>
          <bgColor auto="1"/>
        </patternFill>
      </fill>
      <alignment horizontal="left" vertical="bottom" textRotation="0" wrapText="0" indent="1" justifyLastLine="0" shrinkToFit="0" readingOrder="0"/>
    </dxf>
    <dxf>
      <font>
        <b/>
        <i val="0"/>
        <strike val="0"/>
        <outline/>
        <shadow/>
        <u val="none"/>
        <vertAlign val="baseline"/>
        <sz val="8"/>
        <color theme="1"/>
        <name val="Century Gothic"/>
        <scheme val="major"/>
      </font>
      <fill>
        <patternFill patternType="none">
          <fgColor indexed="64"/>
          <bgColor auto="1"/>
        </patternFill>
      </fill>
    </dxf>
    <dxf>
      <font>
        <strike/>
        <outline/>
        <shadow/>
        <u val="none"/>
        <vertAlign val="baseline"/>
        <sz val="8"/>
        <color theme="1"/>
        <name val="Century Gothic"/>
        <scheme val="major"/>
      </font>
      <fill>
        <patternFill patternType="none">
          <fgColor indexed="64"/>
          <bgColor auto="1"/>
        </patternFill>
      </fill>
    </dxf>
    <dxf>
      <font>
        <strike/>
        <outline/>
        <shadow/>
        <u val="none"/>
        <vertAlign val="baseline"/>
        <sz val="9"/>
        <color theme="1"/>
        <name val="Century Gothic"/>
        <scheme val="major"/>
      </font>
      <fill>
        <patternFill patternType="none">
          <fgColor indexed="64"/>
          <bgColor auto="1"/>
        </patternFill>
      </fill>
      <alignment horizontal="left" vertical="bottom" textRotation="0" wrapText="0" relativeIndent="1" justifyLastLine="0" shrinkToFit="0" readingOrder="0"/>
    </dxf>
    <dxf>
      <font>
        <b/>
        <i val="0"/>
        <strike val="0"/>
        <condense val="0"/>
        <extend val="0"/>
        <outline/>
        <shadow/>
        <u val="none"/>
        <vertAlign val="baseline"/>
        <sz val="8"/>
        <color theme="1"/>
        <name val="Century Gothic"/>
        <family val="2"/>
        <scheme val="major"/>
      </font>
      <numFmt numFmtId="1" formatCode="0"/>
      <fill>
        <patternFill patternType="none">
          <fgColor indexed="64"/>
          <bgColor indexed="65"/>
        </patternFill>
      </fill>
      <alignment horizontal="center" vertical="bottom" textRotation="0" wrapText="0" indent="0" justifyLastLine="0" shrinkToFit="0" readingOrder="0"/>
    </dxf>
    <dxf>
      <font>
        <b/>
        <i val="0"/>
        <strike val="0"/>
        <outline/>
        <shadow/>
        <u val="none"/>
        <vertAlign val="baseline"/>
        <sz val="8"/>
        <color theme="1"/>
        <name val="Century Gothic"/>
        <scheme val="major"/>
      </font>
      <numFmt numFmtId="1" formatCode="0"/>
      <fill>
        <patternFill patternType="none">
          <fgColor indexed="64"/>
          <bgColor auto="1"/>
        </patternFill>
      </fill>
    </dxf>
    <dxf>
      <font>
        <b/>
        <i val="0"/>
        <strike val="0"/>
        <condense/>
        <extend/>
        <outline/>
        <shadow/>
        <u val="none"/>
        <vertAlign val="baseline"/>
        <sz val="8"/>
        <color theme="1"/>
        <name val="Century Gothic"/>
        <family val="2"/>
        <scheme val="major"/>
      </font>
      <numFmt numFmtId="4" formatCode="#,##0.00"/>
      <fill>
        <patternFill patternType="none">
          <fgColor indexed="64"/>
          <bgColor indexed="65"/>
        </patternFill>
      </fill>
      <alignment horizontal="center" vertical="bottom" textRotation="0" wrapText="0" indent="0" justifyLastLine="0" shrinkToFit="0" readingOrder="0"/>
      <border diagonalUp="0" diagonalDown="0" outline="0">
        <left/>
        <right/>
        <top/>
        <bottom/>
      </border>
    </dxf>
    <dxf>
      <font>
        <b/>
        <i val="0"/>
        <strike val="0"/>
        <outline/>
        <shadow/>
        <u val="none"/>
        <vertAlign val="baseline"/>
        <sz val="8"/>
        <color theme="1"/>
        <name val="Century Gothic"/>
        <scheme val="major"/>
      </font>
      <numFmt numFmtId="2" formatCode="0.00"/>
      <fill>
        <patternFill patternType="none">
          <fgColor indexed="64"/>
          <bgColor auto="1"/>
        </patternFill>
      </fill>
      <alignment horizontal="center" vertical="center" textRotation="0" wrapText="0" indent="0" justifyLastLine="0" shrinkToFit="0" readingOrder="0"/>
    </dxf>
    <dxf>
      <font>
        <b/>
        <i val="0"/>
        <strike val="0"/>
        <condense/>
        <extend/>
        <outline/>
        <shadow/>
        <u val="none"/>
        <vertAlign val="baseline"/>
        <sz val="8"/>
        <color theme="1"/>
        <name val="Century Gothic"/>
        <family val="2"/>
        <scheme val="major"/>
      </font>
      <fill>
        <patternFill patternType="none">
          <fgColor indexed="64"/>
          <bgColor indexed="65"/>
        </patternFill>
      </fill>
      <alignment horizontal="center" vertical="bottom" textRotation="0" wrapText="0" indent="0" justifyLastLine="0" shrinkToFit="0" readingOrder="0"/>
      <border diagonalUp="0" diagonalDown="0" outline="0">
        <left/>
        <right/>
        <top/>
        <bottom/>
      </border>
    </dxf>
    <dxf>
      <font>
        <b val="0"/>
        <i val="0"/>
        <strike val="0"/>
        <condense val="0"/>
        <extend val="0"/>
        <outline val="0"/>
        <shadow val="0"/>
        <u val="none"/>
        <vertAlign val="baseline"/>
        <sz val="8"/>
        <color theme="1"/>
        <name val="Century Gothic (En-têtes)"/>
        <scheme val="none"/>
      </font>
      <numFmt numFmtId="0" formatCode="General"/>
      <fill>
        <patternFill patternType="none">
          <fgColor indexed="64"/>
          <bgColor indexed="65"/>
        </patternFill>
      </fill>
      <alignment horizontal="center" vertical="center" textRotation="0" wrapText="0" indent="0" justifyLastLine="0" shrinkToFit="0" readingOrder="0"/>
    </dxf>
    <dxf>
      <font>
        <b/>
        <i val="0"/>
        <strike val="0"/>
        <condense/>
        <extend/>
        <outline/>
        <shadow/>
        <u val="none"/>
        <vertAlign val="baseline"/>
        <sz val="8"/>
        <color theme="1"/>
        <name val="Century Gothic"/>
        <family val="2"/>
        <scheme val="major"/>
      </font>
      <numFmt numFmtId="19" formatCode="dd/mm/yyyy"/>
      <fill>
        <patternFill patternType="none">
          <fgColor indexed="64"/>
          <bgColor indexed="65"/>
        </patternFill>
      </fill>
      <alignment horizontal="left" vertical="bottom" textRotation="0" wrapText="0" indent="1" justifyLastLine="0" shrinkToFit="0" readingOrder="0"/>
      <border diagonalUp="0" diagonalDown="0" outline="0">
        <left/>
        <right/>
        <top/>
        <bottom/>
      </border>
    </dxf>
    <dxf>
      <font>
        <b val="0"/>
        <i val="0"/>
        <strike val="0"/>
        <outline/>
        <shadow/>
        <u val="none"/>
        <vertAlign val="baseline"/>
        <sz val="8"/>
        <color theme="1"/>
        <name val="Century Gothic (En-têtes)"/>
      </font>
      <numFmt numFmtId="0" formatCode="General"/>
      <fill>
        <patternFill patternType="none">
          <fgColor indexed="64"/>
          <bgColor auto="1"/>
        </patternFill>
      </fill>
      <alignment horizontal="left" vertical="bottom" textRotation="0" wrapText="0" indent="1" justifyLastLine="0" shrinkToFit="0" readingOrder="0"/>
    </dxf>
    <dxf>
      <font>
        <b/>
        <i val="0"/>
        <strike val="0"/>
        <outline/>
        <shadow/>
        <u val="none"/>
        <vertAlign val="baseline"/>
        <sz val="8"/>
        <color theme="1"/>
        <name val="Century Gothic"/>
        <scheme val="major"/>
      </font>
      <fill>
        <patternFill patternType="none">
          <fgColor indexed="64"/>
          <bgColor auto="1"/>
        </patternFill>
      </fill>
    </dxf>
    <dxf>
      <font>
        <strike/>
        <outline/>
        <shadow/>
        <u val="none"/>
        <vertAlign val="baseline"/>
        <sz val="8"/>
        <color theme="1"/>
        <name val="Century Gothic"/>
        <scheme val="major"/>
      </font>
      <fill>
        <patternFill patternType="none">
          <fgColor indexed="64"/>
          <bgColor auto="1"/>
        </patternFill>
      </fill>
    </dxf>
    <dxf>
      <font>
        <strike/>
        <outline/>
        <shadow/>
        <u val="none"/>
        <vertAlign val="baseline"/>
        <sz val="9"/>
        <color theme="1"/>
        <name val="Century Gothic"/>
        <scheme val="major"/>
      </font>
      <fill>
        <patternFill patternType="none">
          <fgColor indexed="64"/>
          <bgColor auto="1"/>
        </patternFill>
      </fill>
      <alignment horizontal="left" vertical="bottom" textRotation="0" wrapText="0" relativeIndent="1" justifyLastLine="0" shrinkToFit="0" readingOrder="0"/>
    </dxf>
    <dxf>
      <font>
        <b/>
        <i val="0"/>
        <strike val="0"/>
        <color auto="1"/>
      </font>
      <fill>
        <patternFill>
          <bgColor theme="5"/>
        </patternFill>
      </fill>
    </dxf>
    <dxf>
      <fill>
        <patternFill>
          <bgColor theme="4"/>
        </patternFill>
      </fill>
    </dxf>
    <dxf>
      <fill>
        <patternFill>
          <bgColor theme="5"/>
        </patternFill>
      </fill>
    </dxf>
    <dxf>
      <fill>
        <patternFill>
          <bgColor theme="9"/>
        </patternFill>
      </fill>
    </dxf>
    <dxf>
      <fill>
        <patternFill>
          <bgColor theme="7"/>
        </patternFill>
      </fill>
    </dxf>
    <dxf>
      <font>
        <b/>
        <i val="0"/>
        <strike val="0"/>
        <color auto="1"/>
      </font>
      <fill>
        <patternFill>
          <bgColor theme="4"/>
        </patternFill>
      </fill>
    </dxf>
    <dxf>
      <font>
        <b/>
        <i val="0"/>
        <strike val="0"/>
        <color auto="1"/>
      </font>
      <fill>
        <patternFill>
          <bgColor theme="9"/>
        </patternFill>
      </fill>
    </dxf>
    <dxf>
      <font>
        <b/>
        <i val="0"/>
        <strike val="0"/>
        <color auto="1"/>
      </font>
      <fill>
        <patternFill>
          <bgColor theme="7"/>
        </patternFill>
      </fill>
    </dxf>
    <dxf>
      <font>
        <color theme="1"/>
      </font>
      <fill>
        <patternFill patternType="none">
          <bgColor auto="1"/>
        </patternFill>
      </fill>
    </dxf>
    <dxf>
      <font>
        <strike val="0"/>
        <color auto="1"/>
      </font>
      <fill>
        <patternFill>
          <bgColor theme="5" tint="0.39994506668294322"/>
        </patternFill>
      </fill>
    </dxf>
    <dxf>
      <font>
        <strike val="0"/>
        <color auto="1"/>
      </font>
      <fill>
        <patternFill>
          <bgColor theme="7" tint="0.39994506668294322"/>
        </patternFill>
      </fill>
    </dxf>
    <dxf>
      <font>
        <color auto="1"/>
      </font>
      <fill>
        <patternFill>
          <bgColor rgb="FFC00000"/>
        </patternFill>
      </fill>
    </dxf>
    <dxf>
      <font>
        <strike val="0"/>
        <color auto="1"/>
      </font>
      <fill>
        <patternFill>
          <bgColor theme="4" tint="0.39994506668294322"/>
        </patternFill>
      </fill>
    </dxf>
    <dxf>
      <font>
        <b/>
        <i val="0"/>
        <strike val="0"/>
        <color auto="1"/>
      </font>
      <fill>
        <patternFill>
          <bgColor rgb="FFFF0000"/>
        </patternFill>
      </fill>
    </dxf>
    <dxf>
      <font>
        <b/>
        <i val="0"/>
        <strike val="0"/>
        <condense/>
        <extend/>
        <outline/>
        <shadow/>
        <u val="none"/>
        <vertAlign val="baseline"/>
        <sz val="8"/>
        <color theme="1"/>
        <name val="Century Gothic"/>
        <family val="2"/>
        <scheme val="major"/>
      </font>
      <alignment horizontal="right" vertical="bottom" textRotation="0" wrapText="0" indent="1" justifyLastLine="0" shrinkToFit="0" readingOrder="0"/>
    </dxf>
    <dxf>
      <font>
        <strike/>
        <outline/>
        <shadow/>
        <u val="none"/>
        <vertAlign val="baseline"/>
        <sz val="8"/>
        <color theme="1"/>
        <name val="Century Gothic"/>
        <scheme val="major"/>
      </font>
      <fill>
        <patternFill patternType="solid">
          <fgColor indexed="64"/>
          <bgColor theme="1" tint="0.34998626667073579"/>
        </patternFill>
      </fill>
      <border outline="0">
        <left style="thin">
          <color theme="0" tint="-0.14996795556505021"/>
        </left>
      </border>
    </dxf>
    <dxf>
      <font>
        <b/>
        <i val="0"/>
        <strike val="0"/>
        <condense/>
        <extend/>
        <outline/>
        <shadow/>
        <u val="none"/>
        <vertAlign val="baseline"/>
        <sz val="8"/>
        <color theme="1"/>
        <name val="Century Gothic"/>
        <family val="2"/>
        <scheme val="major"/>
      </font>
      <alignment horizontal="right" vertical="bottom" textRotation="0" wrapText="0" indent="1" justifyLastLine="0" shrinkToFit="0" readingOrder="0"/>
    </dxf>
    <dxf>
      <font>
        <b val="0"/>
        <i val="0"/>
        <strike/>
        <outline/>
        <shadow/>
        <u val="none"/>
        <vertAlign val="baseline"/>
        <sz val="1"/>
        <color theme="0" tint="-0.14999847407452621"/>
        <name val="Century Gothic"/>
        <scheme val="major"/>
      </font>
      <numFmt numFmtId="0" formatCode="General"/>
      <fill>
        <patternFill patternType="none">
          <fgColor indexed="64"/>
          <bgColor auto="1"/>
        </patternFill>
      </fill>
      <alignment horizontal="center" vertical="bottom" textRotation="0" wrapText="0" indent="0" justifyLastLine="0" shrinkToFit="0" readingOrder="0"/>
    </dxf>
    <dxf>
      <font>
        <b/>
        <i val="0"/>
        <strike val="0"/>
        <condense/>
        <extend/>
        <outline/>
        <shadow/>
        <u val="none"/>
        <vertAlign val="baseline"/>
        <sz val="8"/>
        <color theme="1"/>
        <name val="Century Gothic"/>
        <family val="2"/>
        <scheme val="major"/>
      </font>
      <numFmt numFmtId="1" formatCode="0"/>
      <alignment horizontal="right" vertical="bottom" textRotation="0" wrapText="0" indent="1" justifyLastLine="0" shrinkToFit="0" readingOrder="0"/>
    </dxf>
    <dxf>
      <font>
        <b val="0"/>
        <i val="0"/>
        <strike val="0"/>
        <outline/>
        <shadow/>
        <u val="none"/>
        <vertAlign val="baseline"/>
        <sz val="8"/>
        <color theme="0"/>
        <name val="Century Gothic"/>
        <scheme val="major"/>
      </font>
      <numFmt numFmtId="1" formatCode="0"/>
      <alignment horizontal="center" vertical="bottom" textRotation="0" wrapText="0" indent="0" justifyLastLine="0" shrinkToFit="0" readingOrder="0"/>
      <border>
        <right style="thin">
          <color theme="0" tint="-0.14996795556505021"/>
        </right>
      </border>
    </dxf>
    <dxf>
      <font>
        <b/>
        <i val="0"/>
        <strike val="0"/>
        <condense/>
        <extend/>
        <outline/>
        <shadow/>
        <u val="none"/>
        <vertAlign val="baseline"/>
        <sz val="8"/>
        <color theme="1"/>
        <name val="Century Gothic"/>
        <family val="2"/>
        <scheme val="major"/>
      </font>
      <numFmt numFmtId="3" formatCode="#,##0"/>
      <alignment horizontal="right" vertical="bottom" textRotation="0" wrapText="0" indent="1" justifyLastLine="0" shrinkToFit="0" readingOrder="0"/>
    </dxf>
    <dxf>
      <font>
        <b val="0"/>
        <i val="0"/>
        <strike val="0"/>
        <outline/>
        <shadow/>
        <u val="none"/>
        <vertAlign val="baseline"/>
        <sz val="8"/>
        <color theme="1"/>
      </font>
      <numFmt numFmtId="1" formatCode="0"/>
      <alignment horizontal="right" vertical="bottom" textRotation="0" wrapText="0" indent="1" justifyLastLine="0" shrinkToFit="0" readingOrder="0"/>
      <protection locked="0" hidden="0"/>
    </dxf>
    <dxf>
      <font>
        <b/>
        <i val="0"/>
        <strike val="0"/>
        <condense/>
        <extend/>
        <outline/>
        <shadow/>
        <u val="none"/>
        <vertAlign val="baseline"/>
        <sz val="8"/>
        <color theme="1"/>
        <name val="Century Gothic"/>
        <family val="2"/>
        <scheme val="major"/>
      </font>
      <numFmt numFmtId="3" formatCode="#,##0"/>
      <alignment horizontal="right" vertical="bottom" textRotation="0" wrapText="0" indent="1" justifyLastLine="0" shrinkToFit="0" readingOrder="0"/>
    </dxf>
    <dxf>
      <font>
        <b val="0"/>
        <i val="0"/>
        <strike val="0"/>
        <outline/>
        <shadow/>
        <u val="none"/>
        <vertAlign val="baseline"/>
        <sz val="8"/>
        <color theme="1"/>
      </font>
      <numFmt numFmtId="1" formatCode="0"/>
      <alignment horizontal="center" vertical="bottom" textRotation="0" wrapText="0" indent="0" justifyLastLine="0" shrinkToFit="0"/>
      <protection locked="0" hidden="0"/>
    </dxf>
    <dxf>
      <font>
        <b/>
        <i val="0"/>
        <strike val="0"/>
        <condense/>
        <extend/>
        <outline/>
        <shadow/>
        <u val="none"/>
        <vertAlign val="baseline"/>
        <sz val="8"/>
        <color theme="1"/>
        <name val="Century Gothic"/>
        <family val="2"/>
        <scheme val="major"/>
      </font>
      <numFmt numFmtId="3" formatCode="#,##0"/>
      <alignment horizontal="right" vertical="bottom" textRotation="0" wrapText="0" indent="1" justifyLastLine="0" shrinkToFit="0" readingOrder="0"/>
    </dxf>
    <dxf>
      <font>
        <b val="0"/>
        <i val="0"/>
        <strike val="0"/>
        <outline/>
        <shadow/>
        <u val="none"/>
        <vertAlign val="baseline"/>
        <sz val="8"/>
        <color theme="1"/>
      </font>
      <numFmt numFmtId="1" formatCode="0"/>
      <alignment horizontal="right" vertical="bottom" textRotation="0" wrapText="0" indent="1" justifyLastLine="0" shrinkToFit="0" readingOrder="0"/>
      <protection locked="0" hidden="0"/>
    </dxf>
    <dxf>
      <font>
        <b/>
        <i val="0"/>
        <strike val="0"/>
        <condense/>
        <extend/>
        <outline/>
        <shadow/>
        <u val="none"/>
        <vertAlign val="baseline"/>
        <sz val="8"/>
        <color theme="1"/>
        <name val="Century Gothic"/>
        <family val="2"/>
        <scheme val="major"/>
      </font>
      <numFmt numFmtId="3" formatCode="#,##0"/>
      <alignment horizontal="right" vertical="bottom" textRotation="0" wrapText="0" indent="1" justifyLastLine="0" shrinkToFit="0" readingOrder="0"/>
    </dxf>
    <dxf>
      <font>
        <b val="0"/>
        <i val="0"/>
        <strike val="0"/>
        <outline/>
        <shadow/>
        <u val="none"/>
        <vertAlign val="baseline"/>
        <sz val="8"/>
        <color theme="1"/>
      </font>
      <numFmt numFmtId="1" formatCode="0"/>
      <alignment horizontal="right" vertical="bottom" textRotation="0" wrapText="0" indent="1" justifyLastLine="0" shrinkToFit="0" readingOrder="0"/>
      <protection locked="0" hidden="0"/>
    </dxf>
    <dxf>
      <font>
        <b/>
        <i val="0"/>
        <strike val="0"/>
        <condense/>
        <extend/>
        <outline/>
        <shadow/>
        <u val="none"/>
        <vertAlign val="baseline"/>
        <sz val="8"/>
        <color theme="1"/>
        <name val="Century Gothic"/>
        <family val="2"/>
        <scheme val="major"/>
      </font>
      <numFmt numFmtId="3" formatCode="#,##0"/>
      <alignment horizontal="right" vertical="bottom" textRotation="0" wrapText="0" indent="1" justifyLastLine="0" shrinkToFit="0" readingOrder="0"/>
    </dxf>
    <dxf>
      <font>
        <b val="0"/>
        <i val="0"/>
        <strike val="0"/>
        <outline/>
        <shadow/>
        <u val="none"/>
        <vertAlign val="baseline"/>
        <sz val="8"/>
        <color theme="1"/>
      </font>
      <numFmt numFmtId="1" formatCode="0"/>
      <alignment horizontal="right" vertical="bottom" textRotation="0" wrapText="0" indent="1" justifyLastLine="0" shrinkToFit="0" readingOrder="0"/>
      <protection locked="0" hidden="0"/>
    </dxf>
    <dxf>
      <font>
        <b/>
        <i val="0"/>
        <strike val="0"/>
        <condense/>
        <extend/>
        <outline/>
        <shadow/>
        <u val="none"/>
        <vertAlign val="baseline"/>
        <sz val="8"/>
        <color theme="1"/>
        <name val="Century Gothic"/>
        <family val="2"/>
        <scheme val="major"/>
      </font>
      <numFmt numFmtId="3" formatCode="#,##0"/>
      <alignment horizontal="right" vertical="bottom" textRotation="0" wrapText="0" indent="1" justifyLastLine="0" shrinkToFit="0" readingOrder="0"/>
    </dxf>
    <dxf>
      <font>
        <b val="0"/>
        <i val="0"/>
        <strike val="0"/>
        <outline/>
        <shadow/>
        <u val="none"/>
        <vertAlign val="baseline"/>
        <sz val="8"/>
        <color theme="1"/>
      </font>
      <numFmt numFmtId="1" formatCode="0"/>
      <alignment horizontal="right" vertical="bottom" textRotation="0" wrapText="0" indent="1" justifyLastLine="0" shrinkToFit="0" readingOrder="0"/>
      <protection locked="0" hidden="0"/>
    </dxf>
    <dxf>
      <font>
        <b/>
        <i val="0"/>
        <strike val="0"/>
        <condense/>
        <extend/>
        <outline/>
        <shadow/>
        <u val="none"/>
        <vertAlign val="baseline"/>
        <sz val="8"/>
        <color theme="1"/>
        <name val="Century Gothic"/>
        <family val="2"/>
        <scheme val="major"/>
      </font>
      <numFmt numFmtId="3" formatCode="#,##0"/>
      <alignment horizontal="right" vertical="bottom" textRotation="0" wrapText="0" indent="1" justifyLastLine="0" shrinkToFit="0" readingOrder="0"/>
    </dxf>
    <dxf>
      <font>
        <b val="0"/>
        <i val="0"/>
        <strike val="0"/>
        <outline/>
        <shadow/>
        <u val="none"/>
        <vertAlign val="baseline"/>
        <sz val="8"/>
        <color theme="1"/>
      </font>
      <numFmt numFmtId="1" formatCode="0"/>
      <alignment horizontal="right" vertical="bottom" textRotation="0" wrapText="0" indent="1" justifyLastLine="0" shrinkToFit="0" readingOrder="0"/>
      <protection locked="0" hidden="0"/>
    </dxf>
    <dxf>
      <font>
        <b/>
        <i val="0"/>
        <strike val="0"/>
        <condense/>
        <extend/>
        <outline/>
        <shadow/>
        <u val="none"/>
        <vertAlign val="baseline"/>
        <sz val="8"/>
        <color theme="1"/>
        <name val="Century Gothic"/>
        <family val="2"/>
        <scheme val="major"/>
      </font>
      <numFmt numFmtId="3" formatCode="#,##0"/>
      <alignment horizontal="right" vertical="bottom" textRotation="0" wrapText="0" indent="1" justifyLastLine="0" shrinkToFit="0" readingOrder="0"/>
    </dxf>
    <dxf>
      <font>
        <b val="0"/>
        <i val="0"/>
        <strike val="0"/>
        <condense val="0"/>
        <extend val="0"/>
        <outline/>
        <shadow/>
        <u val="none"/>
        <vertAlign val="baseline"/>
        <sz val="8"/>
        <color theme="1"/>
        <name val="Calibri"/>
        <scheme val="minor"/>
      </font>
      <numFmt numFmtId="1" formatCode="0"/>
      <alignment horizontal="right" vertical="bottom" textRotation="0" wrapText="0" indent="1" justifyLastLine="0" shrinkToFit="0" readingOrder="0"/>
      <protection locked="0" hidden="0"/>
    </dxf>
    <dxf>
      <font>
        <b/>
        <i val="0"/>
        <strike val="0"/>
        <condense/>
        <extend/>
        <outline/>
        <shadow/>
        <u val="none"/>
        <vertAlign val="baseline"/>
        <sz val="8"/>
        <color theme="1"/>
        <name val="Century Gothic"/>
        <family val="2"/>
        <scheme val="major"/>
      </font>
      <numFmt numFmtId="3" formatCode="#,##0"/>
      <alignment horizontal="right" vertical="bottom" textRotation="0" wrapText="0" indent="1" justifyLastLine="0" shrinkToFit="0" readingOrder="0"/>
    </dxf>
    <dxf>
      <font>
        <b val="0"/>
        <i val="0"/>
        <strike val="0"/>
        <condense val="0"/>
        <extend val="0"/>
        <outline/>
        <shadow/>
        <u val="none"/>
        <vertAlign val="baseline"/>
        <sz val="8"/>
        <color theme="1"/>
        <name val="Calibri"/>
        <scheme val="minor"/>
      </font>
      <numFmt numFmtId="1" formatCode="0"/>
      <alignment horizontal="right" vertical="bottom" textRotation="0" wrapText="0" indent="1" justifyLastLine="0" shrinkToFit="0" readingOrder="0"/>
      <protection locked="0" hidden="0"/>
    </dxf>
    <dxf>
      <font>
        <b/>
        <i val="0"/>
        <strike val="0"/>
        <condense/>
        <extend/>
        <outline/>
        <shadow/>
        <u val="none"/>
        <vertAlign val="baseline"/>
        <sz val="8"/>
        <color theme="1"/>
        <name val="Century Gothic"/>
        <family val="2"/>
        <scheme val="major"/>
      </font>
      <numFmt numFmtId="3" formatCode="#,##0"/>
      <alignment horizontal="right" vertical="bottom" textRotation="0" wrapText="0" indent="1" justifyLastLine="0" shrinkToFit="0" readingOrder="0"/>
    </dxf>
    <dxf>
      <font>
        <b val="0"/>
        <i val="0"/>
        <strike val="0"/>
        <condense val="0"/>
        <extend val="0"/>
        <outline/>
        <shadow/>
        <u val="none"/>
        <vertAlign val="baseline"/>
        <sz val="8"/>
        <color theme="1"/>
        <name val="Calibri"/>
        <scheme val="minor"/>
      </font>
      <numFmt numFmtId="1" formatCode="0"/>
      <alignment horizontal="right" vertical="bottom" textRotation="0" wrapText="0" indent="1" justifyLastLine="0" shrinkToFit="0" readingOrder="0"/>
      <protection locked="0" hidden="0"/>
    </dxf>
    <dxf>
      <font>
        <b/>
        <i val="0"/>
        <strike val="0"/>
        <condense/>
        <extend/>
        <outline/>
        <shadow/>
        <u val="none"/>
        <vertAlign val="baseline"/>
        <sz val="8"/>
        <color theme="1"/>
        <name val="Century Gothic"/>
        <family val="2"/>
        <scheme val="major"/>
      </font>
      <numFmt numFmtId="3" formatCode="#,##0"/>
      <alignment horizontal="right" vertical="bottom" textRotation="0" wrapText="0" indent="1" justifyLastLine="0" shrinkToFit="0" readingOrder="0"/>
    </dxf>
    <dxf>
      <font>
        <b val="0"/>
        <i val="0"/>
        <strike val="0"/>
        <condense val="0"/>
        <extend val="0"/>
        <outline/>
        <shadow/>
        <u val="none"/>
        <vertAlign val="baseline"/>
        <sz val="8"/>
        <color theme="1"/>
        <name val="Calibri"/>
        <scheme val="minor"/>
      </font>
      <numFmt numFmtId="1" formatCode="0"/>
      <alignment horizontal="right" vertical="bottom" textRotation="0" wrapText="0" indent="1" justifyLastLine="0" shrinkToFit="0" readingOrder="0"/>
      <protection locked="0" hidden="0"/>
    </dxf>
    <dxf>
      <font>
        <b/>
        <i val="0"/>
        <strike val="0"/>
        <condense/>
        <extend/>
        <outline/>
        <shadow/>
        <u val="none"/>
        <vertAlign val="baseline"/>
        <sz val="8"/>
        <color theme="1"/>
        <name val="Century Gothic"/>
        <family val="2"/>
        <scheme val="major"/>
      </font>
      <numFmt numFmtId="3" formatCode="#,##0"/>
      <alignment horizontal="right" vertical="bottom" textRotation="0" wrapText="0" indent="1" justifyLastLine="0" shrinkToFit="0" readingOrder="0"/>
    </dxf>
    <dxf>
      <font>
        <b val="0"/>
        <i val="0"/>
        <strike val="0"/>
        <condense val="0"/>
        <extend val="0"/>
        <outline/>
        <shadow/>
        <u val="none"/>
        <vertAlign val="baseline"/>
        <sz val="8"/>
        <color theme="1"/>
        <name val="Calibri"/>
        <scheme val="minor"/>
      </font>
      <numFmt numFmtId="1" formatCode="0"/>
      <alignment horizontal="right" vertical="bottom" textRotation="0" wrapText="0" indent="1" justifyLastLine="0" shrinkToFit="0" readingOrder="0"/>
      <protection locked="0" hidden="0"/>
    </dxf>
    <dxf>
      <font>
        <b/>
        <i val="0"/>
        <strike val="0"/>
        <condense/>
        <extend/>
        <outline/>
        <shadow/>
        <u val="none"/>
        <vertAlign val="baseline"/>
        <sz val="8"/>
        <color theme="1"/>
        <name val="Century Gothic"/>
        <family val="2"/>
        <scheme val="major"/>
      </font>
      <numFmt numFmtId="3" formatCode="#,##0"/>
      <alignment horizontal="right" vertical="bottom" textRotation="0" wrapText="0" indent="1" justifyLastLine="0" shrinkToFit="0" readingOrder="0"/>
    </dxf>
    <dxf>
      <font>
        <b val="0"/>
        <i val="0"/>
        <strike val="0"/>
        <condense val="0"/>
        <extend val="0"/>
        <outline/>
        <shadow/>
        <u val="none"/>
        <vertAlign val="baseline"/>
        <sz val="8"/>
        <color theme="1"/>
        <name val="Calibri"/>
        <scheme val="minor"/>
      </font>
      <numFmt numFmtId="1" formatCode="0"/>
      <alignment horizontal="right" vertical="bottom" textRotation="0" wrapText="0" indent="1" justifyLastLine="0" shrinkToFit="0" readingOrder="0"/>
      <protection locked="0" hidden="0"/>
    </dxf>
    <dxf>
      <font>
        <b/>
        <i val="0"/>
        <strike val="0"/>
        <condense/>
        <extend/>
        <outline/>
        <shadow/>
        <u val="none"/>
        <vertAlign val="baseline"/>
        <sz val="8"/>
        <color theme="1"/>
        <name val="Century Gothic"/>
        <family val="2"/>
        <scheme val="major"/>
      </font>
      <numFmt numFmtId="3" formatCode="#,##0"/>
      <alignment horizontal="right" vertical="bottom" textRotation="0" wrapText="0" indent="1" justifyLastLine="0" shrinkToFit="0" readingOrder="0"/>
    </dxf>
    <dxf>
      <font>
        <b val="0"/>
        <i val="0"/>
        <strike val="0"/>
        <condense val="0"/>
        <extend val="0"/>
        <outline/>
        <shadow/>
        <u val="none"/>
        <vertAlign val="baseline"/>
        <sz val="8"/>
        <color theme="1"/>
        <name val="Calibri"/>
        <scheme val="minor"/>
      </font>
      <numFmt numFmtId="1" formatCode="0"/>
      <alignment horizontal="right" vertical="bottom" textRotation="0" wrapText="0" indent="1" justifyLastLine="0" shrinkToFit="0" readingOrder="0"/>
      <protection locked="0" hidden="0"/>
    </dxf>
    <dxf>
      <font>
        <b/>
        <i val="0"/>
        <strike val="0"/>
        <condense/>
        <extend/>
        <outline/>
        <shadow/>
        <u val="none"/>
        <vertAlign val="baseline"/>
        <sz val="8"/>
        <color theme="1"/>
        <name val="Century Gothic"/>
        <family val="2"/>
        <scheme val="major"/>
      </font>
      <numFmt numFmtId="3" formatCode="#,##0"/>
      <alignment horizontal="right" vertical="bottom" textRotation="0" wrapText="0" indent="1" justifyLastLine="0" shrinkToFit="0" readingOrder="0"/>
    </dxf>
    <dxf>
      <font>
        <b val="0"/>
        <i val="0"/>
        <strike val="0"/>
        <outline/>
        <shadow/>
        <u val="none"/>
        <vertAlign val="baseline"/>
        <sz val="8"/>
        <color theme="1"/>
      </font>
      <numFmt numFmtId="1" formatCode="0"/>
      <alignment horizontal="right" vertical="bottom" textRotation="0" wrapText="0" indent="1" justifyLastLine="0" shrinkToFit="0" readingOrder="0"/>
      <protection locked="0" hidden="0"/>
    </dxf>
    <dxf>
      <font>
        <b/>
        <i val="0"/>
        <strike val="0"/>
        <condense/>
        <extend/>
        <outline/>
        <shadow/>
        <u val="none"/>
        <vertAlign val="baseline"/>
        <sz val="8"/>
        <color theme="1"/>
        <name val="Century Gothic"/>
        <family val="2"/>
        <scheme val="major"/>
      </font>
      <numFmt numFmtId="3" formatCode="#,##0"/>
      <alignment horizontal="right" vertical="bottom" textRotation="0" wrapText="0" indent="1" justifyLastLine="0" shrinkToFit="0" readingOrder="0"/>
    </dxf>
    <dxf>
      <font>
        <b val="0"/>
        <i val="0"/>
        <strike val="0"/>
        <outline/>
        <shadow/>
        <u val="none"/>
        <vertAlign val="baseline"/>
        <sz val="8"/>
        <color theme="1"/>
      </font>
      <numFmt numFmtId="1" formatCode="0"/>
      <alignment horizontal="right" vertical="bottom" textRotation="0" wrapText="0" indent="1" justifyLastLine="0" shrinkToFit="0" readingOrder="0"/>
      <protection locked="0" hidden="0"/>
    </dxf>
    <dxf>
      <font>
        <b/>
        <i val="0"/>
        <strike val="0"/>
        <condense/>
        <extend/>
        <outline/>
        <shadow/>
        <u val="none"/>
        <vertAlign val="baseline"/>
        <sz val="8"/>
        <color theme="1"/>
        <name val="Century Gothic"/>
        <family val="2"/>
        <scheme val="major"/>
      </font>
      <numFmt numFmtId="3" formatCode="#,##0"/>
      <alignment horizontal="right" vertical="bottom" textRotation="0" wrapText="0" indent="1" justifyLastLine="0" shrinkToFit="0" readingOrder="0"/>
    </dxf>
    <dxf>
      <font>
        <b val="0"/>
        <i val="0"/>
        <strike val="0"/>
        <outline/>
        <shadow/>
        <u val="none"/>
        <vertAlign val="baseline"/>
        <sz val="8"/>
        <color theme="1"/>
      </font>
      <numFmt numFmtId="1" formatCode="0"/>
      <alignment horizontal="right" vertical="bottom" textRotation="0" wrapText="0" indent="1" justifyLastLine="0" shrinkToFit="0" readingOrder="0"/>
      <protection locked="0" hidden="0"/>
    </dxf>
    <dxf>
      <font>
        <b/>
        <i val="0"/>
        <strike val="0"/>
        <condense/>
        <extend/>
        <outline/>
        <shadow/>
        <u val="none"/>
        <vertAlign val="baseline"/>
        <sz val="8"/>
        <color theme="1"/>
        <name val="Century Gothic"/>
        <family val="2"/>
        <scheme val="major"/>
      </font>
      <numFmt numFmtId="3" formatCode="#,##0"/>
      <alignment horizontal="right" vertical="bottom" textRotation="0" wrapText="0" indent="1" justifyLastLine="0" shrinkToFit="0" readingOrder="0"/>
    </dxf>
    <dxf>
      <font>
        <b val="0"/>
        <i val="0"/>
        <strike val="0"/>
        <outline/>
        <shadow/>
        <u val="none"/>
        <vertAlign val="baseline"/>
        <sz val="8"/>
        <color theme="1"/>
      </font>
      <numFmt numFmtId="1" formatCode="0"/>
      <alignment horizontal="right" vertical="bottom" textRotation="0" wrapText="0" indent="1" justifyLastLine="0" shrinkToFit="0" readingOrder="0"/>
      <protection locked="0" hidden="0"/>
    </dxf>
    <dxf>
      <font>
        <b/>
        <i val="0"/>
        <strike val="0"/>
        <condense/>
        <extend/>
        <outline/>
        <shadow/>
        <u val="none"/>
        <vertAlign val="baseline"/>
        <sz val="8"/>
        <color theme="1"/>
        <name val="Century Gothic"/>
        <family val="2"/>
        <scheme val="major"/>
      </font>
      <numFmt numFmtId="3" formatCode="#,##0"/>
      <alignment horizontal="right" vertical="bottom" textRotation="0" wrapText="0" indent="1" justifyLastLine="0" shrinkToFit="0" readingOrder="0"/>
    </dxf>
    <dxf>
      <font>
        <b val="0"/>
        <i val="0"/>
        <strike val="0"/>
        <condense val="0"/>
        <extend val="0"/>
        <outline/>
        <shadow/>
        <u val="none"/>
        <vertAlign val="baseline"/>
        <sz val="8"/>
        <color theme="1"/>
        <name val="Century Gothic"/>
        <scheme val="major"/>
      </font>
      <numFmt numFmtId="1" formatCode="0"/>
      <alignment horizontal="center" vertical="bottom" textRotation="0" wrapText="0" indent="0" justifyLastLine="0" shrinkToFit="0" readingOrder="0"/>
      <protection locked="0" hidden="0"/>
    </dxf>
    <dxf>
      <font>
        <b/>
        <i val="0"/>
        <strike val="0"/>
        <condense/>
        <extend/>
        <outline/>
        <shadow/>
        <u val="none"/>
        <vertAlign val="baseline"/>
        <sz val="8"/>
        <color theme="1"/>
        <name val="Century Gothic"/>
        <family val="2"/>
        <scheme val="major"/>
      </font>
      <numFmt numFmtId="3" formatCode="#,##0"/>
      <alignment horizontal="right" vertical="bottom" textRotation="0" wrapText="0" indent="1" justifyLastLine="0" shrinkToFit="0" readingOrder="0"/>
    </dxf>
    <dxf>
      <font>
        <b val="0"/>
        <i val="0"/>
        <strike val="0"/>
        <condense val="0"/>
        <extend val="0"/>
        <outline/>
        <shadow/>
        <u val="none"/>
        <vertAlign val="baseline"/>
        <sz val="8"/>
        <color theme="1"/>
        <name val="Century Gothic"/>
        <scheme val="major"/>
      </font>
      <numFmt numFmtId="1" formatCode="0"/>
      <alignment horizontal="center" vertical="bottom" textRotation="0" wrapText="0" indent="0" justifyLastLine="0" shrinkToFit="0" readingOrder="0"/>
      <protection locked="0" hidden="0"/>
    </dxf>
    <dxf>
      <font>
        <b/>
        <i val="0"/>
        <strike val="0"/>
        <condense/>
        <extend/>
        <outline/>
        <shadow/>
        <u val="none"/>
        <vertAlign val="baseline"/>
        <sz val="8"/>
        <color theme="1"/>
        <name val="Century Gothic"/>
        <family val="2"/>
        <scheme val="major"/>
      </font>
      <numFmt numFmtId="3" formatCode="#,##0"/>
      <alignment horizontal="right" vertical="bottom" textRotation="0" wrapText="0" indent="1" justifyLastLine="0" shrinkToFit="0" readingOrder="0"/>
    </dxf>
    <dxf>
      <font>
        <b val="0"/>
        <i val="0"/>
        <strike val="0"/>
        <condense val="0"/>
        <extend val="0"/>
        <outline/>
        <shadow/>
        <u val="none"/>
        <vertAlign val="baseline"/>
        <sz val="8"/>
        <color theme="1"/>
        <name val="Century Gothic"/>
        <scheme val="major"/>
      </font>
      <numFmt numFmtId="1" formatCode="0"/>
      <alignment horizontal="center" vertical="bottom" textRotation="0" wrapText="0" indent="0" justifyLastLine="0" shrinkToFit="0" readingOrder="0"/>
      <protection locked="0" hidden="0"/>
    </dxf>
    <dxf>
      <font>
        <b/>
        <i val="0"/>
        <strike val="0"/>
        <condense/>
        <extend/>
        <outline/>
        <shadow/>
        <u val="none"/>
        <vertAlign val="baseline"/>
        <sz val="8"/>
        <color theme="1"/>
        <name val="Century Gothic"/>
        <family val="2"/>
        <scheme val="major"/>
      </font>
      <numFmt numFmtId="3" formatCode="#,##0"/>
      <alignment horizontal="right" vertical="bottom" textRotation="0" wrapText="0" indent="1" justifyLastLine="0" shrinkToFit="0" readingOrder="0"/>
    </dxf>
    <dxf>
      <font>
        <b val="0"/>
        <i val="0"/>
        <strike val="0"/>
        <condense val="0"/>
        <extend val="0"/>
        <outline/>
        <shadow/>
        <u val="none"/>
        <vertAlign val="baseline"/>
        <sz val="8"/>
        <color theme="1"/>
        <name val="Century Gothic"/>
        <scheme val="major"/>
      </font>
      <numFmt numFmtId="1" formatCode="0"/>
      <alignment horizontal="center" vertical="bottom" textRotation="0" wrapText="0" indent="0" justifyLastLine="0" shrinkToFit="0" readingOrder="0"/>
      <protection locked="0" hidden="0"/>
    </dxf>
    <dxf>
      <font>
        <b/>
        <i val="0"/>
        <strike val="0"/>
        <condense/>
        <extend/>
        <outline/>
        <shadow/>
        <u val="none"/>
        <vertAlign val="baseline"/>
        <sz val="8"/>
        <color theme="1"/>
        <name val="Century Gothic"/>
        <family val="2"/>
        <scheme val="major"/>
      </font>
      <numFmt numFmtId="3" formatCode="#,##0"/>
      <alignment horizontal="right" vertical="bottom" textRotation="0" wrapText="0" indent="1" justifyLastLine="0" shrinkToFit="0" readingOrder="0"/>
    </dxf>
    <dxf>
      <font>
        <b val="0"/>
        <i val="0"/>
        <strike val="0"/>
        <condense val="0"/>
        <extend val="0"/>
        <outline/>
        <shadow/>
        <u val="none"/>
        <vertAlign val="baseline"/>
        <sz val="8"/>
        <color theme="1"/>
        <name val="Century Gothic"/>
        <scheme val="major"/>
      </font>
      <numFmt numFmtId="1" formatCode="0"/>
      <alignment horizontal="center" vertical="bottom" textRotation="0" wrapText="0" indent="0" justifyLastLine="0" shrinkToFit="0" readingOrder="0"/>
      <protection locked="0" hidden="0"/>
    </dxf>
    <dxf>
      <font>
        <b/>
        <i val="0"/>
        <strike val="0"/>
        <condense/>
        <extend/>
        <outline/>
        <shadow/>
        <u val="none"/>
        <vertAlign val="baseline"/>
        <sz val="8"/>
        <color theme="1"/>
        <name val="Century Gothic"/>
        <family val="2"/>
        <scheme val="major"/>
      </font>
      <numFmt numFmtId="3" formatCode="#,##0"/>
      <alignment horizontal="right" vertical="bottom" textRotation="0" wrapText="0" indent="1" justifyLastLine="0" shrinkToFit="0" readingOrder="0"/>
    </dxf>
    <dxf>
      <font>
        <b val="0"/>
        <i val="0"/>
        <strike val="0"/>
        <condense val="0"/>
        <extend val="0"/>
        <outline/>
        <shadow/>
        <u val="none"/>
        <vertAlign val="baseline"/>
        <sz val="8"/>
        <color theme="1"/>
        <name val="Century Gothic"/>
        <scheme val="major"/>
      </font>
      <numFmt numFmtId="1" formatCode="0"/>
      <alignment horizontal="center" vertical="bottom" textRotation="0" wrapText="0" indent="0" justifyLastLine="0" shrinkToFit="0" readingOrder="0"/>
      <protection locked="0" hidden="0"/>
    </dxf>
    <dxf>
      <font>
        <b/>
        <i val="0"/>
        <strike val="0"/>
        <condense/>
        <extend/>
        <outline/>
        <shadow/>
        <u val="none"/>
        <vertAlign val="baseline"/>
        <sz val="8"/>
        <color theme="1"/>
        <name val="Century Gothic"/>
        <family val="2"/>
        <scheme val="major"/>
      </font>
      <numFmt numFmtId="3" formatCode="#,##0"/>
      <alignment horizontal="right" vertical="bottom" textRotation="0" wrapText="0" indent="1" justifyLastLine="0" shrinkToFit="0" readingOrder="0"/>
    </dxf>
    <dxf>
      <font>
        <b val="0"/>
        <i val="0"/>
        <strike val="0"/>
        <condense val="0"/>
        <extend val="0"/>
        <outline/>
        <shadow/>
        <u val="none"/>
        <vertAlign val="baseline"/>
        <sz val="8"/>
        <color theme="1"/>
        <name val="Century Gothic"/>
        <scheme val="major"/>
      </font>
      <numFmt numFmtId="1" formatCode="0"/>
      <alignment horizontal="center" vertical="bottom" textRotation="0" wrapText="0" indent="0" justifyLastLine="0" shrinkToFit="0" readingOrder="0"/>
      <protection locked="0" hidden="0"/>
    </dxf>
    <dxf>
      <font>
        <b/>
        <i val="0"/>
        <strike val="0"/>
        <condense/>
        <extend/>
        <outline/>
        <shadow/>
        <u val="none"/>
        <vertAlign val="baseline"/>
        <sz val="8"/>
        <color theme="1"/>
        <name val="Century Gothic"/>
        <family val="2"/>
        <scheme val="major"/>
      </font>
      <numFmt numFmtId="3" formatCode="#,##0"/>
      <alignment horizontal="right" vertical="bottom" textRotation="0" wrapText="0" indent="1" justifyLastLine="0" shrinkToFit="0" readingOrder="0"/>
    </dxf>
    <dxf>
      <font>
        <b val="0"/>
        <i val="0"/>
        <strike val="0"/>
        <condense val="0"/>
        <extend val="0"/>
        <outline/>
        <shadow/>
        <u val="none"/>
        <vertAlign val="baseline"/>
        <sz val="8"/>
        <color theme="1"/>
        <name val="Century Gothic"/>
        <scheme val="major"/>
      </font>
      <numFmt numFmtId="1" formatCode="0"/>
      <alignment horizontal="center" vertical="bottom" textRotation="0" wrapText="0" indent="0" justifyLastLine="0" shrinkToFit="0" readingOrder="0"/>
      <protection locked="0" hidden="0"/>
    </dxf>
    <dxf>
      <font>
        <b/>
        <i val="0"/>
        <strike val="0"/>
        <condense/>
        <extend/>
        <outline/>
        <shadow/>
        <u val="none"/>
        <vertAlign val="baseline"/>
        <sz val="8"/>
        <color theme="1"/>
        <name val="Century Gothic"/>
        <family val="2"/>
        <scheme val="major"/>
      </font>
      <numFmt numFmtId="3" formatCode="#,##0"/>
      <alignment horizontal="right" vertical="bottom" textRotation="0" wrapText="0" indent="1" justifyLastLine="0" shrinkToFit="0" readingOrder="0"/>
    </dxf>
    <dxf>
      <font>
        <b val="0"/>
        <i val="0"/>
        <strike val="0"/>
        <condense val="0"/>
        <extend val="0"/>
        <outline/>
        <shadow/>
        <u val="none"/>
        <vertAlign val="baseline"/>
        <sz val="8"/>
        <color theme="1"/>
        <name val="Century Gothic"/>
        <scheme val="major"/>
      </font>
      <numFmt numFmtId="1" formatCode="0"/>
      <alignment horizontal="center" vertical="bottom" textRotation="0" wrapText="0" indent="0" justifyLastLine="0" shrinkToFit="0" readingOrder="0"/>
      <protection locked="0" hidden="0"/>
    </dxf>
    <dxf>
      <font>
        <b/>
        <i val="0"/>
        <strike val="0"/>
        <condense/>
        <extend/>
        <outline/>
        <shadow/>
        <u val="none"/>
        <vertAlign val="baseline"/>
        <sz val="8"/>
        <color theme="1"/>
        <name val="Century Gothic"/>
        <family val="2"/>
        <scheme val="major"/>
      </font>
      <numFmt numFmtId="3" formatCode="#,##0"/>
      <alignment horizontal="right" vertical="bottom" textRotation="0" wrapText="0" indent="1" justifyLastLine="0" shrinkToFit="0" readingOrder="0"/>
    </dxf>
    <dxf>
      <font>
        <b val="0"/>
        <i val="0"/>
        <strike val="0"/>
        <condense val="0"/>
        <extend val="0"/>
        <outline/>
        <shadow/>
        <u val="none"/>
        <vertAlign val="baseline"/>
        <sz val="8"/>
        <color theme="1"/>
        <name val="Century Gothic"/>
        <scheme val="major"/>
      </font>
      <numFmt numFmtId="1" formatCode="0"/>
      <alignment horizontal="center" vertical="bottom" textRotation="0" wrapText="0" indent="0" justifyLastLine="0" shrinkToFit="0" readingOrder="0"/>
      <protection locked="0" hidden="0"/>
    </dxf>
    <dxf>
      <font>
        <b/>
        <i val="0"/>
        <strike val="0"/>
        <condense/>
        <extend/>
        <outline/>
        <shadow/>
        <u val="none"/>
        <vertAlign val="baseline"/>
        <sz val="8"/>
        <color theme="1"/>
        <name val="Century Gothic"/>
        <family val="2"/>
        <scheme val="major"/>
      </font>
      <numFmt numFmtId="3" formatCode="#,##0"/>
      <alignment horizontal="right" vertical="bottom" textRotation="0" wrapText="0" indent="1" justifyLastLine="0" shrinkToFit="0" readingOrder="0"/>
    </dxf>
    <dxf>
      <font>
        <b val="0"/>
        <i val="0"/>
        <strike val="0"/>
        <condense val="0"/>
        <extend val="0"/>
        <outline/>
        <shadow/>
        <u val="none"/>
        <vertAlign val="baseline"/>
        <sz val="8"/>
        <color theme="1"/>
        <name val="Century Gothic"/>
        <scheme val="major"/>
      </font>
      <numFmt numFmtId="1" formatCode="0"/>
      <alignment horizontal="center" vertical="bottom" textRotation="0" wrapText="0" indent="0" justifyLastLine="0" shrinkToFit="0" readingOrder="0"/>
      <protection locked="0" hidden="0"/>
    </dxf>
    <dxf>
      <font>
        <b/>
        <i val="0"/>
        <strike val="0"/>
        <condense/>
        <extend/>
        <outline/>
        <shadow/>
        <u val="none"/>
        <vertAlign val="baseline"/>
        <sz val="8"/>
        <color theme="1"/>
        <name val="Century Gothic"/>
        <family val="2"/>
        <scheme val="major"/>
      </font>
      <numFmt numFmtId="3" formatCode="#,##0"/>
      <alignment horizontal="right" vertical="bottom" textRotation="0" wrapText="0" indent="1" justifyLastLine="0" shrinkToFit="0" readingOrder="0"/>
    </dxf>
    <dxf>
      <font>
        <b val="0"/>
        <i val="0"/>
        <strike val="0"/>
        <outline/>
        <shadow/>
        <u val="none"/>
        <vertAlign val="baseline"/>
        <sz val="8"/>
        <color theme="1"/>
        <name val="Century Gothic"/>
        <scheme val="major"/>
      </font>
      <numFmt numFmtId="1" formatCode="0"/>
      <alignment horizontal="center" vertical="bottom" textRotation="0" wrapText="0" indent="0" justifyLastLine="0" shrinkToFit="0" readingOrder="0"/>
      <protection locked="0" hidden="0"/>
    </dxf>
    <dxf>
      <font>
        <b/>
        <i val="0"/>
        <strike val="0"/>
        <condense/>
        <extend/>
        <outline/>
        <shadow/>
        <u val="none"/>
        <vertAlign val="baseline"/>
        <sz val="8"/>
        <color theme="1"/>
        <name val="Century Gothic"/>
        <family val="2"/>
        <scheme val="major"/>
      </font>
      <fill>
        <patternFill patternType="solid">
          <fgColor indexed="64"/>
          <bgColor theme="0" tint="-4.9989318521683403E-2"/>
        </patternFill>
      </fill>
      <alignment horizontal="left" vertical="bottom" textRotation="0" wrapText="0" indent="1" justifyLastLine="0" shrinkToFit="0" readingOrder="0"/>
    </dxf>
    <dxf>
      <font>
        <b val="0"/>
        <i/>
        <strike val="0"/>
        <outline/>
        <shadow/>
        <u val="none"/>
        <vertAlign val="baseline"/>
        <sz val="8"/>
        <color theme="1"/>
        <name val="Century Gothic"/>
        <scheme val="major"/>
      </font>
      <alignment horizontal="left" vertical="bottom" textRotation="0" wrapText="0" indent="1" justifyLastLine="0" shrinkToFit="0" readingOrder="0"/>
    </dxf>
    <dxf>
      <font>
        <b/>
        <i val="0"/>
        <strike val="0"/>
        <outline/>
        <shadow/>
        <u val="none"/>
        <vertAlign val="baseline"/>
        <sz val="8"/>
        <color theme="1"/>
        <name val="Century Gothic"/>
        <scheme val="major"/>
      </font>
    </dxf>
    <dxf>
      <font>
        <strike/>
        <outline/>
        <shadow/>
        <u val="none"/>
        <vertAlign val="baseline"/>
        <sz val="8"/>
        <color theme="1"/>
        <name val="Century Gothic"/>
        <scheme val="major"/>
      </font>
    </dxf>
    <dxf>
      <font>
        <strike/>
        <outline/>
        <shadow/>
        <u val="none"/>
        <vertAlign val="baseline"/>
        <sz val="9"/>
        <color theme="1"/>
        <name val="Century Gothic"/>
        <scheme val="major"/>
      </font>
    </dxf>
    <dxf>
      <fill>
        <patternFill>
          <bgColor theme="4"/>
        </patternFill>
      </fill>
    </dxf>
    <dxf>
      <fill>
        <patternFill>
          <bgColor theme="5"/>
        </patternFill>
      </fill>
    </dxf>
    <dxf>
      <fill>
        <patternFill>
          <bgColor theme="9"/>
        </patternFill>
      </fill>
    </dxf>
    <dxf>
      <fill>
        <patternFill>
          <bgColor theme="7"/>
        </patternFill>
      </fill>
    </dxf>
    <dxf>
      <fill>
        <patternFill>
          <bgColor theme="0" tint="-4.9989318521683403E-2"/>
        </patternFill>
      </fill>
    </dxf>
    <dxf>
      <font>
        <b/>
        <i val="0"/>
        <strike val="0"/>
        <condense/>
        <extend/>
        <outline/>
        <shadow/>
        <u val="none"/>
        <vertAlign val="baseline"/>
        <sz val="8"/>
        <color theme="1"/>
        <name val="Century Gothic"/>
        <scheme val="major"/>
      </font>
      <numFmt numFmtId="4" formatCode="#,##0.00"/>
      <fill>
        <patternFill patternType="solid">
          <fgColor indexed="64"/>
          <bgColor theme="7" tint="-0.249977111117893"/>
        </patternFill>
      </fill>
      <alignment horizontal="center" vertical="bottom" textRotation="0" wrapText="0" indent="0" justifyLastLine="0" shrinkToFit="0" readingOrder="0"/>
      <border diagonalUp="0" diagonalDown="0" outline="0">
        <left/>
        <right/>
        <top/>
        <bottom/>
      </border>
    </dxf>
    <dxf>
      <font>
        <b/>
        <i val="0"/>
        <strike val="0"/>
        <outline/>
        <shadow/>
        <u val="none"/>
        <vertAlign val="baseline"/>
        <sz val="8"/>
        <color theme="1"/>
        <name val="Century Gothic"/>
        <scheme val="major"/>
      </font>
      <numFmt numFmtId="2" formatCode="0.00"/>
      <fill>
        <patternFill patternType="solid">
          <fgColor indexed="64"/>
          <bgColor theme="7" tint="0.39997558519241921"/>
        </patternFill>
      </fill>
      <alignment horizontal="center" vertical="center" textRotation="0" wrapText="0" indent="0" justifyLastLine="0" shrinkToFit="0" readingOrder="0"/>
    </dxf>
    <dxf>
      <font>
        <b/>
        <i val="0"/>
        <strike val="0"/>
        <condense/>
        <extend/>
        <outline/>
        <shadow/>
        <u val="none"/>
        <vertAlign val="baseline"/>
        <sz val="8"/>
        <color theme="1"/>
        <name val="Century Gothic"/>
        <scheme val="major"/>
      </font>
      <numFmt numFmtId="4" formatCode="#,##0.00"/>
      <fill>
        <patternFill patternType="solid">
          <fgColor indexed="64"/>
          <bgColor theme="4"/>
        </patternFill>
      </fill>
      <alignment horizontal="center" vertical="bottom" textRotation="0" wrapText="0" indent="0" justifyLastLine="0" shrinkToFit="0" readingOrder="0"/>
      <border diagonalUp="0" diagonalDown="0" outline="0">
        <left/>
        <right/>
        <top/>
        <bottom/>
      </border>
    </dxf>
    <dxf>
      <font>
        <b/>
        <i val="0"/>
        <strike val="0"/>
        <outline/>
        <shadow/>
        <u val="none"/>
        <vertAlign val="baseline"/>
        <sz val="8"/>
        <color theme="1"/>
        <name val="Century Gothic"/>
        <scheme val="major"/>
      </font>
      <numFmt numFmtId="2" formatCode="0.00"/>
      <fill>
        <patternFill patternType="solid">
          <fgColor indexed="64"/>
          <bgColor theme="4" tint="0.39997558519241921"/>
        </patternFill>
      </fill>
      <alignment horizontal="center" vertical="center" textRotation="0" wrapText="0" indent="0" justifyLastLine="0" shrinkToFit="0" readingOrder="0"/>
    </dxf>
    <dxf>
      <font>
        <b/>
        <i val="0"/>
        <strike val="0"/>
        <condense/>
        <extend/>
        <outline/>
        <shadow/>
        <u val="none"/>
        <vertAlign val="baseline"/>
        <sz val="8"/>
        <color theme="1"/>
        <name val="Century Gothic"/>
        <scheme val="major"/>
      </font>
      <numFmt numFmtId="4" formatCode="#,##0.00"/>
      <fill>
        <patternFill patternType="solid">
          <fgColor indexed="64"/>
          <bgColor theme="6"/>
        </patternFill>
      </fill>
      <alignment horizontal="center" vertical="bottom" textRotation="0" wrapText="0" indent="0" justifyLastLine="0" shrinkToFit="0" readingOrder="0"/>
      <border diagonalUp="0" diagonalDown="0" outline="0">
        <left/>
        <right/>
        <top/>
        <bottom/>
      </border>
    </dxf>
    <dxf>
      <font>
        <b/>
        <i val="0"/>
        <strike val="0"/>
        <outline/>
        <shadow/>
        <u val="none"/>
        <vertAlign val="baseline"/>
        <sz val="8"/>
        <color theme="1"/>
        <name val="Century Gothic"/>
        <scheme val="major"/>
      </font>
      <numFmt numFmtId="2" formatCode="0.00"/>
      <fill>
        <patternFill patternType="solid">
          <fgColor indexed="64"/>
          <bgColor theme="6" tint="0.39997558519241921"/>
        </patternFill>
      </fill>
      <alignment horizontal="center" vertical="center" textRotation="0" wrapText="0" indent="0" justifyLastLine="0" shrinkToFit="0" readingOrder="0"/>
    </dxf>
    <dxf>
      <font>
        <b/>
        <i val="0"/>
        <strike val="0"/>
        <condense/>
        <extend/>
        <outline/>
        <shadow/>
        <u val="none"/>
        <vertAlign val="baseline"/>
        <sz val="8"/>
        <color theme="1"/>
        <name val="Century Gothic"/>
        <scheme val="major"/>
      </font>
      <numFmt numFmtId="4" formatCode="#,##0.00"/>
      <fill>
        <patternFill patternType="solid">
          <fgColor indexed="64"/>
          <bgColor theme="5"/>
        </patternFill>
      </fill>
      <alignment horizontal="center" vertical="bottom" textRotation="0" wrapText="0" indent="0" justifyLastLine="0" shrinkToFit="0" readingOrder="0"/>
      <border diagonalUp="0" diagonalDown="0" outline="0">
        <left/>
        <right/>
        <top/>
        <bottom/>
      </border>
    </dxf>
    <dxf>
      <font>
        <b/>
        <i val="0"/>
        <strike val="0"/>
        <outline/>
        <shadow/>
        <u val="none"/>
        <vertAlign val="baseline"/>
        <sz val="8"/>
        <color theme="1"/>
        <name val="Century Gothic"/>
        <scheme val="major"/>
      </font>
      <numFmt numFmtId="2" formatCode="0.00"/>
      <fill>
        <patternFill patternType="solid">
          <fgColor indexed="64"/>
          <bgColor theme="5" tint="0.39997558519241921"/>
        </patternFill>
      </fill>
      <alignment horizontal="center" vertical="center" textRotation="0" wrapText="0" indent="0" justifyLastLine="0" shrinkToFit="0" readingOrder="0"/>
    </dxf>
    <dxf>
      <font>
        <b/>
        <i val="0"/>
        <strike val="0"/>
        <condense/>
        <extend/>
        <outline/>
        <shadow/>
        <u val="none"/>
        <vertAlign val="baseline"/>
        <sz val="8"/>
        <color theme="1"/>
        <name val="Century Gothic"/>
        <scheme val="major"/>
      </font>
      <fill>
        <patternFill patternType="solid">
          <fgColor indexed="64"/>
          <bgColor theme="0" tint="-4.9989318521683403E-2"/>
        </patternFill>
      </fill>
      <alignment horizontal="left" vertical="bottom" textRotation="0" wrapText="0" indent="1" justifyLastLine="0" shrinkToFit="0" readingOrder="0"/>
      <border diagonalUp="0" diagonalDown="0" outline="0">
        <left/>
        <right/>
        <top/>
        <bottom/>
      </border>
    </dxf>
    <dxf>
      <font>
        <b val="0"/>
        <i val="0"/>
        <strike val="0"/>
        <outline/>
        <shadow/>
        <u val="none"/>
        <vertAlign val="baseline"/>
        <sz val="8"/>
        <color theme="1"/>
        <name val="Century Gothic (En-têtes)"/>
      </font>
      <numFmt numFmtId="0" formatCode="General"/>
      <fill>
        <patternFill patternType="solid">
          <fgColor indexed="64"/>
          <bgColor theme="0" tint="-4.9989318521683403E-2"/>
        </patternFill>
      </fill>
      <alignment horizontal="left" vertical="bottom" textRotation="0" wrapText="0" indent="1" justifyLastLine="0" shrinkToFit="0" readingOrder="0"/>
    </dxf>
    <dxf>
      <font>
        <b/>
        <i val="0"/>
        <strike val="0"/>
        <outline/>
        <shadow/>
        <u val="none"/>
        <vertAlign val="baseline"/>
        <sz val="8"/>
        <color theme="1"/>
        <name val="Century Gothic"/>
        <scheme val="major"/>
      </font>
    </dxf>
    <dxf>
      <font>
        <strike/>
        <outline/>
        <shadow/>
        <u val="none"/>
        <vertAlign val="baseline"/>
        <sz val="8"/>
        <color theme="1"/>
        <name val="Century Gothic"/>
        <scheme val="major"/>
      </font>
    </dxf>
    <dxf>
      <font>
        <strike/>
        <outline/>
        <shadow/>
        <u val="none"/>
        <vertAlign val="baseline"/>
        <sz val="9"/>
        <color theme="1"/>
        <name val="Century Gothic"/>
        <scheme val="major"/>
      </font>
      <alignment horizontal="left" vertical="bottom" textRotation="0" wrapText="0" relativeIndent="1" justifyLastLine="0" shrinkToFit="0" readingOrder="0"/>
    </dxf>
    <dxf>
      <font>
        <b/>
        <i val="0"/>
        <strike val="0"/>
        <condense/>
        <extend/>
        <outline/>
        <shadow/>
        <u val="none"/>
        <vertAlign val="baseline"/>
        <sz val="8"/>
        <color theme="1"/>
        <name val="Century Gothic"/>
        <scheme val="major"/>
      </font>
      <alignment horizontal="right" vertical="bottom" textRotation="0" wrapText="0" indent="1" justifyLastLine="0" shrinkToFit="0" readingOrder="0"/>
    </dxf>
    <dxf>
      <font>
        <strike/>
        <outline/>
        <shadow/>
        <u val="none"/>
        <vertAlign val="baseline"/>
        <sz val="8"/>
        <color theme="1"/>
        <name val="Century Gothic"/>
        <scheme val="major"/>
      </font>
      <fill>
        <patternFill patternType="solid">
          <fgColor indexed="64"/>
          <bgColor theme="1" tint="0.34998626667073579"/>
        </patternFill>
      </fill>
      <border outline="0">
        <left style="thin">
          <color theme="0" tint="-0.14996795556505021"/>
        </left>
      </border>
    </dxf>
    <dxf>
      <font>
        <b/>
        <i val="0"/>
        <strike val="0"/>
        <condense/>
        <extend/>
        <outline/>
        <shadow/>
        <u val="none"/>
        <vertAlign val="baseline"/>
        <sz val="8"/>
        <color theme="1"/>
        <name val="Century Gothic"/>
        <scheme val="major"/>
      </font>
      <alignment horizontal="right" vertical="bottom" textRotation="0" wrapText="0" indent="1" justifyLastLine="0" shrinkToFit="0" readingOrder="0"/>
    </dxf>
    <dxf>
      <font>
        <b val="0"/>
        <i val="0"/>
        <strike/>
        <outline/>
        <shadow/>
        <u val="none"/>
        <vertAlign val="baseline"/>
        <sz val="1"/>
        <color theme="0" tint="-0.14999847407452621"/>
        <name val="Century Gothic"/>
        <scheme val="major"/>
      </font>
      <numFmt numFmtId="0" formatCode="General"/>
      <fill>
        <patternFill patternType="none">
          <fgColor indexed="64"/>
          <bgColor auto="1"/>
        </patternFill>
      </fill>
      <alignment horizontal="center" vertical="bottom" textRotation="0" wrapText="0" indent="0" justifyLastLine="0" shrinkToFit="0" readingOrder="0"/>
    </dxf>
    <dxf>
      <font>
        <b/>
        <i val="0"/>
        <strike val="0"/>
        <condense/>
        <extend/>
        <outline/>
        <shadow/>
        <u val="none"/>
        <vertAlign val="baseline"/>
        <sz val="8"/>
        <color theme="1"/>
        <name val="Century Gothic"/>
        <scheme val="major"/>
      </font>
      <alignment horizontal="right" vertical="bottom" textRotation="0" wrapText="0" indent="1" justifyLastLine="0" shrinkToFit="0" readingOrder="0"/>
    </dxf>
    <dxf>
      <font>
        <b val="0"/>
        <i val="0"/>
        <strike/>
        <outline/>
        <shadow/>
        <u val="none"/>
        <vertAlign val="baseline"/>
        <sz val="8"/>
        <color theme="0"/>
        <name val="Century Gothic"/>
        <scheme val="major"/>
      </font>
      <numFmt numFmtId="0" formatCode="General"/>
      <alignment horizontal="center" vertical="bottom" textRotation="0" wrapText="0" indent="0" justifyLastLine="0" shrinkToFit="0" readingOrder="0"/>
      <border outline="0">
        <right style="thin">
          <color theme="0" tint="-0.14996795556505021"/>
        </right>
      </border>
    </dxf>
    <dxf>
      <font>
        <b/>
        <i val="0"/>
        <strike val="0"/>
        <condense/>
        <extend/>
        <outline/>
        <shadow/>
        <u val="none"/>
        <vertAlign val="baseline"/>
        <sz val="8"/>
        <color theme="1"/>
        <name val="Century Gothic"/>
        <scheme val="major"/>
      </font>
      <numFmt numFmtId="4" formatCode="#,##0.00"/>
      <alignment horizontal="right" vertical="bottom" textRotation="0" wrapText="0" indent="1" justifyLastLine="0" shrinkToFit="0" readingOrder="0"/>
    </dxf>
    <dxf>
      <font>
        <b val="0"/>
        <i val="0"/>
        <strike val="0"/>
        <outline/>
        <shadow/>
        <u val="none"/>
        <vertAlign val="baseline"/>
        <sz val="8"/>
        <color theme="1"/>
      </font>
      <numFmt numFmtId="1" formatCode="0"/>
      <alignment horizontal="right" vertical="bottom" textRotation="0" wrapText="0" indent="1" justifyLastLine="0" shrinkToFit="0" readingOrder="0"/>
      <protection locked="0" hidden="0"/>
    </dxf>
    <dxf>
      <font>
        <b/>
        <i val="0"/>
        <strike val="0"/>
        <condense/>
        <extend/>
        <outline/>
        <shadow/>
        <u val="none"/>
        <vertAlign val="baseline"/>
        <sz val="8"/>
        <color theme="1"/>
        <name val="Century Gothic"/>
        <scheme val="major"/>
      </font>
      <numFmt numFmtId="4" formatCode="#,##0.00"/>
      <alignment horizontal="right" vertical="bottom" textRotation="0" wrapText="0" indent="1" justifyLastLine="0" shrinkToFit="0" readingOrder="0"/>
    </dxf>
    <dxf>
      <font>
        <b val="0"/>
        <i val="0"/>
        <strike val="0"/>
        <outline/>
        <shadow/>
        <u val="none"/>
        <vertAlign val="baseline"/>
        <sz val="8"/>
        <color theme="1"/>
      </font>
      <numFmt numFmtId="1" formatCode="0"/>
      <alignment horizontal="center" vertical="bottom" textRotation="0" wrapText="0" indent="0" justifyLastLine="0" shrinkToFit="0"/>
      <protection locked="0" hidden="0"/>
    </dxf>
    <dxf>
      <font>
        <b/>
        <i val="0"/>
        <strike val="0"/>
        <condense/>
        <extend/>
        <outline/>
        <shadow/>
        <u val="none"/>
        <vertAlign val="baseline"/>
        <sz val="8"/>
        <color theme="1"/>
        <name val="Century Gothic"/>
        <scheme val="major"/>
      </font>
      <numFmt numFmtId="4" formatCode="#,##0.00"/>
      <alignment horizontal="right" vertical="bottom" textRotation="0" wrapText="0" indent="1" justifyLastLine="0" shrinkToFit="0" readingOrder="0"/>
    </dxf>
    <dxf>
      <font>
        <b val="0"/>
        <i val="0"/>
        <strike val="0"/>
        <outline/>
        <shadow/>
        <u val="none"/>
        <vertAlign val="baseline"/>
        <sz val="8"/>
        <color theme="1"/>
      </font>
      <numFmt numFmtId="1" formatCode="0"/>
      <alignment horizontal="right" vertical="bottom" textRotation="0" wrapText="0" indent="1" justifyLastLine="0" shrinkToFit="0" readingOrder="0"/>
      <protection locked="0" hidden="0"/>
    </dxf>
    <dxf>
      <font>
        <b/>
        <i val="0"/>
        <strike val="0"/>
        <condense/>
        <extend/>
        <outline/>
        <shadow/>
        <u val="none"/>
        <vertAlign val="baseline"/>
        <sz val="8"/>
        <color theme="1"/>
        <name val="Century Gothic"/>
        <scheme val="major"/>
      </font>
      <numFmt numFmtId="4" formatCode="#,##0.00"/>
      <alignment horizontal="right" vertical="bottom" textRotation="0" wrapText="0" indent="1" justifyLastLine="0" shrinkToFit="0" readingOrder="0"/>
    </dxf>
    <dxf>
      <font>
        <b val="0"/>
        <i val="0"/>
        <strike val="0"/>
        <outline/>
        <shadow/>
        <u val="none"/>
        <vertAlign val="baseline"/>
        <sz val="8"/>
        <color theme="1"/>
      </font>
      <numFmt numFmtId="1" formatCode="0"/>
      <alignment horizontal="right" vertical="bottom" textRotation="0" wrapText="0" indent="1" justifyLastLine="0" shrinkToFit="0" readingOrder="0"/>
      <protection locked="0" hidden="0"/>
    </dxf>
    <dxf>
      <font>
        <b/>
        <i val="0"/>
        <strike val="0"/>
        <condense/>
        <extend/>
        <outline/>
        <shadow/>
        <u val="none"/>
        <vertAlign val="baseline"/>
        <sz val="8"/>
        <color theme="1"/>
        <name val="Century Gothic"/>
        <scheme val="major"/>
      </font>
      <numFmt numFmtId="4" formatCode="#,##0.00"/>
      <alignment horizontal="right" vertical="bottom" textRotation="0" wrapText="0" indent="1" justifyLastLine="0" shrinkToFit="0" readingOrder="0"/>
    </dxf>
    <dxf>
      <font>
        <b val="0"/>
        <i val="0"/>
        <strike val="0"/>
        <outline/>
        <shadow/>
        <u val="none"/>
        <vertAlign val="baseline"/>
        <sz val="8"/>
        <color theme="1"/>
      </font>
      <numFmt numFmtId="1" formatCode="0"/>
      <alignment horizontal="right" vertical="bottom" textRotation="0" wrapText="0" indent="1" justifyLastLine="0" shrinkToFit="0" readingOrder="0"/>
      <protection locked="0" hidden="0"/>
    </dxf>
    <dxf>
      <font>
        <b/>
        <i val="0"/>
        <strike val="0"/>
        <condense/>
        <extend/>
        <outline/>
        <shadow/>
        <u val="none"/>
        <vertAlign val="baseline"/>
        <sz val="8"/>
        <color theme="1"/>
        <name val="Century Gothic"/>
        <scheme val="major"/>
      </font>
      <numFmt numFmtId="4" formatCode="#,##0.00"/>
      <alignment horizontal="right" vertical="bottom" textRotation="0" wrapText="0" indent="1" justifyLastLine="0" shrinkToFit="0" readingOrder="0"/>
    </dxf>
    <dxf>
      <font>
        <b val="0"/>
        <i val="0"/>
        <strike val="0"/>
        <outline/>
        <shadow/>
        <u val="none"/>
        <vertAlign val="baseline"/>
        <sz val="8"/>
        <color theme="1"/>
      </font>
      <numFmt numFmtId="1" formatCode="0"/>
      <alignment horizontal="right" vertical="bottom" textRotation="0" wrapText="0" indent="1" justifyLastLine="0" shrinkToFit="0" readingOrder="0"/>
      <protection locked="0" hidden="0"/>
    </dxf>
    <dxf>
      <font>
        <b/>
        <i val="0"/>
        <strike val="0"/>
        <condense/>
        <extend/>
        <outline/>
        <shadow/>
        <u val="none"/>
        <vertAlign val="baseline"/>
        <sz val="8"/>
        <color theme="1"/>
        <name val="Century Gothic"/>
        <scheme val="major"/>
      </font>
      <numFmt numFmtId="4" formatCode="#,##0.00"/>
      <alignment horizontal="right" vertical="bottom" textRotation="0" wrapText="0" indent="1" justifyLastLine="0" shrinkToFit="0" readingOrder="0"/>
    </dxf>
    <dxf>
      <font>
        <b val="0"/>
        <i val="0"/>
        <strike val="0"/>
        <outline/>
        <shadow/>
        <u val="none"/>
        <vertAlign val="baseline"/>
        <sz val="8"/>
        <color theme="1"/>
      </font>
      <numFmt numFmtId="1" formatCode="0"/>
      <alignment horizontal="right" vertical="bottom" textRotation="0" wrapText="0" indent="1" justifyLastLine="0" shrinkToFit="0" readingOrder="0"/>
      <protection locked="0" hidden="0"/>
    </dxf>
    <dxf>
      <font>
        <b/>
        <i val="0"/>
        <strike val="0"/>
        <condense/>
        <extend/>
        <outline/>
        <shadow/>
        <u val="none"/>
        <vertAlign val="baseline"/>
        <sz val="8"/>
        <color theme="1"/>
        <name val="Century Gothic"/>
        <scheme val="major"/>
      </font>
      <numFmt numFmtId="4" formatCode="#,##0.00"/>
      <alignment horizontal="right" vertical="bottom" textRotation="0" wrapText="0" indent="1" justifyLastLine="0" shrinkToFit="0" readingOrder="0"/>
    </dxf>
    <dxf>
      <font>
        <b val="0"/>
        <i val="0"/>
        <strike val="0"/>
        <condense val="0"/>
        <extend val="0"/>
        <outline/>
        <shadow/>
        <u val="none"/>
        <vertAlign val="baseline"/>
        <sz val="8"/>
        <color theme="1"/>
        <name val="Calibri"/>
        <scheme val="minor"/>
      </font>
      <numFmt numFmtId="1" formatCode="0"/>
      <alignment horizontal="right" vertical="bottom" textRotation="0" wrapText="0" indent="1" justifyLastLine="0" shrinkToFit="0" readingOrder="0"/>
      <protection locked="0" hidden="0"/>
    </dxf>
    <dxf>
      <font>
        <b/>
        <i val="0"/>
        <strike val="0"/>
        <condense/>
        <extend/>
        <outline/>
        <shadow/>
        <u val="none"/>
        <vertAlign val="baseline"/>
        <sz val="8"/>
        <color theme="1"/>
        <name val="Century Gothic"/>
        <scheme val="major"/>
      </font>
      <numFmt numFmtId="4" formatCode="#,##0.00"/>
      <alignment horizontal="right" vertical="bottom" textRotation="0" wrapText="0" indent="1" justifyLastLine="0" shrinkToFit="0" readingOrder="0"/>
    </dxf>
    <dxf>
      <font>
        <b val="0"/>
        <i val="0"/>
        <strike val="0"/>
        <condense val="0"/>
        <extend val="0"/>
        <outline/>
        <shadow/>
        <u val="none"/>
        <vertAlign val="baseline"/>
        <sz val="8"/>
        <color theme="1"/>
        <name val="Calibri"/>
        <scheme val="minor"/>
      </font>
      <numFmt numFmtId="1" formatCode="0"/>
      <alignment horizontal="right" vertical="bottom" textRotation="0" wrapText="0" indent="1" justifyLastLine="0" shrinkToFit="0" readingOrder="0"/>
      <protection locked="0" hidden="0"/>
    </dxf>
    <dxf>
      <font>
        <b/>
        <i val="0"/>
        <strike val="0"/>
        <condense/>
        <extend/>
        <outline/>
        <shadow/>
        <u val="none"/>
        <vertAlign val="baseline"/>
        <sz val="8"/>
        <color theme="1"/>
        <name val="Century Gothic"/>
        <scheme val="major"/>
      </font>
      <numFmt numFmtId="4" formatCode="#,##0.00"/>
      <alignment horizontal="right" vertical="bottom" textRotation="0" wrapText="0" indent="1" justifyLastLine="0" shrinkToFit="0" readingOrder="0"/>
    </dxf>
    <dxf>
      <font>
        <b val="0"/>
        <i val="0"/>
        <strike val="0"/>
        <condense val="0"/>
        <extend val="0"/>
        <outline/>
        <shadow/>
        <u val="none"/>
        <vertAlign val="baseline"/>
        <sz val="8"/>
        <color theme="1"/>
        <name val="Calibri"/>
        <scheme val="minor"/>
      </font>
      <numFmt numFmtId="1" formatCode="0"/>
      <alignment horizontal="right" vertical="bottom" textRotation="0" wrapText="0" indent="1" justifyLastLine="0" shrinkToFit="0" readingOrder="0"/>
      <protection locked="0" hidden="0"/>
    </dxf>
    <dxf>
      <font>
        <b/>
        <i val="0"/>
        <strike val="0"/>
        <condense/>
        <extend/>
        <outline/>
        <shadow/>
        <u val="none"/>
        <vertAlign val="baseline"/>
        <sz val="8"/>
        <color theme="1"/>
        <name val="Century Gothic"/>
        <scheme val="major"/>
      </font>
      <numFmt numFmtId="4" formatCode="#,##0.00"/>
      <alignment horizontal="right" vertical="bottom" textRotation="0" wrapText="0" indent="1" justifyLastLine="0" shrinkToFit="0" readingOrder="0"/>
    </dxf>
    <dxf>
      <font>
        <b val="0"/>
        <i val="0"/>
        <strike val="0"/>
        <condense val="0"/>
        <extend val="0"/>
        <outline/>
        <shadow/>
        <u val="none"/>
        <vertAlign val="baseline"/>
        <sz val="8"/>
        <color theme="1"/>
        <name val="Calibri"/>
        <scheme val="minor"/>
      </font>
      <numFmt numFmtId="1" formatCode="0"/>
      <alignment horizontal="right" vertical="bottom" textRotation="0" wrapText="0" indent="1" justifyLastLine="0" shrinkToFit="0" readingOrder="0"/>
      <protection locked="0" hidden="0"/>
    </dxf>
    <dxf>
      <font>
        <b/>
        <i val="0"/>
        <strike val="0"/>
        <condense/>
        <extend/>
        <outline/>
        <shadow/>
        <u val="none"/>
        <vertAlign val="baseline"/>
        <sz val="8"/>
        <color theme="1"/>
        <name val="Century Gothic"/>
        <scheme val="major"/>
      </font>
      <numFmt numFmtId="4" formatCode="#,##0.00"/>
      <alignment horizontal="right" vertical="bottom" textRotation="0" wrapText="0" indent="1" justifyLastLine="0" shrinkToFit="0" readingOrder="0"/>
    </dxf>
    <dxf>
      <font>
        <b val="0"/>
        <i val="0"/>
        <strike val="0"/>
        <condense val="0"/>
        <extend val="0"/>
        <outline/>
        <shadow/>
        <u val="none"/>
        <vertAlign val="baseline"/>
        <sz val="8"/>
        <color theme="1"/>
        <name val="Calibri"/>
        <scheme val="minor"/>
      </font>
      <numFmt numFmtId="1" formatCode="0"/>
      <alignment horizontal="right" vertical="bottom" textRotation="0" wrapText="0" indent="1" justifyLastLine="0" shrinkToFit="0" readingOrder="0"/>
      <protection locked="0" hidden="0"/>
    </dxf>
    <dxf>
      <font>
        <b/>
        <i val="0"/>
        <strike val="0"/>
        <condense/>
        <extend/>
        <outline/>
        <shadow/>
        <u val="none"/>
        <vertAlign val="baseline"/>
        <sz val="8"/>
        <color theme="1"/>
        <name val="Century Gothic"/>
        <scheme val="major"/>
      </font>
      <numFmt numFmtId="4" formatCode="#,##0.00"/>
      <alignment horizontal="right" vertical="bottom" textRotation="0" wrapText="0" indent="1" justifyLastLine="0" shrinkToFit="0" readingOrder="0"/>
    </dxf>
    <dxf>
      <font>
        <b val="0"/>
        <i val="0"/>
        <strike val="0"/>
        <condense val="0"/>
        <extend val="0"/>
        <outline/>
        <shadow/>
        <u val="none"/>
        <vertAlign val="baseline"/>
        <sz val="8"/>
        <color theme="1"/>
        <name val="Calibri"/>
        <scheme val="minor"/>
      </font>
      <numFmt numFmtId="1" formatCode="0"/>
      <alignment horizontal="right" vertical="bottom" textRotation="0" wrapText="0" indent="1" justifyLastLine="0" shrinkToFit="0" readingOrder="0"/>
      <protection locked="0" hidden="0"/>
    </dxf>
    <dxf>
      <font>
        <b/>
        <i val="0"/>
        <strike val="0"/>
        <condense/>
        <extend/>
        <outline/>
        <shadow/>
        <u val="none"/>
        <vertAlign val="baseline"/>
        <sz val="8"/>
        <color theme="1"/>
        <name val="Century Gothic"/>
        <scheme val="major"/>
      </font>
      <numFmt numFmtId="4" formatCode="#,##0.00"/>
      <alignment horizontal="right" vertical="bottom" textRotation="0" wrapText="0" indent="1" justifyLastLine="0" shrinkToFit="0" readingOrder="0"/>
    </dxf>
    <dxf>
      <font>
        <b val="0"/>
        <i val="0"/>
        <strike val="0"/>
        <condense val="0"/>
        <extend val="0"/>
        <outline/>
        <shadow/>
        <u val="none"/>
        <vertAlign val="baseline"/>
        <sz val="8"/>
        <color theme="1"/>
        <name val="Calibri"/>
        <scheme val="minor"/>
      </font>
      <numFmt numFmtId="1" formatCode="0"/>
      <alignment horizontal="right" vertical="bottom" textRotation="0" wrapText="0" indent="1" justifyLastLine="0" shrinkToFit="0" readingOrder="0"/>
      <protection locked="0" hidden="0"/>
    </dxf>
    <dxf>
      <font>
        <b/>
        <i val="0"/>
        <strike val="0"/>
        <condense/>
        <extend/>
        <outline/>
        <shadow/>
        <u val="none"/>
        <vertAlign val="baseline"/>
        <sz val="8"/>
        <color theme="1"/>
        <name val="Century Gothic"/>
        <scheme val="major"/>
      </font>
      <numFmt numFmtId="4" formatCode="#,##0.00"/>
      <alignment horizontal="right" vertical="bottom" textRotation="0" wrapText="0" indent="1" justifyLastLine="0" shrinkToFit="0" readingOrder="0"/>
    </dxf>
    <dxf>
      <font>
        <b val="0"/>
        <i val="0"/>
        <strike val="0"/>
        <outline/>
        <shadow/>
        <u val="none"/>
        <vertAlign val="baseline"/>
        <sz val="8"/>
        <color theme="1"/>
      </font>
      <numFmt numFmtId="1" formatCode="0"/>
      <alignment horizontal="right" vertical="bottom" textRotation="0" wrapText="0" indent="1" justifyLastLine="0" shrinkToFit="0" readingOrder="0"/>
      <protection locked="0" hidden="0"/>
    </dxf>
    <dxf>
      <font>
        <b/>
        <i val="0"/>
        <strike val="0"/>
        <condense/>
        <extend/>
        <outline/>
        <shadow/>
        <u val="none"/>
        <vertAlign val="baseline"/>
        <sz val="8"/>
        <color theme="1"/>
        <name val="Century Gothic"/>
        <scheme val="major"/>
      </font>
      <numFmt numFmtId="4" formatCode="#,##0.00"/>
      <alignment horizontal="right" vertical="bottom" textRotation="0" wrapText="0" indent="1" justifyLastLine="0" shrinkToFit="0" readingOrder="0"/>
    </dxf>
    <dxf>
      <font>
        <b val="0"/>
        <i val="0"/>
        <strike val="0"/>
        <outline/>
        <shadow/>
        <u val="none"/>
        <vertAlign val="baseline"/>
        <sz val="8"/>
        <color theme="1"/>
      </font>
      <numFmt numFmtId="1" formatCode="0"/>
      <alignment horizontal="right" vertical="bottom" textRotation="0" wrapText="0" indent="1" justifyLastLine="0" shrinkToFit="0" readingOrder="0"/>
      <protection locked="0" hidden="0"/>
    </dxf>
    <dxf>
      <font>
        <b/>
        <i val="0"/>
        <strike val="0"/>
        <condense/>
        <extend/>
        <outline/>
        <shadow/>
        <u val="none"/>
        <vertAlign val="baseline"/>
        <sz val="8"/>
        <color theme="1"/>
        <name val="Century Gothic"/>
        <scheme val="major"/>
      </font>
      <numFmt numFmtId="4" formatCode="#,##0.00"/>
      <alignment horizontal="right" vertical="bottom" textRotation="0" wrapText="0" indent="1" justifyLastLine="0" shrinkToFit="0" readingOrder="0"/>
    </dxf>
    <dxf>
      <font>
        <b val="0"/>
        <i val="0"/>
        <strike val="0"/>
        <outline/>
        <shadow/>
        <u val="none"/>
        <vertAlign val="baseline"/>
        <sz val="8"/>
        <color theme="1"/>
      </font>
      <numFmt numFmtId="1" formatCode="0"/>
      <alignment horizontal="right" vertical="bottom" textRotation="0" wrapText="0" indent="1" justifyLastLine="0" shrinkToFit="0" readingOrder="0"/>
      <protection locked="0" hidden="0"/>
    </dxf>
    <dxf>
      <font>
        <b/>
        <i val="0"/>
        <strike val="0"/>
        <condense/>
        <extend/>
        <outline/>
        <shadow/>
        <u val="none"/>
        <vertAlign val="baseline"/>
        <sz val="8"/>
        <color theme="1"/>
        <name val="Century Gothic"/>
        <scheme val="major"/>
      </font>
      <numFmt numFmtId="4" formatCode="#,##0.00"/>
      <alignment horizontal="right" vertical="bottom" textRotation="0" wrapText="0" indent="1" justifyLastLine="0" shrinkToFit="0" readingOrder="0"/>
    </dxf>
    <dxf>
      <font>
        <b val="0"/>
        <i val="0"/>
        <strike val="0"/>
        <outline/>
        <shadow/>
        <u val="none"/>
        <vertAlign val="baseline"/>
        <sz val="8"/>
        <color theme="1"/>
      </font>
      <numFmt numFmtId="1" formatCode="0"/>
      <alignment horizontal="right" vertical="bottom" textRotation="0" wrapText="0" indent="1" justifyLastLine="0" shrinkToFit="0" readingOrder="0"/>
      <protection locked="0" hidden="0"/>
    </dxf>
    <dxf>
      <font>
        <b/>
        <i val="0"/>
        <strike val="0"/>
        <condense/>
        <extend/>
        <outline/>
        <shadow/>
        <u val="none"/>
        <vertAlign val="baseline"/>
        <sz val="8"/>
        <color theme="1"/>
        <name val="Century Gothic"/>
        <scheme val="major"/>
      </font>
      <numFmt numFmtId="4" formatCode="#,##0.00"/>
      <alignment horizontal="right" vertical="bottom" textRotation="0" wrapText="0" indent="1" justifyLastLine="0" shrinkToFit="0" readingOrder="0"/>
    </dxf>
    <dxf>
      <font>
        <b val="0"/>
        <i val="0"/>
        <strike val="0"/>
        <condense val="0"/>
        <extend val="0"/>
        <outline/>
        <shadow/>
        <u val="none"/>
        <vertAlign val="baseline"/>
        <sz val="8"/>
        <color theme="1"/>
        <name val="Century Gothic"/>
        <scheme val="major"/>
      </font>
      <numFmt numFmtId="1" formatCode="0"/>
      <alignment horizontal="center" vertical="bottom" textRotation="0" wrapText="0" indent="0" justifyLastLine="0" shrinkToFit="0" readingOrder="0"/>
      <protection locked="0" hidden="0"/>
    </dxf>
    <dxf>
      <font>
        <b/>
        <i val="0"/>
        <strike val="0"/>
        <condense/>
        <extend/>
        <outline/>
        <shadow/>
        <u val="none"/>
        <vertAlign val="baseline"/>
        <sz val="8"/>
        <color theme="1"/>
        <name val="Century Gothic"/>
        <scheme val="major"/>
      </font>
      <numFmt numFmtId="4" formatCode="#,##0.00"/>
      <alignment horizontal="right" vertical="bottom" textRotation="0" wrapText="0" indent="1" justifyLastLine="0" shrinkToFit="0" readingOrder="0"/>
    </dxf>
    <dxf>
      <font>
        <b val="0"/>
        <i val="0"/>
        <strike val="0"/>
        <condense val="0"/>
        <extend val="0"/>
        <outline/>
        <shadow/>
        <u val="none"/>
        <vertAlign val="baseline"/>
        <sz val="8"/>
        <color theme="1"/>
        <name val="Century Gothic"/>
        <scheme val="major"/>
      </font>
      <numFmt numFmtId="1" formatCode="0"/>
      <alignment horizontal="center" vertical="bottom" textRotation="0" wrapText="0" indent="0" justifyLastLine="0" shrinkToFit="0" readingOrder="0"/>
      <protection locked="0" hidden="0"/>
    </dxf>
    <dxf>
      <font>
        <b/>
        <i val="0"/>
        <strike val="0"/>
        <condense/>
        <extend/>
        <outline/>
        <shadow/>
        <u val="none"/>
        <vertAlign val="baseline"/>
        <sz val="8"/>
        <color theme="1"/>
        <name val="Century Gothic"/>
        <scheme val="major"/>
      </font>
      <numFmt numFmtId="4" formatCode="#,##0.00"/>
      <alignment horizontal="right" vertical="bottom" textRotation="0" wrapText="0" indent="1" justifyLastLine="0" shrinkToFit="0" readingOrder="0"/>
    </dxf>
    <dxf>
      <font>
        <b val="0"/>
        <i val="0"/>
        <strike val="0"/>
        <condense val="0"/>
        <extend val="0"/>
        <outline/>
        <shadow/>
        <u val="none"/>
        <vertAlign val="baseline"/>
        <sz val="8"/>
        <color theme="1"/>
        <name val="Century Gothic"/>
        <scheme val="major"/>
      </font>
      <numFmt numFmtId="1" formatCode="0"/>
      <alignment horizontal="center" vertical="bottom" textRotation="0" wrapText="0" indent="0" justifyLastLine="0" shrinkToFit="0" readingOrder="0"/>
      <protection locked="0" hidden="0"/>
    </dxf>
    <dxf>
      <font>
        <b/>
        <i val="0"/>
        <strike val="0"/>
        <condense/>
        <extend/>
        <outline/>
        <shadow/>
        <u val="none"/>
        <vertAlign val="baseline"/>
        <sz val="8"/>
        <color theme="1"/>
        <name val="Century Gothic"/>
        <scheme val="major"/>
      </font>
      <numFmt numFmtId="4" formatCode="#,##0.00"/>
      <alignment horizontal="right" vertical="bottom" textRotation="0" wrapText="0" indent="1" justifyLastLine="0" shrinkToFit="0" readingOrder="0"/>
    </dxf>
    <dxf>
      <font>
        <b val="0"/>
        <i val="0"/>
        <strike val="0"/>
        <condense val="0"/>
        <extend val="0"/>
        <outline/>
        <shadow/>
        <u val="none"/>
        <vertAlign val="baseline"/>
        <sz val="8"/>
        <color theme="1"/>
        <name val="Century Gothic"/>
        <scheme val="major"/>
      </font>
      <numFmt numFmtId="1" formatCode="0"/>
      <alignment horizontal="center" vertical="bottom" textRotation="0" wrapText="0" indent="0" justifyLastLine="0" shrinkToFit="0" readingOrder="0"/>
      <protection locked="0" hidden="0"/>
    </dxf>
    <dxf>
      <font>
        <b/>
        <i val="0"/>
        <strike val="0"/>
        <condense/>
        <extend/>
        <outline/>
        <shadow/>
        <u val="none"/>
        <vertAlign val="baseline"/>
        <sz val="8"/>
        <color theme="1"/>
        <name val="Century Gothic"/>
        <scheme val="major"/>
      </font>
      <numFmt numFmtId="4" formatCode="#,##0.00"/>
      <alignment horizontal="right" vertical="bottom" textRotation="0" wrapText="0" indent="1" justifyLastLine="0" shrinkToFit="0" readingOrder="0"/>
    </dxf>
    <dxf>
      <font>
        <b val="0"/>
        <i val="0"/>
        <strike val="0"/>
        <condense val="0"/>
        <extend val="0"/>
        <outline/>
        <shadow/>
        <u val="none"/>
        <vertAlign val="baseline"/>
        <sz val="8"/>
        <color theme="1"/>
        <name val="Century Gothic"/>
        <scheme val="major"/>
      </font>
      <numFmt numFmtId="1" formatCode="0"/>
      <alignment horizontal="center" vertical="bottom" textRotation="0" wrapText="0" indent="0" justifyLastLine="0" shrinkToFit="0" readingOrder="0"/>
      <protection locked="0" hidden="0"/>
    </dxf>
    <dxf>
      <font>
        <b/>
        <i val="0"/>
        <strike val="0"/>
        <condense/>
        <extend/>
        <outline/>
        <shadow/>
        <u val="none"/>
        <vertAlign val="baseline"/>
        <sz val="8"/>
        <color theme="1"/>
        <name val="Century Gothic"/>
        <scheme val="major"/>
      </font>
      <numFmt numFmtId="4" formatCode="#,##0.00"/>
      <alignment horizontal="right" vertical="bottom" textRotation="0" wrapText="0" indent="1" justifyLastLine="0" shrinkToFit="0" readingOrder="0"/>
    </dxf>
    <dxf>
      <font>
        <b val="0"/>
        <i val="0"/>
        <strike val="0"/>
        <condense val="0"/>
        <extend val="0"/>
        <outline/>
        <shadow/>
        <u val="none"/>
        <vertAlign val="baseline"/>
        <sz val="8"/>
        <color theme="1"/>
        <name val="Century Gothic"/>
        <scheme val="major"/>
      </font>
      <numFmt numFmtId="1" formatCode="0"/>
      <alignment horizontal="center" vertical="bottom" textRotation="0" wrapText="0" indent="0" justifyLastLine="0" shrinkToFit="0" readingOrder="0"/>
      <protection locked="0" hidden="0"/>
    </dxf>
    <dxf>
      <font>
        <b/>
        <i val="0"/>
        <strike val="0"/>
        <condense/>
        <extend/>
        <outline/>
        <shadow/>
        <u val="none"/>
        <vertAlign val="baseline"/>
        <sz val="8"/>
        <color theme="1"/>
        <name val="Century Gothic"/>
        <scheme val="major"/>
      </font>
      <numFmt numFmtId="4" formatCode="#,##0.00"/>
      <alignment horizontal="right" vertical="bottom" textRotation="0" wrapText="0" indent="1" justifyLastLine="0" shrinkToFit="0" readingOrder="0"/>
    </dxf>
    <dxf>
      <font>
        <b val="0"/>
        <i val="0"/>
        <strike val="0"/>
        <condense val="0"/>
        <extend val="0"/>
        <outline/>
        <shadow/>
        <u val="none"/>
        <vertAlign val="baseline"/>
        <sz val="8"/>
        <color theme="1"/>
        <name val="Century Gothic"/>
        <scheme val="major"/>
      </font>
      <numFmt numFmtId="1" formatCode="0"/>
      <alignment horizontal="center" vertical="bottom" textRotation="0" wrapText="0" indent="0" justifyLastLine="0" shrinkToFit="0" readingOrder="0"/>
      <protection locked="0" hidden="0"/>
    </dxf>
    <dxf>
      <font>
        <b/>
        <i val="0"/>
        <strike val="0"/>
        <condense/>
        <extend/>
        <outline/>
        <shadow/>
        <u val="none"/>
        <vertAlign val="baseline"/>
        <sz val="8"/>
        <color theme="1"/>
        <name val="Century Gothic"/>
        <scheme val="major"/>
      </font>
      <numFmt numFmtId="4" formatCode="#,##0.00"/>
      <alignment horizontal="right" vertical="bottom" textRotation="0" wrapText="0" indent="1" justifyLastLine="0" shrinkToFit="0" readingOrder="0"/>
    </dxf>
    <dxf>
      <font>
        <b val="0"/>
        <i val="0"/>
        <strike val="0"/>
        <condense val="0"/>
        <extend val="0"/>
        <outline/>
        <shadow/>
        <u val="none"/>
        <vertAlign val="baseline"/>
        <sz val="8"/>
        <color theme="1"/>
        <name val="Century Gothic"/>
        <scheme val="major"/>
      </font>
      <numFmt numFmtId="1" formatCode="0"/>
      <alignment horizontal="center" vertical="bottom" textRotation="0" wrapText="0" indent="0" justifyLastLine="0" shrinkToFit="0" readingOrder="0"/>
      <protection locked="0" hidden="0"/>
    </dxf>
    <dxf>
      <font>
        <b/>
        <i val="0"/>
        <strike val="0"/>
        <condense/>
        <extend/>
        <outline/>
        <shadow/>
        <u val="none"/>
        <vertAlign val="baseline"/>
        <sz val="8"/>
        <color theme="1"/>
        <name val="Century Gothic"/>
        <scheme val="major"/>
      </font>
      <numFmt numFmtId="4" formatCode="#,##0.00"/>
      <alignment horizontal="right" vertical="bottom" textRotation="0" wrapText="0" indent="1" justifyLastLine="0" shrinkToFit="0" readingOrder="0"/>
    </dxf>
    <dxf>
      <font>
        <b val="0"/>
        <i val="0"/>
        <strike val="0"/>
        <condense val="0"/>
        <extend val="0"/>
        <outline/>
        <shadow/>
        <u val="none"/>
        <vertAlign val="baseline"/>
        <sz val="8"/>
        <color theme="1"/>
        <name val="Century Gothic"/>
        <scheme val="major"/>
      </font>
      <numFmt numFmtId="1" formatCode="0"/>
      <alignment horizontal="center" vertical="bottom" textRotation="0" wrapText="0" indent="0" justifyLastLine="0" shrinkToFit="0" readingOrder="0"/>
      <protection locked="0" hidden="0"/>
    </dxf>
    <dxf>
      <font>
        <b/>
        <i val="0"/>
        <strike val="0"/>
        <condense/>
        <extend/>
        <outline/>
        <shadow/>
        <u val="none"/>
        <vertAlign val="baseline"/>
        <sz val="8"/>
        <color theme="1"/>
        <name val="Century Gothic"/>
        <scheme val="major"/>
      </font>
      <numFmt numFmtId="4" formatCode="#,##0.00"/>
      <alignment horizontal="right" vertical="bottom" textRotation="0" wrapText="0" indent="1" justifyLastLine="0" shrinkToFit="0" readingOrder="0"/>
    </dxf>
    <dxf>
      <font>
        <b val="0"/>
        <i val="0"/>
        <strike val="0"/>
        <condense val="0"/>
        <extend val="0"/>
        <outline/>
        <shadow/>
        <u val="none"/>
        <vertAlign val="baseline"/>
        <sz val="8"/>
        <color theme="1"/>
        <name val="Century Gothic"/>
        <scheme val="major"/>
      </font>
      <numFmt numFmtId="1" formatCode="0"/>
      <alignment horizontal="center" vertical="bottom" textRotation="0" wrapText="0" indent="0" justifyLastLine="0" shrinkToFit="0" readingOrder="0"/>
      <protection locked="0" hidden="0"/>
    </dxf>
    <dxf>
      <font>
        <b/>
        <i val="0"/>
        <strike val="0"/>
        <condense/>
        <extend/>
        <outline/>
        <shadow/>
        <u val="none"/>
        <vertAlign val="baseline"/>
        <sz val="8"/>
        <color theme="1"/>
        <name val="Century Gothic"/>
        <scheme val="major"/>
      </font>
      <numFmt numFmtId="4" formatCode="#,##0.00"/>
      <alignment horizontal="right" vertical="bottom" textRotation="0" wrapText="0" indent="1" justifyLastLine="0" shrinkToFit="0" readingOrder="0"/>
    </dxf>
    <dxf>
      <font>
        <b val="0"/>
        <i val="0"/>
        <strike val="0"/>
        <condense val="0"/>
        <extend val="0"/>
        <outline/>
        <shadow/>
        <u val="none"/>
        <vertAlign val="baseline"/>
        <sz val="8"/>
        <color theme="1"/>
        <name val="Century Gothic"/>
        <scheme val="major"/>
      </font>
      <numFmt numFmtId="1" formatCode="0"/>
      <alignment horizontal="center" vertical="bottom" textRotation="0" wrapText="0" indent="0" justifyLastLine="0" shrinkToFit="0" readingOrder="0"/>
      <protection locked="0" hidden="0"/>
    </dxf>
    <dxf>
      <font>
        <b/>
        <i val="0"/>
        <strike val="0"/>
        <condense/>
        <extend/>
        <outline/>
        <shadow/>
        <u val="none"/>
        <vertAlign val="baseline"/>
        <sz val="8"/>
        <color theme="1"/>
        <name val="Century Gothic"/>
        <scheme val="major"/>
      </font>
      <numFmt numFmtId="4" formatCode="#,##0.00"/>
      <alignment horizontal="right" vertical="bottom" textRotation="0" wrapText="0" indent="1" justifyLastLine="0" shrinkToFit="0" readingOrder="0"/>
    </dxf>
    <dxf>
      <font>
        <b val="0"/>
        <i val="0"/>
        <strike val="0"/>
        <outline/>
        <shadow/>
        <u val="none"/>
        <vertAlign val="baseline"/>
        <sz val="8"/>
        <color theme="1"/>
        <name val="Century Gothic"/>
        <scheme val="major"/>
      </font>
      <numFmt numFmtId="1" formatCode="0"/>
      <alignment horizontal="center" vertical="bottom" textRotation="0" wrapText="0" indent="0" justifyLastLine="0" shrinkToFit="0" readingOrder="0"/>
      <protection locked="0" hidden="0"/>
    </dxf>
    <dxf>
      <font>
        <b/>
        <i val="0"/>
        <strike val="0"/>
        <condense/>
        <extend/>
        <outline/>
        <shadow/>
        <u val="none"/>
        <vertAlign val="baseline"/>
        <sz val="8"/>
        <color theme="1"/>
        <name val="Century Gothic"/>
        <scheme val="major"/>
      </font>
      <fill>
        <patternFill patternType="solid">
          <fgColor indexed="64"/>
          <bgColor theme="0" tint="-4.9989318521683403E-2"/>
        </patternFill>
      </fill>
      <alignment horizontal="left" vertical="bottom" textRotation="0" wrapText="0" indent="1" justifyLastLine="0" shrinkToFit="0" readingOrder="0"/>
    </dxf>
    <dxf>
      <font>
        <b val="0"/>
        <i/>
        <strike val="0"/>
        <outline/>
        <shadow/>
        <u val="none"/>
        <vertAlign val="baseline"/>
        <sz val="8"/>
        <color theme="1"/>
        <name val="Century Gothic"/>
        <scheme val="major"/>
      </font>
      <alignment horizontal="left" vertical="bottom" textRotation="0" wrapText="0" indent="1" justifyLastLine="0" shrinkToFit="0" readingOrder="0"/>
    </dxf>
    <dxf>
      <font>
        <b/>
        <i val="0"/>
        <strike val="0"/>
        <outline/>
        <shadow/>
        <u val="none"/>
        <vertAlign val="baseline"/>
        <sz val="8"/>
        <color theme="1"/>
        <name val="Century Gothic"/>
        <scheme val="major"/>
      </font>
    </dxf>
    <dxf>
      <font>
        <strike/>
        <outline/>
        <shadow/>
        <u val="none"/>
        <vertAlign val="baseline"/>
        <sz val="8"/>
        <color theme="1"/>
        <name val="Century Gothic"/>
        <scheme val="major"/>
      </font>
    </dxf>
    <dxf>
      <font>
        <strike/>
        <outline/>
        <shadow/>
        <u val="none"/>
        <vertAlign val="baseline"/>
        <sz val="9"/>
        <color theme="1"/>
        <name val="Century Gothic"/>
        <scheme val="major"/>
      </font>
    </dxf>
    <dxf>
      <font>
        <b/>
        <i val="0"/>
        <strike val="0"/>
        <condense/>
        <extend/>
        <outline/>
        <shadow/>
        <u val="none"/>
        <vertAlign val="baseline"/>
        <sz val="8"/>
        <color theme="1"/>
        <name val="Century Gothic"/>
        <scheme val="major"/>
      </font>
      <alignment horizontal="right" vertical="bottom" textRotation="0" wrapText="0" indent="1" justifyLastLine="0" shrinkToFit="0" readingOrder="0"/>
    </dxf>
    <dxf>
      <font>
        <strike/>
        <outline/>
        <shadow/>
        <u val="none"/>
        <vertAlign val="baseline"/>
        <sz val="8"/>
        <color theme="1"/>
        <name val="Century Gothic"/>
        <scheme val="major"/>
      </font>
      <fill>
        <patternFill patternType="solid">
          <fgColor indexed="64"/>
          <bgColor theme="1" tint="0.34998626667073579"/>
        </patternFill>
      </fill>
      <border outline="0">
        <left style="thin">
          <color theme="0" tint="-0.14996795556505021"/>
        </left>
      </border>
    </dxf>
    <dxf>
      <font>
        <b/>
        <i val="0"/>
        <strike val="0"/>
        <condense/>
        <extend/>
        <outline/>
        <shadow/>
        <u val="none"/>
        <vertAlign val="baseline"/>
        <sz val="8"/>
        <color theme="1"/>
        <name val="Century Gothic"/>
        <scheme val="major"/>
      </font>
      <alignment horizontal="right" vertical="bottom" textRotation="0" wrapText="0" indent="1" justifyLastLine="0" shrinkToFit="0" readingOrder="0"/>
    </dxf>
    <dxf>
      <font>
        <b val="0"/>
        <i val="0"/>
        <strike/>
        <outline/>
        <shadow/>
        <u val="none"/>
        <vertAlign val="baseline"/>
        <sz val="1"/>
        <color theme="0" tint="-0.14999847407452621"/>
        <name val="Century Gothic"/>
        <scheme val="major"/>
      </font>
      <numFmt numFmtId="0" formatCode="General"/>
      <fill>
        <patternFill patternType="none">
          <fgColor indexed="64"/>
          <bgColor auto="1"/>
        </patternFill>
      </fill>
      <alignment horizontal="center" vertical="bottom" textRotation="0" wrapText="0" indent="0" justifyLastLine="0" shrinkToFit="0" readingOrder="0"/>
    </dxf>
    <dxf>
      <font>
        <b/>
        <i val="0"/>
        <strike val="0"/>
        <condense/>
        <extend/>
        <outline/>
        <shadow/>
        <u val="none"/>
        <vertAlign val="baseline"/>
        <sz val="8"/>
        <color theme="1"/>
        <name val="Century Gothic"/>
        <scheme val="major"/>
      </font>
      <alignment horizontal="right" vertical="bottom" textRotation="0" wrapText="0" indent="1" justifyLastLine="0" shrinkToFit="0" readingOrder="0"/>
    </dxf>
    <dxf>
      <font>
        <b val="0"/>
        <i val="0"/>
        <strike/>
        <outline/>
        <shadow/>
        <u val="none"/>
        <vertAlign val="baseline"/>
        <sz val="8"/>
        <color theme="0"/>
        <name val="Century Gothic"/>
        <scheme val="major"/>
      </font>
      <numFmt numFmtId="0" formatCode="General"/>
      <alignment horizontal="center" vertical="bottom" textRotation="0" wrapText="0" indent="0" justifyLastLine="0" shrinkToFit="0" readingOrder="0"/>
      <border outline="0">
        <right style="thin">
          <color theme="0" tint="-0.14996795556505021"/>
        </right>
      </border>
    </dxf>
    <dxf>
      <font>
        <b/>
        <i val="0"/>
        <strike val="0"/>
        <condense/>
        <extend/>
        <outline/>
        <shadow/>
        <u val="none"/>
        <vertAlign val="baseline"/>
        <sz val="8"/>
        <color theme="1"/>
        <name val="Century Gothic"/>
        <scheme val="major"/>
      </font>
      <numFmt numFmtId="4" formatCode="#,##0.00"/>
      <alignment horizontal="right" vertical="bottom" textRotation="0" wrapText="0" indent="1" justifyLastLine="0" shrinkToFit="0" readingOrder="0"/>
    </dxf>
    <dxf>
      <font>
        <b val="0"/>
        <i val="0"/>
        <strike val="0"/>
        <outline/>
        <shadow/>
        <u val="none"/>
        <vertAlign val="baseline"/>
        <sz val="8"/>
        <color theme="1"/>
      </font>
      <numFmt numFmtId="1" formatCode="0"/>
      <alignment horizontal="right" vertical="bottom" textRotation="0" wrapText="0" indent="1" justifyLastLine="0" shrinkToFit="0" readingOrder="0"/>
      <protection locked="0" hidden="0"/>
    </dxf>
    <dxf>
      <font>
        <b/>
        <i val="0"/>
        <strike val="0"/>
        <condense/>
        <extend/>
        <outline/>
        <shadow/>
        <u val="none"/>
        <vertAlign val="baseline"/>
        <sz val="8"/>
        <color theme="1"/>
        <name val="Century Gothic"/>
        <scheme val="major"/>
      </font>
      <numFmt numFmtId="4" formatCode="#,##0.00"/>
      <alignment horizontal="right" vertical="bottom" textRotation="0" wrapText="0" indent="1" justifyLastLine="0" shrinkToFit="0" readingOrder="0"/>
    </dxf>
    <dxf>
      <font>
        <b val="0"/>
        <i val="0"/>
        <strike val="0"/>
        <outline/>
        <shadow/>
        <u val="none"/>
        <vertAlign val="baseline"/>
        <sz val="8"/>
        <color theme="1"/>
      </font>
      <numFmt numFmtId="1" formatCode="0"/>
      <alignment horizontal="center" vertical="bottom" textRotation="0" wrapText="0" indent="0" justifyLastLine="0" shrinkToFit="0"/>
      <protection locked="0" hidden="0"/>
    </dxf>
    <dxf>
      <font>
        <b/>
        <i val="0"/>
        <strike val="0"/>
        <condense/>
        <extend/>
        <outline/>
        <shadow/>
        <u val="none"/>
        <vertAlign val="baseline"/>
        <sz val="8"/>
        <color theme="1"/>
        <name val="Century Gothic"/>
        <scheme val="major"/>
      </font>
      <numFmt numFmtId="4" formatCode="#,##0.00"/>
      <alignment horizontal="right" vertical="bottom" textRotation="0" wrapText="0" indent="1" justifyLastLine="0" shrinkToFit="0" readingOrder="0"/>
    </dxf>
    <dxf>
      <font>
        <b val="0"/>
        <i val="0"/>
        <strike val="0"/>
        <outline/>
        <shadow/>
        <u val="none"/>
        <vertAlign val="baseline"/>
        <sz val="8"/>
        <color theme="1"/>
      </font>
      <numFmt numFmtId="1" formatCode="0"/>
      <alignment horizontal="right" vertical="bottom" textRotation="0" wrapText="0" indent="1" justifyLastLine="0" shrinkToFit="0" readingOrder="0"/>
      <protection locked="0" hidden="0"/>
    </dxf>
    <dxf>
      <font>
        <b/>
        <i val="0"/>
        <strike val="0"/>
        <condense/>
        <extend/>
        <outline/>
        <shadow/>
        <u val="none"/>
        <vertAlign val="baseline"/>
        <sz val="8"/>
        <color theme="1"/>
        <name val="Century Gothic"/>
        <scheme val="major"/>
      </font>
      <numFmt numFmtId="4" formatCode="#,##0.00"/>
      <alignment horizontal="right" vertical="bottom" textRotation="0" wrapText="0" indent="1" justifyLastLine="0" shrinkToFit="0" readingOrder="0"/>
    </dxf>
    <dxf>
      <font>
        <b val="0"/>
        <i val="0"/>
        <strike val="0"/>
        <outline/>
        <shadow/>
        <u val="none"/>
        <vertAlign val="baseline"/>
        <sz val="8"/>
        <color theme="1"/>
      </font>
      <numFmt numFmtId="1" formatCode="0"/>
      <alignment horizontal="right" vertical="bottom" textRotation="0" wrapText="0" indent="1" justifyLastLine="0" shrinkToFit="0" readingOrder="0"/>
      <protection locked="0" hidden="0"/>
    </dxf>
    <dxf>
      <font>
        <b/>
        <i val="0"/>
        <strike val="0"/>
        <condense/>
        <extend/>
        <outline/>
        <shadow/>
        <u val="none"/>
        <vertAlign val="baseline"/>
        <sz val="8"/>
        <color theme="1"/>
        <name val="Century Gothic"/>
        <scheme val="major"/>
      </font>
      <numFmt numFmtId="4" formatCode="#,##0.00"/>
      <alignment horizontal="right" vertical="bottom" textRotation="0" wrapText="0" indent="1" justifyLastLine="0" shrinkToFit="0" readingOrder="0"/>
    </dxf>
    <dxf>
      <font>
        <b val="0"/>
        <i val="0"/>
        <strike val="0"/>
        <outline/>
        <shadow/>
        <u val="none"/>
        <vertAlign val="baseline"/>
        <sz val="8"/>
        <color theme="1"/>
      </font>
      <numFmt numFmtId="1" formatCode="0"/>
      <alignment horizontal="right" vertical="bottom" textRotation="0" wrapText="0" indent="1" justifyLastLine="0" shrinkToFit="0" readingOrder="0"/>
      <protection locked="0" hidden="0"/>
    </dxf>
    <dxf>
      <font>
        <b/>
        <i val="0"/>
        <strike val="0"/>
        <condense/>
        <extend/>
        <outline/>
        <shadow/>
        <u val="none"/>
        <vertAlign val="baseline"/>
        <sz val="8"/>
        <color theme="1"/>
        <name val="Century Gothic"/>
        <scheme val="major"/>
      </font>
      <numFmt numFmtId="4" formatCode="#,##0.00"/>
      <alignment horizontal="right" vertical="bottom" textRotation="0" wrapText="0" indent="1" justifyLastLine="0" shrinkToFit="0" readingOrder="0"/>
    </dxf>
    <dxf>
      <font>
        <b val="0"/>
        <i val="0"/>
        <strike val="0"/>
        <outline/>
        <shadow/>
        <u val="none"/>
        <vertAlign val="baseline"/>
        <sz val="8"/>
        <color theme="1"/>
      </font>
      <numFmt numFmtId="1" formatCode="0"/>
      <alignment horizontal="right" vertical="bottom" textRotation="0" wrapText="0" indent="1" justifyLastLine="0" shrinkToFit="0" readingOrder="0"/>
      <protection locked="0" hidden="0"/>
    </dxf>
    <dxf>
      <font>
        <b/>
        <i val="0"/>
        <strike val="0"/>
        <condense/>
        <extend/>
        <outline/>
        <shadow/>
        <u val="none"/>
        <vertAlign val="baseline"/>
        <sz val="8"/>
        <color theme="1"/>
        <name val="Century Gothic"/>
        <scheme val="major"/>
      </font>
      <numFmt numFmtId="4" formatCode="#,##0.00"/>
      <alignment horizontal="right" vertical="bottom" textRotation="0" wrapText="0" indent="1" justifyLastLine="0" shrinkToFit="0" readingOrder="0"/>
    </dxf>
    <dxf>
      <font>
        <b val="0"/>
        <i val="0"/>
        <strike val="0"/>
        <outline/>
        <shadow/>
        <u val="none"/>
        <vertAlign val="baseline"/>
        <sz val="8"/>
        <color theme="1"/>
      </font>
      <numFmt numFmtId="1" formatCode="0"/>
      <alignment horizontal="right" vertical="bottom" textRotation="0" wrapText="0" indent="1" justifyLastLine="0" shrinkToFit="0" readingOrder="0"/>
      <protection locked="0" hidden="0"/>
    </dxf>
    <dxf>
      <font>
        <b/>
        <i val="0"/>
        <strike val="0"/>
        <condense/>
        <extend/>
        <outline/>
        <shadow/>
        <u val="none"/>
        <vertAlign val="baseline"/>
        <sz val="8"/>
        <color theme="1"/>
        <name val="Century Gothic"/>
        <scheme val="major"/>
      </font>
      <numFmt numFmtId="4" formatCode="#,##0.00"/>
      <alignment horizontal="right" vertical="bottom" textRotation="0" wrapText="0" indent="1" justifyLastLine="0" shrinkToFit="0" readingOrder="0"/>
    </dxf>
    <dxf>
      <font>
        <b val="0"/>
        <i val="0"/>
        <strike val="0"/>
        <condense val="0"/>
        <extend val="0"/>
        <outline/>
        <shadow/>
        <u val="none"/>
        <vertAlign val="baseline"/>
        <sz val="8"/>
        <color theme="1"/>
        <name val="Calibri"/>
        <scheme val="minor"/>
      </font>
      <numFmt numFmtId="1" formatCode="0"/>
      <alignment horizontal="right" vertical="bottom" textRotation="0" wrapText="0" indent="1" justifyLastLine="0" shrinkToFit="0" readingOrder="0"/>
      <protection locked="0" hidden="0"/>
    </dxf>
    <dxf>
      <font>
        <b/>
        <i val="0"/>
        <strike val="0"/>
        <condense/>
        <extend/>
        <outline/>
        <shadow/>
        <u val="none"/>
        <vertAlign val="baseline"/>
        <sz val="8"/>
        <color theme="1"/>
        <name val="Century Gothic"/>
        <scheme val="major"/>
      </font>
      <numFmt numFmtId="4" formatCode="#,##0.00"/>
      <alignment horizontal="right" vertical="bottom" textRotation="0" wrapText="0" indent="1" justifyLastLine="0" shrinkToFit="0" readingOrder="0"/>
    </dxf>
    <dxf>
      <font>
        <b val="0"/>
        <i val="0"/>
        <strike val="0"/>
        <condense val="0"/>
        <extend val="0"/>
        <outline/>
        <shadow/>
        <u val="none"/>
        <vertAlign val="baseline"/>
        <sz val="8"/>
        <color theme="1"/>
        <name val="Calibri"/>
        <scheme val="minor"/>
      </font>
      <numFmt numFmtId="1" formatCode="0"/>
      <alignment horizontal="right" vertical="bottom" textRotation="0" wrapText="0" indent="1" justifyLastLine="0" shrinkToFit="0" readingOrder="0"/>
      <protection locked="0" hidden="0"/>
    </dxf>
    <dxf>
      <font>
        <b/>
        <i val="0"/>
        <strike val="0"/>
        <condense/>
        <extend/>
        <outline/>
        <shadow/>
        <u val="none"/>
        <vertAlign val="baseline"/>
        <sz val="8"/>
        <color theme="1"/>
        <name val="Century Gothic"/>
        <scheme val="major"/>
      </font>
      <numFmt numFmtId="4" formatCode="#,##0.00"/>
      <alignment horizontal="right" vertical="bottom" textRotation="0" wrapText="0" indent="1" justifyLastLine="0" shrinkToFit="0" readingOrder="0"/>
    </dxf>
    <dxf>
      <font>
        <b val="0"/>
        <i val="0"/>
        <strike val="0"/>
        <condense val="0"/>
        <extend val="0"/>
        <outline/>
        <shadow/>
        <u val="none"/>
        <vertAlign val="baseline"/>
        <sz val="8"/>
        <color theme="1"/>
        <name val="Calibri"/>
        <scheme val="minor"/>
      </font>
      <numFmt numFmtId="1" formatCode="0"/>
      <alignment horizontal="right" vertical="bottom" textRotation="0" wrapText="0" indent="1" justifyLastLine="0" shrinkToFit="0" readingOrder="0"/>
      <protection locked="0" hidden="0"/>
    </dxf>
    <dxf>
      <font>
        <b/>
        <i val="0"/>
        <strike val="0"/>
        <condense/>
        <extend/>
        <outline/>
        <shadow/>
        <u val="none"/>
        <vertAlign val="baseline"/>
        <sz val="8"/>
        <color theme="1"/>
        <name val="Century Gothic"/>
        <scheme val="major"/>
      </font>
      <numFmt numFmtId="4" formatCode="#,##0.00"/>
      <alignment horizontal="right" vertical="bottom" textRotation="0" wrapText="0" indent="1" justifyLastLine="0" shrinkToFit="0" readingOrder="0"/>
    </dxf>
    <dxf>
      <font>
        <b val="0"/>
        <i val="0"/>
        <strike val="0"/>
        <condense val="0"/>
        <extend val="0"/>
        <outline/>
        <shadow/>
        <u val="none"/>
        <vertAlign val="baseline"/>
        <sz val="8"/>
        <color theme="1"/>
        <name val="Calibri"/>
        <scheme val="minor"/>
      </font>
      <numFmt numFmtId="1" formatCode="0"/>
      <alignment horizontal="right" vertical="bottom" textRotation="0" wrapText="0" indent="1" justifyLastLine="0" shrinkToFit="0" readingOrder="0"/>
      <protection locked="0" hidden="0"/>
    </dxf>
    <dxf>
      <font>
        <b/>
        <i val="0"/>
        <strike val="0"/>
        <condense/>
        <extend/>
        <outline/>
        <shadow/>
        <u val="none"/>
        <vertAlign val="baseline"/>
        <sz val="8"/>
        <color theme="1"/>
        <name val="Century Gothic"/>
        <scheme val="major"/>
      </font>
      <numFmt numFmtId="4" formatCode="#,##0.00"/>
      <alignment horizontal="right" vertical="bottom" textRotation="0" wrapText="0" indent="1" justifyLastLine="0" shrinkToFit="0" readingOrder="0"/>
    </dxf>
    <dxf>
      <font>
        <b val="0"/>
        <i val="0"/>
        <strike val="0"/>
        <condense val="0"/>
        <extend val="0"/>
        <outline/>
        <shadow/>
        <u val="none"/>
        <vertAlign val="baseline"/>
        <sz val="8"/>
        <color theme="1"/>
        <name val="Calibri"/>
        <scheme val="minor"/>
      </font>
      <numFmt numFmtId="1" formatCode="0"/>
      <alignment horizontal="right" vertical="bottom" textRotation="0" wrapText="0" indent="1" justifyLastLine="0" shrinkToFit="0" readingOrder="0"/>
      <protection locked="0" hidden="0"/>
    </dxf>
    <dxf>
      <font>
        <b/>
        <i val="0"/>
        <strike val="0"/>
        <condense/>
        <extend/>
        <outline/>
        <shadow/>
        <u val="none"/>
        <vertAlign val="baseline"/>
        <sz val="8"/>
        <color theme="1"/>
        <name val="Century Gothic"/>
        <scheme val="major"/>
      </font>
      <numFmt numFmtId="4" formatCode="#,##0.00"/>
      <alignment horizontal="right" vertical="bottom" textRotation="0" wrapText="0" indent="1" justifyLastLine="0" shrinkToFit="0" readingOrder="0"/>
    </dxf>
    <dxf>
      <font>
        <b val="0"/>
        <i val="0"/>
        <strike val="0"/>
        <condense val="0"/>
        <extend val="0"/>
        <outline/>
        <shadow/>
        <u val="none"/>
        <vertAlign val="baseline"/>
        <sz val="8"/>
        <color theme="1"/>
        <name val="Calibri"/>
        <scheme val="minor"/>
      </font>
      <numFmt numFmtId="1" formatCode="0"/>
      <alignment horizontal="right" vertical="bottom" textRotation="0" wrapText="0" indent="1" justifyLastLine="0" shrinkToFit="0" readingOrder="0"/>
      <protection locked="0" hidden="0"/>
    </dxf>
    <dxf>
      <font>
        <b/>
        <i val="0"/>
        <strike val="0"/>
        <condense/>
        <extend/>
        <outline/>
        <shadow/>
        <u val="none"/>
        <vertAlign val="baseline"/>
        <sz val="8"/>
        <color theme="1"/>
        <name val="Century Gothic"/>
        <scheme val="major"/>
      </font>
      <numFmt numFmtId="4" formatCode="#,##0.00"/>
      <alignment horizontal="right" vertical="bottom" textRotation="0" wrapText="0" indent="1" justifyLastLine="0" shrinkToFit="0" readingOrder="0"/>
    </dxf>
    <dxf>
      <font>
        <b val="0"/>
        <i val="0"/>
        <strike val="0"/>
        <condense val="0"/>
        <extend val="0"/>
        <outline/>
        <shadow/>
        <u val="none"/>
        <vertAlign val="baseline"/>
        <sz val="8"/>
        <color theme="1"/>
        <name val="Calibri"/>
        <scheme val="minor"/>
      </font>
      <numFmt numFmtId="1" formatCode="0"/>
      <alignment horizontal="right" vertical="bottom" textRotation="0" wrapText="0" indent="1" justifyLastLine="0" shrinkToFit="0" readingOrder="0"/>
      <protection locked="0" hidden="0"/>
    </dxf>
    <dxf>
      <font>
        <b/>
        <i val="0"/>
        <strike val="0"/>
        <condense/>
        <extend/>
        <outline/>
        <shadow/>
        <u val="none"/>
        <vertAlign val="baseline"/>
        <sz val="8"/>
        <color theme="1"/>
        <name val="Century Gothic"/>
        <scheme val="major"/>
      </font>
      <numFmt numFmtId="4" formatCode="#,##0.00"/>
      <alignment horizontal="right" vertical="bottom" textRotation="0" wrapText="0" indent="1" justifyLastLine="0" shrinkToFit="0" readingOrder="0"/>
    </dxf>
    <dxf>
      <font>
        <b val="0"/>
        <i val="0"/>
        <strike val="0"/>
        <outline/>
        <shadow/>
        <u val="none"/>
        <vertAlign val="baseline"/>
        <sz val="8"/>
        <color theme="1"/>
      </font>
      <numFmt numFmtId="1" formatCode="0"/>
      <alignment horizontal="right" vertical="bottom" textRotation="0" wrapText="0" indent="1" justifyLastLine="0" shrinkToFit="0" readingOrder="0"/>
      <protection locked="0" hidden="0"/>
    </dxf>
    <dxf>
      <font>
        <b/>
        <i val="0"/>
        <strike val="0"/>
        <condense/>
        <extend/>
        <outline/>
        <shadow/>
        <u val="none"/>
        <vertAlign val="baseline"/>
        <sz val="8"/>
        <color theme="1"/>
        <name val="Century Gothic"/>
        <scheme val="major"/>
      </font>
      <numFmt numFmtId="4" formatCode="#,##0.00"/>
      <alignment horizontal="right" vertical="bottom" textRotation="0" wrapText="0" indent="1" justifyLastLine="0" shrinkToFit="0" readingOrder="0"/>
    </dxf>
    <dxf>
      <font>
        <b val="0"/>
        <i val="0"/>
        <strike val="0"/>
        <outline/>
        <shadow/>
        <u val="none"/>
        <vertAlign val="baseline"/>
        <sz val="8"/>
        <color theme="1"/>
      </font>
      <numFmt numFmtId="1" formatCode="0"/>
      <alignment horizontal="right" vertical="bottom" textRotation="0" wrapText="0" indent="1" justifyLastLine="0" shrinkToFit="0" readingOrder="0"/>
      <protection locked="0" hidden="0"/>
    </dxf>
    <dxf>
      <font>
        <b/>
        <i val="0"/>
        <strike val="0"/>
        <condense/>
        <extend/>
        <outline/>
        <shadow/>
        <u val="none"/>
        <vertAlign val="baseline"/>
        <sz val="8"/>
        <color theme="1"/>
        <name val="Century Gothic"/>
        <scheme val="major"/>
      </font>
      <numFmt numFmtId="4" formatCode="#,##0.00"/>
      <alignment horizontal="right" vertical="bottom" textRotation="0" wrapText="0" indent="1" justifyLastLine="0" shrinkToFit="0" readingOrder="0"/>
    </dxf>
    <dxf>
      <font>
        <b val="0"/>
        <i val="0"/>
        <strike val="0"/>
        <outline/>
        <shadow/>
        <u val="none"/>
        <vertAlign val="baseline"/>
        <sz val="8"/>
        <color theme="1"/>
      </font>
      <numFmt numFmtId="1" formatCode="0"/>
      <alignment horizontal="right" vertical="bottom" textRotation="0" wrapText="0" indent="1" justifyLastLine="0" shrinkToFit="0" readingOrder="0"/>
      <protection locked="0" hidden="0"/>
    </dxf>
    <dxf>
      <font>
        <b/>
        <i val="0"/>
        <strike val="0"/>
        <condense/>
        <extend/>
        <outline/>
        <shadow/>
        <u val="none"/>
        <vertAlign val="baseline"/>
        <sz val="8"/>
        <color theme="1"/>
        <name val="Century Gothic"/>
        <scheme val="major"/>
      </font>
      <numFmt numFmtId="4" formatCode="#,##0.00"/>
      <alignment horizontal="right" vertical="bottom" textRotation="0" wrapText="0" indent="1" justifyLastLine="0" shrinkToFit="0" readingOrder="0"/>
    </dxf>
    <dxf>
      <font>
        <b val="0"/>
        <i val="0"/>
        <strike val="0"/>
        <outline/>
        <shadow/>
        <u val="none"/>
        <vertAlign val="baseline"/>
        <sz val="8"/>
        <color theme="1"/>
      </font>
      <numFmt numFmtId="1" formatCode="0"/>
      <alignment horizontal="right" vertical="bottom" textRotation="0" wrapText="0" indent="1" justifyLastLine="0" shrinkToFit="0" readingOrder="0"/>
      <protection locked="0" hidden="0"/>
    </dxf>
    <dxf>
      <font>
        <b/>
        <i val="0"/>
        <strike val="0"/>
        <condense/>
        <extend/>
        <outline/>
        <shadow/>
        <u val="none"/>
        <vertAlign val="baseline"/>
        <sz val="8"/>
        <color theme="1"/>
        <name val="Century Gothic"/>
        <scheme val="major"/>
      </font>
      <numFmt numFmtId="4" formatCode="#,##0.00"/>
      <alignment horizontal="right" vertical="bottom" textRotation="0" wrapText="0" indent="1" justifyLastLine="0" shrinkToFit="0" readingOrder="0"/>
    </dxf>
    <dxf>
      <font>
        <b val="0"/>
        <i val="0"/>
        <strike val="0"/>
        <condense val="0"/>
        <extend val="0"/>
        <outline/>
        <shadow/>
        <u val="none"/>
        <vertAlign val="baseline"/>
        <sz val="8"/>
        <color theme="1"/>
        <name val="Century Gothic"/>
        <scheme val="major"/>
      </font>
      <numFmt numFmtId="1" formatCode="0"/>
      <alignment horizontal="center" vertical="bottom" textRotation="0" wrapText="0" indent="0" justifyLastLine="0" shrinkToFit="0" readingOrder="0"/>
      <protection locked="0" hidden="0"/>
    </dxf>
    <dxf>
      <font>
        <b/>
        <i val="0"/>
        <strike val="0"/>
        <condense/>
        <extend/>
        <outline/>
        <shadow/>
        <u val="none"/>
        <vertAlign val="baseline"/>
        <sz val="8"/>
        <color theme="1"/>
        <name val="Century Gothic"/>
        <scheme val="major"/>
      </font>
      <numFmt numFmtId="4" formatCode="#,##0.00"/>
      <alignment horizontal="right" vertical="bottom" textRotation="0" wrapText="0" indent="1" justifyLastLine="0" shrinkToFit="0" readingOrder="0"/>
    </dxf>
    <dxf>
      <font>
        <b val="0"/>
        <i val="0"/>
        <strike val="0"/>
        <condense val="0"/>
        <extend val="0"/>
        <outline/>
        <shadow/>
        <u val="none"/>
        <vertAlign val="baseline"/>
        <sz val="8"/>
        <color theme="1"/>
        <name val="Century Gothic"/>
        <scheme val="major"/>
      </font>
      <numFmt numFmtId="1" formatCode="0"/>
      <alignment horizontal="center" vertical="bottom" textRotation="0" wrapText="0" indent="0" justifyLastLine="0" shrinkToFit="0" readingOrder="0"/>
      <protection locked="0" hidden="0"/>
    </dxf>
    <dxf>
      <font>
        <b/>
        <i val="0"/>
        <strike val="0"/>
        <condense/>
        <extend/>
        <outline/>
        <shadow/>
        <u val="none"/>
        <vertAlign val="baseline"/>
        <sz val="8"/>
        <color theme="1"/>
        <name val="Century Gothic"/>
        <scheme val="major"/>
      </font>
      <numFmt numFmtId="4" formatCode="#,##0.00"/>
      <alignment horizontal="right" vertical="bottom" textRotation="0" wrapText="0" indent="1" justifyLastLine="0" shrinkToFit="0" readingOrder="0"/>
    </dxf>
    <dxf>
      <font>
        <b val="0"/>
        <i val="0"/>
        <strike val="0"/>
        <condense val="0"/>
        <extend val="0"/>
        <outline/>
        <shadow/>
        <u val="none"/>
        <vertAlign val="baseline"/>
        <sz val="8"/>
        <color theme="1"/>
        <name val="Century Gothic"/>
        <scheme val="major"/>
      </font>
      <numFmt numFmtId="1" formatCode="0"/>
      <alignment horizontal="center" vertical="bottom" textRotation="0" wrapText="0" indent="0" justifyLastLine="0" shrinkToFit="0" readingOrder="0"/>
      <protection locked="0" hidden="0"/>
    </dxf>
    <dxf>
      <font>
        <b/>
        <i val="0"/>
        <strike val="0"/>
        <condense/>
        <extend/>
        <outline/>
        <shadow/>
        <u val="none"/>
        <vertAlign val="baseline"/>
        <sz val="8"/>
        <color theme="1"/>
        <name val="Century Gothic"/>
        <scheme val="major"/>
      </font>
      <numFmt numFmtId="4" formatCode="#,##0.00"/>
      <alignment horizontal="right" vertical="bottom" textRotation="0" wrapText="0" indent="1" justifyLastLine="0" shrinkToFit="0" readingOrder="0"/>
    </dxf>
    <dxf>
      <font>
        <b val="0"/>
        <i val="0"/>
        <strike val="0"/>
        <condense val="0"/>
        <extend val="0"/>
        <outline/>
        <shadow/>
        <u val="none"/>
        <vertAlign val="baseline"/>
        <sz val="8"/>
        <color theme="1"/>
        <name val="Century Gothic"/>
        <scheme val="major"/>
      </font>
      <numFmt numFmtId="1" formatCode="0"/>
      <alignment horizontal="center" vertical="bottom" textRotation="0" wrapText="0" indent="0" justifyLastLine="0" shrinkToFit="0" readingOrder="0"/>
      <protection locked="0" hidden="0"/>
    </dxf>
    <dxf>
      <font>
        <b/>
        <i val="0"/>
        <strike val="0"/>
        <condense/>
        <extend/>
        <outline/>
        <shadow/>
        <u val="none"/>
        <vertAlign val="baseline"/>
        <sz val="8"/>
        <color theme="1"/>
        <name val="Century Gothic"/>
        <scheme val="major"/>
      </font>
      <numFmt numFmtId="4" formatCode="#,##0.00"/>
      <alignment horizontal="right" vertical="bottom" textRotation="0" wrapText="0" indent="1" justifyLastLine="0" shrinkToFit="0" readingOrder="0"/>
    </dxf>
    <dxf>
      <font>
        <b val="0"/>
        <i val="0"/>
        <strike val="0"/>
        <condense val="0"/>
        <extend val="0"/>
        <outline/>
        <shadow/>
        <u val="none"/>
        <vertAlign val="baseline"/>
        <sz val="8"/>
        <color theme="1"/>
        <name val="Century Gothic"/>
        <scheme val="major"/>
      </font>
      <numFmt numFmtId="1" formatCode="0"/>
      <alignment horizontal="center" vertical="bottom" textRotation="0" wrapText="0" indent="0" justifyLastLine="0" shrinkToFit="0" readingOrder="0"/>
      <protection locked="0" hidden="0"/>
    </dxf>
    <dxf>
      <font>
        <b/>
        <i val="0"/>
        <strike val="0"/>
        <condense/>
        <extend/>
        <outline/>
        <shadow/>
        <u val="none"/>
        <vertAlign val="baseline"/>
        <sz val="8"/>
        <color theme="1"/>
        <name val="Century Gothic"/>
        <scheme val="major"/>
      </font>
      <numFmt numFmtId="4" formatCode="#,##0.00"/>
      <alignment horizontal="right" vertical="bottom" textRotation="0" wrapText="0" indent="1" justifyLastLine="0" shrinkToFit="0" readingOrder="0"/>
    </dxf>
    <dxf>
      <font>
        <b val="0"/>
        <i val="0"/>
        <strike val="0"/>
        <condense val="0"/>
        <extend val="0"/>
        <outline/>
        <shadow/>
        <u val="none"/>
        <vertAlign val="baseline"/>
        <sz val="8"/>
        <color theme="1"/>
        <name val="Century Gothic"/>
        <scheme val="major"/>
      </font>
      <numFmt numFmtId="1" formatCode="0"/>
      <alignment horizontal="center" vertical="bottom" textRotation="0" wrapText="0" indent="0" justifyLastLine="0" shrinkToFit="0" readingOrder="0"/>
      <protection locked="0" hidden="0"/>
    </dxf>
    <dxf>
      <font>
        <b/>
        <i val="0"/>
        <strike val="0"/>
        <condense/>
        <extend/>
        <outline/>
        <shadow/>
        <u val="none"/>
        <vertAlign val="baseline"/>
        <sz val="8"/>
        <color theme="1"/>
        <name val="Century Gothic"/>
        <scheme val="major"/>
      </font>
      <numFmt numFmtId="4" formatCode="#,##0.00"/>
      <alignment horizontal="right" vertical="bottom" textRotation="0" wrapText="0" indent="1" justifyLastLine="0" shrinkToFit="0" readingOrder="0"/>
    </dxf>
    <dxf>
      <font>
        <b val="0"/>
        <i val="0"/>
        <strike val="0"/>
        <condense val="0"/>
        <extend val="0"/>
        <outline/>
        <shadow/>
        <u val="none"/>
        <vertAlign val="baseline"/>
        <sz val="8"/>
        <color theme="1"/>
        <name val="Century Gothic"/>
        <scheme val="major"/>
      </font>
      <numFmt numFmtId="1" formatCode="0"/>
      <alignment horizontal="center" vertical="bottom" textRotation="0" wrapText="0" indent="0" justifyLastLine="0" shrinkToFit="0" readingOrder="0"/>
      <protection locked="0" hidden="0"/>
    </dxf>
    <dxf>
      <font>
        <b/>
        <i val="0"/>
        <strike val="0"/>
        <condense/>
        <extend/>
        <outline/>
        <shadow/>
        <u val="none"/>
        <vertAlign val="baseline"/>
        <sz val="8"/>
        <color theme="1"/>
        <name val="Century Gothic"/>
        <scheme val="major"/>
      </font>
      <numFmt numFmtId="4" formatCode="#,##0.00"/>
      <alignment horizontal="right" vertical="bottom" textRotation="0" wrapText="0" indent="1" justifyLastLine="0" shrinkToFit="0" readingOrder="0"/>
    </dxf>
    <dxf>
      <font>
        <b val="0"/>
        <i val="0"/>
        <strike val="0"/>
        <condense val="0"/>
        <extend val="0"/>
        <outline/>
        <shadow/>
        <u val="none"/>
        <vertAlign val="baseline"/>
        <sz val="8"/>
        <color theme="1"/>
        <name val="Century Gothic"/>
        <scheme val="major"/>
      </font>
      <numFmt numFmtId="1" formatCode="0"/>
      <alignment horizontal="center" vertical="bottom" textRotation="0" wrapText="0" indent="0" justifyLastLine="0" shrinkToFit="0" readingOrder="0"/>
      <protection locked="0" hidden="0"/>
    </dxf>
    <dxf>
      <font>
        <b/>
        <i val="0"/>
        <strike val="0"/>
        <condense/>
        <extend/>
        <outline/>
        <shadow/>
        <u val="none"/>
        <vertAlign val="baseline"/>
        <sz val="8"/>
        <color theme="1"/>
        <name val="Century Gothic"/>
        <scheme val="major"/>
      </font>
      <numFmt numFmtId="4" formatCode="#,##0.00"/>
      <alignment horizontal="right" vertical="bottom" textRotation="0" wrapText="0" indent="1" justifyLastLine="0" shrinkToFit="0" readingOrder="0"/>
    </dxf>
    <dxf>
      <font>
        <b val="0"/>
        <i val="0"/>
        <strike val="0"/>
        <condense val="0"/>
        <extend val="0"/>
        <outline/>
        <shadow/>
        <u val="none"/>
        <vertAlign val="baseline"/>
        <sz val="8"/>
        <color theme="1"/>
        <name val="Century Gothic"/>
        <scheme val="major"/>
      </font>
      <numFmt numFmtId="1" formatCode="0"/>
      <alignment horizontal="center" vertical="bottom" textRotation="0" wrapText="0" indent="0" justifyLastLine="0" shrinkToFit="0" readingOrder="0"/>
      <protection locked="0" hidden="0"/>
    </dxf>
    <dxf>
      <font>
        <b/>
        <i val="0"/>
        <strike val="0"/>
        <condense/>
        <extend/>
        <outline/>
        <shadow/>
        <u val="none"/>
        <vertAlign val="baseline"/>
        <sz val="8"/>
        <color theme="1"/>
        <name val="Century Gothic"/>
        <scheme val="major"/>
      </font>
      <numFmt numFmtId="4" formatCode="#,##0.00"/>
      <alignment horizontal="right" vertical="bottom" textRotation="0" wrapText="0" indent="1" justifyLastLine="0" shrinkToFit="0" readingOrder="0"/>
    </dxf>
    <dxf>
      <font>
        <b val="0"/>
        <i val="0"/>
        <strike val="0"/>
        <condense val="0"/>
        <extend val="0"/>
        <outline/>
        <shadow/>
        <u val="none"/>
        <vertAlign val="baseline"/>
        <sz val="8"/>
        <color theme="1"/>
        <name val="Century Gothic"/>
        <scheme val="major"/>
      </font>
      <numFmt numFmtId="1" formatCode="0"/>
      <alignment horizontal="center" vertical="bottom" textRotation="0" wrapText="0" indent="0" justifyLastLine="0" shrinkToFit="0" readingOrder="0"/>
      <protection locked="0" hidden="0"/>
    </dxf>
    <dxf>
      <font>
        <b/>
        <i val="0"/>
        <strike val="0"/>
        <condense/>
        <extend/>
        <outline/>
        <shadow/>
        <u val="none"/>
        <vertAlign val="baseline"/>
        <sz val="8"/>
        <color theme="1"/>
        <name val="Century Gothic"/>
        <scheme val="major"/>
      </font>
      <numFmt numFmtId="4" formatCode="#,##0.00"/>
      <alignment horizontal="right" vertical="bottom" textRotation="0" wrapText="0" indent="1" justifyLastLine="0" shrinkToFit="0" readingOrder="0"/>
    </dxf>
    <dxf>
      <font>
        <b val="0"/>
        <i val="0"/>
        <strike val="0"/>
        <condense val="0"/>
        <extend val="0"/>
        <outline/>
        <shadow/>
        <u val="none"/>
        <vertAlign val="baseline"/>
        <sz val="8"/>
        <color theme="1"/>
        <name val="Century Gothic"/>
        <scheme val="major"/>
      </font>
      <numFmt numFmtId="1" formatCode="0"/>
      <alignment horizontal="center" vertical="bottom" textRotation="0" wrapText="0" indent="0" justifyLastLine="0" shrinkToFit="0" readingOrder="0"/>
      <protection locked="0" hidden="0"/>
    </dxf>
    <dxf>
      <font>
        <b/>
        <i val="0"/>
        <strike val="0"/>
        <condense/>
        <extend/>
        <outline/>
        <shadow/>
        <u val="none"/>
        <vertAlign val="baseline"/>
        <sz val="8"/>
        <color theme="1"/>
        <name val="Century Gothic"/>
        <scheme val="major"/>
      </font>
      <numFmt numFmtId="4" formatCode="#,##0.00"/>
      <alignment horizontal="right" vertical="bottom" textRotation="0" wrapText="0" indent="1" justifyLastLine="0" shrinkToFit="0" readingOrder="0"/>
    </dxf>
    <dxf>
      <font>
        <b val="0"/>
        <i val="0"/>
        <strike val="0"/>
        <outline/>
        <shadow/>
        <u val="none"/>
        <vertAlign val="baseline"/>
        <sz val="8"/>
        <color theme="1"/>
        <name val="Century Gothic"/>
        <scheme val="major"/>
      </font>
      <numFmt numFmtId="1" formatCode="0"/>
      <alignment horizontal="center" vertical="bottom" textRotation="0" wrapText="0" indent="0" justifyLastLine="0" shrinkToFit="0" readingOrder="0"/>
      <protection locked="0" hidden="0"/>
    </dxf>
    <dxf>
      <font>
        <b/>
        <i val="0"/>
        <strike val="0"/>
        <condense/>
        <extend/>
        <outline/>
        <shadow/>
        <u val="none"/>
        <vertAlign val="baseline"/>
        <sz val="8"/>
        <color theme="1"/>
        <name val="Century Gothic"/>
        <scheme val="major"/>
      </font>
      <fill>
        <patternFill patternType="solid">
          <fgColor indexed="64"/>
          <bgColor theme="0" tint="-4.9989318521683403E-2"/>
        </patternFill>
      </fill>
      <alignment horizontal="left" vertical="bottom" textRotation="0" wrapText="0" indent="1" justifyLastLine="0" shrinkToFit="0" readingOrder="0"/>
    </dxf>
    <dxf>
      <font>
        <b val="0"/>
        <i/>
        <strike val="0"/>
        <outline/>
        <shadow/>
        <u val="none"/>
        <vertAlign val="baseline"/>
        <sz val="8"/>
        <color theme="1"/>
        <name val="Century Gothic"/>
        <scheme val="major"/>
      </font>
      <alignment horizontal="left" vertical="bottom" textRotation="0" wrapText="0" indent="1" justifyLastLine="0" shrinkToFit="0" readingOrder="0"/>
    </dxf>
    <dxf>
      <font>
        <b/>
        <i val="0"/>
        <strike val="0"/>
        <outline/>
        <shadow/>
        <u val="none"/>
        <vertAlign val="baseline"/>
        <sz val="8"/>
        <color theme="1"/>
        <name val="Century Gothic"/>
        <scheme val="major"/>
      </font>
    </dxf>
    <dxf>
      <font>
        <strike/>
        <outline/>
        <shadow/>
        <u val="none"/>
        <vertAlign val="baseline"/>
        <sz val="8"/>
        <color theme="1"/>
        <name val="Century Gothic"/>
        <scheme val="major"/>
      </font>
    </dxf>
    <dxf>
      <font>
        <strike/>
        <outline/>
        <shadow/>
        <u val="none"/>
        <vertAlign val="baseline"/>
        <sz val="9"/>
        <color theme="1"/>
        <name val="Century Gothic"/>
        <scheme val="major"/>
      </font>
    </dxf>
    <dxf>
      <font>
        <b/>
        <i val="0"/>
        <strike val="0"/>
        <condense/>
        <extend/>
        <outline/>
        <shadow/>
        <u val="none"/>
        <vertAlign val="baseline"/>
        <sz val="8"/>
        <color theme="1"/>
        <name val="Century Gothic"/>
        <family val="2"/>
        <scheme val="major"/>
      </font>
      <numFmt numFmtId="3" formatCode="#,##0"/>
      <alignment horizontal="center" vertical="bottom" textRotation="0" wrapText="0" indent="0" justifyLastLine="0" shrinkToFit="0" readingOrder="0"/>
    </dxf>
    <dxf>
      <font>
        <b val="0"/>
        <i val="0"/>
        <strike val="0"/>
        <outline/>
        <shadow/>
        <u val="none"/>
        <vertAlign val="baseline"/>
        <sz val="8"/>
        <color theme="1"/>
      </font>
      <numFmt numFmtId="1" formatCode="0"/>
      <alignment horizontal="right" vertical="bottom" textRotation="0" wrapText="0" indent="1" justifyLastLine="0" shrinkToFit="0" readingOrder="0"/>
      <protection locked="0" hidden="0"/>
    </dxf>
    <dxf>
      <font>
        <b/>
        <i val="0"/>
        <strike val="0"/>
        <condense/>
        <extend/>
        <outline/>
        <shadow/>
        <u val="none"/>
        <vertAlign val="baseline"/>
        <sz val="8"/>
        <color theme="1"/>
        <name val="Century Gothic"/>
        <family val="2"/>
        <scheme val="major"/>
      </font>
      <numFmt numFmtId="3" formatCode="#,##0"/>
      <alignment horizontal="center" vertical="bottom" textRotation="0" wrapText="0" indent="0" justifyLastLine="0" shrinkToFit="0" readingOrder="0"/>
    </dxf>
    <dxf>
      <font>
        <b val="0"/>
        <i val="0"/>
        <strike val="0"/>
        <outline/>
        <shadow/>
        <u val="none"/>
        <vertAlign val="baseline"/>
        <sz val="8"/>
        <color theme="1"/>
      </font>
      <numFmt numFmtId="1" formatCode="0"/>
      <alignment horizontal="center" vertical="bottom" textRotation="0" wrapText="0" indent="0" justifyLastLine="0" shrinkToFit="0"/>
      <protection locked="0" hidden="0"/>
    </dxf>
    <dxf>
      <font>
        <b/>
        <i val="0"/>
        <strike val="0"/>
        <condense/>
        <extend/>
        <outline/>
        <shadow/>
        <u val="none"/>
        <vertAlign val="baseline"/>
        <sz val="8"/>
        <color theme="1"/>
        <name val="Century Gothic"/>
        <family val="2"/>
        <scheme val="major"/>
      </font>
      <numFmt numFmtId="3" formatCode="#,##0"/>
      <alignment horizontal="center" vertical="bottom" textRotation="0" wrapText="0" indent="0" justifyLastLine="0" shrinkToFit="0" readingOrder="0"/>
    </dxf>
    <dxf>
      <font>
        <b val="0"/>
        <i val="0"/>
        <strike val="0"/>
        <outline/>
        <shadow/>
        <u val="none"/>
        <vertAlign val="baseline"/>
        <sz val="8"/>
        <color theme="1"/>
      </font>
      <numFmt numFmtId="1" formatCode="0"/>
      <alignment horizontal="right" vertical="bottom" textRotation="0" wrapText="0" indent="1" justifyLastLine="0" shrinkToFit="0" readingOrder="0"/>
      <protection locked="0" hidden="0"/>
    </dxf>
    <dxf>
      <font>
        <b/>
        <i val="0"/>
        <strike val="0"/>
        <condense/>
        <extend/>
        <outline/>
        <shadow/>
        <u val="none"/>
        <vertAlign val="baseline"/>
        <sz val="8"/>
        <color theme="1"/>
        <name val="Century Gothic"/>
        <family val="2"/>
        <scheme val="major"/>
      </font>
      <numFmt numFmtId="3" formatCode="#,##0"/>
      <alignment horizontal="center" vertical="bottom" textRotation="0" wrapText="0" indent="0" justifyLastLine="0" shrinkToFit="0" readingOrder="0"/>
    </dxf>
    <dxf>
      <font>
        <b val="0"/>
        <i val="0"/>
        <strike val="0"/>
        <outline/>
        <shadow/>
        <u val="none"/>
        <vertAlign val="baseline"/>
        <sz val="8"/>
        <color theme="1"/>
      </font>
      <numFmt numFmtId="1" formatCode="0"/>
      <alignment horizontal="right" vertical="bottom" textRotation="0" wrapText="0" indent="1" justifyLastLine="0" shrinkToFit="0" readingOrder="0"/>
      <protection locked="0" hidden="0"/>
    </dxf>
    <dxf>
      <font>
        <b/>
        <i val="0"/>
        <strike val="0"/>
        <condense/>
        <extend/>
        <outline/>
        <shadow/>
        <u val="none"/>
        <vertAlign val="baseline"/>
        <sz val="8"/>
        <color theme="1"/>
        <name val="Century Gothic"/>
        <family val="2"/>
        <scheme val="major"/>
      </font>
      <numFmt numFmtId="3" formatCode="#,##0"/>
      <alignment horizontal="center" vertical="bottom" textRotation="0" wrapText="0" indent="0" justifyLastLine="0" shrinkToFit="0" readingOrder="0"/>
    </dxf>
    <dxf>
      <font>
        <b val="0"/>
        <i val="0"/>
        <strike val="0"/>
        <outline/>
        <shadow/>
        <u val="none"/>
        <vertAlign val="baseline"/>
        <sz val="8"/>
        <color theme="1"/>
      </font>
      <numFmt numFmtId="1" formatCode="0"/>
      <alignment horizontal="right" vertical="bottom" textRotation="0" wrapText="0" indent="1" justifyLastLine="0" shrinkToFit="0" readingOrder="0"/>
      <protection locked="0" hidden="0"/>
    </dxf>
    <dxf>
      <font>
        <b/>
        <i val="0"/>
        <strike val="0"/>
        <condense/>
        <extend/>
        <outline/>
        <shadow/>
        <u val="none"/>
        <vertAlign val="baseline"/>
        <sz val="8"/>
        <color theme="1"/>
        <name val="Century Gothic"/>
        <family val="2"/>
        <scheme val="major"/>
      </font>
      <numFmt numFmtId="3" formatCode="#,##0"/>
      <alignment horizontal="center" vertical="bottom" textRotation="0" wrapText="0" indent="0" justifyLastLine="0" shrinkToFit="0" readingOrder="0"/>
    </dxf>
    <dxf>
      <font>
        <b val="0"/>
        <i val="0"/>
        <strike val="0"/>
        <outline/>
        <shadow/>
        <u val="none"/>
        <vertAlign val="baseline"/>
        <sz val="8"/>
        <color theme="1"/>
      </font>
      <numFmt numFmtId="1" formatCode="0"/>
      <alignment horizontal="right" vertical="bottom" textRotation="0" wrapText="0" indent="1" justifyLastLine="0" shrinkToFit="0" readingOrder="0"/>
      <protection locked="0" hidden="0"/>
    </dxf>
    <dxf>
      <font>
        <b/>
        <i val="0"/>
        <strike val="0"/>
        <condense/>
        <extend/>
        <outline/>
        <shadow/>
        <u val="none"/>
        <vertAlign val="baseline"/>
        <sz val="8"/>
        <color theme="1"/>
        <name val="Century Gothic"/>
        <family val="2"/>
        <scheme val="major"/>
      </font>
      <numFmt numFmtId="3" formatCode="#,##0"/>
      <alignment horizontal="center" vertical="bottom" textRotation="0" wrapText="0" indent="0" justifyLastLine="0" shrinkToFit="0" readingOrder="0"/>
    </dxf>
    <dxf>
      <font>
        <b val="0"/>
        <i val="0"/>
        <strike val="0"/>
        <outline/>
        <shadow/>
        <u val="none"/>
        <vertAlign val="baseline"/>
        <sz val="8"/>
        <color theme="1"/>
      </font>
      <numFmt numFmtId="1" formatCode="0"/>
      <alignment horizontal="right" vertical="bottom" textRotation="0" wrapText="0" indent="1" justifyLastLine="0" shrinkToFit="0" readingOrder="0"/>
      <protection locked="0" hidden="0"/>
    </dxf>
    <dxf>
      <font>
        <b/>
        <i val="0"/>
        <strike val="0"/>
        <condense/>
        <extend/>
        <outline/>
        <shadow/>
        <u val="none"/>
        <vertAlign val="baseline"/>
        <sz val="8"/>
        <color theme="1"/>
        <name val="Century Gothic"/>
        <family val="2"/>
        <scheme val="major"/>
      </font>
      <numFmt numFmtId="3" formatCode="#,##0"/>
      <alignment horizontal="center" vertical="bottom" textRotation="0" wrapText="0" indent="0" justifyLastLine="0" shrinkToFit="0" readingOrder="0"/>
    </dxf>
    <dxf>
      <font>
        <b val="0"/>
        <i val="0"/>
        <strike val="0"/>
        <condense val="0"/>
        <extend val="0"/>
        <outline/>
        <shadow/>
        <u val="none"/>
        <vertAlign val="baseline"/>
        <sz val="8"/>
        <color theme="1"/>
        <name val="Calibri"/>
        <scheme val="minor"/>
      </font>
      <numFmt numFmtId="1" formatCode="0"/>
      <alignment horizontal="right" vertical="bottom" textRotation="0" wrapText="0" indent="1" justifyLastLine="0" shrinkToFit="0" readingOrder="0"/>
      <protection locked="0" hidden="0"/>
    </dxf>
    <dxf>
      <font>
        <b/>
        <i val="0"/>
        <strike val="0"/>
        <condense/>
        <extend/>
        <outline/>
        <shadow/>
        <u val="none"/>
        <vertAlign val="baseline"/>
        <sz val="8"/>
        <color theme="1"/>
        <name val="Century Gothic"/>
        <family val="2"/>
        <scheme val="major"/>
      </font>
      <numFmt numFmtId="3" formatCode="#,##0"/>
      <alignment horizontal="center" vertical="bottom" textRotation="0" wrapText="0" indent="0" justifyLastLine="0" shrinkToFit="0" readingOrder="0"/>
    </dxf>
    <dxf>
      <font>
        <b val="0"/>
        <i val="0"/>
        <strike val="0"/>
        <condense val="0"/>
        <extend val="0"/>
        <outline/>
        <shadow/>
        <u val="none"/>
        <vertAlign val="baseline"/>
        <sz val="8"/>
        <color theme="1"/>
        <name val="Calibri"/>
        <scheme val="minor"/>
      </font>
      <numFmt numFmtId="1" formatCode="0"/>
      <alignment horizontal="right" vertical="bottom" textRotation="0" wrapText="0" indent="1" justifyLastLine="0" shrinkToFit="0" readingOrder="0"/>
      <protection locked="0" hidden="0"/>
    </dxf>
    <dxf>
      <font>
        <b/>
        <i val="0"/>
        <strike val="0"/>
        <condense/>
        <extend/>
        <outline/>
        <shadow/>
        <u val="none"/>
        <vertAlign val="baseline"/>
        <sz val="8"/>
        <color theme="1"/>
        <name val="Century Gothic"/>
        <family val="2"/>
        <scheme val="major"/>
      </font>
      <numFmt numFmtId="3" formatCode="#,##0"/>
      <alignment horizontal="center" vertical="bottom" textRotation="0" wrapText="0" indent="0" justifyLastLine="0" shrinkToFit="0" readingOrder="0"/>
    </dxf>
    <dxf>
      <font>
        <b val="0"/>
        <i val="0"/>
        <strike val="0"/>
        <condense val="0"/>
        <extend val="0"/>
        <outline/>
        <shadow/>
        <u val="none"/>
        <vertAlign val="baseline"/>
        <sz val="8"/>
        <color theme="1"/>
        <name val="Calibri"/>
        <scheme val="minor"/>
      </font>
      <numFmt numFmtId="1" formatCode="0"/>
      <alignment horizontal="right" vertical="bottom" textRotation="0" wrapText="0" indent="1" justifyLastLine="0" shrinkToFit="0" readingOrder="0"/>
      <protection locked="0" hidden="0"/>
    </dxf>
    <dxf>
      <font>
        <b/>
        <i val="0"/>
        <strike val="0"/>
        <condense/>
        <extend/>
        <outline/>
        <shadow/>
        <u val="none"/>
        <vertAlign val="baseline"/>
        <sz val="8"/>
        <color theme="1"/>
        <name val="Century Gothic"/>
        <family val="2"/>
        <scheme val="major"/>
      </font>
      <numFmt numFmtId="3" formatCode="#,##0"/>
      <alignment horizontal="center" vertical="bottom" textRotation="0" wrapText="0" indent="0" justifyLastLine="0" shrinkToFit="0" readingOrder="0"/>
    </dxf>
    <dxf>
      <font>
        <b val="0"/>
        <i val="0"/>
        <strike val="0"/>
        <condense val="0"/>
        <extend val="0"/>
        <outline/>
        <shadow/>
        <u val="none"/>
        <vertAlign val="baseline"/>
        <sz val="8"/>
        <color theme="1"/>
        <name val="Calibri"/>
        <scheme val="minor"/>
      </font>
      <numFmt numFmtId="1" formatCode="0"/>
      <alignment horizontal="right" vertical="bottom" textRotation="0" wrapText="0" indent="1" justifyLastLine="0" shrinkToFit="0" readingOrder="0"/>
      <protection locked="0" hidden="0"/>
    </dxf>
    <dxf>
      <font>
        <b/>
        <i val="0"/>
        <strike val="0"/>
        <condense/>
        <extend/>
        <outline/>
        <shadow/>
        <u val="none"/>
        <vertAlign val="baseline"/>
        <sz val="8"/>
        <color theme="1"/>
        <name val="Century Gothic"/>
        <family val="2"/>
        <scheme val="major"/>
      </font>
      <numFmt numFmtId="3" formatCode="#,##0"/>
      <alignment horizontal="center" vertical="bottom" textRotation="0" wrapText="0" indent="0" justifyLastLine="0" shrinkToFit="0" readingOrder="0"/>
    </dxf>
    <dxf>
      <font>
        <b val="0"/>
        <i val="0"/>
        <strike val="0"/>
        <condense val="0"/>
        <extend val="0"/>
        <outline/>
        <shadow/>
        <u val="none"/>
        <vertAlign val="baseline"/>
        <sz val="8"/>
        <color theme="1"/>
        <name val="Calibri"/>
        <scheme val="minor"/>
      </font>
      <numFmt numFmtId="1" formatCode="0"/>
      <alignment horizontal="right" vertical="bottom" textRotation="0" wrapText="0" indent="1" justifyLastLine="0" shrinkToFit="0" readingOrder="0"/>
      <protection locked="0" hidden="0"/>
    </dxf>
    <dxf>
      <font>
        <b/>
        <i val="0"/>
        <strike val="0"/>
        <condense/>
        <extend/>
        <outline/>
        <shadow/>
        <u val="none"/>
        <vertAlign val="baseline"/>
        <sz val="8"/>
        <color theme="1"/>
        <name val="Century Gothic"/>
        <family val="2"/>
        <scheme val="major"/>
      </font>
      <numFmt numFmtId="3" formatCode="#,##0"/>
      <alignment horizontal="center" vertical="bottom" textRotation="0" wrapText="0" indent="0" justifyLastLine="0" shrinkToFit="0" readingOrder="0"/>
    </dxf>
    <dxf>
      <font>
        <b val="0"/>
        <i val="0"/>
        <strike val="0"/>
        <condense val="0"/>
        <extend val="0"/>
        <outline/>
        <shadow/>
        <u val="none"/>
        <vertAlign val="baseline"/>
        <sz val="8"/>
        <color theme="1"/>
        <name val="Calibri"/>
        <scheme val="minor"/>
      </font>
      <numFmt numFmtId="1" formatCode="0"/>
      <alignment horizontal="right" vertical="bottom" textRotation="0" wrapText="0" indent="1" justifyLastLine="0" shrinkToFit="0" readingOrder="0"/>
      <protection locked="0" hidden="0"/>
    </dxf>
    <dxf>
      <font>
        <b/>
        <i val="0"/>
        <strike val="0"/>
        <condense/>
        <extend/>
        <outline/>
        <shadow/>
        <u val="none"/>
        <vertAlign val="baseline"/>
        <sz val="8"/>
        <color theme="1"/>
        <name val="Century Gothic"/>
        <family val="2"/>
        <scheme val="major"/>
      </font>
      <numFmt numFmtId="3" formatCode="#,##0"/>
      <alignment horizontal="center" vertical="bottom" textRotation="0" wrapText="0" indent="0" justifyLastLine="0" shrinkToFit="0" readingOrder="0"/>
    </dxf>
    <dxf>
      <font>
        <b val="0"/>
        <i val="0"/>
        <strike val="0"/>
        <condense val="0"/>
        <extend val="0"/>
        <outline/>
        <shadow/>
        <u val="none"/>
        <vertAlign val="baseline"/>
        <sz val="8"/>
        <color theme="1"/>
        <name val="Calibri"/>
        <scheme val="minor"/>
      </font>
      <numFmt numFmtId="1" formatCode="0"/>
      <alignment horizontal="right" vertical="bottom" textRotation="0" wrapText="0" indent="1" justifyLastLine="0" shrinkToFit="0" readingOrder="0"/>
      <protection locked="0" hidden="0"/>
    </dxf>
    <dxf>
      <font>
        <b/>
        <i val="0"/>
        <strike val="0"/>
        <condense/>
        <extend/>
        <outline/>
        <shadow/>
        <u val="none"/>
        <vertAlign val="baseline"/>
        <sz val="8"/>
        <color theme="1"/>
        <name val="Century Gothic"/>
        <family val="2"/>
        <scheme val="major"/>
      </font>
      <numFmt numFmtId="3" formatCode="#,##0"/>
      <alignment horizontal="center" vertical="bottom" textRotation="0" wrapText="0" indent="0" justifyLastLine="0" shrinkToFit="0" readingOrder="0"/>
    </dxf>
    <dxf>
      <font>
        <b val="0"/>
        <i val="0"/>
        <strike val="0"/>
        <outline/>
        <shadow/>
        <u val="none"/>
        <vertAlign val="baseline"/>
        <sz val="8"/>
        <color theme="1"/>
      </font>
      <numFmt numFmtId="1" formatCode="0"/>
      <alignment horizontal="right" vertical="bottom" textRotation="0" wrapText="0" indent="1" justifyLastLine="0" shrinkToFit="0" readingOrder="0"/>
      <protection locked="0" hidden="0"/>
    </dxf>
    <dxf>
      <font>
        <b/>
        <i val="0"/>
        <strike val="0"/>
        <condense/>
        <extend/>
        <outline/>
        <shadow/>
        <u val="none"/>
        <vertAlign val="baseline"/>
        <sz val="8"/>
        <color theme="1"/>
        <name val="Century Gothic"/>
        <family val="2"/>
        <scheme val="major"/>
      </font>
      <numFmt numFmtId="3" formatCode="#,##0"/>
      <alignment horizontal="center" vertical="bottom" textRotation="0" wrapText="0" indent="0" justifyLastLine="0" shrinkToFit="0" readingOrder="0"/>
    </dxf>
    <dxf>
      <font>
        <b val="0"/>
        <i val="0"/>
        <strike val="0"/>
        <outline/>
        <shadow/>
        <u val="none"/>
        <vertAlign val="baseline"/>
        <sz val="8"/>
        <color theme="1"/>
      </font>
      <numFmt numFmtId="1" formatCode="0"/>
      <alignment horizontal="right" vertical="bottom" textRotation="0" wrapText="0" indent="1" justifyLastLine="0" shrinkToFit="0" readingOrder="0"/>
      <protection locked="0" hidden="0"/>
    </dxf>
    <dxf>
      <font>
        <b/>
        <i val="0"/>
        <strike val="0"/>
        <condense/>
        <extend/>
        <outline/>
        <shadow/>
        <u val="none"/>
        <vertAlign val="baseline"/>
        <sz val="8"/>
        <color theme="1"/>
        <name val="Century Gothic"/>
        <family val="2"/>
        <scheme val="major"/>
      </font>
      <numFmt numFmtId="3" formatCode="#,##0"/>
      <alignment horizontal="center" vertical="bottom" textRotation="0" wrapText="0" indent="0" justifyLastLine="0" shrinkToFit="0" readingOrder="0"/>
    </dxf>
    <dxf>
      <font>
        <b val="0"/>
        <i val="0"/>
        <strike val="0"/>
        <outline/>
        <shadow/>
        <u val="none"/>
        <vertAlign val="baseline"/>
        <sz val="8"/>
        <color theme="1"/>
      </font>
      <numFmt numFmtId="1" formatCode="0"/>
      <alignment horizontal="right" vertical="bottom" textRotation="0" wrapText="0" indent="1" justifyLastLine="0" shrinkToFit="0" readingOrder="0"/>
      <protection locked="0" hidden="0"/>
    </dxf>
    <dxf>
      <font>
        <b/>
        <i val="0"/>
        <strike val="0"/>
        <condense/>
        <extend/>
        <outline/>
        <shadow/>
        <u val="none"/>
        <vertAlign val="baseline"/>
        <sz val="8"/>
        <color theme="1"/>
        <name val="Century Gothic"/>
        <family val="2"/>
        <scheme val="major"/>
      </font>
      <numFmt numFmtId="3" formatCode="#,##0"/>
      <alignment horizontal="center" vertical="bottom" textRotation="0" wrapText="0" indent="0" justifyLastLine="0" shrinkToFit="0" readingOrder="0"/>
    </dxf>
    <dxf>
      <font>
        <b val="0"/>
        <i val="0"/>
        <strike val="0"/>
        <outline/>
        <shadow/>
        <u val="none"/>
        <vertAlign val="baseline"/>
        <sz val="8"/>
        <color theme="1"/>
      </font>
      <numFmt numFmtId="1" formatCode="0"/>
      <alignment horizontal="right" vertical="bottom" textRotation="0" wrapText="0" indent="1" justifyLastLine="0" shrinkToFit="0" readingOrder="0"/>
      <protection locked="0" hidden="0"/>
    </dxf>
    <dxf>
      <font>
        <b/>
        <i val="0"/>
        <strike val="0"/>
        <condense/>
        <extend/>
        <outline/>
        <shadow/>
        <u val="none"/>
        <vertAlign val="baseline"/>
        <sz val="8"/>
        <color theme="1"/>
        <name val="Century Gothic"/>
        <family val="2"/>
        <scheme val="major"/>
      </font>
      <numFmt numFmtId="3" formatCode="#,##0"/>
      <alignment horizontal="center" vertical="bottom" textRotation="0" wrapText="0" indent="0" justifyLastLine="0" shrinkToFit="0" readingOrder="0"/>
    </dxf>
    <dxf>
      <font>
        <b val="0"/>
        <i val="0"/>
        <strike val="0"/>
        <condense val="0"/>
        <extend val="0"/>
        <outline/>
        <shadow/>
        <u val="none"/>
        <vertAlign val="baseline"/>
        <sz val="8"/>
        <color theme="1"/>
        <name val="Century Gothic"/>
        <scheme val="major"/>
      </font>
      <numFmt numFmtId="1" formatCode="0"/>
      <alignment horizontal="center" vertical="bottom" textRotation="0" wrapText="0" indent="0" justifyLastLine="0" shrinkToFit="0" readingOrder="0"/>
      <protection locked="0" hidden="0"/>
    </dxf>
    <dxf>
      <font>
        <b/>
        <i val="0"/>
        <strike val="0"/>
        <condense/>
        <extend/>
        <outline/>
        <shadow/>
        <u val="none"/>
        <vertAlign val="baseline"/>
        <sz val="8"/>
        <color theme="1"/>
        <name val="Century Gothic"/>
        <family val="2"/>
        <scheme val="major"/>
      </font>
      <numFmt numFmtId="3" formatCode="#,##0"/>
      <alignment horizontal="center" vertical="bottom" textRotation="0" wrapText="0" indent="0" justifyLastLine="0" shrinkToFit="0" readingOrder="0"/>
    </dxf>
    <dxf>
      <font>
        <b val="0"/>
        <i val="0"/>
        <strike val="0"/>
        <condense val="0"/>
        <extend val="0"/>
        <outline/>
        <shadow/>
        <u val="none"/>
        <vertAlign val="baseline"/>
        <sz val="8"/>
        <color theme="1"/>
        <name val="Century Gothic"/>
        <scheme val="major"/>
      </font>
      <numFmt numFmtId="1" formatCode="0"/>
      <alignment horizontal="center" vertical="bottom" textRotation="0" wrapText="0" indent="0" justifyLastLine="0" shrinkToFit="0" readingOrder="0"/>
      <protection locked="0" hidden="0"/>
    </dxf>
    <dxf>
      <font>
        <b/>
        <i val="0"/>
        <strike val="0"/>
        <condense/>
        <extend/>
        <outline/>
        <shadow/>
        <u val="none"/>
        <vertAlign val="baseline"/>
        <sz val="8"/>
        <color theme="1"/>
        <name val="Century Gothic"/>
        <family val="2"/>
        <scheme val="major"/>
      </font>
      <numFmt numFmtId="3" formatCode="#,##0"/>
      <alignment horizontal="center" vertical="bottom" textRotation="0" wrapText="0" indent="0" justifyLastLine="0" shrinkToFit="0" readingOrder="0"/>
    </dxf>
    <dxf>
      <font>
        <b val="0"/>
        <i val="0"/>
        <strike val="0"/>
        <condense val="0"/>
        <extend val="0"/>
        <outline/>
        <shadow/>
        <u val="none"/>
        <vertAlign val="baseline"/>
        <sz val="8"/>
        <color theme="1"/>
        <name val="Century Gothic"/>
        <scheme val="major"/>
      </font>
      <numFmt numFmtId="1" formatCode="0"/>
      <alignment horizontal="center" vertical="bottom" textRotation="0" wrapText="0" indent="0" justifyLastLine="0" shrinkToFit="0" readingOrder="0"/>
      <protection locked="0" hidden="0"/>
    </dxf>
    <dxf>
      <font>
        <b/>
        <i val="0"/>
        <strike val="0"/>
        <condense/>
        <extend/>
        <outline/>
        <shadow/>
        <u val="none"/>
        <vertAlign val="baseline"/>
        <sz val="8"/>
        <color theme="1"/>
        <name val="Century Gothic"/>
        <family val="2"/>
        <scheme val="major"/>
      </font>
      <numFmt numFmtId="3" formatCode="#,##0"/>
      <alignment horizontal="center" vertical="bottom" textRotation="0" wrapText="0" indent="0" justifyLastLine="0" shrinkToFit="0" readingOrder="0"/>
    </dxf>
    <dxf>
      <font>
        <b val="0"/>
        <i val="0"/>
        <strike val="0"/>
        <condense val="0"/>
        <extend val="0"/>
        <outline/>
        <shadow/>
        <u val="none"/>
        <vertAlign val="baseline"/>
        <sz val="8"/>
        <color theme="1"/>
        <name val="Century Gothic"/>
        <scheme val="major"/>
      </font>
      <numFmt numFmtId="1" formatCode="0"/>
      <alignment horizontal="center" vertical="bottom" textRotation="0" wrapText="0" indent="0" justifyLastLine="0" shrinkToFit="0" readingOrder="0"/>
      <protection locked="0" hidden="0"/>
    </dxf>
    <dxf>
      <font>
        <b/>
        <i val="0"/>
        <strike val="0"/>
        <condense/>
        <extend/>
        <outline/>
        <shadow/>
        <u val="none"/>
        <vertAlign val="baseline"/>
        <sz val="8"/>
        <color theme="1"/>
        <name val="Century Gothic"/>
        <family val="2"/>
        <scheme val="major"/>
      </font>
      <numFmt numFmtId="3" formatCode="#,##0"/>
      <alignment horizontal="center" vertical="bottom" textRotation="0" wrapText="0" indent="0" justifyLastLine="0" shrinkToFit="0" readingOrder="0"/>
    </dxf>
    <dxf>
      <font>
        <b val="0"/>
        <i val="0"/>
        <strike val="0"/>
        <condense val="0"/>
        <extend val="0"/>
        <outline/>
        <shadow/>
        <u val="none"/>
        <vertAlign val="baseline"/>
        <sz val="8"/>
        <color theme="1"/>
        <name val="Century Gothic"/>
        <scheme val="major"/>
      </font>
      <numFmt numFmtId="1" formatCode="0"/>
      <alignment horizontal="center" vertical="bottom" textRotation="0" wrapText="0" indent="0" justifyLastLine="0" shrinkToFit="0" readingOrder="0"/>
      <protection locked="0" hidden="0"/>
    </dxf>
    <dxf>
      <font>
        <b/>
        <i val="0"/>
        <strike val="0"/>
        <condense/>
        <extend/>
        <outline/>
        <shadow/>
        <u val="none"/>
        <vertAlign val="baseline"/>
        <sz val="8"/>
        <color theme="1"/>
        <name val="Century Gothic"/>
        <family val="2"/>
        <scheme val="major"/>
      </font>
      <numFmt numFmtId="3" formatCode="#,##0"/>
      <alignment horizontal="center" vertical="bottom" textRotation="0" wrapText="0" indent="0" justifyLastLine="0" shrinkToFit="0" readingOrder="0"/>
    </dxf>
    <dxf>
      <font>
        <b val="0"/>
        <i val="0"/>
        <strike val="0"/>
        <condense val="0"/>
        <extend val="0"/>
        <outline/>
        <shadow/>
        <u val="none"/>
        <vertAlign val="baseline"/>
        <sz val="8"/>
        <color theme="1"/>
        <name val="Century Gothic"/>
        <scheme val="major"/>
      </font>
      <numFmt numFmtId="1" formatCode="0"/>
      <alignment horizontal="center" vertical="bottom" textRotation="0" wrapText="0" indent="0" justifyLastLine="0" shrinkToFit="0" readingOrder="0"/>
      <protection locked="0" hidden="0"/>
    </dxf>
    <dxf>
      <font>
        <b/>
        <i val="0"/>
        <strike val="0"/>
        <condense/>
        <extend/>
        <outline/>
        <shadow/>
        <u val="none"/>
        <vertAlign val="baseline"/>
        <sz val="8"/>
        <color theme="1"/>
        <name val="Century Gothic"/>
        <family val="2"/>
        <scheme val="major"/>
      </font>
      <numFmt numFmtId="3" formatCode="#,##0"/>
      <alignment horizontal="center" vertical="bottom" textRotation="0" wrapText="0" indent="0" justifyLastLine="0" shrinkToFit="0" readingOrder="0"/>
    </dxf>
    <dxf>
      <font>
        <b val="0"/>
        <i val="0"/>
        <strike val="0"/>
        <condense val="0"/>
        <extend val="0"/>
        <outline/>
        <shadow/>
        <u val="none"/>
        <vertAlign val="baseline"/>
        <sz val="8"/>
        <color theme="1"/>
        <name val="Century Gothic"/>
        <scheme val="major"/>
      </font>
      <numFmt numFmtId="1" formatCode="0"/>
      <alignment horizontal="center" vertical="bottom" textRotation="0" wrapText="0" indent="0" justifyLastLine="0" shrinkToFit="0" readingOrder="0"/>
      <protection locked="0" hidden="0"/>
    </dxf>
    <dxf>
      <font>
        <b/>
        <i val="0"/>
        <strike val="0"/>
        <condense/>
        <extend/>
        <outline/>
        <shadow/>
        <u val="none"/>
        <vertAlign val="baseline"/>
        <sz val="8"/>
        <color theme="1"/>
        <name val="Century Gothic"/>
        <family val="2"/>
        <scheme val="major"/>
      </font>
      <numFmt numFmtId="3" formatCode="#,##0"/>
      <alignment horizontal="center" vertical="bottom" textRotation="0" wrapText="0" indent="0" justifyLastLine="0" shrinkToFit="0" readingOrder="0"/>
    </dxf>
    <dxf>
      <font>
        <b val="0"/>
        <i val="0"/>
        <strike val="0"/>
        <condense val="0"/>
        <extend val="0"/>
        <outline/>
        <shadow/>
        <u val="none"/>
        <vertAlign val="baseline"/>
        <sz val="8"/>
        <color theme="1"/>
        <name val="Century Gothic"/>
        <scheme val="major"/>
      </font>
      <numFmt numFmtId="1" formatCode="0"/>
      <alignment horizontal="center" vertical="bottom" textRotation="0" wrapText="0" indent="0" justifyLastLine="0" shrinkToFit="0" readingOrder="0"/>
      <protection locked="0" hidden="0"/>
    </dxf>
    <dxf>
      <font>
        <b/>
        <i val="0"/>
        <strike val="0"/>
        <condense/>
        <extend/>
        <outline/>
        <shadow/>
        <u val="none"/>
        <vertAlign val="baseline"/>
        <sz val="8"/>
        <color theme="1"/>
        <name val="Century Gothic"/>
        <family val="2"/>
        <scheme val="major"/>
      </font>
      <numFmt numFmtId="3" formatCode="#,##0"/>
      <alignment horizontal="center" vertical="bottom" textRotation="0" wrapText="0" indent="0" justifyLastLine="0" shrinkToFit="0" readingOrder="0"/>
    </dxf>
    <dxf>
      <font>
        <b val="0"/>
        <i val="0"/>
        <strike val="0"/>
        <condense val="0"/>
        <extend val="0"/>
        <outline/>
        <shadow/>
        <u val="none"/>
        <vertAlign val="baseline"/>
        <sz val="8"/>
        <color theme="1"/>
        <name val="Century Gothic"/>
        <scheme val="major"/>
      </font>
      <numFmt numFmtId="1" formatCode="0"/>
      <alignment horizontal="center" vertical="bottom" textRotation="0" wrapText="0" indent="0" justifyLastLine="0" shrinkToFit="0" readingOrder="0"/>
      <protection locked="0" hidden="0"/>
    </dxf>
    <dxf>
      <font>
        <b/>
        <i val="0"/>
        <strike val="0"/>
        <condense/>
        <extend/>
        <outline/>
        <shadow/>
        <u val="none"/>
        <vertAlign val="baseline"/>
        <sz val="8"/>
        <color theme="1"/>
        <name val="Century Gothic"/>
        <family val="2"/>
        <scheme val="major"/>
      </font>
      <numFmt numFmtId="3" formatCode="#,##0"/>
      <alignment horizontal="center" vertical="bottom" textRotation="0" wrapText="0" indent="0" justifyLastLine="0" shrinkToFit="0" readingOrder="0"/>
    </dxf>
    <dxf>
      <font>
        <b val="0"/>
        <i val="0"/>
        <strike val="0"/>
        <condense val="0"/>
        <extend val="0"/>
        <outline/>
        <shadow/>
        <u val="none"/>
        <vertAlign val="baseline"/>
        <sz val="8"/>
        <color theme="1"/>
        <name val="Century Gothic"/>
        <scheme val="major"/>
      </font>
      <numFmt numFmtId="1" formatCode="0"/>
      <alignment horizontal="center" vertical="bottom" textRotation="0" wrapText="0" indent="0" justifyLastLine="0" shrinkToFit="0" readingOrder="0"/>
      <protection locked="0" hidden="0"/>
    </dxf>
    <dxf>
      <font>
        <b/>
        <i val="0"/>
        <strike val="0"/>
        <condense/>
        <extend/>
        <outline/>
        <shadow/>
        <u val="none"/>
        <vertAlign val="baseline"/>
        <sz val="8"/>
        <color theme="1"/>
        <name val="Century Gothic"/>
        <family val="2"/>
        <scheme val="major"/>
      </font>
      <numFmt numFmtId="3" formatCode="#,##0"/>
      <alignment horizontal="center" vertical="bottom" textRotation="0" wrapText="0" indent="0" justifyLastLine="0" shrinkToFit="0" readingOrder="0"/>
    </dxf>
    <dxf>
      <font>
        <b val="0"/>
        <i val="0"/>
        <strike val="0"/>
        <condense val="0"/>
        <extend val="0"/>
        <outline/>
        <shadow/>
        <u val="none"/>
        <vertAlign val="baseline"/>
        <sz val="8"/>
        <color theme="1"/>
        <name val="Century Gothic"/>
        <scheme val="major"/>
      </font>
      <numFmt numFmtId="1" formatCode="0"/>
      <alignment horizontal="center" vertical="bottom" textRotation="0" wrapText="0" indent="0" justifyLastLine="0" shrinkToFit="0" readingOrder="0"/>
      <protection locked="0" hidden="0"/>
    </dxf>
    <dxf>
      <font>
        <b/>
        <i val="0"/>
        <strike val="0"/>
        <condense/>
        <extend/>
        <outline/>
        <shadow/>
        <u val="none"/>
        <vertAlign val="baseline"/>
        <sz val="8"/>
        <color theme="1"/>
        <name val="Century Gothic"/>
        <family val="2"/>
        <scheme val="major"/>
      </font>
      <numFmt numFmtId="3" formatCode="#,##0"/>
      <alignment horizontal="center" vertical="bottom" textRotation="0" wrapText="0" indent="0" justifyLastLine="0" shrinkToFit="0" readingOrder="0"/>
    </dxf>
    <dxf>
      <font>
        <b val="0"/>
        <i val="0"/>
        <strike val="0"/>
        <outline/>
        <shadow/>
        <u val="none"/>
        <vertAlign val="baseline"/>
        <sz val="8"/>
        <color theme="1"/>
        <name val="Century Gothic"/>
        <scheme val="major"/>
      </font>
      <numFmt numFmtId="1" formatCode="0"/>
      <alignment horizontal="center" vertical="bottom" textRotation="0" wrapText="0" indent="0" justifyLastLine="0" shrinkToFit="0" readingOrder="0"/>
      <protection locked="0" hidden="0"/>
    </dxf>
    <dxf>
      <font>
        <b/>
        <i val="0"/>
        <strike val="0"/>
        <condense/>
        <extend/>
        <outline/>
        <shadow/>
        <u val="none"/>
        <vertAlign val="baseline"/>
        <sz val="8"/>
        <color theme="1"/>
        <name val="Century Gothic"/>
        <family val="2"/>
        <scheme val="major"/>
      </font>
      <fill>
        <patternFill patternType="solid">
          <fgColor indexed="64"/>
          <bgColor theme="0" tint="-4.9989318521683403E-2"/>
        </patternFill>
      </fill>
      <alignment horizontal="left" vertical="bottom" textRotation="0" wrapText="0" indent="1" justifyLastLine="0" shrinkToFit="0" readingOrder="0"/>
    </dxf>
    <dxf>
      <font>
        <b val="0"/>
        <i/>
        <strike val="0"/>
        <outline/>
        <shadow/>
        <u val="none"/>
        <vertAlign val="baseline"/>
        <sz val="8"/>
        <color theme="1"/>
        <name val="Century Gothic"/>
        <scheme val="major"/>
      </font>
      <alignment horizontal="left" vertical="bottom" textRotation="0" wrapText="0" indent="1" justifyLastLine="0" shrinkToFit="0" readingOrder="0"/>
    </dxf>
    <dxf>
      <font>
        <b/>
        <i val="0"/>
        <strike val="0"/>
        <outline/>
        <shadow/>
        <u val="none"/>
        <vertAlign val="baseline"/>
        <sz val="8"/>
        <color theme="1"/>
        <name val="Century Gothic"/>
        <scheme val="major"/>
      </font>
    </dxf>
    <dxf>
      <font>
        <strike/>
        <outline/>
        <shadow/>
        <u val="none"/>
        <vertAlign val="baseline"/>
        <sz val="8"/>
        <color theme="1"/>
        <name val="Century Gothic"/>
        <scheme val="major"/>
      </font>
    </dxf>
    <dxf>
      <font>
        <strike/>
        <outline/>
        <shadow/>
        <u val="none"/>
        <vertAlign val="baseline"/>
        <sz val="9"/>
        <color theme="1"/>
        <name val="Century Gothic"/>
        <scheme val="major"/>
      </font>
    </dxf>
    <dxf>
      <font>
        <b/>
        <i val="0"/>
        <strike val="0"/>
        <condense/>
        <extend/>
        <outline/>
        <shadow/>
        <u val="none"/>
        <vertAlign val="baseline"/>
        <sz val="8"/>
        <color theme="1"/>
        <name val="Century Gothic"/>
        <family val="2"/>
        <scheme val="major"/>
      </font>
      <alignment horizontal="right" vertical="bottom" textRotation="0" wrapText="0" indent="1" justifyLastLine="0" shrinkToFit="0" readingOrder="0"/>
    </dxf>
    <dxf>
      <font>
        <strike/>
        <outline/>
        <shadow/>
        <u val="none"/>
        <vertAlign val="baseline"/>
        <sz val="8"/>
        <color theme="1"/>
        <name val="Century Gothic"/>
        <scheme val="major"/>
      </font>
      <fill>
        <patternFill patternType="solid">
          <fgColor indexed="64"/>
          <bgColor theme="1" tint="0.34998626667073579"/>
        </patternFill>
      </fill>
      <border outline="0">
        <left style="thin">
          <color theme="0" tint="-0.14996795556505021"/>
        </left>
      </border>
    </dxf>
    <dxf>
      <font>
        <b/>
        <i val="0"/>
        <strike val="0"/>
        <condense/>
        <extend/>
        <outline/>
        <shadow/>
        <u val="none"/>
        <vertAlign val="baseline"/>
        <sz val="8"/>
        <color theme="1"/>
        <name val="Century Gothic"/>
        <family val="2"/>
        <scheme val="major"/>
      </font>
      <alignment horizontal="right" vertical="bottom" textRotation="0" wrapText="0" indent="1" justifyLastLine="0" shrinkToFit="0" readingOrder="0"/>
    </dxf>
    <dxf>
      <font>
        <b val="0"/>
        <i val="0"/>
        <strike/>
        <outline/>
        <shadow/>
        <u val="none"/>
        <vertAlign val="baseline"/>
        <sz val="1"/>
        <color theme="0" tint="-0.14999847407452621"/>
        <name val="Century Gothic"/>
        <scheme val="major"/>
      </font>
      <numFmt numFmtId="0" formatCode="General"/>
      <fill>
        <patternFill patternType="none">
          <fgColor indexed="64"/>
          <bgColor auto="1"/>
        </patternFill>
      </fill>
      <alignment horizontal="center" vertical="bottom" textRotation="0" wrapText="0" indent="0" justifyLastLine="0" shrinkToFit="0" readingOrder="0"/>
    </dxf>
    <dxf>
      <font>
        <b/>
        <i val="0"/>
        <strike val="0"/>
        <condense/>
        <extend/>
        <outline/>
        <shadow/>
        <u val="none"/>
        <vertAlign val="baseline"/>
        <sz val="8"/>
        <color theme="1"/>
        <name val="Century Gothic"/>
        <family val="2"/>
        <scheme val="major"/>
      </font>
      <alignment horizontal="right" vertical="bottom" textRotation="0" wrapText="0" indent="1" justifyLastLine="0" shrinkToFit="0" readingOrder="0"/>
    </dxf>
    <dxf>
      <font>
        <b val="0"/>
        <i val="0"/>
        <strike val="0"/>
        <outline/>
        <shadow/>
        <u val="none"/>
        <vertAlign val="baseline"/>
        <sz val="8"/>
        <color theme="0"/>
        <name val="Century Gothic"/>
        <scheme val="major"/>
      </font>
      <numFmt numFmtId="0" formatCode="General"/>
      <alignment horizontal="center" vertical="bottom" textRotation="0" wrapText="0" indent="0" justifyLastLine="0" shrinkToFit="0" readingOrder="0"/>
      <border>
        <right style="thin">
          <color theme="0" tint="-0.14996795556505021"/>
        </right>
      </border>
    </dxf>
    <dxf>
      <font>
        <b/>
        <i val="0"/>
        <strike val="0"/>
        <condense/>
        <extend/>
        <outline/>
        <shadow/>
        <u val="none"/>
        <vertAlign val="baseline"/>
        <sz val="8"/>
        <color theme="1"/>
        <name val="Century Gothic"/>
        <family val="2"/>
        <scheme val="major"/>
      </font>
      <numFmt numFmtId="4" formatCode="#,##0.00"/>
      <alignment horizontal="right" vertical="bottom" textRotation="0" wrapText="0" indent="1" justifyLastLine="0" shrinkToFit="0" readingOrder="0"/>
    </dxf>
    <dxf>
      <font>
        <b val="0"/>
        <i val="0"/>
        <strike val="0"/>
        <outline/>
        <shadow/>
        <u val="none"/>
        <vertAlign val="baseline"/>
        <sz val="8"/>
        <color theme="1"/>
      </font>
      <numFmt numFmtId="1" formatCode="0"/>
      <alignment horizontal="right" vertical="bottom" textRotation="0" wrapText="0" indent="1" justifyLastLine="0" shrinkToFit="0" readingOrder="0"/>
      <protection locked="0" hidden="0"/>
    </dxf>
    <dxf>
      <font>
        <b/>
        <i val="0"/>
        <strike val="0"/>
        <condense/>
        <extend/>
        <outline/>
        <shadow/>
        <u val="none"/>
        <vertAlign val="baseline"/>
        <sz val="8"/>
        <color theme="1"/>
        <name val="Century Gothic"/>
        <family val="2"/>
        <scheme val="major"/>
      </font>
      <numFmt numFmtId="4" formatCode="#,##0.00"/>
      <alignment horizontal="right" vertical="bottom" textRotation="0" wrapText="0" indent="1" justifyLastLine="0" shrinkToFit="0" readingOrder="0"/>
    </dxf>
    <dxf>
      <font>
        <b val="0"/>
        <i val="0"/>
        <strike val="0"/>
        <outline/>
        <shadow/>
        <u val="none"/>
        <vertAlign val="baseline"/>
        <sz val="8"/>
        <color theme="1"/>
      </font>
      <numFmt numFmtId="1" formatCode="0"/>
      <alignment horizontal="center" vertical="bottom" textRotation="0" wrapText="0" indent="0" justifyLastLine="0" shrinkToFit="0"/>
      <protection locked="0" hidden="0"/>
    </dxf>
    <dxf>
      <font>
        <b/>
        <i val="0"/>
        <strike val="0"/>
        <condense/>
        <extend/>
        <outline/>
        <shadow/>
        <u val="none"/>
        <vertAlign val="baseline"/>
        <sz val="8"/>
        <color theme="1"/>
        <name val="Century Gothic"/>
        <family val="2"/>
        <scheme val="major"/>
      </font>
      <numFmt numFmtId="4" formatCode="#,##0.00"/>
      <alignment horizontal="right" vertical="bottom" textRotation="0" wrapText="0" indent="1" justifyLastLine="0" shrinkToFit="0" readingOrder="0"/>
    </dxf>
    <dxf>
      <font>
        <b val="0"/>
        <i val="0"/>
        <strike val="0"/>
        <outline/>
        <shadow/>
        <u val="none"/>
        <vertAlign val="baseline"/>
        <sz val="8"/>
        <color theme="1"/>
      </font>
      <numFmt numFmtId="1" formatCode="0"/>
      <alignment horizontal="right" vertical="bottom" textRotation="0" wrapText="0" indent="1" justifyLastLine="0" shrinkToFit="0" readingOrder="0"/>
      <protection locked="0" hidden="0"/>
    </dxf>
    <dxf>
      <font>
        <b/>
        <i val="0"/>
        <strike val="0"/>
        <condense/>
        <extend/>
        <outline/>
        <shadow/>
        <u val="none"/>
        <vertAlign val="baseline"/>
        <sz val="8"/>
        <color theme="1"/>
        <name val="Century Gothic"/>
        <family val="2"/>
        <scheme val="major"/>
      </font>
      <numFmt numFmtId="4" formatCode="#,##0.00"/>
      <alignment horizontal="right" vertical="bottom" textRotation="0" wrapText="0" indent="1" justifyLastLine="0" shrinkToFit="0" readingOrder="0"/>
    </dxf>
    <dxf>
      <font>
        <b val="0"/>
        <i val="0"/>
        <strike val="0"/>
        <outline/>
        <shadow/>
        <u val="none"/>
        <vertAlign val="baseline"/>
        <sz val="8"/>
        <color theme="1"/>
      </font>
      <numFmt numFmtId="1" formatCode="0"/>
      <alignment horizontal="right" vertical="bottom" textRotation="0" wrapText="0" indent="1" justifyLastLine="0" shrinkToFit="0" readingOrder="0"/>
      <protection locked="0" hidden="0"/>
    </dxf>
    <dxf>
      <font>
        <b/>
        <i val="0"/>
        <strike val="0"/>
        <condense/>
        <extend/>
        <outline/>
        <shadow/>
        <u val="none"/>
        <vertAlign val="baseline"/>
        <sz val="8"/>
        <color theme="1"/>
        <name val="Century Gothic"/>
        <family val="2"/>
        <scheme val="major"/>
      </font>
      <numFmt numFmtId="4" formatCode="#,##0.00"/>
      <alignment horizontal="right" vertical="bottom" textRotation="0" wrapText="0" indent="1" justifyLastLine="0" shrinkToFit="0" readingOrder="0"/>
    </dxf>
    <dxf>
      <font>
        <b val="0"/>
        <i val="0"/>
        <strike val="0"/>
        <outline/>
        <shadow/>
        <u val="none"/>
        <vertAlign val="baseline"/>
        <sz val="8"/>
        <color theme="1"/>
      </font>
      <numFmt numFmtId="1" formatCode="0"/>
      <alignment horizontal="right" vertical="bottom" textRotation="0" wrapText="0" indent="1" justifyLastLine="0" shrinkToFit="0" readingOrder="0"/>
      <protection locked="0" hidden="0"/>
    </dxf>
    <dxf>
      <font>
        <b/>
        <i val="0"/>
        <strike val="0"/>
        <condense/>
        <extend/>
        <outline/>
        <shadow/>
        <u val="none"/>
        <vertAlign val="baseline"/>
        <sz val="8"/>
        <color theme="1"/>
        <name val="Century Gothic"/>
        <family val="2"/>
        <scheme val="major"/>
      </font>
      <numFmt numFmtId="4" formatCode="#,##0.00"/>
      <alignment horizontal="right" vertical="bottom" textRotation="0" wrapText="0" indent="1" justifyLastLine="0" shrinkToFit="0" readingOrder="0"/>
    </dxf>
    <dxf>
      <font>
        <b val="0"/>
        <i val="0"/>
        <strike val="0"/>
        <outline/>
        <shadow/>
        <u val="none"/>
        <vertAlign val="baseline"/>
        <sz val="8"/>
        <color theme="1"/>
      </font>
      <numFmt numFmtId="1" formatCode="0"/>
      <alignment horizontal="right" vertical="bottom" textRotation="0" wrapText="0" indent="1" justifyLastLine="0" shrinkToFit="0" readingOrder="0"/>
      <protection locked="0" hidden="0"/>
    </dxf>
    <dxf>
      <font>
        <b/>
        <i val="0"/>
        <strike val="0"/>
        <condense/>
        <extend/>
        <outline/>
        <shadow/>
        <u val="none"/>
        <vertAlign val="baseline"/>
        <sz val="8"/>
        <color theme="1"/>
        <name val="Century Gothic"/>
        <family val="2"/>
        <scheme val="major"/>
      </font>
      <numFmt numFmtId="4" formatCode="#,##0.00"/>
      <alignment horizontal="right" vertical="bottom" textRotation="0" wrapText="0" indent="1" justifyLastLine="0" shrinkToFit="0" readingOrder="0"/>
    </dxf>
    <dxf>
      <font>
        <b val="0"/>
        <i val="0"/>
        <strike val="0"/>
        <outline/>
        <shadow/>
        <u val="none"/>
        <vertAlign val="baseline"/>
        <sz val="8"/>
        <color theme="1"/>
      </font>
      <numFmt numFmtId="1" formatCode="0"/>
      <alignment horizontal="right" vertical="bottom" textRotation="0" wrapText="0" indent="1" justifyLastLine="0" shrinkToFit="0" readingOrder="0"/>
      <protection locked="0" hidden="0"/>
    </dxf>
    <dxf>
      <font>
        <b/>
        <i val="0"/>
        <strike val="0"/>
        <condense/>
        <extend/>
        <outline/>
        <shadow/>
        <u val="none"/>
        <vertAlign val="baseline"/>
        <sz val="8"/>
        <color theme="1"/>
        <name val="Century Gothic"/>
        <family val="2"/>
        <scheme val="major"/>
      </font>
      <numFmt numFmtId="4" formatCode="#,##0.00"/>
      <alignment horizontal="right" vertical="bottom" textRotation="0" wrapText="0" indent="1" justifyLastLine="0" shrinkToFit="0" readingOrder="0"/>
    </dxf>
    <dxf>
      <font>
        <b val="0"/>
        <i val="0"/>
        <strike val="0"/>
        <condense val="0"/>
        <extend val="0"/>
        <outline/>
        <shadow/>
        <u val="none"/>
        <vertAlign val="baseline"/>
        <sz val="8"/>
        <color theme="1"/>
        <name val="Calibri"/>
        <scheme val="minor"/>
      </font>
      <numFmt numFmtId="1" formatCode="0"/>
      <alignment horizontal="right" vertical="bottom" textRotation="0" wrapText="0" indent="1" justifyLastLine="0" shrinkToFit="0" readingOrder="0"/>
      <protection locked="0" hidden="0"/>
    </dxf>
    <dxf>
      <font>
        <b/>
        <i val="0"/>
        <strike val="0"/>
        <condense/>
        <extend/>
        <outline/>
        <shadow/>
        <u val="none"/>
        <vertAlign val="baseline"/>
        <sz val="8"/>
        <color theme="1"/>
        <name val="Century Gothic"/>
        <family val="2"/>
        <scheme val="major"/>
      </font>
      <numFmt numFmtId="4" formatCode="#,##0.00"/>
      <alignment horizontal="right" vertical="bottom" textRotation="0" wrapText="0" indent="1" justifyLastLine="0" shrinkToFit="0" readingOrder="0"/>
    </dxf>
    <dxf>
      <font>
        <b val="0"/>
        <i val="0"/>
        <strike val="0"/>
        <condense val="0"/>
        <extend val="0"/>
        <outline/>
        <shadow/>
        <u val="none"/>
        <vertAlign val="baseline"/>
        <sz val="8"/>
        <color theme="1"/>
        <name val="Calibri"/>
        <scheme val="minor"/>
      </font>
      <numFmt numFmtId="1" formatCode="0"/>
      <alignment horizontal="right" vertical="bottom" textRotation="0" wrapText="0" indent="1" justifyLastLine="0" shrinkToFit="0" readingOrder="0"/>
      <protection locked="0" hidden="0"/>
    </dxf>
    <dxf>
      <font>
        <b/>
        <i val="0"/>
        <strike val="0"/>
        <condense/>
        <extend/>
        <outline/>
        <shadow/>
        <u val="none"/>
        <vertAlign val="baseline"/>
        <sz val="8"/>
        <color theme="1"/>
        <name val="Century Gothic"/>
        <family val="2"/>
        <scheme val="major"/>
      </font>
      <numFmt numFmtId="4" formatCode="#,##0.00"/>
      <alignment horizontal="right" vertical="bottom" textRotation="0" wrapText="0" indent="1" justifyLastLine="0" shrinkToFit="0" readingOrder="0"/>
    </dxf>
    <dxf>
      <font>
        <b val="0"/>
        <i val="0"/>
        <strike val="0"/>
        <condense val="0"/>
        <extend val="0"/>
        <outline/>
        <shadow/>
        <u val="none"/>
        <vertAlign val="baseline"/>
        <sz val="8"/>
        <color theme="1"/>
        <name val="Calibri"/>
        <scheme val="minor"/>
      </font>
      <numFmt numFmtId="1" formatCode="0"/>
      <alignment horizontal="right" vertical="bottom" textRotation="0" wrapText="0" indent="1" justifyLastLine="0" shrinkToFit="0" readingOrder="0"/>
      <protection locked="0" hidden="0"/>
    </dxf>
    <dxf>
      <font>
        <b/>
        <i val="0"/>
        <strike val="0"/>
        <condense/>
        <extend/>
        <outline/>
        <shadow/>
        <u val="none"/>
        <vertAlign val="baseline"/>
        <sz val="8"/>
        <color theme="1"/>
        <name val="Century Gothic"/>
        <family val="2"/>
        <scheme val="major"/>
      </font>
      <numFmt numFmtId="4" formatCode="#,##0.00"/>
      <alignment horizontal="right" vertical="bottom" textRotation="0" wrapText="0" indent="1" justifyLastLine="0" shrinkToFit="0" readingOrder="0"/>
    </dxf>
    <dxf>
      <font>
        <b val="0"/>
        <i val="0"/>
        <strike val="0"/>
        <condense val="0"/>
        <extend val="0"/>
        <outline/>
        <shadow/>
        <u val="none"/>
        <vertAlign val="baseline"/>
        <sz val="8"/>
        <color theme="1"/>
        <name val="Calibri"/>
        <scheme val="minor"/>
      </font>
      <numFmt numFmtId="1" formatCode="0"/>
      <alignment horizontal="right" vertical="bottom" textRotation="0" wrapText="0" indent="1" justifyLastLine="0" shrinkToFit="0" readingOrder="0"/>
      <protection locked="0" hidden="0"/>
    </dxf>
    <dxf>
      <font>
        <b/>
        <i val="0"/>
        <strike val="0"/>
        <condense/>
        <extend/>
        <outline/>
        <shadow/>
        <u val="none"/>
        <vertAlign val="baseline"/>
        <sz val="8"/>
        <color theme="1"/>
        <name val="Century Gothic"/>
        <family val="2"/>
        <scheme val="major"/>
      </font>
      <numFmt numFmtId="4" formatCode="#,##0.00"/>
      <alignment horizontal="right" vertical="bottom" textRotation="0" wrapText="0" indent="1" justifyLastLine="0" shrinkToFit="0" readingOrder="0"/>
    </dxf>
    <dxf>
      <font>
        <b val="0"/>
        <i val="0"/>
        <strike val="0"/>
        <condense val="0"/>
        <extend val="0"/>
        <outline/>
        <shadow/>
        <u val="none"/>
        <vertAlign val="baseline"/>
        <sz val="8"/>
        <color theme="1"/>
        <name val="Calibri"/>
        <scheme val="minor"/>
      </font>
      <numFmt numFmtId="1" formatCode="0"/>
      <alignment horizontal="right" vertical="bottom" textRotation="0" wrapText="0" indent="1" justifyLastLine="0" shrinkToFit="0" readingOrder="0"/>
      <protection locked="0" hidden="0"/>
    </dxf>
    <dxf>
      <font>
        <b/>
        <i val="0"/>
        <strike val="0"/>
        <condense/>
        <extend/>
        <outline/>
        <shadow/>
        <u val="none"/>
        <vertAlign val="baseline"/>
        <sz val="8"/>
        <color theme="1"/>
        <name val="Century Gothic"/>
        <family val="2"/>
        <scheme val="major"/>
      </font>
      <numFmt numFmtId="4" formatCode="#,##0.00"/>
      <alignment horizontal="right" vertical="bottom" textRotation="0" wrapText="0" indent="1" justifyLastLine="0" shrinkToFit="0" readingOrder="0"/>
    </dxf>
    <dxf>
      <font>
        <b val="0"/>
        <i val="0"/>
        <strike val="0"/>
        <condense val="0"/>
        <extend val="0"/>
        <outline/>
        <shadow/>
        <u val="none"/>
        <vertAlign val="baseline"/>
        <sz val="8"/>
        <color theme="1"/>
        <name val="Calibri"/>
        <scheme val="minor"/>
      </font>
      <numFmt numFmtId="1" formatCode="0"/>
      <alignment horizontal="right" vertical="bottom" textRotation="0" wrapText="0" indent="1" justifyLastLine="0" shrinkToFit="0" readingOrder="0"/>
      <protection locked="0" hidden="0"/>
    </dxf>
    <dxf>
      <font>
        <b/>
        <i val="0"/>
        <strike val="0"/>
        <condense/>
        <extend/>
        <outline/>
        <shadow/>
        <u val="none"/>
        <vertAlign val="baseline"/>
        <sz val="8"/>
        <color theme="1"/>
        <name val="Century Gothic"/>
        <family val="2"/>
        <scheme val="major"/>
      </font>
      <numFmt numFmtId="4" formatCode="#,##0.00"/>
      <alignment horizontal="right" vertical="bottom" textRotation="0" wrapText="0" indent="1" justifyLastLine="0" shrinkToFit="0" readingOrder="0"/>
    </dxf>
    <dxf>
      <font>
        <b val="0"/>
        <i val="0"/>
        <strike val="0"/>
        <condense val="0"/>
        <extend val="0"/>
        <outline/>
        <shadow/>
        <u val="none"/>
        <vertAlign val="baseline"/>
        <sz val="8"/>
        <color theme="1"/>
        <name val="Calibri"/>
        <scheme val="minor"/>
      </font>
      <numFmt numFmtId="1" formatCode="0"/>
      <alignment horizontal="right" vertical="bottom" textRotation="0" wrapText="0" indent="1" justifyLastLine="0" shrinkToFit="0" readingOrder="0"/>
      <protection locked="0" hidden="0"/>
    </dxf>
    <dxf>
      <font>
        <b/>
        <i val="0"/>
        <strike val="0"/>
        <condense/>
        <extend/>
        <outline/>
        <shadow/>
        <u val="none"/>
        <vertAlign val="baseline"/>
        <sz val="8"/>
        <color theme="1"/>
        <name val="Century Gothic"/>
        <family val="2"/>
        <scheme val="major"/>
      </font>
      <numFmt numFmtId="4" formatCode="#,##0.00"/>
      <alignment horizontal="right" vertical="bottom" textRotation="0" wrapText="0" indent="1" justifyLastLine="0" shrinkToFit="0" readingOrder="0"/>
    </dxf>
    <dxf>
      <font>
        <b val="0"/>
        <i val="0"/>
        <strike val="0"/>
        <outline/>
        <shadow/>
        <u val="none"/>
        <vertAlign val="baseline"/>
        <sz val="8"/>
        <color theme="1"/>
      </font>
      <numFmt numFmtId="1" formatCode="0"/>
      <alignment horizontal="right" vertical="bottom" textRotation="0" wrapText="0" indent="1" justifyLastLine="0" shrinkToFit="0" readingOrder="0"/>
      <protection locked="0" hidden="0"/>
    </dxf>
    <dxf>
      <font>
        <b/>
        <i val="0"/>
        <strike val="0"/>
        <condense/>
        <extend/>
        <outline/>
        <shadow/>
        <u val="none"/>
        <vertAlign val="baseline"/>
        <sz val="8"/>
        <color theme="1"/>
        <name val="Century Gothic"/>
        <family val="2"/>
        <scheme val="major"/>
      </font>
      <numFmt numFmtId="4" formatCode="#,##0.00"/>
      <alignment horizontal="right" vertical="bottom" textRotation="0" wrapText="0" indent="1" justifyLastLine="0" shrinkToFit="0" readingOrder="0"/>
    </dxf>
    <dxf>
      <font>
        <b val="0"/>
        <i val="0"/>
        <strike val="0"/>
        <outline/>
        <shadow/>
        <u val="none"/>
        <vertAlign val="baseline"/>
        <sz val="8"/>
        <color theme="1"/>
      </font>
      <numFmt numFmtId="1" formatCode="0"/>
      <alignment horizontal="right" vertical="bottom" textRotation="0" wrapText="0" indent="1" justifyLastLine="0" shrinkToFit="0" readingOrder="0"/>
      <protection locked="0" hidden="0"/>
    </dxf>
    <dxf>
      <font>
        <b/>
        <i val="0"/>
        <strike val="0"/>
        <condense/>
        <extend/>
        <outline/>
        <shadow/>
        <u val="none"/>
        <vertAlign val="baseline"/>
        <sz val="8"/>
        <color theme="1"/>
        <name val="Century Gothic"/>
        <family val="2"/>
        <scheme val="major"/>
      </font>
      <numFmt numFmtId="4" formatCode="#,##0.00"/>
      <alignment horizontal="right" vertical="bottom" textRotation="0" wrapText="0" indent="1" justifyLastLine="0" shrinkToFit="0" readingOrder="0"/>
    </dxf>
    <dxf>
      <font>
        <b val="0"/>
        <i val="0"/>
        <strike val="0"/>
        <outline/>
        <shadow/>
        <u val="none"/>
        <vertAlign val="baseline"/>
        <sz val="8"/>
        <color theme="1"/>
      </font>
      <numFmt numFmtId="1" formatCode="0"/>
      <alignment horizontal="right" vertical="bottom" textRotation="0" wrapText="0" indent="1" justifyLastLine="0" shrinkToFit="0" readingOrder="0"/>
      <protection locked="0" hidden="0"/>
    </dxf>
    <dxf>
      <font>
        <b/>
        <i val="0"/>
        <strike val="0"/>
        <condense/>
        <extend/>
        <outline/>
        <shadow/>
        <u val="none"/>
        <vertAlign val="baseline"/>
        <sz val="8"/>
        <color theme="1"/>
        <name val="Century Gothic"/>
        <family val="2"/>
        <scheme val="major"/>
      </font>
      <numFmt numFmtId="4" formatCode="#,##0.00"/>
      <alignment horizontal="right" vertical="bottom" textRotation="0" wrapText="0" indent="1" justifyLastLine="0" shrinkToFit="0" readingOrder="0"/>
    </dxf>
    <dxf>
      <font>
        <b val="0"/>
        <i val="0"/>
        <strike val="0"/>
        <outline/>
        <shadow/>
        <u val="none"/>
        <vertAlign val="baseline"/>
        <sz val="8"/>
        <color theme="1"/>
      </font>
      <numFmt numFmtId="1" formatCode="0"/>
      <alignment horizontal="right" vertical="bottom" textRotation="0" wrapText="0" indent="1" justifyLastLine="0" shrinkToFit="0" readingOrder="0"/>
      <protection locked="0" hidden="0"/>
    </dxf>
    <dxf>
      <font>
        <b/>
        <i val="0"/>
        <strike val="0"/>
        <condense/>
        <extend/>
        <outline/>
        <shadow/>
        <u val="none"/>
        <vertAlign val="baseline"/>
        <sz val="8"/>
        <color theme="1"/>
        <name val="Century Gothic"/>
        <family val="2"/>
        <scheme val="major"/>
      </font>
      <numFmt numFmtId="4" formatCode="#,##0.00"/>
      <alignment horizontal="right" vertical="bottom" textRotation="0" wrapText="0" indent="1" justifyLastLine="0" shrinkToFit="0" readingOrder="0"/>
    </dxf>
    <dxf>
      <font>
        <b val="0"/>
        <i val="0"/>
        <strike val="0"/>
        <condense val="0"/>
        <extend val="0"/>
        <outline/>
        <shadow/>
        <u val="none"/>
        <vertAlign val="baseline"/>
        <sz val="8"/>
        <color theme="1"/>
        <name val="Century Gothic"/>
        <scheme val="major"/>
      </font>
      <numFmt numFmtId="1" formatCode="0"/>
      <alignment horizontal="center" vertical="bottom" textRotation="0" wrapText="0" indent="0" justifyLastLine="0" shrinkToFit="0" readingOrder="0"/>
      <protection locked="0" hidden="0"/>
    </dxf>
    <dxf>
      <font>
        <b/>
        <i val="0"/>
        <strike val="0"/>
        <condense/>
        <extend/>
        <outline/>
        <shadow/>
        <u val="none"/>
        <vertAlign val="baseline"/>
        <sz val="8"/>
        <color theme="1"/>
        <name val="Century Gothic"/>
        <family val="2"/>
        <scheme val="major"/>
      </font>
      <numFmt numFmtId="4" formatCode="#,##0.00"/>
      <alignment horizontal="right" vertical="bottom" textRotation="0" wrapText="0" indent="1" justifyLastLine="0" shrinkToFit="0" readingOrder="0"/>
    </dxf>
    <dxf>
      <font>
        <b val="0"/>
        <i val="0"/>
        <strike val="0"/>
        <condense val="0"/>
        <extend val="0"/>
        <outline/>
        <shadow/>
        <u val="none"/>
        <vertAlign val="baseline"/>
        <sz val="8"/>
        <color theme="1"/>
        <name val="Century Gothic"/>
        <scheme val="major"/>
      </font>
      <numFmt numFmtId="1" formatCode="0"/>
      <alignment horizontal="center" vertical="bottom" textRotation="0" wrapText="0" indent="0" justifyLastLine="0" shrinkToFit="0" readingOrder="0"/>
      <protection locked="0" hidden="0"/>
    </dxf>
    <dxf>
      <font>
        <b/>
        <i val="0"/>
        <strike val="0"/>
        <condense/>
        <extend/>
        <outline/>
        <shadow/>
        <u val="none"/>
        <vertAlign val="baseline"/>
        <sz val="8"/>
        <color theme="1"/>
        <name val="Century Gothic"/>
        <family val="2"/>
        <scheme val="major"/>
      </font>
      <numFmt numFmtId="4" formatCode="#,##0.00"/>
      <alignment horizontal="right" vertical="bottom" textRotation="0" wrapText="0" indent="1" justifyLastLine="0" shrinkToFit="0" readingOrder="0"/>
    </dxf>
    <dxf>
      <font>
        <b val="0"/>
        <i val="0"/>
        <strike val="0"/>
        <condense val="0"/>
        <extend val="0"/>
        <outline/>
        <shadow/>
        <u val="none"/>
        <vertAlign val="baseline"/>
        <sz val="8"/>
        <color theme="1"/>
        <name val="Century Gothic"/>
        <scheme val="major"/>
      </font>
      <numFmt numFmtId="1" formatCode="0"/>
      <alignment horizontal="center" vertical="bottom" textRotation="0" wrapText="0" indent="0" justifyLastLine="0" shrinkToFit="0" readingOrder="0"/>
      <protection locked="0" hidden="0"/>
    </dxf>
    <dxf>
      <font>
        <b/>
        <i val="0"/>
        <strike val="0"/>
        <condense/>
        <extend/>
        <outline/>
        <shadow/>
        <u val="none"/>
        <vertAlign val="baseline"/>
        <sz val="8"/>
        <color theme="1"/>
        <name val="Century Gothic"/>
        <family val="2"/>
        <scheme val="major"/>
      </font>
      <numFmt numFmtId="4" formatCode="#,##0.00"/>
      <alignment horizontal="right" vertical="bottom" textRotation="0" wrapText="0" indent="1" justifyLastLine="0" shrinkToFit="0" readingOrder="0"/>
    </dxf>
    <dxf>
      <font>
        <b val="0"/>
        <i val="0"/>
        <strike val="0"/>
        <condense val="0"/>
        <extend val="0"/>
        <outline/>
        <shadow/>
        <u val="none"/>
        <vertAlign val="baseline"/>
        <sz val="8"/>
        <color theme="1"/>
        <name val="Century Gothic"/>
        <scheme val="major"/>
      </font>
      <numFmt numFmtId="1" formatCode="0"/>
      <alignment horizontal="center" vertical="bottom" textRotation="0" wrapText="0" indent="0" justifyLastLine="0" shrinkToFit="0" readingOrder="0"/>
      <protection locked="0" hidden="0"/>
    </dxf>
    <dxf>
      <font>
        <b/>
        <i val="0"/>
        <strike val="0"/>
        <condense/>
        <extend/>
        <outline/>
        <shadow/>
        <u val="none"/>
        <vertAlign val="baseline"/>
        <sz val="8"/>
        <color theme="1"/>
        <name val="Century Gothic"/>
        <family val="2"/>
        <scheme val="major"/>
      </font>
      <numFmt numFmtId="4" formatCode="#,##0.00"/>
      <alignment horizontal="right" vertical="bottom" textRotation="0" wrapText="0" indent="1" justifyLastLine="0" shrinkToFit="0" readingOrder="0"/>
    </dxf>
    <dxf>
      <font>
        <b val="0"/>
        <i val="0"/>
        <strike val="0"/>
        <condense val="0"/>
        <extend val="0"/>
        <outline/>
        <shadow/>
        <u val="none"/>
        <vertAlign val="baseline"/>
        <sz val="8"/>
        <color theme="1"/>
        <name val="Century Gothic"/>
        <scheme val="major"/>
      </font>
      <numFmt numFmtId="1" formatCode="0"/>
      <alignment horizontal="center" vertical="bottom" textRotation="0" wrapText="0" indent="0" justifyLastLine="0" shrinkToFit="0" readingOrder="0"/>
      <protection locked="0" hidden="0"/>
    </dxf>
    <dxf>
      <font>
        <b/>
        <i val="0"/>
        <strike val="0"/>
        <condense/>
        <extend/>
        <outline/>
        <shadow/>
        <u val="none"/>
        <vertAlign val="baseline"/>
        <sz val="8"/>
        <color theme="1"/>
        <name val="Century Gothic"/>
        <family val="2"/>
        <scheme val="major"/>
      </font>
      <numFmt numFmtId="4" formatCode="#,##0.00"/>
      <alignment horizontal="right" vertical="bottom" textRotation="0" wrapText="0" indent="1" justifyLastLine="0" shrinkToFit="0" readingOrder="0"/>
    </dxf>
    <dxf>
      <font>
        <b val="0"/>
        <i val="0"/>
        <strike val="0"/>
        <condense val="0"/>
        <extend val="0"/>
        <outline/>
        <shadow/>
        <u val="none"/>
        <vertAlign val="baseline"/>
        <sz val="8"/>
        <color theme="1"/>
        <name val="Century Gothic"/>
        <scheme val="major"/>
      </font>
      <numFmt numFmtId="1" formatCode="0"/>
      <alignment horizontal="center" vertical="bottom" textRotation="0" wrapText="0" indent="0" justifyLastLine="0" shrinkToFit="0" readingOrder="0"/>
      <protection locked="0" hidden="0"/>
    </dxf>
    <dxf>
      <font>
        <b/>
        <i val="0"/>
        <strike val="0"/>
        <condense/>
        <extend/>
        <outline/>
        <shadow/>
        <u val="none"/>
        <vertAlign val="baseline"/>
        <sz val="8"/>
        <color theme="1"/>
        <name val="Century Gothic"/>
        <family val="2"/>
        <scheme val="major"/>
      </font>
      <numFmt numFmtId="4" formatCode="#,##0.00"/>
      <alignment horizontal="right" vertical="bottom" textRotation="0" wrapText="0" indent="1" justifyLastLine="0" shrinkToFit="0" readingOrder="0"/>
    </dxf>
    <dxf>
      <font>
        <b val="0"/>
        <i val="0"/>
        <strike val="0"/>
        <condense val="0"/>
        <extend val="0"/>
        <outline/>
        <shadow/>
        <u val="none"/>
        <vertAlign val="baseline"/>
        <sz val="8"/>
        <color theme="1"/>
        <name val="Century Gothic"/>
        <scheme val="major"/>
      </font>
      <numFmt numFmtId="1" formatCode="0"/>
      <alignment horizontal="center" vertical="bottom" textRotation="0" wrapText="0" indent="0" justifyLastLine="0" shrinkToFit="0" readingOrder="0"/>
      <protection locked="0" hidden="0"/>
    </dxf>
    <dxf>
      <font>
        <b/>
        <i val="0"/>
        <strike val="0"/>
        <condense/>
        <extend/>
        <outline/>
        <shadow/>
        <u val="none"/>
        <vertAlign val="baseline"/>
        <sz val="8"/>
        <color theme="1"/>
        <name val="Century Gothic"/>
        <family val="2"/>
        <scheme val="major"/>
      </font>
      <numFmt numFmtId="4" formatCode="#,##0.00"/>
      <alignment horizontal="right" vertical="bottom" textRotation="0" wrapText="0" indent="1" justifyLastLine="0" shrinkToFit="0" readingOrder="0"/>
    </dxf>
    <dxf>
      <font>
        <b val="0"/>
        <i val="0"/>
        <strike val="0"/>
        <condense val="0"/>
        <extend val="0"/>
        <outline/>
        <shadow/>
        <u val="none"/>
        <vertAlign val="baseline"/>
        <sz val="8"/>
        <color theme="1"/>
        <name val="Century Gothic"/>
        <scheme val="major"/>
      </font>
      <numFmt numFmtId="1" formatCode="0"/>
      <alignment horizontal="center" vertical="bottom" textRotation="0" wrapText="0" indent="0" justifyLastLine="0" shrinkToFit="0" readingOrder="0"/>
      <protection locked="0" hidden="0"/>
    </dxf>
    <dxf>
      <font>
        <b/>
        <i val="0"/>
        <strike val="0"/>
        <condense/>
        <extend/>
        <outline/>
        <shadow/>
        <u val="none"/>
        <vertAlign val="baseline"/>
        <sz val="8"/>
        <color theme="1"/>
        <name val="Century Gothic"/>
        <family val="2"/>
        <scheme val="major"/>
      </font>
      <numFmt numFmtId="4" formatCode="#,##0.00"/>
      <alignment horizontal="right" vertical="bottom" textRotation="0" wrapText="0" indent="1" justifyLastLine="0" shrinkToFit="0" readingOrder="0"/>
    </dxf>
    <dxf>
      <font>
        <b val="0"/>
        <i val="0"/>
        <strike val="0"/>
        <condense val="0"/>
        <extend val="0"/>
        <outline/>
        <shadow/>
        <u val="none"/>
        <vertAlign val="baseline"/>
        <sz val="8"/>
        <color theme="1"/>
        <name val="Century Gothic"/>
        <scheme val="major"/>
      </font>
      <numFmt numFmtId="1" formatCode="0"/>
      <alignment horizontal="center" vertical="bottom" textRotation="0" wrapText="0" indent="0" justifyLastLine="0" shrinkToFit="0" readingOrder="0"/>
      <protection locked="0" hidden="0"/>
    </dxf>
    <dxf>
      <font>
        <b/>
        <i val="0"/>
        <strike val="0"/>
        <condense/>
        <extend/>
        <outline/>
        <shadow/>
        <u val="none"/>
        <vertAlign val="baseline"/>
        <sz val="8"/>
        <color theme="1"/>
        <name val="Century Gothic"/>
        <family val="2"/>
        <scheme val="major"/>
      </font>
      <numFmt numFmtId="4" formatCode="#,##0.00"/>
      <alignment horizontal="right" vertical="bottom" textRotation="0" wrapText="0" indent="1" justifyLastLine="0" shrinkToFit="0" readingOrder="0"/>
    </dxf>
    <dxf>
      <font>
        <b val="0"/>
        <i val="0"/>
        <strike val="0"/>
        <condense val="0"/>
        <extend val="0"/>
        <outline/>
        <shadow/>
        <u val="none"/>
        <vertAlign val="baseline"/>
        <sz val="8"/>
        <color theme="1"/>
        <name val="Century Gothic"/>
        <scheme val="major"/>
      </font>
      <numFmt numFmtId="1" formatCode="0"/>
      <alignment horizontal="center" vertical="bottom" textRotation="0" wrapText="0" indent="0" justifyLastLine="0" shrinkToFit="0" readingOrder="0"/>
      <protection locked="0" hidden="0"/>
    </dxf>
    <dxf>
      <font>
        <b/>
        <i val="0"/>
        <strike val="0"/>
        <condense/>
        <extend/>
        <outline/>
        <shadow/>
        <u val="none"/>
        <vertAlign val="baseline"/>
        <sz val="8"/>
        <color theme="1"/>
        <name val="Century Gothic"/>
        <family val="2"/>
        <scheme val="major"/>
      </font>
      <numFmt numFmtId="4" formatCode="#,##0.00"/>
      <alignment horizontal="right" vertical="bottom" textRotation="0" wrapText="0" indent="1" justifyLastLine="0" shrinkToFit="0" readingOrder="0"/>
    </dxf>
    <dxf>
      <font>
        <b val="0"/>
        <i val="0"/>
        <strike val="0"/>
        <condense val="0"/>
        <extend val="0"/>
        <outline/>
        <shadow/>
        <u val="none"/>
        <vertAlign val="baseline"/>
        <sz val="8"/>
        <color theme="1"/>
        <name val="Century Gothic"/>
        <scheme val="major"/>
      </font>
      <numFmt numFmtId="1" formatCode="0"/>
      <alignment horizontal="center" vertical="bottom" textRotation="0" wrapText="0" indent="0" justifyLastLine="0" shrinkToFit="0" readingOrder="0"/>
      <protection locked="0" hidden="0"/>
    </dxf>
    <dxf>
      <font>
        <b/>
        <i val="0"/>
        <strike val="0"/>
        <condense/>
        <extend/>
        <outline/>
        <shadow/>
        <u val="none"/>
        <vertAlign val="baseline"/>
        <sz val="8"/>
        <color theme="1"/>
        <name val="Century Gothic"/>
        <family val="2"/>
        <scheme val="major"/>
      </font>
      <numFmt numFmtId="4" formatCode="#,##0.00"/>
      <alignment horizontal="right" vertical="bottom" textRotation="0" wrapText="0" indent="1" justifyLastLine="0" shrinkToFit="0" readingOrder="0"/>
    </dxf>
    <dxf>
      <font>
        <b val="0"/>
        <i val="0"/>
        <strike val="0"/>
        <outline/>
        <shadow/>
        <u val="none"/>
        <vertAlign val="baseline"/>
        <sz val="8"/>
        <color theme="1"/>
        <name val="Century Gothic"/>
        <scheme val="major"/>
      </font>
      <numFmt numFmtId="1" formatCode="0"/>
      <alignment horizontal="center" vertical="bottom" textRotation="0" wrapText="0" indent="0" justifyLastLine="0" shrinkToFit="0" readingOrder="0"/>
      <protection locked="0" hidden="0"/>
    </dxf>
    <dxf>
      <font>
        <b/>
        <i val="0"/>
        <strike val="0"/>
        <condense/>
        <extend/>
        <outline/>
        <shadow/>
        <u val="none"/>
        <vertAlign val="baseline"/>
        <sz val="8"/>
        <color theme="1"/>
        <name val="Century Gothic"/>
        <family val="2"/>
        <scheme val="major"/>
      </font>
      <fill>
        <patternFill patternType="solid">
          <fgColor indexed="64"/>
          <bgColor theme="0" tint="-4.9989318521683403E-2"/>
        </patternFill>
      </fill>
      <alignment horizontal="left" vertical="bottom" textRotation="0" wrapText="0" indent="1" justifyLastLine="0" shrinkToFit="0" readingOrder="0"/>
    </dxf>
    <dxf>
      <font>
        <b val="0"/>
        <i/>
        <strike val="0"/>
        <outline/>
        <shadow/>
        <u val="none"/>
        <vertAlign val="baseline"/>
        <sz val="8"/>
        <color theme="1"/>
        <name val="Century Gothic"/>
        <scheme val="major"/>
      </font>
      <alignment horizontal="left" vertical="bottom" textRotation="0" wrapText="0" indent="1" justifyLastLine="0" shrinkToFit="0" readingOrder="0"/>
    </dxf>
    <dxf>
      <font>
        <b/>
        <i val="0"/>
        <strike val="0"/>
        <outline/>
        <shadow/>
        <u val="none"/>
        <vertAlign val="baseline"/>
        <sz val="8"/>
        <color theme="1"/>
        <name val="Century Gothic"/>
        <scheme val="major"/>
      </font>
    </dxf>
    <dxf>
      <font>
        <strike/>
        <outline/>
        <shadow/>
        <u val="none"/>
        <vertAlign val="baseline"/>
        <sz val="8"/>
        <color theme="1"/>
        <name val="Century Gothic"/>
        <scheme val="major"/>
      </font>
    </dxf>
    <dxf>
      <font>
        <strike/>
        <outline/>
        <shadow/>
        <u val="none"/>
        <vertAlign val="baseline"/>
        <sz val="9"/>
        <color theme="1"/>
        <name val="Century Gothic"/>
        <scheme val="major"/>
      </font>
    </dxf>
    <dxf>
      <font>
        <b/>
        <i val="0"/>
        <strike val="0"/>
        <condense/>
        <extend/>
        <outline/>
        <shadow/>
        <u val="none"/>
        <vertAlign val="baseline"/>
        <sz val="8"/>
        <color theme="1"/>
        <name val="Century Gothic"/>
        <family val="2"/>
        <scheme val="major"/>
      </font>
      <alignment horizontal="right" vertical="bottom" textRotation="0" wrapText="0" indent="1" justifyLastLine="0" shrinkToFit="0" readingOrder="0"/>
    </dxf>
    <dxf>
      <font>
        <strike/>
        <outline/>
        <shadow/>
        <u val="none"/>
        <vertAlign val="baseline"/>
        <sz val="8"/>
        <color theme="1"/>
        <name val="Century Gothic"/>
        <scheme val="major"/>
      </font>
      <fill>
        <patternFill patternType="solid">
          <fgColor indexed="64"/>
          <bgColor theme="1" tint="0.34998626667073579"/>
        </patternFill>
      </fill>
      <border outline="0">
        <left style="thin">
          <color theme="0" tint="-0.14996795556505021"/>
        </left>
      </border>
    </dxf>
    <dxf>
      <font>
        <b/>
        <i val="0"/>
        <strike val="0"/>
        <condense/>
        <extend/>
        <outline/>
        <shadow/>
        <u val="none"/>
        <vertAlign val="baseline"/>
        <sz val="8"/>
        <color theme="1"/>
        <name val="Century Gothic"/>
        <family val="2"/>
        <scheme val="major"/>
      </font>
      <alignment horizontal="right" vertical="bottom" textRotation="0" wrapText="0" indent="1" justifyLastLine="0" shrinkToFit="0" readingOrder="0"/>
    </dxf>
    <dxf>
      <font>
        <b val="0"/>
        <i val="0"/>
        <strike/>
        <outline/>
        <shadow/>
        <u val="none"/>
        <vertAlign val="baseline"/>
        <sz val="1"/>
        <color theme="0" tint="-0.14999847407452621"/>
        <name val="Century Gothic"/>
        <scheme val="major"/>
      </font>
      <numFmt numFmtId="0" formatCode="General"/>
      <fill>
        <patternFill patternType="none">
          <fgColor indexed="64"/>
          <bgColor auto="1"/>
        </patternFill>
      </fill>
      <alignment horizontal="center" vertical="bottom" textRotation="0" wrapText="0" indent="0" justifyLastLine="0" shrinkToFit="0" readingOrder="0"/>
    </dxf>
    <dxf>
      <font>
        <b/>
        <i val="0"/>
        <strike val="0"/>
        <condense/>
        <extend/>
        <outline/>
        <shadow/>
        <u val="none"/>
        <vertAlign val="baseline"/>
        <sz val="8"/>
        <color theme="1"/>
        <name val="Century Gothic"/>
        <family val="2"/>
        <scheme val="major"/>
      </font>
      <alignment horizontal="right" vertical="bottom" textRotation="0" wrapText="0" indent="1" justifyLastLine="0" shrinkToFit="0" readingOrder="0"/>
    </dxf>
    <dxf>
      <font>
        <b val="0"/>
        <i val="0"/>
        <strike val="0"/>
        <outline/>
        <shadow/>
        <u val="none"/>
        <vertAlign val="baseline"/>
        <sz val="8"/>
        <color theme="0"/>
        <name val="Century Gothic"/>
        <scheme val="major"/>
      </font>
      <numFmt numFmtId="0" formatCode="General"/>
      <alignment horizontal="center" vertical="bottom" textRotation="0" wrapText="0" indent="0" justifyLastLine="0" shrinkToFit="0" readingOrder="0"/>
      <border>
        <right style="thin">
          <color theme="0" tint="-0.14996795556505021"/>
        </right>
      </border>
    </dxf>
    <dxf>
      <font>
        <b/>
        <i val="0"/>
        <strike val="0"/>
        <condense/>
        <extend/>
        <outline/>
        <shadow/>
        <u val="none"/>
        <vertAlign val="baseline"/>
        <sz val="8"/>
        <color theme="1"/>
        <name val="Century Gothic"/>
        <family val="2"/>
        <scheme val="major"/>
      </font>
      <numFmt numFmtId="4" formatCode="#,##0.00"/>
      <alignment horizontal="right" vertical="bottom" textRotation="0" wrapText="0" indent="1" justifyLastLine="0" shrinkToFit="0" readingOrder="0"/>
    </dxf>
    <dxf>
      <font>
        <b val="0"/>
        <i val="0"/>
        <strike val="0"/>
        <outline/>
        <shadow/>
        <u val="none"/>
        <vertAlign val="baseline"/>
        <sz val="8"/>
        <color theme="1"/>
      </font>
      <numFmt numFmtId="1" formatCode="0"/>
      <alignment horizontal="right" vertical="bottom" textRotation="0" wrapText="0" indent="1" justifyLastLine="0" shrinkToFit="0" readingOrder="0"/>
      <protection locked="0" hidden="0"/>
    </dxf>
    <dxf>
      <font>
        <b/>
        <i val="0"/>
        <strike val="0"/>
        <condense/>
        <extend/>
        <outline/>
        <shadow/>
        <u val="none"/>
        <vertAlign val="baseline"/>
        <sz val="8"/>
        <color theme="1"/>
        <name val="Century Gothic"/>
        <family val="2"/>
        <scheme val="major"/>
      </font>
      <numFmt numFmtId="4" formatCode="#,##0.00"/>
      <alignment horizontal="right" vertical="bottom" textRotation="0" wrapText="0" indent="1" justifyLastLine="0" shrinkToFit="0" readingOrder="0"/>
    </dxf>
    <dxf>
      <font>
        <b val="0"/>
        <i val="0"/>
        <strike val="0"/>
        <outline/>
        <shadow/>
        <u val="none"/>
        <vertAlign val="baseline"/>
        <sz val="8"/>
        <color theme="1"/>
      </font>
      <numFmt numFmtId="1" formatCode="0"/>
      <alignment horizontal="center" vertical="bottom" textRotation="0" wrapText="0" indent="0" justifyLastLine="0" shrinkToFit="0"/>
      <protection locked="0" hidden="0"/>
    </dxf>
    <dxf>
      <font>
        <b/>
        <i val="0"/>
        <strike val="0"/>
        <condense/>
        <extend/>
        <outline/>
        <shadow/>
        <u val="none"/>
        <vertAlign val="baseline"/>
        <sz val="8"/>
        <color theme="1"/>
        <name val="Century Gothic"/>
        <family val="2"/>
        <scheme val="major"/>
      </font>
      <numFmt numFmtId="4" formatCode="#,##0.00"/>
      <alignment horizontal="right" vertical="bottom" textRotation="0" wrapText="0" indent="1" justifyLastLine="0" shrinkToFit="0" readingOrder="0"/>
    </dxf>
    <dxf>
      <font>
        <b val="0"/>
        <i val="0"/>
        <strike val="0"/>
        <outline/>
        <shadow/>
        <u val="none"/>
        <vertAlign val="baseline"/>
        <sz val="8"/>
        <color theme="1"/>
      </font>
      <numFmt numFmtId="1" formatCode="0"/>
      <alignment horizontal="right" vertical="bottom" textRotation="0" wrapText="0" indent="1" justifyLastLine="0" shrinkToFit="0" readingOrder="0"/>
      <protection locked="0" hidden="0"/>
    </dxf>
    <dxf>
      <font>
        <b/>
        <i val="0"/>
        <strike val="0"/>
        <condense/>
        <extend/>
        <outline/>
        <shadow/>
        <u val="none"/>
        <vertAlign val="baseline"/>
        <sz val="8"/>
        <color theme="1"/>
        <name val="Century Gothic"/>
        <family val="2"/>
        <scheme val="major"/>
      </font>
      <numFmt numFmtId="4" formatCode="#,##0.00"/>
      <alignment horizontal="right" vertical="bottom" textRotation="0" wrapText="0" indent="1" justifyLastLine="0" shrinkToFit="0" readingOrder="0"/>
    </dxf>
    <dxf>
      <font>
        <b val="0"/>
        <i val="0"/>
        <strike val="0"/>
        <outline/>
        <shadow/>
        <u val="none"/>
        <vertAlign val="baseline"/>
        <sz val="8"/>
        <color theme="1"/>
      </font>
      <numFmt numFmtId="1" formatCode="0"/>
      <alignment horizontal="right" vertical="bottom" textRotation="0" wrapText="0" indent="1" justifyLastLine="0" shrinkToFit="0" readingOrder="0"/>
      <protection locked="0" hidden="0"/>
    </dxf>
    <dxf>
      <font>
        <b/>
        <i val="0"/>
        <strike val="0"/>
        <condense/>
        <extend/>
        <outline/>
        <shadow/>
        <u val="none"/>
        <vertAlign val="baseline"/>
        <sz val="8"/>
        <color theme="1"/>
        <name val="Century Gothic"/>
        <family val="2"/>
        <scheme val="major"/>
      </font>
      <numFmt numFmtId="4" formatCode="#,##0.00"/>
      <alignment horizontal="right" vertical="bottom" textRotation="0" wrapText="0" indent="1" justifyLastLine="0" shrinkToFit="0" readingOrder="0"/>
    </dxf>
    <dxf>
      <font>
        <b val="0"/>
        <i val="0"/>
        <strike val="0"/>
        <outline/>
        <shadow/>
        <u val="none"/>
        <vertAlign val="baseline"/>
        <sz val="8"/>
        <color theme="1"/>
      </font>
      <numFmt numFmtId="1" formatCode="0"/>
      <alignment horizontal="right" vertical="bottom" textRotation="0" wrapText="0" indent="1" justifyLastLine="0" shrinkToFit="0" readingOrder="0"/>
      <protection locked="0" hidden="0"/>
    </dxf>
    <dxf>
      <font>
        <b/>
        <i val="0"/>
        <strike val="0"/>
        <condense/>
        <extend/>
        <outline/>
        <shadow/>
        <u val="none"/>
        <vertAlign val="baseline"/>
        <sz val="8"/>
        <color theme="1"/>
        <name val="Century Gothic"/>
        <family val="2"/>
        <scheme val="major"/>
      </font>
      <numFmt numFmtId="4" formatCode="#,##0.00"/>
      <alignment horizontal="right" vertical="bottom" textRotation="0" wrapText="0" indent="1" justifyLastLine="0" shrinkToFit="0" readingOrder="0"/>
    </dxf>
    <dxf>
      <font>
        <b val="0"/>
        <i val="0"/>
        <strike val="0"/>
        <outline/>
        <shadow/>
        <u val="none"/>
        <vertAlign val="baseline"/>
        <sz val="8"/>
        <color theme="1"/>
      </font>
      <numFmt numFmtId="1" formatCode="0"/>
      <alignment horizontal="right" vertical="bottom" textRotation="0" wrapText="0" indent="1" justifyLastLine="0" shrinkToFit="0" readingOrder="0"/>
      <protection locked="0" hidden="0"/>
    </dxf>
    <dxf>
      <font>
        <b/>
        <i val="0"/>
        <strike val="0"/>
        <condense/>
        <extend/>
        <outline/>
        <shadow/>
        <u val="none"/>
        <vertAlign val="baseline"/>
        <sz val="8"/>
        <color theme="1"/>
        <name val="Century Gothic"/>
        <family val="2"/>
        <scheme val="major"/>
      </font>
      <numFmt numFmtId="4" formatCode="#,##0.00"/>
      <alignment horizontal="right" vertical="bottom" textRotation="0" wrapText="0" indent="1" justifyLastLine="0" shrinkToFit="0" readingOrder="0"/>
    </dxf>
    <dxf>
      <font>
        <b val="0"/>
        <i val="0"/>
        <strike val="0"/>
        <outline/>
        <shadow/>
        <u val="none"/>
        <vertAlign val="baseline"/>
        <sz val="8"/>
        <color theme="1"/>
      </font>
      <numFmt numFmtId="1" formatCode="0"/>
      <alignment horizontal="right" vertical="bottom" textRotation="0" wrapText="0" indent="1" justifyLastLine="0" shrinkToFit="0" readingOrder="0"/>
      <protection locked="0" hidden="0"/>
    </dxf>
    <dxf>
      <font>
        <b/>
        <i val="0"/>
        <strike val="0"/>
        <condense/>
        <extend/>
        <outline/>
        <shadow/>
        <u val="none"/>
        <vertAlign val="baseline"/>
        <sz val="8"/>
        <color theme="1"/>
        <name val="Century Gothic"/>
        <family val="2"/>
        <scheme val="major"/>
      </font>
      <numFmt numFmtId="4" formatCode="#,##0.00"/>
      <alignment horizontal="right" vertical="bottom" textRotation="0" wrapText="0" indent="1" justifyLastLine="0" shrinkToFit="0" readingOrder="0"/>
    </dxf>
    <dxf>
      <font>
        <b val="0"/>
        <i val="0"/>
        <strike val="0"/>
        <condense val="0"/>
        <extend val="0"/>
        <outline/>
        <shadow/>
        <u val="none"/>
        <vertAlign val="baseline"/>
        <sz val="8"/>
        <color theme="1"/>
        <name val="Calibri"/>
        <scheme val="minor"/>
      </font>
      <numFmt numFmtId="1" formatCode="0"/>
      <alignment horizontal="right" vertical="bottom" textRotation="0" wrapText="0" indent="1" justifyLastLine="0" shrinkToFit="0" readingOrder="0"/>
      <protection locked="0" hidden="0"/>
    </dxf>
    <dxf>
      <font>
        <b/>
        <i val="0"/>
        <strike val="0"/>
        <condense/>
        <extend/>
        <outline/>
        <shadow/>
        <u val="none"/>
        <vertAlign val="baseline"/>
        <sz val="8"/>
        <color theme="1"/>
        <name val="Century Gothic"/>
        <family val="2"/>
        <scheme val="major"/>
      </font>
      <numFmt numFmtId="4" formatCode="#,##0.00"/>
      <alignment horizontal="right" vertical="bottom" textRotation="0" wrapText="0" indent="1" justifyLastLine="0" shrinkToFit="0" readingOrder="0"/>
    </dxf>
    <dxf>
      <font>
        <b val="0"/>
        <i val="0"/>
        <strike val="0"/>
        <condense val="0"/>
        <extend val="0"/>
        <outline/>
        <shadow/>
        <u val="none"/>
        <vertAlign val="baseline"/>
        <sz val="8"/>
        <color theme="1"/>
        <name val="Calibri"/>
        <scheme val="minor"/>
      </font>
      <numFmt numFmtId="1" formatCode="0"/>
      <alignment horizontal="right" vertical="bottom" textRotation="0" wrapText="0" indent="1" justifyLastLine="0" shrinkToFit="0" readingOrder="0"/>
      <protection locked="0" hidden="0"/>
    </dxf>
    <dxf>
      <font>
        <b/>
        <i val="0"/>
        <strike val="0"/>
        <condense/>
        <extend/>
        <outline/>
        <shadow/>
        <u val="none"/>
        <vertAlign val="baseline"/>
        <sz val="8"/>
        <color theme="1"/>
        <name val="Century Gothic"/>
        <family val="2"/>
        <scheme val="major"/>
      </font>
      <numFmt numFmtId="4" formatCode="#,##0.00"/>
      <alignment horizontal="right" vertical="bottom" textRotation="0" wrapText="0" indent="1" justifyLastLine="0" shrinkToFit="0" readingOrder="0"/>
    </dxf>
    <dxf>
      <font>
        <b val="0"/>
        <i val="0"/>
        <strike val="0"/>
        <condense val="0"/>
        <extend val="0"/>
        <outline/>
        <shadow/>
        <u val="none"/>
        <vertAlign val="baseline"/>
        <sz val="8"/>
        <color theme="1"/>
        <name val="Calibri"/>
        <scheme val="minor"/>
      </font>
      <numFmt numFmtId="1" formatCode="0"/>
      <alignment horizontal="right" vertical="bottom" textRotation="0" wrapText="0" indent="1" justifyLastLine="0" shrinkToFit="0" readingOrder="0"/>
      <protection locked="0" hidden="0"/>
    </dxf>
    <dxf>
      <font>
        <b/>
        <i val="0"/>
        <strike val="0"/>
        <condense/>
        <extend/>
        <outline/>
        <shadow/>
        <u val="none"/>
        <vertAlign val="baseline"/>
        <sz val="8"/>
        <color theme="1"/>
        <name val="Century Gothic"/>
        <family val="2"/>
        <scheme val="major"/>
      </font>
      <numFmt numFmtId="4" formatCode="#,##0.00"/>
      <alignment horizontal="right" vertical="bottom" textRotation="0" wrapText="0" indent="1" justifyLastLine="0" shrinkToFit="0" readingOrder="0"/>
    </dxf>
    <dxf>
      <font>
        <b val="0"/>
        <i val="0"/>
        <strike val="0"/>
        <condense val="0"/>
        <extend val="0"/>
        <outline/>
        <shadow/>
        <u val="none"/>
        <vertAlign val="baseline"/>
        <sz val="8"/>
        <color theme="1"/>
        <name val="Calibri"/>
        <scheme val="minor"/>
      </font>
      <numFmt numFmtId="1" formatCode="0"/>
      <alignment horizontal="right" vertical="bottom" textRotation="0" wrapText="0" indent="1" justifyLastLine="0" shrinkToFit="0" readingOrder="0"/>
      <protection locked="0" hidden="0"/>
    </dxf>
    <dxf>
      <font>
        <b/>
        <i val="0"/>
        <strike val="0"/>
        <condense/>
        <extend/>
        <outline/>
        <shadow/>
        <u val="none"/>
        <vertAlign val="baseline"/>
        <sz val="8"/>
        <color theme="1"/>
        <name val="Century Gothic"/>
        <family val="2"/>
        <scheme val="major"/>
      </font>
      <numFmt numFmtId="4" formatCode="#,##0.00"/>
      <alignment horizontal="right" vertical="bottom" textRotation="0" wrapText="0" indent="1" justifyLastLine="0" shrinkToFit="0" readingOrder="0"/>
    </dxf>
    <dxf>
      <font>
        <b val="0"/>
        <i val="0"/>
        <strike val="0"/>
        <condense val="0"/>
        <extend val="0"/>
        <outline/>
        <shadow/>
        <u val="none"/>
        <vertAlign val="baseline"/>
        <sz val="8"/>
        <color theme="1"/>
        <name val="Calibri"/>
        <scheme val="minor"/>
      </font>
      <numFmt numFmtId="1" formatCode="0"/>
      <alignment horizontal="right" vertical="bottom" textRotation="0" wrapText="0" indent="1" justifyLastLine="0" shrinkToFit="0" readingOrder="0"/>
      <protection locked="0" hidden="0"/>
    </dxf>
    <dxf>
      <font>
        <b/>
        <i val="0"/>
        <strike val="0"/>
        <condense/>
        <extend/>
        <outline/>
        <shadow/>
        <u val="none"/>
        <vertAlign val="baseline"/>
        <sz val="8"/>
        <color theme="1"/>
        <name val="Century Gothic"/>
        <family val="2"/>
        <scheme val="major"/>
      </font>
      <numFmt numFmtId="4" formatCode="#,##0.00"/>
      <alignment horizontal="right" vertical="bottom" textRotation="0" wrapText="0" indent="1" justifyLastLine="0" shrinkToFit="0" readingOrder="0"/>
    </dxf>
    <dxf>
      <font>
        <b val="0"/>
        <i val="0"/>
        <strike val="0"/>
        <condense val="0"/>
        <extend val="0"/>
        <outline/>
        <shadow/>
        <u val="none"/>
        <vertAlign val="baseline"/>
        <sz val="8"/>
        <color theme="1"/>
        <name val="Calibri"/>
        <scheme val="minor"/>
      </font>
      <numFmt numFmtId="1" formatCode="0"/>
      <alignment horizontal="right" vertical="bottom" textRotation="0" wrapText="0" indent="1" justifyLastLine="0" shrinkToFit="0" readingOrder="0"/>
      <protection locked="0" hidden="0"/>
    </dxf>
    <dxf>
      <font>
        <b/>
        <i val="0"/>
        <strike val="0"/>
        <condense/>
        <extend/>
        <outline/>
        <shadow/>
        <u val="none"/>
        <vertAlign val="baseline"/>
        <sz val="8"/>
        <color theme="1"/>
        <name val="Century Gothic"/>
        <family val="2"/>
        <scheme val="major"/>
      </font>
      <numFmt numFmtId="4" formatCode="#,##0.00"/>
      <alignment horizontal="right" vertical="bottom" textRotation="0" wrapText="0" indent="1" justifyLastLine="0" shrinkToFit="0" readingOrder="0"/>
    </dxf>
    <dxf>
      <font>
        <b val="0"/>
        <i val="0"/>
        <strike val="0"/>
        <condense val="0"/>
        <extend val="0"/>
        <outline/>
        <shadow/>
        <u val="none"/>
        <vertAlign val="baseline"/>
        <sz val="8"/>
        <color theme="1"/>
        <name val="Calibri"/>
        <scheme val="minor"/>
      </font>
      <numFmt numFmtId="1" formatCode="0"/>
      <alignment horizontal="right" vertical="bottom" textRotation="0" wrapText="0" indent="1" justifyLastLine="0" shrinkToFit="0" readingOrder="0"/>
      <protection locked="0" hidden="0"/>
    </dxf>
    <dxf>
      <font>
        <b/>
        <i val="0"/>
        <strike val="0"/>
        <condense/>
        <extend/>
        <outline/>
        <shadow/>
        <u val="none"/>
        <vertAlign val="baseline"/>
        <sz val="8"/>
        <color theme="1"/>
        <name val="Century Gothic"/>
        <family val="2"/>
        <scheme val="major"/>
      </font>
      <numFmt numFmtId="4" formatCode="#,##0.00"/>
      <alignment horizontal="right" vertical="bottom" textRotation="0" wrapText="0" indent="1" justifyLastLine="0" shrinkToFit="0" readingOrder="0"/>
    </dxf>
    <dxf>
      <font>
        <b val="0"/>
        <i val="0"/>
        <strike val="0"/>
        <outline/>
        <shadow/>
        <u val="none"/>
        <vertAlign val="baseline"/>
        <sz val="8"/>
        <color theme="1"/>
      </font>
      <numFmt numFmtId="1" formatCode="0"/>
      <alignment horizontal="right" vertical="bottom" textRotation="0" wrapText="0" indent="1" justifyLastLine="0" shrinkToFit="0" readingOrder="0"/>
      <protection locked="0" hidden="0"/>
    </dxf>
    <dxf>
      <font>
        <b/>
        <i val="0"/>
        <strike val="0"/>
        <condense/>
        <extend/>
        <outline/>
        <shadow/>
        <u val="none"/>
        <vertAlign val="baseline"/>
        <sz val="8"/>
        <color theme="1"/>
        <name val="Century Gothic"/>
        <family val="2"/>
        <scheme val="major"/>
      </font>
      <numFmt numFmtId="4" formatCode="#,##0.00"/>
      <alignment horizontal="right" vertical="bottom" textRotation="0" wrapText="0" indent="1" justifyLastLine="0" shrinkToFit="0" readingOrder="0"/>
    </dxf>
    <dxf>
      <font>
        <b val="0"/>
        <i val="0"/>
        <strike val="0"/>
        <outline/>
        <shadow/>
        <u val="none"/>
        <vertAlign val="baseline"/>
        <sz val="8"/>
        <color theme="1"/>
      </font>
      <numFmt numFmtId="1" formatCode="0"/>
      <alignment horizontal="right" vertical="bottom" textRotation="0" wrapText="0" indent="1" justifyLastLine="0" shrinkToFit="0" readingOrder="0"/>
      <protection locked="0" hidden="0"/>
    </dxf>
    <dxf>
      <font>
        <b/>
        <i val="0"/>
        <strike val="0"/>
        <condense/>
        <extend/>
        <outline/>
        <shadow/>
        <u val="none"/>
        <vertAlign val="baseline"/>
        <sz val="8"/>
        <color theme="1"/>
        <name val="Century Gothic"/>
        <family val="2"/>
        <scheme val="major"/>
      </font>
      <numFmt numFmtId="4" formatCode="#,##0.00"/>
      <alignment horizontal="right" vertical="bottom" textRotation="0" wrapText="0" indent="1" justifyLastLine="0" shrinkToFit="0" readingOrder="0"/>
    </dxf>
    <dxf>
      <font>
        <b val="0"/>
        <i val="0"/>
        <strike val="0"/>
        <outline/>
        <shadow/>
        <u val="none"/>
        <vertAlign val="baseline"/>
        <sz val="8"/>
        <color theme="1"/>
      </font>
      <numFmt numFmtId="1" formatCode="0"/>
      <alignment horizontal="right" vertical="bottom" textRotation="0" wrapText="0" indent="1" justifyLastLine="0" shrinkToFit="0" readingOrder="0"/>
      <protection locked="0" hidden="0"/>
    </dxf>
    <dxf>
      <font>
        <b/>
        <i val="0"/>
        <strike val="0"/>
        <condense/>
        <extend/>
        <outline/>
        <shadow/>
        <u val="none"/>
        <vertAlign val="baseline"/>
        <sz val="8"/>
        <color theme="1"/>
        <name val="Century Gothic"/>
        <family val="2"/>
        <scheme val="major"/>
      </font>
      <numFmt numFmtId="4" formatCode="#,##0.00"/>
      <alignment horizontal="right" vertical="bottom" textRotation="0" wrapText="0" indent="1" justifyLastLine="0" shrinkToFit="0" readingOrder="0"/>
    </dxf>
    <dxf>
      <font>
        <b val="0"/>
        <i val="0"/>
        <strike val="0"/>
        <outline/>
        <shadow/>
        <u val="none"/>
        <vertAlign val="baseline"/>
        <sz val="8"/>
        <color theme="1"/>
      </font>
      <numFmt numFmtId="1" formatCode="0"/>
      <alignment horizontal="right" vertical="bottom" textRotation="0" wrapText="0" indent="1" justifyLastLine="0" shrinkToFit="0" readingOrder="0"/>
      <protection locked="0" hidden="0"/>
    </dxf>
    <dxf>
      <font>
        <b/>
        <i val="0"/>
        <strike val="0"/>
        <condense/>
        <extend/>
        <outline/>
        <shadow/>
        <u val="none"/>
        <vertAlign val="baseline"/>
        <sz val="8"/>
        <color theme="1"/>
        <name val="Century Gothic"/>
        <family val="2"/>
        <scheme val="major"/>
      </font>
      <numFmt numFmtId="4" formatCode="#,##0.00"/>
      <alignment horizontal="right" vertical="bottom" textRotation="0" wrapText="0" indent="1" justifyLastLine="0" shrinkToFit="0" readingOrder="0"/>
    </dxf>
    <dxf>
      <font>
        <b val="0"/>
        <i val="0"/>
        <strike val="0"/>
        <condense val="0"/>
        <extend val="0"/>
        <outline/>
        <shadow/>
        <u val="none"/>
        <vertAlign val="baseline"/>
        <sz val="8"/>
        <color theme="1"/>
        <name val="Century Gothic"/>
        <scheme val="major"/>
      </font>
      <numFmt numFmtId="1" formatCode="0"/>
      <alignment horizontal="center" vertical="bottom" textRotation="0" wrapText="0" indent="0" justifyLastLine="0" shrinkToFit="0" readingOrder="0"/>
      <protection locked="0" hidden="0"/>
    </dxf>
    <dxf>
      <font>
        <b/>
        <i val="0"/>
        <strike val="0"/>
        <condense/>
        <extend/>
        <outline/>
        <shadow/>
        <u val="none"/>
        <vertAlign val="baseline"/>
        <sz val="8"/>
        <color theme="1"/>
        <name val="Century Gothic"/>
        <family val="2"/>
        <scheme val="major"/>
      </font>
      <numFmt numFmtId="4" formatCode="#,##0.00"/>
      <alignment horizontal="right" vertical="bottom" textRotation="0" wrapText="0" indent="1" justifyLastLine="0" shrinkToFit="0" readingOrder="0"/>
    </dxf>
    <dxf>
      <font>
        <b val="0"/>
        <i val="0"/>
        <strike val="0"/>
        <condense val="0"/>
        <extend val="0"/>
        <outline/>
        <shadow/>
        <u val="none"/>
        <vertAlign val="baseline"/>
        <sz val="8"/>
        <color theme="1"/>
        <name val="Century Gothic"/>
        <scheme val="major"/>
      </font>
      <numFmt numFmtId="1" formatCode="0"/>
      <alignment horizontal="center" vertical="bottom" textRotation="0" wrapText="0" indent="0" justifyLastLine="0" shrinkToFit="0" readingOrder="0"/>
      <protection locked="0" hidden="0"/>
    </dxf>
    <dxf>
      <font>
        <b/>
        <i val="0"/>
        <strike val="0"/>
        <condense/>
        <extend/>
        <outline/>
        <shadow/>
        <u val="none"/>
        <vertAlign val="baseline"/>
        <sz val="8"/>
        <color theme="1"/>
        <name val="Century Gothic"/>
        <family val="2"/>
        <scheme val="major"/>
      </font>
      <numFmt numFmtId="4" formatCode="#,##0.00"/>
      <alignment horizontal="right" vertical="bottom" textRotation="0" wrapText="0" indent="1" justifyLastLine="0" shrinkToFit="0" readingOrder="0"/>
    </dxf>
    <dxf>
      <font>
        <b val="0"/>
        <i val="0"/>
        <strike val="0"/>
        <condense val="0"/>
        <extend val="0"/>
        <outline/>
        <shadow/>
        <u val="none"/>
        <vertAlign val="baseline"/>
        <sz val="8"/>
        <color theme="1"/>
        <name val="Century Gothic"/>
        <scheme val="major"/>
      </font>
      <numFmt numFmtId="1" formatCode="0"/>
      <alignment horizontal="center" vertical="bottom" textRotation="0" wrapText="0" indent="0" justifyLastLine="0" shrinkToFit="0" readingOrder="0"/>
      <protection locked="0" hidden="0"/>
    </dxf>
    <dxf>
      <font>
        <b/>
        <i val="0"/>
        <strike val="0"/>
        <condense/>
        <extend/>
        <outline/>
        <shadow/>
        <u val="none"/>
        <vertAlign val="baseline"/>
        <sz val="8"/>
        <color theme="1"/>
        <name val="Century Gothic"/>
        <family val="2"/>
        <scheme val="major"/>
      </font>
      <numFmt numFmtId="4" formatCode="#,##0.00"/>
      <alignment horizontal="right" vertical="bottom" textRotation="0" wrapText="0" indent="1" justifyLastLine="0" shrinkToFit="0" readingOrder="0"/>
    </dxf>
    <dxf>
      <font>
        <b val="0"/>
        <i val="0"/>
        <strike val="0"/>
        <condense val="0"/>
        <extend val="0"/>
        <outline/>
        <shadow/>
        <u val="none"/>
        <vertAlign val="baseline"/>
        <sz val="8"/>
        <color theme="1"/>
        <name val="Century Gothic"/>
        <scheme val="major"/>
      </font>
      <numFmt numFmtId="1" formatCode="0"/>
      <alignment horizontal="center" vertical="bottom" textRotation="0" wrapText="0" indent="0" justifyLastLine="0" shrinkToFit="0" readingOrder="0"/>
      <protection locked="0" hidden="0"/>
    </dxf>
    <dxf>
      <font>
        <b/>
        <i val="0"/>
        <strike val="0"/>
        <condense/>
        <extend/>
        <outline/>
        <shadow/>
        <u val="none"/>
        <vertAlign val="baseline"/>
        <sz val="8"/>
        <color theme="1"/>
        <name val="Century Gothic"/>
        <family val="2"/>
        <scheme val="major"/>
      </font>
      <numFmt numFmtId="4" formatCode="#,##0.00"/>
      <alignment horizontal="right" vertical="bottom" textRotation="0" wrapText="0" indent="1" justifyLastLine="0" shrinkToFit="0" readingOrder="0"/>
    </dxf>
    <dxf>
      <font>
        <b val="0"/>
        <i val="0"/>
        <strike val="0"/>
        <condense val="0"/>
        <extend val="0"/>
        <outline/>
        <shadow/>
        <u val="none"/>
        <vertAlign val="baseline"/>
        <sz val="8"/>
        <color theme="1"/>
        <name val="Century Gothic"/>
        <scheme val="major"/>
      </font>
      <numFmt numFmtId="1" formatCode="0"/>
      <alignment horizontal="center" vertical="bottom" textRotation="0" wrapText="0" indent="0" justifyLastLine="0" shrinkToFit="0" readingOrder="0"/>
      <protection locked="0" hidden="0"/>
    </dxf>
    <dxf>
      <font>
        <b/>
        <i val="0"/>
        <strike val="0"/>
        <condense/>
        <extend/>
        <outline/>
        <shadow/>
        <u val="none"/>
        <vertAlign val="baseline"/>
        <sz val="8"/>
        <color theme="1"/>
        <name val="Century Gothic"/>
        <family val="2"/>
        <scheme val="major"/>
      </font>
      <numFmt numFmtId="4" formatCode="#,##0.00"/>
      <alignment horizontal="right" vertical="bottom" textRotation="0" wrapText="0" indent="1" justifyLastLine="0" shrinkToFit="0" readingOrder="0"/>
    </dxf>
    <dxf>
      <font>
        <b val="0"/>
        <i val="0"/>
        <strike val="0"/>
        <condense val="0"/>
        <extend val="0"/>
        <outline/>
        <shadow/>
        <u val="none"/>
        <vertAlign val="baseline"/>
        <sz val="8"/>
        <color theme="1"/>
        <name val="Century Gothic"/>
        <scheme val="major"/>
      </font>
      <numFmt numFmtId="1" formatCode="0"/>
      <alignment horizontal="center" vertical="bottom" textRotation="0" wrapText="0" indent="0" justifyLastLine="0" shrinkToFit="0" readingOrder="0"/>
      <protection locked="0" hidden="0"/>
    </dxf>
    <dxf>
      <font>
        <b/>
        <i val="0"/>
        <strike val="0"/>
        <condense/>
        <extend/>
        <outline/>
        <shadow/>
        <u val="none"/>
        <vertAlign val="baseline"/>
        <sz val="8"/>
        <color theme="1"/>
        <name val="Century Gothic"/>
        <family val="2"/>
        <scheme val="major"/>
      </font>
      <numFmt numFmtId="4" formatCode="#,##0.00"/>
      <alignment horizontal="right" vertical="bottom" textRotation="0" wrapText="0" indent="1" justifyLastLine="0" shrinkToFit="0" readingOrder="0"/>
    </dxf>
    <dxf>
      <font>
        <b val="0"/>
        <i val="0"/>
        <strike val="0"/>
        <condense val="0"/>
        <extend val="0"/>
        <outline/>
        <shadow/>
        <u val="none"/>
        <vertAlign val="baseline"/>
        <sz val="8"/>
        <color theme="1"/>
        <name val="Century Gothic"/>
        <scheme val="major"/>
      </font>
      <numFmt numFmtId="1" formatCode="0"/>
      <alignment horizontal="center" vertical="bottom" textRotation="0" wrapText="0" indent="0" justifyLastLine="0" shrinkToFit="0" readingOrder="0"/>
      <protection locked="0" hidden="0"/>
    </dxf>
    <dxf>
      <font>
        <b/>
        <i val="0"/>
        <strike val="0"/>
        <condense/>
        <extend/>
        <outline/>
        <shadow/>
        <u val="none"/>
        <vertAlign val="baseline"/>
        <sz val="8"/>
        <color theme="1"/>
        <name val="Century Gothic"/>
        <family val="2"/>
        <scheme val="major"/>
      </font>
      <numFmt numFmtId="4" formatCode="#,##0.00"/>
      <alignment horizontal="right" vertical="bottom" textRotation="0" wrapText="0" indent="1" justifyLastLine="0" shrinkToFit="0" readingOrder="0"/>
    </dxf>
    <dxf>
      <font>
        <b val="0"/>
        <i val="0"/>
        <strike val="0"/>
        <condense val="0"/>
        <extend val="0"/>
        <outline/>
        <shadow/>
        <u val="none"/>
        <vertAlign val="baseline"/>
        <sz val="8"/>
        <color theme="1"/>
        <name val="Century Gothic"/>
        <scheme val="major"/>
      </font>
      <numFmt numFmtId="1" formatCode="0"/>
      <alignment horizontal="center" vertical="bottom" textRotation="0" wrapText="0" indent="0" justifyLastLine="0" shrinkToFit="0" readingOrder="0"/>
      <protection locked="0" hidden="0"/>
    </dxf>
    <dxf>
      <font>
        <b/>
        <i val="0"/>
        <strike val="0"/>
        <condense/>
        <extend/>
        <outline/>
        <shadow/>
        <u val="none"/>
        <vertAlign val="baseline"/>
        <sz val="8"/>
        <color theme="1"/>
        <name val="Century Gothic"/>
        <family val="2"/>
        <scheme val="major"/>
      </font>
      <numFmt numFmtId="4" formatCode="#,##0.00"/>
      <alignment horizontal="right" vertical="bottom" textRotation="0" wrapText="0" indent="1" justifyLastLine="0" shrinkToFit="0" readingOrder="0"/>
    </dxf>
    <dxf>
      <font>
        <b val="0"/>
        <i val="0"/>
        <strike val="0"/>
        <condense val="0"/>
        <extend val="0"/>
        <outline/>
        <shadow/>
        <u val="none"/>
        <vertAlign val="baseline"/>
        <sz val="8"/>
        <color theme="1"/>
        <name val="Century Gothic"/>
        <scheme val="major"/>
      </font>
      <numFmt numFmtId="1" formatCode="0"/>
      <alignment horizontal="center" vertical="bottom" textRotation="0" wrapText="0" indent="0" justifyLastLine="0" shrinkToFit="0" readingOrder="0"/>
      <protection locked="0" hidden="0"/>
    </dxf>
    <dxf>
      <font>
        <b/>
        <i val="0"/>
        <strike val="0"/>
        <condense/>
        <extend/>
        <outline/>
        <shadow/>
        <u val="none"/>
        <vertAlign val="baseline"/>
        <sz val="8"/>
        <color theme="1"/>
        <name val="Century Gothic"/>
        <family val="2"/>
        <scheme val="major"/>
      </font>
      <numFmt numFmtId="4" formatCode="#,##0.00"/>
      <alignment horizontal="right" vertical="bottom" textRotation="0" wrapText="0" indent="1" justifyLastLine="0" shrinkToFit="0" readingOrder="0"/>
    </dxf>
    <dxf>
      <font>
        <b val="0"/>
        <i val="0"/>
        <strike val="0"/>
        <condense val="0"/>
        <extend val="0"/>
        <outline/>
        <shadow/>
        <u val="none"/>
        <vertAlign val="baseline"/>
        <sz val="8"/>
        <color theme="1"/>
        <name val="Century Gothic"/>
        <scheme val="major"/>
      </font>
      <numFmt numFmtId="1" formatCode="0"/>
      <alignment horizontal="center" vertical="bottom" textRotation="0" wrapText="0" indent="0" justifyLastLine="0" shrinkToFit="0" readingOrder="0"/>
      <protection locked="0" hidden="0"/>
    </dxf>
    <dxf>
      <font>
        <b/>
        <i val="0"/>
        <strike val="0"/>
        <condense/>
        <extend/>
        <outline/>
        <shadow/>
        <u val="none"/>
        <vertAlign val="baseline"/>
        <sz val="8"/>
        <color theme="1"/>
        <name val="Century Gothic"/>
        <family val="2"/>
        <scheme val="major"/>
      </font>
      <numFmt numFmtId="4" formatCode="#,##0.00"/>
      <alignment horizontal="right" vertical="bottom" textRotation="0" wrapText="0" indent="1" justifyLastLine="0" shrinkToFit="0" readingOrder="0"/>
    </dxf>
    <dxf>
      <font>
        <b val="0"/>
        <i val="0"/>
        <strike val="0"/>
        <condense val="0"/>
        <extend val="0"/>
        <outline/>
        <shadow/>
        <u val="none"/>
        <vertAlign val="baseline"/>
        <sz val="8"/>
        <color theme="1"/>
        <name val="Century Gothic"/>
        <scheme val="major"/>
      </font>
      <numFmt numFmtId="1" formatCode="0"/>
      <alignment horizontal="center" vertical="bottom" textRotation="0" wrapText="0" indent="0" justifyLastLine="0" shrinkToFit="0" readingOrder="0"/>
      <protection locked="0" hidden="0"/>
    </dxf>
    <dxf>
      <font>
        <b/>
        <i val="0"/>
        <strike val="0"/>
        <condense/>
        <extend/>
        <outline/>
        <shadow/>
        <u val="none"/>
        <vertAlign val="baseline"/>
        <sz val="8"/>
        <color theme="1"/>
        <name val="Century Gothic"/>
        <family val="2"/>
        <scheme val="major"/>
      </font>
      <numFmt numFmtId="4" formatCode="#,##0.00"/>
      <alignment horizontal="right" vertical="bottom" textRotation="0" wrapText="0" indent="1" justifyLastLine="0" shrinkToFit="0" readingOrder="0"/>
    </dxf>
    <dxf>
      <font>
        <b val="0"/>
        <i val="0"/>
        <strike val="0"/>
        <outline/>
        <shadow/>
        <u val="none"/>
        <vertAlign val="baseline"/>
        <sz val="8"/>
        <color theme="1"/>
        <name val="Century Gothic"/>
        <scheme val="major"/>
      </font>
      <numFmt numFmtId="1" formatCode="0"/>
      <alignment horizontal="center" vertical="bottom" textRotation="0" wrapText="0" indent="0" justifyLastLine="0" shrinkToFit="0" readingOrder="0"/>
      <protection locked="0" hidden="0"/>
    </dxf>
    <dxf>
      <font>
        <b/>
        <i val="0"/>
        <strike val="0"/>
        <condense/>
        <extend/>
        <outline/>
        <shadow/>
        <u val="none"/>
        <vertAlign val="baseline"/>
        <sz val="8"/>
        <color theme="1"/>
        <name val="Century Gothic"/>
        <family val="2"/>
        <scheme val="major"/>
      </font>
      <numFmt numFmtId="19" formatCode="dd/mm/yyyy"/>
      <fill>
        <patternFill patternType="solid">
          <fgColor indexed="64"/>
          <bgColor theme="0" tint="-4.9989318521683403E-2"/>
        </patternFill>
      </fill>
      <alignment horizontal="left" vertical="bottom" textRotation="0" wrapText="0" indent="1" justifyLastLine="0" shrinkToFit="0" readingOrder="0"/>
    </dxf>
    <dxf>
      <font>
        <b val="0"/>
        <i/>
        <strike val="0"/>
        <outline/>
        <shadow/>
        <u val="none"/>
        <vertAlign val="baseline"/>
        <sz val="8"/>
        <color theme="1"/>
        <name val="Century Gothic"/>
        <scheme val="major"/>
      </font>
      <alignment horizontal="left" vertical="bottom" textRotation="0" wrapText="0" indent="1" justifyLastLine="0" shrinkToFit="0" readingOrder="0"/>
      <protection locked="1" hidden="0"/>
    </dxf>
    <dxf>
      <font>
        <b/>
        <i val="0"/>
        <strike val="0"/>
        <outline/>
        <shadow/>
        <u val="none"/>
        <vertAlign val="baseline"/>
        <sz val="8"/>
        <color theme="1"/>
        <name val="Century Gothic"/>
        <scheme val="major"/>
      </font>
    </dxf>
    <dxf>
      <font>
        <strike/>
        <outline/>
        <shadow/>
        <u val="none"/>
        <vertAlign val="baseline"/>
        <sz val="8"/>
        <color theme="1"/>
        <name val="Century Gothic"/>
        <scheme val="major"/>
      </font>
    </dxf>
    <dxf>
      <font>
        <strike/>
        <outline/>
        <shadow/>
        <u val="none"/>
        <vertAlign val="baseline"/>
        <sz val="9"/>
        <color theme="1"/>
        <name val="Century Gothic"/>
        <scheme val="major"/>
      </font>
    </dxf>
    <dxf>
      <alignment horizontal="center" vertical="bottom" textRotation="0" wrapText="0" indent="0" justifyLastLine="0" shrinkToFit="0" readingOrder="0"/>
    </dxf>
    <dxf>
      <alignment horizontal="center" vertical="bottom" textRotation="0" wrapText="0" indent="0" justifyLastLine="0" shrinkToFit="0" readingOrder="0"/>
    </dxf>
    <dxf>
      <alignment horizontal="center" vertical="bottom" textRotation="0" wrapText="0" indent="0" justifyLastLine="0" shrinkToFit="0" readingOrder="0"/>
    </dxf>
    <dxf>
      <alignment horizontal="center" vertical="bottom" textRotation="0" wrapText="0" indent="0" justifyLastLine="0" shrinkToFit="0" readingOrder="0"/>
    </dxf>
    <dxf>
      <alignment horizontal="center" vertical="bottom" textRotation="0" wrapText="0" indent="0" justifyLastLine="0" shrinkToFit="0" readingOrder="0"/>
    </dxf>
    <dxf>
      <alignment horizontal="center" vertical="bottom" textRotation="0" wrapText="0" indent="0" justifyLastLine="0" shrinkToFit="0" readingOrder="0"/>
    </dxf>
    <dxf>
      <alignment horizontal="center" vertical="bottom" textRotation="0" wrapText="0" indent="0" justifyLastLine="0" shrinkToFit="0" readingOrder="0"/>
    </dxf>
    <dxf>
      <alignment horizontal="center" vertical="bottom" textRotation="0" wrapText="0" indent="0" justifyLastLine="0" shrinkToFit="0" readingOrder="0"/>
    </dxf>
    <dxf>
      <alignment horizontal="center" vertical="bottom" textRotation="0" wrapText="0" indent="0" justifyLastLine="0" shrinkToFit="0" readingOrder="0"/>
    </dxf>
    <dxf>
      <alignment horizontal="center" vertical="bottom" textRotation="0" wrapText="0" indent="0" justifyLastLine="0" shrinkToFit="0" readingOrder="0"/>
    </dxf>
    <dxf>
      <alignment horizontal="center" vertical="bottom" textRotation="0" wrapText="0" indent="0" justifyLastLine="0" shrinkToFit="0" readingOrder="0"/>
    </dxf>
    <dxf>
      <alignment horizontal="center" vertical="bottom" textRotation="0" wrapText="0" indent="0" justifyLastLine="0" shrinkToFit="0" readingOrder="0"/>
    </dxf>
    <dxf>
      <alignment horizontal="center" vertical="bottom" textRotation="0" wrapText="0" indent="0" justifyLastLine="0" shrinkToFit="0" readingOrder="0"/>
    </dxf>
    <dxf>
      <alignment horizontal="center" vertical="bottom" textRotation="0" wrapText="0" indent="0" justifyLastLine="0" shrinkToFit="0" readingOrder="0"/>
    </dxf>
    <dxf>
      <alignment horizontal="center" vertical="bottom" textRotation="0" wrapText="0" indent="0" justifyLastLine="0" shrinkToFit="0" readingOrder="0"/>
    </dxf>
    <dxf>
      <alignment horizontal="center" vertical="bottom" textRotation="0" wrapText="0" indent="0" justifyLastLine="0" shrinkToFit="0" readingOrder="0"/>
    </dxf>
    <dxf>
      <alignment horizontal="center" vertical="bottom" textRotation="0" wrapText="0" indent="0" justifyLastLine="0" shrinkToFit="0" readingOrder="0"/>
    </dxf>
    <dxf>
      <alignment horizontal="center" vertical="bottom" textRotation="0" wrapText="0" indent="0" justifyLastLine="0" shrinkToFit="0" readingOrder="0"/>
    </dxf>
    <dxf>
      <alignment horizontal="center" vertical="bottom" textRotation="0" wrapText="0" indent="0" justifyLastLine="0" shrinkToFit="0" readingOrder="0"/>
    </dxf>
    <dxf>
      <alignment horizontal="center" vertical="bottom" textRotation="0" wrapText="0" indent="0" justifyLastLine="0" shrinkToFit="0" readingOrder="0"/>
    </dxf>
    <dxf>
      <alignment horizontal="center" vertical="bottom" textRotation="0" wrapText="0" indent="0" justifyLastLine="0" shrinkToFit="0" readingOrder="0"/>
    </dxf>
    <dxf>
      <alignment horizontal="center" vertical="bottom" textRotation="0" wrapText="0" indent="0" justifyLastLine="0" shrinkToFit="0" readingOrder="0"/>
    </dxf>
    <dxf>
      <alignment horizontal="center" vertical="bottom" textRotation="0" wrapText="0" indent="0" justifyLastLine="0" shrinkToFit="0" readingOrder="0"/>
    </dxf>
    <dxf>
      <alignment horizontal="center" vertical="bottom" textRotation="0" wrapText="0" indent="0" justifyLastLine="0" shrinkToFit="0" readingOrder="0"/>
    </dxf>
    <dxf>
      <alignment horizontal="center" vertical="bottom" textRotation="0" wrapText="0" indent="0" justifyLastLine="0" shrinkToFit="0" readingOrder="0"/>
    </dxf>
    <dxf>
      <alignment horizontal="center" vertical="bottom" textRotation="0" wrapText="0" indent="0" justifyLastLine="0" shrinkToFit="0" readingOrder="0"/>
    </dxf>
    <dxf>
      <alignment horizontal="center" vertical="bottom" textRotation="0" wrapText="0" indent="0" justifyLastLine="0" shrinkToFit="0" readingOrder="0"/>
    </dxf>
    <dxf>
      <alignment horizontal="center" vertical="bottom" textRotation="0" wrapText="0" indent="0" justifyLastLine="0" shrinkToFit="0" readingOrder="0"/>
    </dxf>
    <dxf>
      <alignment horizontal="center" vertical="bottom" textRotation="0" wrapText="0" indent="0" justifyLastLine="0" shrinkToFit="0" readingOrder="0"/>
    </dxf>
    <dxf>
      <alignment horizontal="center" vertical="bottom" textRotation="0" wrapText="0" indent="0" justifyLastLine="0" shrinkToFit="0" readingOrder="0"/>
    </dxf>
    <dxf>
      <font>
        <b/>
        <i val="0"/>
        <strike val="0"/>
        <condense val="0"/>
        <extend val="0"/>
        <outline val="0"/>
        <shadow val="0"/>
        <u val="none"/>
        <vertAlign val="baseline"/>
        <sz val="10"/>
        <color theme="1"/>
        <name val="Calibri"/>
        <family val="2"/>
        <scheme val="minor"/>
      </font>
      <alignment horizontal="left" vertical="bottom" textRotation="0" wrapText="0" indent="0" justifyLastLine="0" shrinkToFit="0" readingOrder="0"/>
    </dxf>
    <dxf>
      <border outline="0">
        <bottom style="medium">
          <color theme="1" tint="0.24994659260841701"/>
        </bottom>
      </border>
    </dxf>
    <dxf>
      <alignment horizontal="center" vertical="bottom" textRotation="0" wrapText="0" indent="0" justifyLastLine="0" shrinkToFit="0" readingOrder="0"/>
    </dxf>
    <dxf>
      <font>
        <b val="0"/>
        <i val="0"/>
        <strike val="0"/>
        <condense val="0"/>
        <extend val="0"/>
        <outline val="0"/>
        <shadow val="0"/>
        <u val="none"/>
        <vertAlign val="baseline"/>
        <sz val="9"/>
        <color theme="0"/>
        <name val="Calibri"/>
        <family val="2"/>
        <scheme val="minor"/>
      </font>
      <fill>
        <patternFill patternType="solid">
          <fgColor indexed="64"/>
          <bgColor theme="1" tint="0.34998626667073579"/>
        </patternFill>
      </fill>
      <alignment horizontal="center" vertical="center" textRotation="0" wrapText="1" indent="0" justifyLastLine="0" shrinkToFit="0" readingOrder="0"/>
    </dxf>
    <dxf>
      <font>
        <b/>
        <i val="0"/>
        <strike val="0"/>
        <condense/>
        <extend/>
        <outline/>
        <shadow/>
        <u val="none"/>
        <vertAlign val="baseline"/>
        <sz val="8"/>
        <color theme="1"/>
        <name val="Century Gothic"/>
        <family val="2"/>
        <scheme val="major"/>
      </font>
      <numFmt numFmtId="4" formatCode="#,##0.00"/>
      <alignment horizontal="right" vertical="bottom" textRotation="0" wrapText="0" indent="1" justifyLastLine="0" shrinkToFit="0" readingOrder="0"/>
    </dxf>
    <dxf>
      <font>
        <b val="0"/>
        <i val="0"/>
        <strike val="0"/>
        <outline/>
        <shadow/>
        <u val="none"/>
        <vertAlign val="baseline"/>
        <sz val="8"/>
        <color theme="1"/>
      </font>
      <numFmt numFmtId="0" formatCode="General"/>
      <alignment horizontal="right" vertical="bottom" textRotation="0" wrapText="0" indent="1" justifyLastLine="0" shrinkToFit="0" readingOrder="0"/>
      <protection locked="0" hidden="0"/>
    </dxf>
    <dxf>
      <font>
        <b/>
        <i val="0"/>
        <strike val="0"/>
        <condense/>
        <extend/>
        <outline/>
        <shadow/>
        <u val="none"/>
        <vertAlign val="baseline"/>
        <sz val="8"/>
        <color theme="1"/>
        <name val="Century Gothic"/>
        <family val="2"/>
        <scheme val="major"/>
      </font>
      <numFmt numFmtId="4" formatCode="#,##0.00"/>
      <alignment horizontal="right" vertical="bottom" textRotation="0" wrapText="0" indent="1" justifyLastLine="0" shrinkToFit="0" readingOrder="0"/>
    </dxf>
    <dxf>
      <font>
        <b val="0"/>
        <i val="0"/>
        <strike val="0"/>
        <outline/>
        <shadow/>
        <u val="none"/>
        <vertAlign val="baseline"/>
        <sz val="8"/>
        <color theme="1"/>
      </font>
      <numFmt numFmtId="0" formatCode="General"/>
      <alignment horizontal="center" vertical="bottom" textRotation="0" wrapText="0" indent="0" justifyLastLine="0" shrinkToFit="0"/>
      <protection locked="0" hidden="0"/>
    </dxf>
    <dxf>
      <font>
        <b/>
        <i val="0"/>
        <strike val="0"/>
        <condense/>
        <extend/>
        <outline/>
        <shadow/>
        <u val="none"/>
        <vertAlign val="baseline"/>
        <sz val="8"/>
        <color theme="1"/>
        <name val="Century Gothic"/>
        <family val="2"/>
        <scheme val="major"/>
      </font>
      <numFmt numFmtId="4" formatCode="#,##0.00"/>
      <alignment horizontal="right" vertical="bottom" textRotation="0" wrapText="0" indent="1" justifyLastLine="0" shrinkToFit="0" readingOrder="0"/>
    </dxf>
    <dxf>
      <font>
        <b val="0"/>
        <i val="0"/>
        <strike val="0"/>
        <outline/>
        <shadow/>
        <u val="none"/>
        <vertAlign val="baseline"/>
        <sz val="8"/>
        <color theme="1"/>
      </font>
      <numFmt numFmtId="0" formatCode="General"/>
      <alignment horizontal="right" vertical="bottom" textRotation="0" wrapText="0" indent="1" justifyLastLine="0" shrinkToFit="0" readingOrder="0"/>
      <protection locked="0" hidden="0"/>
    </dxf>
    <dxf>
      <font>
        <b/>
        <i val="0"/>
        <strike val="0"/>
        <condense/>
        <extend/>
        <outline/>
        <shadow/>
        <u val="none"/>
        <vertAlign val="baseline"/>
        <sz val="8"/>
        <color theme="1"/>
        <name val="Century Gothic"/>
        <family val="2"/>
        <scheme val="major"/>
      </font>
      <numFmt numFmtId="4" formatCode="#,##0.00"/>
      <alignment horizontal="right" vertical="bottom" textRotation="0" wrapText="0" indent="1" justifyLastLine="0" shrinkToFit="0" readingOrder="0"/>
    </dxf>
    <dxf>
      <font>
        <b val="0"/>
        <i val="0"/>
        <strike val="0"/>
        <outline/>
        <shadow/>
        <u val="none"/>
        <vertAlign val="baseline"/>
        <sz val="8"/>
        <color theme="1"/>
      </font>
      <numFmt numFmtId="0" formatCode="General"/>
      <alignment horizontal="right" vertical="bottom" textRotation="0" wrapText="0" indent="1" justifyLastLine="0" shrinkToFit="0" readingOrder="0"/>
      <protection locked="0" hidden="0"/>
    </dxf>
    <dxf>
      <font>
        <b/>
        <i val="0"/>
        <strike val="0"/>
        <condense/>
        <extend/>
        <outline/>
        <shadow/>
        <u val="none"/>
        <vertAlign val="baseline"/>
        <sz val="8"/>
        <color theme="1"/>
        <name val="Century Gothic"/>
        <family val="2"/>
        <scheme val="major"/>
      </font>
      <numFmt numFmtId="4" formatCode="#,##0.00"/>
      <alignment horizontal="right" vertical="bottom" textRotation="0" wrapText="0" indent="1" justifyLastLine="0" shrinkToFit="0" readingOrder="0"/>
    </dxf>
    <dxf>
      <font>
        <b val="0"/>
        <i val="0"/>
        <strike val="0"/>
        <outline/>
        <shadow/>
        <u val="none"/>
        <vertAlign val="baseline"/>
        <sz val="8"/>
        <color theme="1"/>
      </font>
      <numFmt numFmtId="0" formatCode="General"/>
      <alignment horizontal="right" vertical="bottom" textRotation="0" wrapText="0" indent="1" justifyLastLine="0" shrinkToFit="0" readingOrder="0"/>
      <protection locked="0" hidden="0"/>
    </dxf>
    <dxf>
      <font>
        <b/>
        <i val="0"/>
        <strike val="0"/>
        <condense/>
        <extend/>
        <outline/>
        <shadow/>
        <u val="none"/>
        <vertAlign val="baseline"/>
        <sz val="8"/>
        <color theme="1"/>
        <name val="Century Gothic"/>
        <family val="2"/>
        <scheme val="major"/>
      </font>
      <numFmt numFmtId="4" formatCode="#,##0.00"/>
      <alignment horizontal="right" vertical="bottom" textRotation="0" wrapText="0" indent="1" justifyLastLine="0" shrinkToFit="0" readingOrder="0"/>
    </dxf>
    <dxf>
      <font>
        <b val="0"/>
        <i val="0"/>
        <strike val="0"/>
        <outline/>
        <shadow/>
        <u val="none"/>
        <vertAlign val="baseline"/>
        <sz val="8"/>
        <color theme="1"/>
      </font>
      <numFmt numFmtId="0" formatCode="General"/>
      <alignment horizontal="right" vertical="bottom" textRotation="0" wrapText="0" indent="1" justifyLastLine="0" shrinkToFit="0" readingOrder="0"/>
      <protection locked="0" hidden="0"/>
    </dxf>
    <dxf>
      <font>
        <b/>
        <i val="0"/>
        <strike val="0"/>
        <condense/>
        <extend/>
        <outline/>
        <shadow/>
        <u val="none"/>
        <vertAlign val="baseline"/>
        <sz val="8"/>
        <color theme="1"/>
        <name val="Century Gothic"/>
        <family val="2"/>
        <scheme val="major"/>
      </font>
      <numFmt numFmtId="4" formatCode="#,##0.00"/>
      <alignment horizontal="right" vertical="bottom" textRotation="0" wrapText="0" indent="1" justifyLastLine="0" shrinkToFit="0" readingOrder="0"/>
    </dxf>
    <dxf>
      <font>
        <b val="0"/>
        <i val="0"/>
        <strike val="0"/>
        <outline/>
        <shadow/>
        <u val="none"/>
        <vertAlign val="baseline"/>
        <sz val="8"/>
        <color theme="1"/>
      </font>
      <numFmt numFmtId="0" formatCode="General"/>
      <alignment horizontal="right" vertical="bottom" textRotation="0" wrapText="0" indent="1" justifyLastLine="0" shrinkToFit="0" readingOrder="0"/>
      <protection locked="0" hidden="0"/>
    </dxf>
    <dxf>
      <font>
        <b/>
        <i val="0"/>
        <strike val="0"/>
        <condense/>
        <extend/>
        <outline/>
        <shadow/>
        <u val="none"/>
        <vertAlign val="baseline"/>
        <sz val="8"/>
        <color theme="1"/>
        <name val="Century Gothic"/>
        <family val="2"/>
        <scheme val="major"/>
      </font>
      <numFmt numFmtId="4" formatCode="#,##0.00"/>
      <alignment horizontal="right" vertical="bottom" textRotation="0" wrapText="0" indent="1" justifyLastLine="0" shrinkToFit="0" readingOrder="0"/>
    </dxf>
    <dxf>
      <font>
        <b val="0"/>
        <i val="0"/>
        <strike val="0"/>
        <condense val="0"/>
        <extend val="0"/>
        <outline/>
        <shadow/>
        <u val="none"/>
        <vertAlign val="baseline"/>
        <sz val="8"/>
        <color theme="1"/>
        <name val="Calibri"/>
        <scheme val="minor"/>
      </font>
      <numFmt numFmtId="0" formatCode="General"/>
      <alignment horizontal="right" vertical="bottom" textRotation="0" wrapText="0" indent="1" justifyLastLine="0" shrinkToFit="0" readingOrder="0"/>
      <protection locked="0" hidden="0"/>
    </dxf>
    <dxf>
      <font>
        <b/>
        <i val="0"/>
        <strike val="0"/>
        <condense/>
        <extend/>
        <outline/>
        <shadow/>
        <u val="none"/>
        <vertAlign val="baseline"/>
        <sz val="8"/>
        <color theme="1"/>
        <name val="Century Gothic"/>
        <family val="2"/>
        <scheme val="major"/>
      </font>
      <numFmt numFmtId="4" formatCode="#,##0.00"/>
      <alignment horizontal="right" vertical="bottom" textRotation="0" wrapText="0" indent="1" justifyLastLine="0" shrinkToFit="0" readingOrder="0"/>
    </dxf>
    <dxf>
      <font>
        <b val="0"/>
        <i val="0"/>
        <strike val="0"/>
        <condense val="0"/>
        <extend val="0"/>
        <outline/>
        <shadow/>
        <u val="none"/>
        <vertAlign val="baseline"/>
        <sz val="8"/>
        <color theme="1"/>
        <name val="Calibri"/>
        <scheme val="minor"/>
      </font>
      <numFmt numFmtId="0" formatCode="General"/>
      <alignment horizontal="right" vertical="bottom" textRotation="0" wrapText="0" indent="1" justifyLastLine="0" shrinkToFit="0" readingOrder="0"/>
      <protection locked="0" hidden="0"/>
    </dxf>
    <dxf>
      <font>
        <b/>
        <i val="0"/>
        <strike val="0"/>
        <condense/>
        <extend/>
        <outline/>
        <shadow/>
        <u val="none"/>
        <vertAlign val="baseline"/>
        <sz val="8"/>
        <color theme="1"/>
        <name val="Century Gothic"/>
        <family val="2"/>
        <scheme val="major"/>
      </font>
      <numFmt numFmtId="4" formatCode="#,##0.00"/>
      <alignment horizontal="right" vertical="bottom" textRotation="0" wrapText="0" indent="1" justifyLastLine="0" shrinkToFit="0" readingOrder="0"/>
    </dxf>
    <dxf>
      <font>
        <b val="0"/>
        <i val="0"/>
        <strike val="0"/>
        <condense val="0"/>
        <extend val="0"/>
        <outline/>
        <shadow/>
        <u val="none"/>
        <vertAlign val="baseline"/>
        <sz val="8"/>
        <color theme="1"/>
        <name val="Calibri"/>
        <scheme val="minor"/>
      </font>
      <numFmt numFmtId="0" formatCode="General"/>
      <alignment horizontal="right" vertical="bottom" textRotation="0" wrapText="0" indent="1" justifyLastLine="0" shrinkToFit="0" readingOrder="0"/>
      <protection locked="0" hidden="0"/>
    </dxf>
    <dxf>
      <font>
        <b/>
        <i val="0"/>
        <strike val="0"/>
        <condense/>
        <extend/>
        <outline/>
        <shadow/>
        <u val="none"/>
        <vertAlign val="baseline"/>
        <sz val="8"/>
        <color theme="1"/>
        <name val="Century Gothic"/>
        <family val="2"/>
        <scheme val="major"/>
      </font>
      <numFmt numFmtId="4" formatCode="#,##0.00"/>
      <alignment horizontal="right" vertical="bottom" textRotation="0" wrapText="0" indent="1" justifyLastLine="0" shrinkToFit="0" readingOrder="0"/>
    </dxf>
    <dxf>
      <font>
        <b val="0"/>
        <i val="0"/>
        <strike val="0"/>
        <condense val="0"/>
        <extend val="0"/>
        <outline/>
        <shadow/>
        <u val="none"/>
        <vertAlign val="baseline"/>
        <sz val="8"/>
        <color theme="1"/>
        <name val="Calibri"/>
        <scheme val="minor"/>
      </font>
      <numFmt numFmtId="0" formatCode="General"/>
      <alignment horizontal="right" vertical="bottom" textRotation="0" wrapText="0" indent="1" justifyLastLine="0" shrinkToFit="0" readingOrder="0"/>
      <protection locked="0" hidden="0"/>
    </dxf>
    <dxf>
      <font>
        <b/>
        <i val="0"/>
        <strike val="0"/>
        <condense/>
        <extend/>
        <outline/>
        <shadow/>
        <u val="none"/>
        <vertAlign val="baseline"/>
        <sz val="8"/>
        <color theme="1"/>
        <name val="Century Gothic"/>
        <family val="2"/>
        <scheme val="major"/>
      </font>
      <numFmt numFmtId="4" formatCode="#,##0.00"/>
      <alignment horizontal="right" vertical="bottom" textRotation="0" wrapText="0" indent="1" justifyLastLine="0" shrinkToFit="0" readingOrder="0"/>
    </dxf>
    <dxf>
      <font>
        <b val="0"/>
        <i val="0"/>
        <strike val="0"/>
        <condense val="0"/>
        <extend val="0"/>
        <outline/>
        <shadow/>
        <u val="none"/>
        <vertAlign val="baseline"/>
        <sz val="8"/>
        <color theme="1"/>
        <name val="Calibri"/>
        <scheme val="minor"/>
      </font>
      <numFmt numFmtId="0" formatCode="General"/>
      <alignment horizontal="right" vertical="bottom" textRotation="0" wrapText="0" indent="1" justifyLastLine="0" shrinkToFit="0" readingOrder="0"/>
      <protection locked="0" hidden="0"/>
    </dxf>
    <dxf>
      <font>
        <b/>
        <i val="0"/>
        <strike val="0"/>
        <condense/>
        <extend/>
        <outline/>
        <shadow/>
        <u val="none"/>
        <vertAlign val="baseline"/>
        <sz val="8"/>
        <color theme="1"/>
        <name val="Century Gothic"/>
        <family val="2"/>
        <scheme val="major"/>
      </font>
      <numFmt numFmtId="4" formatCode="#,##0.00"/>
      <alignment horizontal="right" vertical="bottom" textRotation="0" wrapText="0" indent="1" justifyLastLine="0" shrinkToFit="0" readingOrder="0"/>
    </dxf>
    <dxf>
      <font>
        <b val="0"/>
        <i val="0"/>
        <strike val="0"/>
        <condense val="0"/>
        <extend val="0"/>
        <outline/>
        <shadow/>
        <u val="none"/>
        <vertAlign val="baseline"/>
        <sz val="8"/>
        <color theme="1"/>
        <name val="Calibri"/>
        <scheme val="minor"/>
      </font>
      <numFmt numFmtId="0" formatCode="General"/>
      <alignment horizontal="right" vertical="bottom" textRotation="0" wrapText="0" indent="1" justifyLastLine="0" shrinkToFit="0" readingOrder="0"/>
      <protection locked="0" hidden="0"/>
    </dxf>
    <dxf>
      <font>
        <b/>
        <i val="0"/>
        <strike val="0"/>
        <condense/>
        <extend/>
        <outline/>
        <shadow/>
        <u val="none"/>
        <vertAlign val="baseline"/>
        <sz val="8"/>
        <color theme="1"/>
        <name val="Century Gothic"/>
        <family val="2"/>
        <scheme val="major"/>
      </font>
      <numFmt numFmtId="4" formatCode="#,##0.00"/>
      <alignment horizontal="right" vertical="bottom" textRotation="0" wrapText="0" indent="1" justifyLastLine="0" shrinkToFit="0" readingOrder="0"/>
    </dxf>
    <dxf>
      <font>
        <b val="0"/>
        <i val="0"/>
        <strike val="0"/>
        <condense val="0"/>
        <extend val="0"/>
        <outline/>
        <shadow/>
        <u val="none"/>
        <vertAlign val="baseline"/>
        <sz val="8"/>
        <color theme="1"/>
        <name val="Calibri"/>
        <scheme val="minor"/>
      </font>
      <numFmt numFmtId="0" formatCode="General"/>
      <alignment horizontal="right" vertical="bottom" textRotation="0" wrapText="0" indent="1" justifyLastLine="0" shrinkToFit="0" readingOrder="0"/>
      <protection locked="0" hidden="0"/>
    </dxf>
    <dxf>
      <font>
        <b/>
        <i val="0"/>
        <strike val="0"/>
        <condense/>
        <extend/>
        <outline/>
        <shadow/>
        <u val="none"/>
        <vertAlign val="baseline"/>
        <sz val="8"/>
        <color theme="1"/>
        <name val="Century Gothic"/>
        <family val="2"/>
        <scheme val="major"/>
      </font>
      <numFmt numFmtId="4" formatCode="#,##0.00"/>
      <alignment horizontal="right" vertical="bottom" textRotation="0" wrapText="0" indent="1" justifyLastLine="0" shrinkToFit="0" readingOrder="0"/>
    </dxf>
    <dxf>
      <font>
        <b val="0"/>
        <i val="0"/>
        <strike val="0"/>
        <outline/>
        <shadow/>
        <u val="none"/>
        <vertAlign val="baseline"/>
        <sz val="8"/>
        <color theme="1"/>
      </font>
      <numFmt numFmtId="0" formatCode="General"/>
      <alignment horizontal="right" vertical="bottom" textRotation="0" wrapText="0" indent="1" justifyLastLine="0" shrinkToFit="0" readingOrder="0"/>
      <protection locked="0" hidden="0"/>
    </dxf>
    <dxf>
      <font>
        <b/>
        <i val="0"/>
        <strike val="0"/>
        <condense/>
        <extend/>
        <outline/>
        <shadow/>
        <u val="none"/>
        <vertAlign val="baseline"/>
        <sz val="8"/>
        <color theme="1"/>
        <name val="Century Gothic"/>
        <family val="2"/>
        <scheme val="major"/>
      </font>
      <numFmt numFmtId="4" formatCode="#,##0.00"/>
      <fill>
        <patternFill patternType="solid">
          <fgColor indexed="64"/>
          <bgColor theme="0" tint="-4.9989318521683403E-2"/>
        </patternFill>
      </fill>
      <alignment horizontal="right" vertical="bottom" textRotation="0" wrapText="0" indent="1" justifyLastLine="0" shrinkToFit="0" readingOrder="0"/>
    </dxf>
    <dxf>
      <font>
        <b val="0"/>
        <i val="0"/>
        <strike val="0"/>
        <outline/>
        <shadow/>
        <u val="none"/>
        <vertAlign val="baseline"/>
        <sz val="8"/>
        <color theme="1"/>
      </font>
      <numFmt numFmtId="0" formatCode="General"/>
      <alignment horizontal="right" vertical="bottom" textRotation="0" wrapText="0" indent="1" justifyLastLine="0" shrinkToFit="0" readingOrder="0"/>
      <protection locked="0" hidden="0"/>
    </dxf>
    <dxf>
      <font>
        <b/>
        <i val="0"/>
        <strike val="0"/>
        <condense/>
        <extend/>
        <outline/>
        <shadow/>
        <u val="none"/>
        <vertAlign val="baseline"/>
        <sz val="8"/>
        <color theme="1"/>
        <name val="Century Gothic"/>
        <family val="2"/>
        <scheme val="major"/>
      </font>
      <numFmt numFmtId="4" formatCode="#,##0.00"/>
      <alignment horizontal="right" vertical="bottom" textRotation="0" wrapText="0" indent="1" justifyLastLine="0" shrinkToFit="0" readingOrder="0"/>
    </dxf>
    <dxf>
      <font>
        <b val="0"/>
        <i val="0"/>
        <strike val="0"/>
        <outline/>
        <shadow/>
        <u val="none"/>
        <vertAlign val="baseline"/>
        <sz val="8"/>
        <color theme="1"/>
      </font>
      <numFmt numFmtId="0" formatCode="General"/>
      <alignment horizontal="right" vertical="bottom" textRotation="0" wrapText="0" indent="1" justifyLastLine="0" shrinkToFit="0" readingOrder="0"/>
      <protection locked="0" hidden="0"/>
    </dxf>
    <dxf>
      <font>
        <b/>
        <i val="0"/>
        <strike val="0"/>
        <condense/>
        <extend/>
        <outline/>
        <shadow/>
        <u val="none"/>
        <vertAlign val="baseline"/>
        <sz val="8"/>
        <color theme="1"/>
        <name val="Century Gothic"/>
        <family val="2"/>
        <scheme val="major"/>
      </font>
      <numFmt numFmtId="4" formatCode="#,##0.00"/>
      <fill>
        <patternFill patternType="solid">
          <fgColor indexed="64"/>
          <bgColor theme="0" tint="-4.9989318521683403E-2"/>
        </patternFill>
      </fill>
      <alignment horizontal="right" vertical="bottom" textRotation="0" wrapText="0" indent="1" justifyLastLine="0" shrinkToFit="0" readingOrder="0"/>
    </dxf>
    <dxf>
      <font>
        <b val="0"/>
        <i val="0"/>
        <strike val="0"/>
        <outline/>
        <shadow/>
        <u val="none"/>
        <vertAlign val="baseline"/>
        <sz val="8"/>
        <color theme="1"/>
      </font>
      <numFmt numFmtId="0" formatCode="General"/>
      <alignment horizontal="right" vertical="bottom" textRotation="0" wrapText="0" indent="1" justifyLastLine="0" shrinkToFit="0" readingOrder="0"/>
      <protection locked="0" hidden="0"/>
    </dxf>
    <dxf>
      <font>
        <b/>
        <i val="0"/>
        <strike val="0"/>
        <condense/>
        <extend/>
        <outline/>
        <shadow/>
        <u val="none"/>
        <vertAlign val="baseline"/>
        <sz val="8"/>
        <color theme="1"/>
        <name val="Century Gothic"/>
        <family val="2"/>
        <scheme val="major"/>
      </font>
      <numFmt numFmtId="4" formatCode="#,##0.00"/>
      <alignment horizontal="right" vertical="bottom" textRotation="0" wrapText="0" indent="1" justifyLastLine="0" shrinkToFit="0" readingOrder="0"/>
    </dxf>
    <dxf>
      <font>
        <b val="0"/>
        <i val="0"/>
        <strike val="0"/>
        <condense val="0"/>
        <extend val="0"/>
        <outline/>
        <shadow/>
        <u val="none"/>
        <vertAlign val="baseline"/>
        <sz val="8"/>
        <color theme="1"/>
        <name val="Century Gothic"/>
        <scheme val="major"/>
      </font>
      <numFmt numFmtId="0" formatCode="General"/>
      <alignment horizontal="center" vertical="bottom" textRotation="0" wrapText="0" indent="0" justifyLastLine="0" shrinkToFit="0" readingOrder="0"/>
      <protection locked="0" hidden="0"/>
    </dxf>
    <dxf>
      <font>
        <b/>
        <i val="0"/>
        <strike val="0"/>
        <condense/>
        <extend/>
        <outline/>
        <shadow/>
        <u val="none"/>
        <vertAlign val="baseline"/>
        <sz val="8"/>
        <color theme="1"/>
        <name val="Century Gothic"/>
        <family val="2"/>
        <scheme val="major"/>
      </font>
      <numFmt numFmtId="4" formatCode="#,##0.00"/>
      <alignment horizontal="right" vertical="bottom" textRotation="0" wrapText="0" indent="1" justifyLastLine="0" shrinkToFit="0" readingOrder="0"/>
    </dxf>
    <dxf>
      <font>
        <b val="0"/>
        <i val="0"/>
        <strike val="0"/>
        <condense val="0"/>
        <extend val="0"/>
        <outline/>
        <shadow/>
        <u val="none"/>
        <vertAlign val="baseline"/>
        <sz val="8"/>
        <color theme="1"/>
        <name val="Century Gothic"/>
        <scheme val="major"/>
      </font>
      <numFmt numFmtId="0" formatCode="General"/>
      <alignment horizontal="center" vertical="bottom" textRotation="0" wrapText="0" indent="0" justifyLastLine="0" shrinkToFit="0" readingOrder="0"/>
      <protection locked="0" hidden="0"/>
    </dxf>
    <dxf>
      <font>
        <b/>
        <i val="0"/>
        <strike val="0"/>
        <condense/>
        <extend/>
        <outline/>
        <shadow/>
        <u val="none"/>
        <vertAlign val="baseline"/>
        <sz val="8"/>
        <color theme="1"/>
        <name val="Century Gothic"/>
        <family val="2"/>
        <scheme val="major"/>
      </font>
      <numFmt numFmtId="4" formatCode="#,##0.00"/>
      <alignment horizontal="right" vertical="bottom" textRotation="0" wrapText="0" indent="1" justifyLastLine="0" shrinkToFit="0" readingOrder="0"/>
    </dxf>
    <dxf>
      <font>
        <b val="0"/>
        <i val="0"/>
        <strike val="0"/>
        <condense val="0"/>
        <extend val="0"/>
        <outline/>
        <shadow/>
        <u val="none"/>
        <vertAlign val="baseline"/>
        <sz val="8"/>
        <color theme="1"/>
        <name val="Century Gothic"/>
        <scheme val="major"/>
      </font>
      <numFmt numFmtId="0" formatCode="General"/>
      <alignment horizontal="center" vertical="bottom" textRotation="0" wrapText="0" indent="0" justifyLastLine="0" shrinkToFit="0" readingOrder="0"/>
      <protection locked="0" hidden="0"/>
    </dxf>
    <dxf>
      <font>
        <b/>
        <i val="0"/>
        <strike val="0"/>
        <condense/>
        <extend/>
        <outline/>
        <shadow/>
        <u val="none"/>
        <vertAlign val="baseline"/>
        <sz val="8"/>
        <color theme="1"/>
        <name val="Century Gothic"/>
        <family val="2"/>
        <scheme val="major"/>
      </font>
      <numFmt numFmtId="4" formatCode="#,##0.00"/>
      <alignment horizontal="right" vertical="bottom" textRotation="0" wrapText="0" indent="1" justifyLastLine="0" shrinkToFit="0" readingOrder="0"/>
    </dxf>
    <dxf>
      <font>
        <b val="0"/>
        <i val="0"/>
        <strike val="0"/>
        <condense val="0"/>
        <extend val="0"/>
        <outline/>
        <shadow/>
        <u val="none"/>
        <vertAlign val="baseline"/>
        <sz val="8"/>
        <color theme="1"/>
        <name val="Century Gothic"/>
        <scheme val="major"/>
      </font>
      <numFmt numFmtId="0" formatCode="General"/>
      <alignment horizontal="center" vertical="bottom" textRotation="0" wrapText="0" indent="0" justifyLastLine="0" shrinkToFit="0" readingOrder="0"/>
      <protection locked="0" hidden="0"/>
    </dxf>
    <dxf>
      <font>
        <b/>
        <i val="0"/>
        <strike val="0"/>
        <condense/>
        <extend/>
        <outline/>
        <shadow/>
        <u val="none"/>
        <vertAlign val="baseline"/>
        <sz val="8"/>
        <color theme="1"/>
        <name val="Century Gothic"/>
        <family val="2"/>
        <scheme val="major"/>
      </font>
      <numFmt numFmtId="4" formatCode="#,##0.00"/>
      <alignment horizontal="right" vertical="bottom" textRotation="0" wrapText="0" indent="1" justifyLastLine="0" shrinkToFit="0" readingOrder="0"/>
    </dxf>
    <dxf>
      <font>
        <b val="0"/>
        <i val="0"/>
        <strike val="0"/>
        <condense val="0"/>
        <extend val="0"/>
        <outline/>
        <shadow/>
        <u val="none"/>
        <vertAlign val="baseline"/>
        <sz val="8"/>
        <color theme="1"/>
        <name val="Century Gothic"/>
        <scheme val="major"/>
      </font>
      <numFmt numFmtId="0" formatCode="General"/>
      <alignment horizontal="center" vertical="bottom" textRotation="0" wrapText="0" indent="0" justifyLastLine="0" shrinkToFit="0" readingOrder="0"/>
      <protection locked="0" hidden="0"/>
    </dxf>
    <dxf>
      <font>
        <b/>
        <i val="0"/>
        <strike val="0"/>
        <condense/>
        <extend/>
        <outline/>
        <shadow/>
        <u val="none"/>
        <vertAlign val="baseline"/>
        <sz val="8"/>
        <color theme="1"/>
        <name val="Century Gothic"/>
        <family val="2"/>
        <scheme val="major"/>
      </font>
      <numFmt numFmtId="4" formatCode="#,##0.00"/>
      <alignment horizontal="right" vertical="bottom" textRotation="0" wrapText="0" indent="1" justifyLastLine="0" shrinkToFit="0" readingOrder="0"/>
    </dxf>
    <dxf>
      <font>
        <b val="0"/>
        <i val="0"/>
        <strike val="0"/>
        <condense val="0"/>
        <extend val="0"/>
        <outline/>
        <shadow/>
        <u val="none"/>
        <vertAlign val="baseline"/>
        <sz val="8"/>
        <color theme="1"/>
        <name val="Century Gothic"/>
        <scheme val="major"/>
      </font>
      <numFmt numFmtId="0" formatCode="General"/>
      <alignment horizontal="center" vertical="bottom" textRotation="0" wrapText="0" indent="0" justifyLastLine="0" shrinkToFit="0" readingOrder="0"/>
      <protection locked="0" hidden="0"/>
    </dxf>
    <dxf>
      <font>
        <b/>
        <i val="0"/>
        <strike val="0"/>
        <condense/>
        <extend/>
        <outline/>
        <shadow/>
        <u val="none"/>
        <vertAlign val="baseline"/>
        <sz val="8"/>
        <color theme="1"/>
        <name val="Century Gothic"/>
        <family val="2"/>
        <scheme val="major"/>
      </font>
      <numFmt numFmtId="4" formatCode="#,##0.00"/>
      <alignment horizontal="right" vertical="bottom" textRotation="0" wrapText="0" indent="1" justifyLastLine="0" shrinkToFit="0" readingOrder="0"/>
    </dxf>
    <dxf>
      <font>
        <b val="0"/>
        <i val="0"/>
        <strike val="0"/>
        <condense val="0"/>
        <extend val="0"/>
        <outline/>
        <shadow/>
        <u val="none"/>
        <vertAlign val="baseline"/>
        <sz val="8"/>
        <color theme="1"/>
        <name val="Century Gothic"/>
        <scheme val="major"/>
      </font>
      <numFmt numFmtId="0" formatCode="General"/>
      <alignment horizontal="center" vertical="bottom" textRotation="0" wrapText="0" indent="0" justifyLastLine="0" shrinkToFit="0" readingOrder="0"/>
      <protection locked="0" hidden="0"/>
    </dxf>
    <dxf>
      <font>
        <b/>
        <i val="0"/>
        <strike val="0"/>
        <condense/>
        <extend/>
        <outline/>
        <shadow/>
        <u val="none"/>
        <vertAlign val="baseline"/>
        <sz val="8"/>
        <color theme="1"/>
        <name val="Century Gothic"/>
        <family val="2"/>
        <scheme val="major"/>
      </font>
      <numFmt numFmtId="4" formatCode="#,##0.00"/>
      <alignment horizontal="right" vertical="bottom" textRotation="0" wrapText="0" indent="1" justifyLastLine="0" shrinkToFit="0" readingOrder="0"/>
    </dxf>
    <dxf>
      <font>
        <b val="0"/>
        <i val="0"/>
        <strike val="0"/>
        <condense val="0"/>
        <extend val="0"/>
        <outline/>
        <shadow/>
        <u val="none"/>
        <vertAlign val="baseline"/>
        <sz val="8"/>
        <color theme="1"/>
        <name val="Century Gothic"/>
        <scheme val="major"/>
      </font>
      <numFmt numFmtId="0" formatCode="General"/>
      <alignment horizontal="center" vertical="bottom" textRotation="0" wrapText="0" indent="0" justifyLastLine="0" shrinkToFit="0" readingOrder="0"/>
      <protection locked="0" hidden="0"/>
    </dxf>
    <dxf>
      <font>
        <b/>
        <i val="0"/>
        <strike val="0"/>
        <condense/>
        <extend/>
        <outline/>
        <shadow/>
        <u val="none"/>
        <vertAlign val="baseline"/>
        <sz val="8"/>
        <color theme="1"/>
        <name val="Century Gothic"/>
        <family val="2"/>
        <scheme val="major"/>
      </font>
      <numFmt numFmtId="4" formatCode="#,##0.00"/>
      <alignment horizontal="right" vertical="bottom" textRotation="0" wrapText="0" indent="1" justifyLastLine="0" shrinkToFit="0" readingOrder="0"/>
    </dxf>
    <dxf>
      <font>
        <b val="0"/>
        <i val="0"/>
        <strike val="0"/>
        <condense val="0"/>
        <extend val="0"/>
        <outline/>
        <shadow/>
        <u val="none"/>
        <vertAlign val="baseline"/>
        <sz val="8"/>
        <color theme="1"/>
        <name val="Century Gothic"/>
        <scheme val="major"/>
      </font>
      <numFmt numFmtId="0" formatCode="General"/>
      <alignment horizontal="center" vertical="bottom" textRotation="0" wrapText="0" indent="0" justifyLastLine="0" shrinkToFit="0" readingOrder="0"/>
      <protection locked="0" hidden="0"/>
    </dxf>
    <dxf>
      <font>
        <b/>
        <i val="0"/>
        <strike val="0"/>
        <condense/>
        <extend/>
        <outline/>
        <shadow/>
        <u val="none"/>
        <vertAlign val="baseline"/>
        <sz val="8"/>
        <color theme="1"/>
        <name val="Century Gothic"/>
        <family val="2"/>
        <scheme val="major"/>
      </font>
      <numFmt numFmtId="4" formatCode="#,##0.00"/>
      <alignment horizontal="right" vertical="bottom" textRotation="0" wrapText="0" indent="1" justifyLastLine="0" shrinkToFit="0" readingOrder="0"/>
    </dxf>
    <dxf>
      <font>
        <b val="0"/>
        <i val="0"/>
        <strike val="0"/>
        <condense val="0"/>
        <extend val="0"/>
        <outline/>
        <shadow/>
        <u val="none"/>
        <vertAlign val="baseline"/>
        <sz val="8"/>
        <color theme="1"/>
        <name val="Century Gothic"/>
        <scheme val="major"/>
      </font>
      <numFmt numFmtId="0" formatCode="General"/>
      <alignment horizontal="center" vertical="bottom" textRotation="0" wrapText="0" indent="0" justifyLastLine="0" shrinkToFit="0" readingOrder="0"/>
      <protection locked="0" hidden="0"/>
    </dxf>
    <dxf>
      <font>
        <b/>
        <i val="0"/>
        <strike val="0"/>
        <condense/>
        <extend/>
        <outline/>
        <shadow/>
        <u val="none"/>
        <vertAlign val="baseline"/>
        <sz val="8"/>
        <color theme="1"/>
        <name val="Century Gothic"/>
        <family val="2"/>
        <scheme val="major"/>
      </font>
      <numFmt numFmtId="4" formatCode="#,##0.00"/>
      <alignment horizontal="right" vertical="bottom" textRotation="0" wrapText="0" indent="1" justifyLastLine="0" shrinkToFit="0" readingOrder="0"/>
    </dxf>
    <dxf>
      <font>
        <b val="0"/>
        <i val="0"/>
        <strike val="0"/>
        <condense val="0"/>
        <extend val="0"/>
        <outline/>
        <shadow/>
        <u val="none"/>
        <vertAlign val="baseline"/>
        <sz val="8"/>
        <color theme="1"/>
        <name val="Century Gothic"/>
        <scheme val="major"/>
      </font>
      <numFmt numFmtId="0" formatCode="General"/>
      <alignment horizontal="center" vertical="bottom" textRotation="0" wrapText="0" indent="0" justifyLastLine="0" shrinkToFit="0" readingOrder="0"/>
      <protection locked="0" hidden="0"/>
    </dxf>
    <dxf>
      <font>
        <b/>
        <i val="0"/>
        <strike val="0"/>
        <condense/>
        <extend/>
        <outline/>
        <shadow/>
        <u val="none"/>
        <vertAlign val="baseline"/>
        <sz val="8"/>
        <color theme="1"/>
        <name val="Century Gothic"/>
        <family val="2"/>
        <scheme val="major"/>
      </font>
      <numFmt numFmtId="4" formatCode="#,##0.00"/>
      <alignment horizontal="right" vertical="bottom" textRotation="0" wrapText="0" indent="1" justifyLastLine="0" shrinkToFit="0" readingOrder="0"/>
    </dxf>
    <dxf>
      <font>
        <b val="0"/>
        <i val="0"/>
        <strike val="0"/>
        <outline/>
        <shadow/>
        <u val="none"/>
        <vertAlign val="baseline"/>
        <sz val="8"/>
        <color theme="1"/>
        <name val="Century Gothic"/>
        <scheme val="major"/>
      </font>
      <numFmt numFmtId="0" formatCode="General"/>
      <alignment horizontal="center" vertical="bottom" textRotation="0" wrapText="0" indent="0" justifyLastLine="0" shrinkToFit="0" readingOrder="0"/>
      <protection locked="0" hidden="0"/>
    </dxf>
    <dxf>
      <font>
        <b/>
        <i val="0"/>
        <strike val="0"/>
        <condense/>
        <extend/>
        <outline/>
        <shadow/>
        <u val="none"/>
        <vertAlign val="baseline"/>
        <sz val="8"/>
        <color theme="1"/>
        <name val="Century Gothic"/>
        <family val="2"/>
        <scheme val="major"/>
      </font>
      <fill>
        <patternFill patternType="none">
          <fgColor indexed="64"/>
          <bgColor indexed="65"/>
        </patternFill>
      </fill>
      <alignment horizontal="left" vertical="bottom" textRotation="0" wrapText="0" indent="1" justifyLastLine="0" shrinkToFit="0" readingOrder="0"/>
    </dxf>
    <dxf>
      <font>
        <b val="0"/>
        <i val="0"/>
        <strike val="0"/>
        <condense val="0"/>
        <extend val="0"/>
        <outline/>
        <shadow/>
        <u val="none"/>
        <vertAlign val="baseline"/>
        <sz val="8"/>
        <color theme="1"/>
        <name val="Century Gothic"/>
        <scheme val="major"/>
      </font>
      <numFmt numFmtId="1" formatCode="0"/>
      <alignment horizontal="left" vertical="bottom" textRotation="0" wrapText="0" indent="1" justifyLastLine="0" shrinkToFit="0" readingOrder="0"/>
      <protection locked="1" hidden="0"/>
    </dxf>
    <dxf>
      <font>
        <b/>
        <i val="0"/>
        <strike val="0"/>
        <condense/>
        <extend/>
        <outline/>
        <shadow/>
        <u val="none"/>
        <vertAlign val="baseline"/>
        <sz val="8"/>
        <color theme="1"/>
        <name val="Century Gothic"/>
        <family val="2"/>
        <scheme val="major"/>
      </font>
      <fill>
        <patternFill patternType="solid">
          <fgColor indexed="64"/>
          <bgColor theme="0" tint="-4.9989318521683403E-2"/>
        </patternFill>
      </fill>
      <alignment horizontal="left" vertical="bottom" textRotation="0" wrapText="0" indent="1" justifyLastLine="0" shrinkToFit="0" readingOrder="0"/>
    </dxf>
    <dxf>
      <font>
        <b val="0"/>
        <i/>
        <strike val="0"/>
        <outline/>
        <shadow/>
        <u val="none"/>
        <vertAlign val="baseline"/>
        <sz val="8"/>
        <color theme="1"/>
        <name val="Century Gothic"/>
        <scheme val="major"/>
      </font>
      <alignment horizontal="left" vertical="bottom" textRotation="0" wrapText="0" indent="1" justifyLastLine="0" shrinkToFit="0" readingOrder="0"/>
      <protection locked="1" hidden="0"/>
    </dxf>
    <dxf>
      <font>
        <b/>
        <i val="0"/>
        <strike val="0"/>
        <outline/>
        <shadow/>
        <u val="none"/>
        <vertAlign val="baseline"/>
        <sz val="8"/>
        <color theme="1"/>
        <name val="Century Gothic"/>
        <scheme val="major"/>
      </font>
    </dxf>
    <dxf>
      <font>
        <strike/>
        <outline/>
        <shadow/>
        <u val="none"/>
        <vertAlign val="baseline"/>
        <sz val="8"/>
        <color theme="1"/>
        <name val="Century Gothic"/>
        <scheme val="major"/>
      </font>
      <protection locked="0" hidden="0"/>
    </dxf>
    <dxf>
      <font>
        <strike/>
        <outline/>
        <shadow/>
        <u val="none"/>
        <vertAlign val="baseline"/>
        <sz val="9"/>
        <color theme="1"/>
        <name val="Century Gothic"/>
        <scheme val="major"/>
      </font>
    </dxf>
    <dxf>
      <font>
        <b val="0"/>
        <i val="0"/>
        <strike val="0"/>
        <condense val="0"/>
        <extend val="0"/>
        <outline val="0"/>
        <shadow val="0"/>
        <u val="none"/>
        <vertAlign val="baseline"/>
        <sz val="10"/>
        <color theme="1"/>
        <name val="Calibri"/>
        <family val="2"/>
        <scheme val="minor"/>
      </font>
      <fill>
        <patternFill patternType="solid">
          <fgColor indexed="64"/>
          <bgColor theme="0" tint="-4.9989318521683403E-2"/>
        </patternFill>
      </fill>
      <alignment horizontal="general" vertical="bottom" textRotation="0" wrapText="0" indent="0" justifyLastLine="0" shrinkToFit="0" readingOrder="0"/>
    </dxf>
    <dxf>
      <font>
        <b val="0"/>
        <i val="0"/>
        <strike val="0"/>
        <condense val="0"/>
        <extend val="0"/>
        <outline val="0"/>
        <shadow val="0"/>
        <u val="none"/>
        <vertAlign val="baseline"/>
        <sz val="10"/>
        <color theme="1"/>
        <name val="Calibri"/>
        <family val="2"/>
        <scheme val="minor"/>
      </font>
      <fill>
        <patternFill patternType="solid">
          <fgColor indexed="64"/>
          <bgColor theme="0" tint="-4.9989318521683403E-2"/>
        </patternFill>
      </fill>
    </dxf>
    <dxf>
      <font>
        <b val="0"/>
        <i val="0"/>
        <strike val="0"/>
        <condense val="0"/>
        <extend val="0"/>
        <outline val="0"/>
        <shadow val="0"/>
        <u val="none"/>
        <vertAlign val="baseline"/>
        <sz val="10"/>
        <color theme="1"/>
        <name val="Calibri"/>
        <family val="2"/>
        <scheme val="minor"/>
      </font>
      <fill>
        <patternFill patternType="solid">
          <fgColor indexed="64"/>
          <bgColor theme="0" tint="-4.9989318521683403E-2"/>
        </patternFill>
      </fill>
    </dxf>
    <dxf>
      <font>
        <b val="0"/>
        <i val="0"/>
        <strike val="0"/>
        <condense val="0"/>
        <extend val="0"/>
        <outline val="0"/>
        <shadow val="0"/>
        <u val="none"/>
        <vertAlign val="baseline"/>
        <sz val="10"/>
        <color theme="1"/>
        <name val="Calibri"/>
        <family val="2"/>
        <scheme val="minor"/>
      </font>
      <fill>
        <patternFill patternType="solid">
          <fgColor indexed="64"/>
          <bgColor theme="0" tint="-4.9989318521683403E-2"/>
        </patternFill>
      </fill>
    </dxf>
    <dxf>
      <font>
        <b val="0"/>
        <i val="0"/>
        <strike val="0"/>
        <condense val="0"/>
        <extend val="0"/>
        <outline val="0"/>
        <shadow val="0"/>
        <u val="none"/>
        <vertAlign val="baseline"/>
        <sz val="10"/>
        <color theme="1"/>
        <name val="Calibri"/>
        <family val="2"/>
        <scheme val="minor"/>
      </font>
      <fill>
        <patternFill patternType="solid">
          <fgColor indexed="64"/>
          <bgColor theme="0" tint="-4.9989318521683403E-2"/>
        </patternFill>
      </fill>
    </dxf>
    <dxf>
      <font>
        <b val="0"/>
        <i val="0"/>
        <strike val="0"/>
        <condense val="0"/>
        <extend val="0"/>
        <outline val="0"/>
        <shadow val="0"/>
        <u val="none"/>
        <vertAlign val="baseline"/>
        <sz val="10"/>
        <color theme="1"/>
        <name val="Calibri"/>
        <family val="2"/>
        <scheme val="minor"/>
      </font>
      <fill>
        <patternFill patternType="solid">
          <fgColor indexed="64"/>
          <bgColor theme="0" tint="-4.9989318521683403E-2"/>
        </patternFill>
      </fill>
    </dxf>
    <dxf>
      <font>
        <b val="0"/>
        <i val="0"/>
        <strike val="0"/>
        <condense val="0"/>
        <extend val="0"/>
        <outline val="0"/>
        <shadow val="0"/>
        <u val="none"/>
        <vertAlign val="baseline"/>
        <sz val="10"/>
        <color theme="1"/>
        <name val="Calibri"/>
        <family val="2"/>
        <scheme val="minor"/>
      </font>
      <fill>
        <patternFill patternType="solid">
          <fgColor indexed="64"/>
          <bgColor theme="0" tint="-4.9989318521683403E-2"/>
        </patternFill>
      </fill>
    </dxf>
    <dxf>
      <font>
        <b val="0"/>
        <i val="0"/>
        <strike val="0"/>
        <condense val="0"/>
        <extend val="0"/>
        <outline val="0"/>
        <shadow val="0"/>
        <u val="none"/>
        <vertAlign val="baseline"/>
        <sz val="10"/>
        <color theme="1"/>
        <name val="Calibri"/>
        <family val="2"/>
        <scheme val="minor"/>
      </font>
      <fill>
        <patternFill patternType="solid">
          <fgColor indexed="64"/>
          <bgColor theme="0" tint="-4.9989318521683403E-2"/>
        </patternFill>
      </fill>
    </dxf>
    <dxf>
      <font>
        <b val="0"/>
        <i val="0"/>
        <strike val="0"/>
        <condense val="0"/>
        <extend val="0"/>
        <outline val="0"/>
        <shadow val="0"/>
        <u val="none"/>
        <vertAlign val="baseline"/>
        <sz val="10"/>
        <color theme="1"/>
        <name val="Calibri"/>
        <family val="2"/>
        <scheme val="minor"/>
      </font>
      <fill>
        <patternFill patternType="none">
          <fgColor indexed="64"/>
          <bgColor indexed="65"/>
        </patternFill>
      </fill>
    </dxf>
    <dxf>
      <font>
        <b val="0"/>
        <i val="0"/>
        <strike val="0"/>
        <condense val="0"/>
        <extend val="0"/>
        <outline val="0"/>
        <shadow val="0"/>
        <u val="none"/>
        <vertAlign val="baseline"/>
        <sz val="10"/>
        <color theme="1"/>
        <name val="Calibri"/>
        <family val="2"/>
        <scheme val="minor"/>
      </font>
      <fill>
        <patternFill patternType="none">
          <fgColor indexed="64"/>
          <bgColor indexed="65"/>
        </patternFill>
      </fill>
    </dxf>
    <dxf>
      <font>
        <b val="0"/>
        <i val="0"/>
        <strike val="0"/>
        <condense val="0"/>
        <extend val="0"/>
        <outline val="0"/>
        <shadow val="0"/>
        <u val="none"/>
        <vertAlign val="baseline"/>
        <sz val="10"/>
        <color theme="1"/>
        <name val="Calibri"/>
        <family val="2"/>
        <scheme val="minor"/>
      </font>
      <fill>
        <patternFill patternType="solid">
          <fgColor indexed="64"/>
          <bgColor theme="0" tint="-4.9989318521683403E-2"/>
        </patternFill>
      </fill>
    </dxf>
    <dxf>
      <font>
        <b val="0"/>
        <i val="0"/>
        <strike val="0"/>
        <condense val="0"/>
        <extend val="0"/>
        <outline val="0"/>
        <shadow val="0"/>
        <u val="none"/>
        <vertAlign val="baseline"/>
        <sz val="10"/>
        <color theme="1"/>
        <name val="Calibri"/>
        <family val="2"/>
        <scheme val="minor"/>
      </font>
      <fill>
        <patternFill patternType="solid">
          <fgColor indexed="64"/>
          <bgColor theme="0" tint="-4.9989318521683403E-2"/>
        </patternFill>
      </fill>
    </dxf>
    <dxf>
      <font>
        <b val="0"/>
        <i val="0"/>
        <strike val="0"/>
        <condense val="0"/>
        <extend val="0"/>
        <outline val="0"/>
        <shadow val="0"/>
        <u val="none"/>
        <vertAlign val="baseline"/>
        <sz val="10"/>
        <color theme="1"/>
        <name val="Calibri"/>
        <family val="2"/>
        <scheme val="minor"/>
      </font>
      <fill>
        <patternFill patternType="solid">
          <fgColor indexed="64"/>
          <bgColor theme="0" tint="-4.9989318521683403E-2"/>
        </patternFill>
      </fill>
    </dxf>
    <dxf>
      <font>
        <b val="0"/>
        <i val="0"/>
        <strike val="0"/>
        <condense val="0"/>
        <extend val="0"/>
        <outline val="0"/>
        <shadow val="0"/>
        <u val="none"/>
        <vertAlign val="baseline"/>
        <sz val="10"/>
        <color theme="1"/>
        <name val="Calibri"/>
        <family val="2"/>
        <scheme val="minor"/>
      </font>
      <fill>
        <patternFill patternType="solid">
          <fgColor indexed="64"/>
          <bgColor theme="0" tint="-4.9989318521683403E-2"/>
        </patternFill>
      </fill>
    </dxf>
    <dxf>
      <font>
        <b val="0"/>
        <i val="0"/>
        <strike val="0"/>
        <condense val="0"/>
        <extend val="0"/>
        <outline val="0"/>
        <shadow val="0"/>
        <u val="none"/>
        <vertAlign val="baseline"/>
        <sz val="10"/>
        <color theme="1"/>
        <name val="Calibri"/>
        <family val="2"/>
        <scheme val="minor"/>
      </font>
      <fill>
        <patternFill patternType="solid">
          <fgColor indexed="64"/>
          <bgColor theme="0" tint="-4.9989318521683403E-2"/>
        </patternFill>
      </fill>
    </dxf>
    <dxf>
      <font>
        <b val="0"/>
        <i val="0"/>
        <strike val="0"/>
        <condense val="0"/>
        <extend val="0"/>
        <outline val="0"/>
        <shadow val="0"/>
        <u val="none"/>
        <vertAlign val="baseline"/>
        <sz val="10"/>
        <color theme="1"/>
        <name val="Calibri"/>
        <family val="2"/>
        <scheme val="minor"/>
      </font>
      <fill>
        <patternFill patternType="solid">
          <fgColor indexed="64"/>
          <bgColor theme="0" tint="-4.9989318521683403E-2"/>
        </patternFill>
      </fill>
    </dxf>
    <dxf>
      <font>
        <b val="0"/>
        <i val="0"/>
        <strike val="0"/>
        <condense val="0"/>
        <extend val="0"/>
        <outline val="0"/>
        <shadow val="0"/>
        <u val="none"/>
        <vertAlign val="baseline"/>
        <sz val="10"/>
        <color theme="1"/>
        <name val="Calibri"/>
        <family val="2"/>
        <scheme val="minor"/>
      </font>
      <fill>
        <patternFill patternType="solid">
          <fgColor indexed="64"/>
          <bgColor theme="0" tint="-4.9989318521683403E-2"/>
        </patternFill>
      </fill>
    </dxf>
    <dxf>
      <font>
        <b val="0"/>
        <i val="0"/>
        <strike val="0"/>
        <condense val="0"/>
        <extend val="0"/>
        <outline val="0"/>
        <shadow val="0"/>
        <u val="none"/>
        <vertAlign val="baseline"/>
        <sz val="10"/>
        <color theme="1"/>
        <name val="Calibri"/>
        <family val="2"/>
        <scheme val="minor"/>
      </font>
      <fill>
        <patternFill patternType="solid">
          <fgColor indexed="64"/>
          <bgColor theme="0" tint="-4.9989318521683403E-2"/>
        </patternFill>
      </fill>
    </dxf>
    <dxf>
      <font>
        <b val="0"/>
        <i val="0"/>
        <strike val="0"/>
        <condense val="0"/>
        <extend val="0"/>
        <outline val="0"/>
        <shadow val="0"/>
        <u val="none"/>
        <vertAlign val="baseline"/>
        <sz val="10"/>
        <color theme="1"/>
        <name val="Calibri"/>
        <family val="2"/>
        <scheme val="minor"/>
      </font>
      <fill>
        <patternFill patternType="solid">
          <fgColor indexed="64"/>
          <bgColor theme="0" tint="-4.9989318521683403E-2"/>
        </patternFill>
      </fill>
    </dxf>
    <dxf>
      <font>
        <b val="0"/>
        <i val="0"/>
        <strike val="0"/>
        <condense val="0"/>
        <extend val="0"/>
        <outline val="0"/>
        <shadow val="0"/>
        <u val="none"/>
        <vertAlign val="baseline"/>
        <sz val="10"/>
        <color theme="1"/>
        <name val="Calibri"/>
        <family val="2"/>
        <scheme val="minor"/>
      </font>
      <fill>
        <patternFill patternType="solid">
          <fgColor indexed="64"/>
          <bgColor theme="0" tint="-4.9989318521683403E-2"/>
        </patternFill>
      </fill>
    </dxf>
    <dxf>
      <font>
        <b val="0"/>
        <i val="0"/>
        <strike val="0"/>
        <condense val="0"/>
        <extend val="0"/>
        <outline val="0"/>
        <shadow val="0"/>
        <u val="none"/>
        <vertAlign val="baseline"/>
        <sz val="10"/>
        <color theme="1"/>
        <name val="Calibri"/>
        <family val="2"/>
        <scheme val="minor"/>
      </font>
      <fill>
        <patternFill patternType="none">
          <fgColor indexed="64"/>
          <bgColor indexed="65"/>
        </patternFill>
      </fill>
    </dxf>
    <dxf>
      <font>
        <b val="0"/>
        <i val="0"/>
        <strike val="0"/>
        <condense val="0"/>
        <extend val="0"/>
        <outline val="0"/>
        <shadow val="0"/>
        <u val="none"/>
        <vertAlign val="baseline"/>
        <sz val="10"/>
        <color theme="1"/>
        <name val="Calibri"/>
        <family val="2"/>
        <scheme val="minor"/>
      </font>
      <fill>
        <patternFill patternType="none">
          <fgColor indexed="64"/>
          <bgColor indexed="65"/>
        </patternFill>
      </fill>
    </dxf>
    <dxf>
      <font>
        <b val="0"/>
        <i val="0"/>
        <strike val="0"/>
        <condense val="0"/>
        <extend val="0"/>
        <outline val="0"/>
        <shadow val="0"/>
        <u val="none"/>
        <vertAlign val="baseline"/>
        <sz val="10"/>
        <color theme="1"/>
        <name val="Calibri"/>
        <family val="2"/>
        <scheme val="minor"/>
      </font>
      <fill>
        <patternFill patternType="solid">
          <fgColor indexed="64"/>
          <bgColor theme="0" tint="-4.9989318521683403E-2"/>
        </patternFill>
      </fill>
    </dxf>
    <dxf>
      <font>
        <b val="0"/>
        <i val="0"/>
        <strike val="0"/>
        <condense val="0"/>
        <extend val="0"/>
        <outline val="0"/>
        <shadow val="0"/>
        <u val="none"/>
        <vertAlign val="baseline"/>
        <sz val="10"/>
        <color theme="1"/>
        <name val="Calibri"/>
        <family val="2"/>
        <scheme val="minor"/>
      </font>
      <fill>
        <patternFill patternType="solid">
          <fgColor indexed="64"/>
          <bgColor theme="0" tint="-4.9989318521683403E-2"/>
        </patternFill>
      </fill>
    </dxf>
    <dxf>
      <font>
        <b val="0"/>
        <i val="0"/>
        <strike val="0"/>
        <condense val="0"/>
        <extend val="0"/>
        <outline val="0"/>
        <shadow val="0"/>
        <u val="none"/>
        <vertAlign val="baseline"/>
        <sz val="10"/>
        <color theme="1"/>
        <name val="Calibri"/>
        <family val="2"/>
        <scheme val="minor"/>
      </font>
      <fill>
        <patternFill patternType="solid">
          <fgColor indexed="64"/>
          <bgColor theme="0" tint="-4.9989318521683403E-2"/>
        </patternFill>
      </fill>
    </dxf>
    <dxf>
      <font>
        <b val="0"/>
        <i val="0"/>
        <strike val="0"/>
        <condense val="0"/>
        <extend val="0"/>
        <outline val="0"/>
        <shadow val="0"/>
        <u val="none"/>
        <vertAlign val="baseline"/>
        <sz val="10"/>
        <color theme="1"/>
        <name val="Calibri"/>
        <family val="2"/>
        <scheme val="minor"/>
      </font>
      <fill>
        <patternFill patternType="none">
          <fgColor indexed="64"/>
          <bgColor indexed="65"/>
        </patternFill>
      </fill>
    </dxf>
    <dxf>
      <font>
        <b val="0"/>
        <i val="0"/>
        <strike val="0"/>
        <condense val="0"/>
        <extend val="0"/>
        <outline val="0"/>
        <shadow val="0"/>
        <u val="none"/>
        <vertAlign val="baseline"/>
        <sz val="10"/>
        <color theme="1"/>
        <name val="Calibri"/>
        <family val="2"/>
        <scheme val="minor"/>
      </font>
      <fill>
        <patternFill patternType="none">
          <fgColor indexed="64"/>
          <bgColor indexed="65"/>
        </patternFill>
      </fill>
    </dxf>
    <dxf>
      <font>
        <b val="0"/>
        <i val="0"/>
        <strike val="0"/>
        <condense val="0"/>
        <extend val="0"/>
        <outline val="0"/>
        <shadow val="0"/>
        <u val="none"/>
        <vertAlign val="baseline"/>
        <sz val="10"/>
        <color theme="1"/>
        <name val="Calibri"/>
        <family val="2"/>
        <scheme val="minor"/>
      </font>
      <fill>
        <patternFill patternType="solid">
          <fgColor indexed="64"/>
          <bgColor theme="0" tint="-4.9989318521683403E-2"/>
        </patternFill>
      </fill>
    </dxf>
    <dxf>
      <fill>
        <patternFill patternType="solid">
          <fgColor indexed="64"/>
          <bgColor theme="0" tint="-4.9989318521683403E-2"/>
        </patternFill>
      </fill>
    </dxf>
    <dxf>
      <fill>
        <patternFill patternType="solid">
          <fgColor indexed="64"/>
          <bgColor theme="0" tint="-4.9989318521683403E-2"/>
        </patternFill>
      </fill>
    </dxf>
    <dxf>
      <fill>
        <patternFill patternType="solid">
          <fgColor indexed="64"/>
          <bgColor theme="0" tint="-4.9989318521683403E-2"/>
        </patternFill>
      </fill>
    </dxf>
    <dxf>
      <fill>
        <patternFill patternType="solid">
          <fgColor indexed="64"/>
          <bgColor theme="0" tint="-0.249977111117893"/>
        </patternFill>
      </fill>
    </dxf>
    <dxf>
      <fill>
        <patternFill patternType="solid">
          <fgColor indexed="64"/>
          <bgColor theme="0" tint="-0.249977111117893"/>
        </patternFill>
      </fill>
    </dxf>
    <dxf>
      <fill>
        <patternFill patternType="solid">
          <fgColor indexed="64"/>
          <bgColor theme="0" tint="-4.9989318521683403E-2"/>
        </patternFill>
      </fill>
    </dxf>
    <dxf>
      <fill>
        <patternFill patternType="solid">
          <fgColor indexed="64"/>
          <bgColor theme="0" tint="-4.9989318521683403E-2"/>
        </patternFill>
      </fill>
    </dxf>
    <dxf>
      <fill>
        <patternFill patternType="solid">
          <fgColor indexed="64"/>
          <bgColor theme="0" tint="-0.249977111117893"/>
        </patternFill>
      </fill>
    </dxf>
    <dxf>
      <numFmt numFmtId="1" formatCode="0"/>
      <alignment horizontal="center" vertical="bottom" textRotation="0" wrapText="0" indent="0" justifyLastLine="0" shrinkToFit="0" readingOrder="0"/>
    </dxf>
    <dxf>
      <numFmt numFmtId="1" formatCode="0"/>
      <alignment horizontal="center" vertical="bottom" textRotation="0" wrapText="0" indent="0" justifyLastLine="0" shrinkToFit="0" readingOrder="0"/>
    </dxf>
    <dxf>
      <fill>
        <patternFill patternType="solid">
          <fgColor indexed="64"/>
          <bgColor theme="0" tint="-4.9989318521683403E-2"/>
        </patternFill>
      </fill>
    </dxf>
    <dxf>
      <fill>
        <patternFill patternType="solid">
          <fgColor indexed="64"/>
          <bgColor theme="0" tint="-4.9989318521683403E-2"/>
        </patternFill>
      </fill>
      <alignment horizontal="left" textRotation="0" wrapText="0" indent="1" justifyLastLine="0" shrinkToFit="0" readingOrder="0"/>
    </dxf>
    <dxf>
      <alignment horizontal="left" textRotation="0" wrapText="0" indent="1" justifyLastLine="0" shrinkToFit="0" readingOrder="0"/>
    </dxf>
    <dxf>
      <fill>
        <patternFill patternType="solid">
          <fgColor indexed="64"/>
          <bgColor theme="0" tint="-4.9989318521683403E-2"/>
        </patternFill>
      </fill>
    </dxf>
    <dxf>
      <fill>
        <patternFill patternType="solid">
          <fgColor indexed="64"/>
          <bgColor theme="0" tint="-4.9989318521683403E-2"/>
        </patternFill>
      </fill>
      <alignment horizontal="left" textRotation="0" wrapText="0" indent="1" justifyLastLine="0" shrinkToFit="0" readingOrder="0"/>
    </dxf>
    <dxf>
      <alignment horizontal="left" textRotation="0" wrapText="0" indent="1" justifyLastLine="0" shrinkToFit="0" readingOrder="0"/>
    </dxf>
    <dxf>
      <fill>
        <patternFill patternType="solid">
          <fgColor indexed="64"/>
          <bgColor theme="0" tint="-4.9989318521683403E-2"/>
        </patternFill>
      </fill>
    </dxf>
    <dxf>
      <fill>
        <patternFill patternType="solid">
          <fgColor indexed="64"/>
          <bgColor theme="0" tint="-4.9989318521683403E-2"/>
        </patternFill>
      </fill>
      <alignment horizontal="left" textRotation="0" wrapText="0" indent="1" justifyLastLine="0" shrinkToFit="0" readingOrder="0"/>
    </dxf>
    <dxf>
      <alignment horizontal="left" vertical="bottom" textRotation="0" wrapText="0" indent="1" justifyLastLine="0" shrinkToFit="0" readingOrder="0"/>
    </dxf>
    <dxf>
      <alignment horizontal="left" textRotation="0" wrapText="0" indent="1" justifyLastLine="0" shrinkToFit="0" readingOrder="0"/>
    </dxf>
    <dxf>
      <fill>
        <patternFill patternType="solid">
          <fgColor indexed="64"/>
          <bgColor theme="0" tint="-4.9989318521683403E-2"/>
        </patternFill>
      </fill>
      <alignment horizontal="center" vertical="bottom" textRotation="0" wrapText="0" indent="0" justifyLastLine="0" shrinkToFit="0" readingOrder="0"/>
    </dxf>
    <dxf>
      <fill>
        <patternFill patternType="solid">
          <fgColor indexed="64"/>
          <bgColor theme="0" tint="-4.9989318521683403E-2"/>
        </patternFill>
      </fill>
      <alignment horizontal="left" vertical="center" textRotation="0" wrapText="0" indent="1" justifyLastLine="0" shrinkToFit="0" readingOrder="0"/>
    </dxf>
    <dxf>
      <font>
        <b val="0"/>
        <i val="0"/>
        <strike val="0"/>
        <condense val="0"/>
        <extend val="0"/>
        <outline/>
        <shadow/>
        <u val="none"/>
        <vertAlign val="baseline"/>
        <sz val="8"/>
        <color theme="1"/>
        <name val="Century Gothic"/>
        <family val="2"/>
        <scheme val="major"/>
      </font>
      <numFmt numFmtId="1" formatCode="0"/>
      <fill>
        <patternFill patternType="none">
          <fgColor indexed="64"/>
          <bgColor indexed="65"/>
        </patternFill>
      </fill>
      <alignment horizontal="center" vertical="bottom" textRotation="0" wrapText="0" indent="0" justifyLastLine="0" shrinkToFit="0" readingOrder="0"/>
      <protection locked="0" hidden="0"/>
    </dxf>
    <dxf>
      <font>
        <b val="0"/>
        <i val="0"/>
        <strike val="0"/>
        <condense val="0"/>
        <extend val="0"/>
        <outline/>
        <shadow/>
        <u val="none"/>
        <vertAlign val="baseline"/>
        <sz val="8"/>
        <color theme="1"/>
        <name val="Century Gothic"/>
        <family val="2"/>
        <scheme val="major"/>
      </font>
      <numFmt numFmtId="1" formatCode="0"/>
      <fill>
        <patternFill patternType="none">
          <fgColor indexed="64"/>
          <bgColor auto="1"/>
        </patternFill>
      </fill>
      <alignment horizontal="center" vertical="center" textRotation="0" wrapText="0" indent="0" justifyLastLine="0" shrinkToFit="0" readingOrder="0"/>
      <protection locked="0" hidden="0"/>
    </dxf>
    <dxf>
      <font>
        <b val="0"/>
        <i val="0"/>
        <strike val="0"/>
        <condense val="0"/>
        <extend val="0"/>
        <outline/>
        <shadow/>
        <u val="none"/>
        <vertAlign val="baseline"/>
        <sz val="8"/>
        <color theme="1"/>
        <name val="Century Gothic"/>
        <family val="2"/>
        <scheme val="major"/>
      </font>
      <fill>
        <patternFill patternType="solid">
          <fgColor indexed="64"/>
          <bgColor theme="0" tint="-4.9989318521683403E-2"/>
        </patternFill>
      </fill>
      <alignment horizontal="left" vertical="bottom" textRotation="0" wrapText="0" indent="1" justifyLastLine="0" shrinkToFit="0" readingOrder="0"/>
    </dxf>
    <dxf>
      <font>
        <b val="0"/>
        <i val="0"/>
        <strike val="0"/>
        <condense val="0"/>
        <extend val="0"/>
        <outline/>
        <shadow/>
        <u val="none"/>
        <vertAlign val="baseline"/>
        <sz val="8"/>
        <color theme="1"/>
        <name val="Century Gothic"/>
        <family val="2"/>
        <scheme val="major"/>
      </font>
      <numFmt numFmtId="19" formatCode="dd/mm/yyyy"/>
      <fill>
        <patternFill patternType="solid">
          <fgColor indexed="64"/>
          <bgColor theme="0" tint="-4.9989318521683403E-2"/>
        </patternFill>
      </fill>
      <alignment horizontal="left" vertical="center" textRotation="0" wrapText="0" indent="1" justifyLastLine="0" shrinkToFit="0" readingOrder="0"/>
    </dxf>
    <dxf>
      <alignment horizontal="center" vertical="center" textRotation="0" wrapText="0" indent="0" justifyLastLine="0" shrinkToFit="0" readingOrder="0"/>
    </dxf>
    <dxf>
      <fill>
        <patternFill>
          <bgColor theme="0" tint="-4.9989318521683403E-2"/>
        </patternFill>
      </fill>
    </dxf>
    <dxf>
      <fill>
        <patternFill>
          <bgColor theme="0" tint="-4.9989318521683403E-2"/>
        </patternFill>
      </fill>
    </dxf>
    <dxf>
      <font>
        <b/>
        <i val="0"/>
        <color theme="1"/>
      </font>
      <fill>
        <patternFill patternType="none">
          <bgColor auto="1"/>
        </patternFill>
      </fill>
      <border>
        <left/>
        <right/>
        <top style="thin">
          <color theme="0" tint="-0.14996795556505021"/>
        </top>
        <bottom style="thin">
          <color theme="1" tint="0.499984740745262"/>
        </bottom>
        <vertical style="thin">
          <color theme="0" tint="-0.14996795556505021"/>
        </vertical>
        <horizontal/>
      </border>
    </dxf>
    <dxf>
      <font>
        <b/>
        <i val="0"/>
        <color theme="1"/>
      </font>
      <fill>
        <patternFill patternType="none">
          <bgColor auto="1"/>
        </patternFill>
      </fill>
      <border>
        <left/>
        <right/>
        <top style="thin">
          <color theme="1" tint="0.499984740745262"/>
        </top>
        <bottom style="thin">
          <color theme="0" tint="-0.14996795556505021"/>
        </bottom>
        <vertical/>
        <horizontal/>
      </border>
    </dxf>
    <dxf>
      <font>
        <b val="0"/>
        <i val="0"/>
        <color theme="1"/>
      </font>
      <fill>
        <patternFill patternType="none">
          <bgColor auto="1"/>
        </patternFill>
      </fill>
      <border diagonalUp="0" diagonalDown="0">
        <left/>
        <right/>
        <top/>
        <bottom/>
        <vertical style="thin">
          <color theme="0" tint="-0.14996795556505021"/>
        </vertical>
        <horizontal/>
      </border>
    </dxf>
    <dxf>
      <font>
        <b/>
        <color theme="1"/>
      </font>
      <border>
        <bottom style="thin">
          <color theme="9"/>
        </bottom>
        <vertical/>
        <horizontal/>
      </border>
    </dxf>
    <dxf>
      <font>
        <color theme="1"/>
      </font>
      <border>
        <left/>
        <right/>
        <top/>
        <bottom/>
        <vertical/>
        <horizontal/>
      </border>
    </dxf>
  </dxfs>
  <tableStyles count="2" defaultTableStyle="Summary Table" defaultPivotStyle="PivotStyleLight16">
    <tableStyle name="styleCustomSlicer" pivot="0" table="0" count="10" xr9:uid="{00000000-0011-0000-FFFF-FFFF00000000}">
      <tableStyleElement type="wholeTable" dxfId="777"/>
      <tableStyleElement type="headerRow" dxfId="776"/>
    </tableStyle>
    <tableStyle name="Summary Table" pivot="0" count="5" xr9:uid="{00000000-0011-0000-FFFF-FFFF01000000}">
      <tableStyleElement type="wholeTable" dxfId="775"/>
      <tableStyleElement type="headerRow" dxfId="774"/>
      <tableStyleElement type="totalRow" dxfId="773"/>
      <tableStyleElement type="firstColumn" dxfId="772"/>
      <tableStyleElement type="firstColumnStripe" dxfId="771"/>
    </tableStyle>
  </tableStyles>
  <colors>
    <mruColors>
      <color rgb="FF0070C0"/>
      <color rgb="FFF9F9F9"/>
      <color rgb="FF0095FF"/>
    </mruColors>
  </colors>
  <extLst>
    <ext xmlns:x14="http://schemas.microsoft.com/office/spreadsheetml/2009/9/main" uri="{46F421CA-312F-682f-3DD2-61675219B42D}">
      <x14:dxfs count="8">
        <dxf>
          <font>
            <color rgb="FF000000"/>
          </font>
          <fill>
            <gradientFill degree="90">
              <stop position="0">
                <color rgb="FFF8E162"/>
              </stop>
              <stop position="1">
                <color rgb="FFFCF7E0"/>
              </stop>
            </gradientFill>
          </fill>
          <border>
            <left style="thin">
              <color rgb="FF999999"/>
            </left>
            <right style="thin">
              <color rgb="FF999999"/>
            </right>
            <top style="thin">
              <color rgb="FF999999"/>
            </top>
            <bottom style="thin">
              <color rgb="FF999999"/>
            </bottom>
            <vertical/>
            <horizontal/>
          </border>
        </dxf>
        <dxf>
          <font>
            <color rgb="FF000000"/>
          </font>
          <fill>
            <gradientFill degree="90">
              <stop position="0">
                <color rgb="FFF8E162"/>
              </stop>
              <stop position="1">
                <color rgb="FFFCF7E0"/>
              </stop>
            </gradientFill>
          </fill>
          <border>
            <left style="thin">
              <color rgb="FF999999"/>
            </left>
            <right style="thin">
              <color rgb="FF999999"/>
            </right>
            <top style="thin">
              <color rgb="FF999999"/>
            </top>
            <bottom style="thin">
              <color rgb="FF999999"/>
            </bottom>
            <vertical/>
            <horizontal/>
          </border>
        </dxf>
        <dxf>
          <font>
            <color rgb="FF000000"/>
          </font>
          <fill>
            <gradientFill degree="90">
              <stop position="0">
                <color rgb="FFF8E162"/>
              </stop>
              <stop position="1">
                <color rgb="FFFCF7E0"/>
              </stop>
            </gradientFill>
          </fill>
          <border>
            <left style="thin">
              <color rgb="FF999999"/>
            </left>
            <right style="thin">
              <color rgb="FF999999"/>
            </right>
            <top style="thin">
              <color rgb="FF999999"/>
            </top>
            <bottom style="thin">
              <color rgb="FF999999"/>
            </bottom>
            <vertical/>
            <horizontal/>
          </border>
        </dxf>
        <dxf>
          <font>
            <color rgb="FF000000"/>
          </font>
          <fill>
            <gradientFill degree="90">
              <stop position="0">
                <color rgb="FFF8E162"/>
              </stop>
              <stop position="1">
                <color rgb="FFFCF7E0"/>
              </stop>
            </gradientFill>
          </fill>
          <border>
            <left style="thin">
              <color rgb="FF999999"/>
            </left>
            <right style="thin">
              <color rgb="FF999999"/>
            </right>
            <top style="thin">
              <color rgb="FF999999"/>
            </top>
            <bottom style="thin">
              <color rgb="FF999999"/>
            </bottom>
            <vertical/>
            <horizontal/>
          </border>
        </dxf>
        <dxf>
          <font>
            <color rgb="FF828282"/>
          </font>
          <fill>
            <patternFill patternType="solid">
              <fgColor theme="9" tint="0.79998168889431442"/>
              <bgColor theme="9" tint="0.79998168889431442"/>
            </patternFill>
          </fill>
          <border>
            <left style="thin">
              <color rgb="FFCCCCCC"/>
            </left>
            <right style="thin">
              <color rgb="FFCCCCCC"/>
            </right>
            <top style="thin">
              <color rgb="FFCCCCCC"/>
            </top>
            <bottom style="thin">
              <color rgb="FFCCCCCC"/>
            </bottom>
            <vertical/>
            <horizontal/>
          </border>
        </dxf>
        <dxf>
          <font>
            <color rgb="FF000000"/>
          </font>
          <fill>
            <patternFill patternType="solid">
              <fgColor theme="9" tint="0.59999389629810485"/>
              <bgColor theme="9" tint="0.59999389629810485"/>
            </patternFill>
          </fill>
          <border>
            <left style="thin">
              <color rgb="FF999999"/>
            </left>
            <right style="thin">
              <color rgb="FF999999"/>
            </right>
            <top style="thin">
              <color rgb="FF999999"/>
            </top>
            <bottom style="thin">
              <color rgb="FF999999"/>
            </bottom>
            <vertical/>
            <horizontal/>
          </border>
        </dxf>
        <dxf>
          <font>
            <color rgb="FF828282"/>
          </font>
          <fill>
            <patternFill patternType="solid">
              <fgColor rgb="FFFFFFFF"/>
              <bgColor rgb="FFFFFFFF"/>
            </patternFill>
          </fill>
          <border>
            <left style="thin">
              <color rgb="FFE0E0E0"/>
            </left>
            <right style="thin">
              <color rgb="FFE0E0E0"/>
            </right>
            <top style="thin">
              <color rgb="FFE0E0E0"/>
            </top>
            <bottom style="thin">
              <color rgb="FFE0E0E0"/>
            </bottom>
            <vertical/>
            <horizontal/>
          </border>
        </dxf>
        <dxf>
          <font>
            <color rgb="FF000000"/>
          </font>
          <fill>
            <patternFill patternType="solid">
              <fgColor rgb="FFFFFFFF"/>
              <bgColor rgb="FFFFFFFF"/>
            </patternFill>
          </fill>
          <border>
            <left style="thin">
              <color rgb="FFCCCCCC"/>
            </left>
            <right style="thin">
              <color rgb="FFCCCCCC"/>
            </right>
            <top style="thin">
              <color rgb="FFCCCCCC"/>
            </top>
            <bottom style="thin">
              <color rgb="FFCCCCCC"/>
            </bottom>
            <vertical/>
            <horizontal/>
          </border>
        </dxf>
      </x14:dxfs>
    </ext>
    <ext xmlns:x14="http://schemas.microsoft.com/office/spreadsheetml/2009/9/main" uri="{EB79DEF2-80B8-43e5-95BD-54CBDDF9020C}">
      <x14:slicerStyles defaultSlicerStyle="SlicerStyleLight1">
        <x14:slicerStyle name="styleCustomSlicer">
          <x14:slicerStyleElements>
            <x14:slicerStyleElement type="unselectedItemWithData" dxfId="7"/>
            <x14:slicerStyleElement type="unselectedItemWithNoData" dxfId="6"/>
            <x14:slicerStyleElement type="selectedItemWithData" dxfId="5"/>
            <x14:slicerStyleElement type="selectedItemWithNoData" dxfId="4"/>
            <x14:slicerStyleElement type="hoveredUnselectedItemWithData" dxfId="3"/>
            <x14:slicerStyleElement type="hoveredSelectedItemWithData" dxfId="2"/>
            <x14:slicerStyleElement type="hoveredUnselectedItemWithNoData" dxfId="1"/>
            <x14:slicerStyleElement type="hoveredSelectedItemWithNoData" dxfId="0"/>
          </x14:slicerStyleElements>
        </x14:slicerStyle>
      </x14:slicerStyles>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sharedStrings" Target="sharedString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theme" Target="theme/theme1.xml"/><Relationship Id="rId37" Type="http://schemas.microsoft.com/office/2006/relationships/vbaProject" Target="vbaProject.bin"/><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customXml" Target="../customXml/item1.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pivotCacheDefinition" Target="pivotCache/pivotCacheDefinition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calcChain" Target="calcChain.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_rels/chart2.xml.rels><?xml version="1.0" encoding="UTF-8" standalone="yes"?>
<Relationships xmlns="http://schemas.openxmlformats.org/package/2006/relationships"><Relationship Id="rId2" Type="http://schemas.microsoft.com/office/2011/relationships/chartColorStyle" Target="colors2.xml"/><Relationship Id="rId1" Type="http://schemas.microsoft.com/office/2011/relationships/chartStyle" Target="style2.xml"/></Relationships>
</file>

<file path=xl/charts/_rels/chart3.xml.rels><?xml version="1.0" encoding="UTF-8" standalone="yes"?>
<Relationships xmlns="http://schemas.openxmlformats.org/package/2006/relationships"><Relationship Id="rId2" Type="http://schemas.microsoft.com/office/2011/relationships/chartColorStyle" Target="colors3.xml"/><Relationship Id="rId1" Type="http://schemas.microsoft.com/office/2011/relationships/chartStyle" Target="style3.xml"/></Relationships>
</file>

<file path=xl/charts/_rels/chart4.xml.rels><?xml version="1.0" encoding="UTF-8" standalone="yes"?>
<Relationships xmlns="http://schemas.openxmlformats.org/package/2006/relationships"><Relationship Id="rId2" Type="http://schemas.microsoft.com/office/2011/relationships/chartColorStyle" Target="colors4.xml"/><Relationship Id="rId1" Type="http://schemas.microsoft.com/office/2011/relationships/chartStyle" Target="style4.xml"/></Relationships>
</file>

<file path=xl/charts/_rels/chart5.xml.rels><?xml version="1.0" encoding="UTF-8" standalone="yes"?>
<Relationships xmlns="http://schemas.openxmlformats.org/package/2006/relationships"><Relationship Id="rId2" Type="http://schemas.microsoft.com/office/2011/relationships/chartColorStyle" Target="colors5.xml"/><Relationship Id="rId1" Type="http://schemas.microsoft.com/office/2011/relationships/chartStyle" Target="style5.xml"/></Relationships>
</file>

<file path=xl/charts/_rels/chart6.xml.rels><?xml version="1.0" encoding="UTF-8" standalone="yes"?>
<Relationships xmlns="http://schemas.openxmlformats.org/package/2006/relationships"><Relationship Id="rId2" Type="http://schemas.microsoft.com/office/2011/relationships/chartColorStyle" Target="colors6.xml"/><Relationship Id="rId1" Type="http://schemas.microsoft.com/office/2011/relationships/chartStyle" Target="style6.xml"/></Relationships>
</file>

<file path=xl/charts/_rels/chart7.xml.rels><?xml version="1.0" encoding="UTF-8" standalone="yes"?>
<Relationships xmlns="http://schemas.openxmlformats.org/package/2006/relationships"><Relationship Id="rId2" Type="http://schemas.microsoft.com/office/2011/relationships/chartColorStyle" Target="colors7.xml"/><Relationship Id="rId1" Type="http://schemas.microsoft.com/office/2011/relationships/chartStyle" Target="style7.xml"/></Relationships>
</file>

<file path=xl/charts/_rels/chart8.xml.rels><?xml version="1.0" encoding="UTF-8" standalone="yes"?>
<Relationships xmlns="http://schemas.openxmlformats.org/package/2006/relationships"><Relationship Id="rId2" Type="http://schemas.microsoft.com/office/2011/relationships/chartColorStyle" Target="colors8.xml"/><Relationship Id="rId1" Type="http://schemas.microsoft.com/office/2011/relationships/chartStyle" Target="style8.xml"/></Relationships>
</file>

<file path=xl/charts/_rels/chart9.xml.rels><?xml version="1.0" encoding="UTF-8" standalone="yes"?>
<Relationships xmlns="http://schemas.openxmlformats.org/package/2006/relationships"><Relationship Id="rId2" Type="http://schemas.microsoft.com/office/2011/relationships/chartColorStyle" Target="colors9.xml"/><Relationship Id="rId1" Type="http://schemas.microsoft.com/office/2011/relationships/chartStyle" Target="style9.xml"/></Relationships>
</file>

<file path=xl/charts/_rels/chart10.xml.rels><?xml version="1.0" encoding="UTF-8" standalone="yes"?>
<Relationships xmlns="http://schemas.openxmlformats.org/package/2006/relationships"><Relationship Id="rId2" Type="http://schemas.microsoft.com/office/2011/relationships/chartColorStyle" Target="colors10.xml"/><Relationship Id="rId1" Type="http://schemas.microsoft.com/office/2011/relationships/chartStyle" Target="style10.xml"/></Relationships>
</file>

<file path=xl/charts/_rels/chart11.xml.rels><?xml version="1.0" encoding="UTF-8" standalone="yes"?>
<Relationships xmlns="http://schemas.openxmlformats.org/package/2006/relationships"><Relationship Id="rId2" Type="http://schemas.microsoft.com/office/2011/relationships/chartColorStyle" Target="colors11.xml"/><Relationship Id="rId1" Type="http://schemas.microsoft.com/office/2011/relationships/chartStyle" Target="style11.xml"/></Relationships>
</file>

<file path=xl/charts/_rels/chart12.xml.rels><?xml version="1.0" encoding="UTF-8" standalone="yes"?>
<Relationships xmlns="http://schemas.openxmlformats.org/package/2006/relationships"><Relationship Id="rId2" Type="http://schemas.microsoft.com/office/2011/relationships/chartColorStyle" Target="colors12.xml"/><Relationship Id="rId1" Type="http://schemas.microsoft.com/office/2011/relationships/chartStyle" Target="style12.xml"/></Relationships>
</file>

<file path=xl/charts/_rels/chart13.xml.rels><?xml version="1.0" encoding="UTF-8" standalone="yes"?>
<Relationships xmlns="http://schemas.openxmlformats.org/package/2006/relationships"><Relationship Id="rId2" Type="http://schemas.microsoft.com/office/2011/relationships/chartColorStyle" Target="colors13.xml"/><Relationship Id="rId1" Type="http://schemas.microsoft.com/office/2011/relationships/chartStyle" Target="style13.xml"/></Relationships>
</file>

<file path=xl/charts/_rels/chart14.xml.rels><?xml version="1.0" encoding="UTF-8" standalone="yes"?>
<Relationships xmlns="http://schemas.openxmlformats.org/package/2006/relationships"><Relationship Id="rId2" Type="http://schemas.microsoft.com/office/2011/relationships/chartColorStyle" Target="colors14.xml"/><Relationship Id="rId1" Type="http://schemas.microsoft.com/office/2011/relationships/chartStyle" Target="style14.xml"/></Relationships>
</file>

<file path=xl/charts/_rels/chart15.xml.rels><?xml version="1.0" encoding="UTF-8" standalone="yes"?>
<Relationships xmlns="http://schemas.openxmlformats.org/package/2006/relationships"><Relationship Id="rId2" Type="http://schemas.microsoft.com/office/2011/relationships/chartColorStyle" Target="colors15.xml"/><Relationship Id="rId1" Type="http://schemas.microsoft.com/office/2011/relationships/chartStyle" Target="style15.xml"/></Relationships>
</file>

<file path=xl/charts/_rels/chart16.xml.rels><?xml version="1.0" encoding="UTF-8" standalone="yes"?>
<Relationships xmlns="http://schemas.openxmlformats.org/package/2006/relationships"><Relationship Id="rId2" Type="http://schemas.microsoft.com/office/2011/relationships/chartColorStyle" Target="colors16.xml"/><Relationship Id="rId1" Type="http://schemas.microsoft.com/office/2011/relationships/chartStyle" Target="style16.xml"/></Relationships>
</file>

<file path=xl/charts/_rels/chart17.xml.rels><?xml version="1.0" encoding="UTF-8" standalone="yes"?>
<Relationships xmlns="http://schemas.openxmlformats.org/package/2006/relationships"><Relationship Id="rId2" Type="http://schemas.microsoft.com/office/2011/relationships/chartColorStyle" Target="colors17.xml"/><Relationship Id="rId1" Type="http://schemas.microsoft.com/office/2011/relationships/chartStyle" Target="style17.xml"/></Relationships>
</file>

<file path=xl/charts/_rels/chart18.xml.rels><?xml version="1.0" encoding="UTF-8" standalone="yes"?>
<Relationships xmlns="http://schemas.openxmlformats.org/package/2006/relationships"><Relationship Id="rId2" Type="http://schemas.microsoft.com/office/2011/relationships/chartColorStyle" Target="colors18.xml"/><Relationship Id="rId1" Type="http://schemas.microsoft.com/office/2011/relationships/chartStyle" Target="style18.xml"/></Relationships>
</file>

<file path=xl/charts/_rels/chart19.xml.rels><?xml version="1.0" encoding="UTF-8" standalone="yes"?>
<Relationships xmlns="http://schemas.openxmlformats.org/package/2006/relationships"><Relationship Id="rId2" Type="http://schemas.microsoft.com/office/2011/relationships/chartColorStyle" Target="colors19.xml"/><Relationship Id="rId1" Type="http://schemas.microsoft.com/office/2011/relationships/chartStyle" Target="style19.xml"/></Relationships>
</file>

<file path=xl/charts/_rels/chart20.xml.rels><?xml version="1.0" encoding="UTF-8" standalone="yes"?>
<Relationships xmlns="http://schemas.openxmlformats.org/package/2006/relationships"><Relationship Id="rId2" Type="http://schemas.microsoft.com/office/2011/relationships/chartColorStyle" Target="colors20.xml"/><Relationship Id="rId1" Type="http://schemas.microsoft.com/office/2011/relationships/chartStyle" Target="style20.xml"/></Relationships>
</file>

<file path=xl/charts/_rels/chart21.xml.rels><?xml version="1.0" encoding="UTF-8" standalone="yes"?>
<Relationships xmlns="http://schemas.openxmlformats.org/package/2006/relationships"><Relationship Id="rId2" Type="http://schemas.microsoft.com/office/2011/relationships/chartColorStyle" Target="colors21.xml"/><Relationship Id="rId1" Type="http://schemas.microsoft.com/office/2011/relationships/chartStyle" Target="style21.xml"/></Relationships>
</file>

<file path=xl/charts/_rels/chart22.xml.rels><?xml version="1.0" encoding="UTF-8" standalone="yes"?>
<Relationships xmlns="http://schemas.openxmlformats.org/package/2006/relationships"><Relationship Id="rId2" Type="http://schemas.microsoft.com/office/2011/relationships/chartColorStyle" Target="colors22.xml"/><Relationship Id="rId1" Type="http://schemas.microsoft.com/office/2011/relationships/chartStyle" Target="style22.xml"/></Relationships>
</file>

<file path=xl/charts/_rels/chart23.xml.rels><?xml version="1.0" encoding="UTF-8" standalone="yes"?>
<Relationships xmlns="http://schemas.openxmlformats.org/package/2006/relationships"><Relationship Id="rId2" Type="http://schemas.microsoft.com/office/2011/relationships/chartColorStyle" Target="colors23.xml"/><Relationship Id="rId1" Type="http://schemas.microsoft.com/office/2011/relationships/chartStyle" Target="style23.xml"/></Relationships>
</file>

<file path=xl/charts/_rels/chart24.xml.rels><?xml version="1.0" encoding="UTF-8" standalone="yes"?>
<Relationships xmlns="http://schemas.openxmlformats.org/package/2006/relationships"><Relationship Id="rId2" Type="http://schemas.microsoft.com/office/2011/relationships/chartColorStyle" Target="colors24.xml"/><Relationship Id="rId1" Type="http://schemas.microsoft.com/office/2011/relationships/chartStyle" Target="style24.xml"/></Relationships>
</file>

<file path=xl/charts/_rels/chart25.xml.rels><?xml version="1.0" encoding="UTF-8" standalone="yes"?>
<Relationships xmlns="http://schemas.openxmlformats.org/package/2006/relationships"><Relationship Id="rId2" Type="http://schemas.microsoft.com/office/2011/relationships/chartColorStyle" Target="colors25.xml"/><Relationship Id="rId1" Type="http://schemas.microsoft.com/office/2011/relationships/chartStyle" Target="style25.xml"/></Relationships>
</file>

<file path=xl/charts/_rels/chart26.xml.rels><?xml version="1.0" encoding="UTF-8" standalone="yes"?>
<Relationships xmlns="http://schemas.openxmlformats.org/package/2006/relationships"><Relationship Id="rId2" Type="http://schemas.microsoft.com/office/2011/relationships/chartColorStyle" Target="colors26.xml"/><Relationship Id="rId1" Type="http://schemas.microsoft.com/office/2011/relationships/chartStyle" Target="style26.xml"/></Relationships>
</file>

<file path=xl/charts/_rels/chart27.xml.rels><?xml version="1.0" encoding="UTF-8" standalone="yes"?>
<Relationships xmlns="http://schemas.openxmlformats.org/package/2006/relationships"><Relationship Id="rId2" Type="http://schemas.microsoft.com/office/2011/relationships/chartColorStyle" Target="colors27.xml"/><Relationship Id="rId1" Type="http://schemas.microsoft.com/office/2011/relationships/chartStyle" Target="style27.xml"/></Relationships>
</file>

<file path=xl/charts/_rels/chart29.xml.rels><?xml version="1.0" encoding="UTF-8" standalone="yes"?>
<Relationships xmlns="http://schemas.openxmlformats.org/package/2006/relationships"><Relationship Id="rId2" Type="http://schemas.microsoft.com/office/2011/relationships/chartColorStyle" Target="colors28.xml"/><Relationship Id="rId1" Type="http://schemas.microsoft.com/office/2011/relationships/chartStyle" Target="style28.xml"/></Relationships>
</file>

<file path=xl/charts/_rels/chart30.xml.rels><?xml version="1.0" encoding="UTF-8" standalone="yes"?>
<Relationships xmlns="http://schemas.openxmlformats.org/package/2006/relationships"><Relationship Id="rId2" Type="http://schemas.microsoft.com/office/2011/relationships/chartColorStyle" Target="colors29.xml"/><Relationship Id="rId1" Type="http://schemas.microsoft.com/office/2011/relationships/chartStyle" Target="style29.xml"/></Relationships>
</file>

<file path=xl/charts/_rels/chart31.xml.rels><?xml version="1.0" encoding="UTF-8" standalone="yes"?>
<Relationships xmlns="http://schemas.openxmlformats.org/package/2006/relationships"><Relationship Id="rId2" Type="http://schemas.microsoft.com/office/2011/relationships/chartColorStyle" Target="colors30.xml"/><Relationship Id="rId1" Type="http://schemas.microsoft.com/office/2011/relationships/chartStyle" Target="style30.xml"/></Relationships>
</file>

<file path=xl/charts/_rels/chart32.xml.rels><?xml version="1.0" encoding="UTF-8" standalone="yes"?>
<Relationships xmlns="http://schemas.openxmlformats.org/package/2006/relationships"><Relationship Id="rId2" Type="http://schemas.microsoft.com/office/2011/relationships/chartColorStyle" Target="colors31.xml"/><Relationship Id="rId1" Type="http://schemas.microsoft.com/office/2011/relationships/chartStyle" Target="style31.xml"/></Relationships>
</file>

<file path=xl/charts/_rels/chart33.xml.rels><?xml version="1.0" encoding="UTF-8" standalone="yes"?>
<Relationships xmlns="http://schemas.openxmlformats.org/package/2006/relationships"><Relationship Id="rId2" Type="http://schemas.microsoft.com/office/2011/relationships/chartColorStyle" Target="colors32.xml"/><Relationship Id="rId1" Type="http://schemas.microsoft.com/office/2011/relationships/chartStyle" Target="style32.xml"/></Relationships>
</file>

<file path=xl/charts/_rels/chart34.xml.rels><?xml version="1.0" encoding="UTF-8" standalone="yes"?>
<Relationships xmlns="http://schemas.openxmlformats.org/package/2006/relationships"><Relationship Id="rId2" Type="http://schemas.microsoft.com/office/2011/relationships/chartColorStyle" Target="colors33.xml"/><Relationship Id="rId1" Type="http://schemas.microsoft.com/office/2011/relationships/chartStyle" Target="style33.xml"/></Relationships>
</file>

<file path=xl/charts/_rels/chart35.xml.rels><?xml version="1.0" encoding="UTF-8" standalone="yes"?>
<Relationships xmlns="http://schemas.openxmlformats.org/package/2006/relationships"><Relationship Id="rId1" Type="http://schemas.openxmlformats.org/officeDocument/2006/relationships/themeOverride" Target="../theme/themeOverride1.xml"/></Relationships>
</file>

<file path=xl/charts/_rels/chart36.xml.rels><?xml version="1.0" encoding="UTF-8" standalone="yes"?>
<Relationships xmlns="http://schemas.openxmlformats.org/package/2006/relationships"><Relationship Id="rId2" Type="http://schemas.microsoft.com/office/2011/relationships/chartColorStyle" Target="colors34.xml"/><Relationship Id="rId1" Type="http://schemas.microsoft.com/office/2011/relationships/chartStyle" Target="style34.xml"/></Relationships>
</file>

<file path=xl/charts/_rels/chart37.xml.rels><?xml version="1.0" encoding="UTF-8" standalone="yes"?>
<Relationships xmlns="http://schemas.openxmlformats.org/package/2006/relationships"><Relationship Id="rId2" Type="http://schemas.microsoft.com/office/2011/relationships/chartColorStyle" Target="colors35.xml"/><Relationship Id="rId1" Type="http://schemas.microsoft.com/office/2011/relationships/chartStyle" Target="style35.xml"/></Relationships>
</file>

<file path=xl/charts/_rels/chart38.xml.rels><?xml version="1.0" encoding="UTF-8" standalone="yes"?>
<Relationships xmlns="http://schemas.openxmlformats.org/package/2006/relationships"><Relationship Id="rId2" Type="http://schemas.microsoft.com/office/2011/relationships/chartColorStyle" Target="colors36.xml"/><Relationship Id="rId1" Type="http://schemas.microsoft.com/office/2011/relationships/chartStyle" Target="style36.xml"/></Relationships>
</file>

<file path=xl/charts/_rels/chart39.xml.rels><?xml version="1.0" encoding="UTF-8" standalone="yes"?>
<Relationships xmlns="http://schemas.openxmlformats.org/package/2006/relationships"><Relationship Id="rId2" Type="http://schemas.microsoft.com/office/2011/relationships/chartColorStyle" Target="colors37.xml"/><Relationship Id="rId1" Type="http://schemas.microsoft.com/office/2011/relationships/chartStyle" Target="style37.xml"/></Relationships>
</file>

<file path=xl/charts/_rels/chart40.xml.rels><?xml version="1.0" encoding="UTF-8" standalone="yes"?>
<Relationships xmlns="http://schemas.openxmlformats.org/package/2006/relationships"><Relationship Id="rId2" Type="http://schemas.microsoft.com/office/2011/relationships/chartColorStyle" Target="colors38.xml"/><Relationship Id="rId1" Type="http://schemas.microsoft.com/office/2011/relationships/chartStyle" Target="style38.xml"/></Relationships>
</file>

<file path=xl/charts/_rels/chart41.xml.rels><?xml version="1.0" encoding="UTF-8" standalone="yes"?>
<Relationships xmlns="http://schemas.openxmlformats.org/package/2006/relationships"><Relationship Id="rId2" Type="http://schemas.microsoft.com/office/2011/relationships/chartColorStyle" Target="colors39.xml"/><Relationship Id="rId1" Type="http://schemas.microsoft.com/office/2011/relationships/chartStyle" Target="style39.xml"/></Relationships>
</file>

<file path=xl/charts/_rels/chart42.xml.rels><?xml version="1.0" encoding="UTF-8" standalone="yes"?>
<Relationships xmlns="http://schemas.openxmlformats.org/package/2006/relationships"><Relationship Id="rId2" Type="http://schemas.microsoft.com/office/2011/relationships/chartColorStyle" Target="colors40.xml"/><Relationship Id="rId1" Type="http://schemas.microsoft.com/office/2011/relationships/chartStyle" Target="style40.xml"/></Relationships>
</file>

<file path=xl/charts/_rels/chart43.xml.rels><?xml version="1.0" encoding="UTF-8" standalone="yes"?>
<Relationships xmlns="http://schemas.openxmlformats.org/package/2006/relationships"><Relationship Id="rId2" Type="http://schemas.microsoft.com/office/2011/relationships/chartColorStyle" Target="colors41.xml"/><Relationship Id="rId1" Type="http://schemas.microsoft.com/office/2011/relationships/chartStyle" Target="style41.xml"/></Relationships>
</file>

<file path=xl/charts/_rels/chart44.xml.rels><?xml version="1.0" encoding="UTF-8" standalone="yes"?>
<Relationships xmlns="http://schemas.openxmlformats.org/package/2006/relationships"><Relationship Id="rId2" Type="http://schemas.microsoft.com/office/2011/relationships/chartColorStyle" Target="colors42.xml"/><Relationship Id="rId1" Type="http://schemas.microsoft.com/office/2011/relationships/chartStyle" Target="style42.xml"/></Relationships>
</file>

<file path=xl/charts/_rels/chart45.xml.rels><?xml version="1.0" encoding="UTF-8" standalone="yes"?>
<Relationships xmlns="http://schemas.openxmlformats.org/package/2006/relationships"><Relationship Id="rId2" Type="http://schemas.microsoft.com/office/2011/relationships/chartColorStyle" Target="colors43.xml"/><Relationship Id="rId1" Type="http://schemas.microsoft.com/office/2011/relationships/chartStyle" Target="style43.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fr-FR"/>
  <c:roundedCorners val="0"/>
  <mc:AlternateContent xmlns:mc="http://schemas.openxmlformats.org/markup-compatibility/2006">
    <mc:Choice xmlns:c14="http://schemas.microsoft.com/office/drawing/2007/8/2/chart" Requires="c14">
      <c14:style val="107"/>
    </mc:Choice>
    <mc:Fallback>
      <c:style val="7"/>
    </mc:Fallback>
  </mc:AlternateContent>
  <c:chart>
    <c:autoTitleDeleted val="1"/>
    <c:plotArea>
      <c:layout/>
      <c:barChart>
        <c:barDir val="col"/>
        <c:grouping val="clustered"/>
        <c:varyColors val="0"/>
        <c:ser>
          <c:idx val="0"/>
          <c:order val="0"/>
          <c:spPr>
            <a:solidFill>
              <a:schemeClr val="accent5"/>
            </a:solidFill>
            <a:ln>
              <a:noFill/>
            </a:ln>
            <a:effectLst/>
          </c:spPr>
          <c:invertIfNegative val="0"/>
          <c:cat>
            <c:strRef>
              <c:f>'Tableau de bord'!$H$59:$H$68</c:f>
              <c:strCache>
                <c:ptCount val="10"/>
                <c:pt idx="0">
                  <c:v>C. Aérobie</c:v>
                </c:pt>
                <c:pt idx="1">
                  <c:v>Coordination</c:v>
                </c:pt>
                <c:pt idx="2">
                  <c:v>Force</c:v>
                </c:pt>
                <c:pt idx="3">
                  <c:v>Force / Vitesse</c:v>
                </c:pt>
                <c:pt idx="4">
                  <c:v>P. Aérobie</c:v>
                </c:pt>
                <c:pt idx="5">
                  <c:v>Pack prévention</c:v>
                </c:pt>
                <c:pt idx="6">
                  <c:v>PMA</c:v>
                </c:pt>
                <c:pt idx="7">
                  <c:v>Renfocement M.</c:v>
                </c:pt>
                <c:pt idx="8">
                  <c:v>Souplesse</c:v>
                </c:pt>
                <c:pt idx="9">
                  <c:v>Vitesse</c:v>
                </c:pt>
              </c:strCache>
            </c:strRef>
          </c:cat>
          <c:val>
            <c:numRef>
              <c:f>'Tableau de bord'!$I$59:$I$68</c:f>
              <c:numCache>
                <c:formatCode>General</c:formatCode>
                <c:ptCount val="10"/>
                <c:pt idx="0">
                  <c:v>4</c:v>
                </c:pt>
                <c:pt idx="1">
                  <c:v>0</c:v>
                </c:pt>
                <c:pt idx="2">
                  <c:v>1</c:v>
                </c:pt>
                <c:pt idx="3">
                  <c:v>3</c:v>
                </c:pt>
                <c:pt idx="4">
                  <c:v>7</c:v>
                </c:pt>
                <c:pt idx="5">
                  <c:v>0</c:v>
                </c:pt>
                <c:pt idx="6">
                  <c:v>8</c:v>
                </c:pt>
                <c:pt idx="7">
                  <c:v>0</c:v>
                </c:pt>
                <c:pt idx="8">
                  <c:v>0</c:v>
                </c:pt>
                <c:pt idx="9">
                  <c:v>1</c:v>
                </c:pt>
              </c:numCache>
            </c:numRef>
          </c:val>
          <c:extLst>
            <c:ext xmlns:c16="http://schemas.microsoft.com/office/drawing/2014/chart" uri="{C3380CC4-5D6E-409C-BE32-E72D297353CC}">
              <c16:uniqueId val="{00000000-2AF6-4034-90F6-85928B0E4425}"/>
            </c:ext>
          </c:extLst>
        </c:ser>
        <c:dLbls>
          <c:showLegendKey val="0"/>
          <c:showVal val="0"/>
          <c:showCatName val="0"/>
          <c:showSerName val="0"/>
          <c:showPercent val="0"/>
          <c:showBubbleSize val="0"/>
        </c:dLbls>
        <c:gapWidth val="219"/>
        <c:overlap val="-27"/>
        <c:axId val="618213512"/>
        <c:axId val="618213840"/>
      </c:barChart>
      <c:catAx>
        <c:axId val="618213512"/>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fr-FR"/>
          </a:p>
        </c:txPr>
        <c:crossAx val="618213840"/>
        <c:crosses val="autoZero"/>
        <c:auto val="1"/>
        <c:lblAlgn val="ctr"/>
        <c:lblOffset val="100"/>
        <c:noMultiLvlLbl val="0"/>
      </c:catAx>
      <c:valAx>
        <c:axId val="618213840"/>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fr-FR"/>
          </a:p>
        </c:txPr>
        <c:crossAx val="618213512"/>
        <c:crosses val="autoZero"/>
        <c:crossBetween val="between"/>
      </c:valAx>
      <c:spPr>
        <a:noFill/>
        <a:ln>
          <a:noFill/>
        </a:ln>
        <a:effectLst/>
      </c:spPr>
    </c:plotArea>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fr-FR"/>
    </a:p>
  </c:txPr>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fr-FR"/>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pieChart>
        <c:varyColors val="1"/>
        <c:ser>
          <c:idx val="0"/>
          <c:order val="0"/>
          <c:dPt>
            <c:idx val="0"/>
            <c:bubble3D val="0"/>
            <c:spPr>
              <a:solidFill>
                <a:schemeClr val="accent1"/>
              </a:solidFill>
              <a:ln w="19050">
                <a:solidFill>
                  <a:schemeClr val="lt1"/>
                </a:solidFill>
              </a:ln>
              <a:effectLst/>
            </c:spPr>
            <c:extLst>
              <c:ext xmlns:c16="http://schemas.microsoft.com/office/drawing/2014/chart" uri="{C3380CC4-5D6E-409C-BE32-E72D297353CC}">
                <c16:uniqueId val="{00000001-1C7B-49CC-8FF0-07D4CEC3B2DD}"/>
              </c:ext>
            </c:extLst>
          </c:dPt>
          <c:dPt>
            <c:idx val="1"/>
            <c:bubble3D val="0"/>
            <c:spPr>
              <a:solidFill>
                <a:schemeClr val="accent2"/>
              </a:solidFill>
              <a:ln w="19050">
                <a:solidFill>
                  <a:schemeClr val="lt1"/>
                </a:solidFill>
              </a:ln>
              <a:effectLst/>
            </c:spPr>
            <c:extLst>
              <c:ext xmlns:c16="http://schemas.microsoft.com/office/drawing/2014/chart" uri="{C3380CC4-5D6E-409C-BE32-E72D297353CC}">
                <c16:uniqueId val="{00000003-1C7B-49CC-8FF0-07D4CEC3B2DD}"/>
              </c:ext>
            </c:extLst>
          </c:dPt>
          <c:dPt>
            <c:idx val="2"/>
            <c:bubble3D val="0"/>
            <c:spPr>
              <a:solidFill>
                <a:schemeClr val="accent3"/>
              </a:solidFill>
              <a:ln w="19050">
                <a:solidFill>
                  <a:schemeClr val="lt1"/>
                </a:solidFill>
              </a:ln>
              <a:effectLst/>
            </c:spPr>
            <c:extLst>
              <c:ext xmlns:c16="http://schemas.microsoft.com/office/drawing/2014/chart" uri="{C3380CC4-5D6E-409C-BE32-E72D297353CC}">
                <c16:uniqueId val="{00000005-1C7B-49CC-8FF0-07D4CEC3B2DD}"/>
              </c:ext>
            </c:extLst>
          </c:dPt>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fr-FR"/>
              </a:p>
            </c:txPr>
            <c:dLblPos val="inEnd"/>
            <c:showLegendKey val="0"/>
            <c:showVal val="0"/>
            <c:showCatName val="0"/>
            <c:showSerName val="0"/>
            <c:showPercent val="1"/>
            <c:showBubbleSize val="0"/>
            <c:showLeaderLines val="1"/>
            <c:leaderLines>
              <c:spPr>
                <a:ln w="9525" cap="flat" cmpd="sng" algn="ctr">
                  <a:solidFill>
                    <a:schemeClr val="tx1">
                      <a:lumMod val="35000"/>
                      <a:lumOff val="65000"/>
                    </a:schemeClr>
                  </a:solidFill>
                  <a:round/>
                </a:ln>
                <a:effectLst/>
              </c:spPr>
            </c:leaderLines>
            <c:extLst>
              <c:ext xmlns:c15="http://schemas.microsoft.com/office/drawing/2012/chart" uri="{CE6537A1-D6FC-4f65-9D91-7224C49458BB}"/>
            </c:extLst>
          </c:dLbls>
          <c:cat>
            <c:strRef>
              <c:f>'Tableau de bord'!$H$8:$H$10</c:f>
              <c:strCache>
                <c:ptCount val="3"/>
                <c:pt idx="0">
                  <c:v>Payée</c:v>
                </c:pt>
                <c:pt idx="1">
                  <c:v>Payée partiellement </c:v>
                </c:pt>
                <c:pt idx="2">
                  <c:v>Non payée</c:v>
                </c:pt>
              </c:strCache>
            </c:strRef>
          </c:cat>
          <c:val>
            <c:numRef>
              <c:f>'Tableau de bord'!$I$8:$I$10</c:f>
              <c:numCache>
                <c:formatCode>General</c:formatCode>
                <c:ptCount val="3"/>
                <c:pt idx="0">
                  <c:v>9</c:v>
                </c:pt>
                <c:pt idx="1">
                  <c:v>2</c:v>
                </c:pt>
                <c:pt idx="2">
                  <c:v>9</c:v>
                </c:pt>
              </c:numCache>
            </c:numRef>
          </c:val>
          <c:extLst>
            <c:ext xmlns:c16="http://schemas.microsoft.com/office/drawing/2014/chart" uri="{C3380CC4-5D6E-409C-BE32-E72D297353CC}">
              <c16:uniqueId val="{00000000-93CB-4A67-B1AE-7B82E3B72E7A}"/>
            </c:ext>
          </c:extLst>
        </c:ser>
        <c:dLbls>
          <c:dLblPos val="inEnd"/>
          <c:showLegendKey val="0"/>
          <c:showVal val="0"/>
          <c:showCatName val="0"/>
          <c:showSerName val="0"/>
          <c:showPercent val="1"/>
          <c:showBubbleSize val="0"/>
          <c:showLeaderLines val="1"/>
        </c:dLbls>
        <c:firstSliceAng val="0"/>
      </c:pieChart>
      <c:spPr>
        <a:noFill/>
        <a:ln>
          <a:noFill/>
        </a:ln>
        <a:effectLst/>
      </c:spPr>
    </c:plotArea>
    <c:legend>
      <c:legendPos val="r"/>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fr-FR"/>
        </a:p>
      </c:txPr>
    </c:legend>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fr-FR"/>
    </a:p>
  </c:txPr>
  <c:printSettings>
    <c:headerFooter/>
    <c:pageMargins b="0.75" l="0.7" r="0.7" t="0.75" header="0.3" footer="0.3"/>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fr-FR"/>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pieChart>
        <c:varyColors val="1"/>
        <c:ser>
          <c:idx val="0"/>
          <c:order val="0"/>
          <c:dPt>
            <c:idx val="0"/>
            <c:bubble3D val="0"/>
            <c:spPr>
              <a:solidFill>
                <a:schemeClr val="accent1"/>
              </a:solidFill>
              <a:ln w="19050">
                <a:solidFill>
                  <a:schemeClr val="lt1"/>
                </a:solidFill>
              </a:ln>
              <a:effectLst/>
            </c:spPr>
            <c:extLst>
              <c:ext xmlns:c16="http://schemas.microsoft.com/office/drawing/2014/chart" uri="{C3380CC4-5D6E-409C-BE32-E72D297353CC}">
                <c16:uniqueId val="{00000001-7C86-49E9-8DB8-7D64EA00729C}"/>
              </c:ext>
            </c:extLst>
          </c:dPt>
          <c:dPt>
            <c:idx val="1"/>
            <c:bubble3D val="0"/>
            <c:spPr>
              <a:solidFill>
                <a:schemeClr val="accent2"/>
              </a:solidFill>
              <a:ln w="19050">
                <a:solidFill>
                  <a:schemeClr val="lt1"/>
                </a:solidFill>
              </a:ln>
              <a:effectLst/>
            </c:spPr>
            <c:extLst>
              <c:ext xmlns:c16="http://schemas.microsoft.com/office/drawing/2014/chart" uri="{C3380CC4-5D6E-409C-BE32-E72D297353CC}">
                <c16:uniqueId val="{00000003-7C86-49E9-8DB8-7D64EA00729C}"/>
              </c:ext>
            </c:extLst>
          </c:dPt>
          <c:dPt>
            <c:idx val="2"/>
            <c:bubble3D val="0"/>
            <c:spPr>
              <a:solidFill>
                <a:schemeClr val="accent3"/>
              </a:solidFill>
              <a:ln w="19050">
                <a:solidFill>
                  <a:schemeClr val="lt1"/>
                </a:solidFill>
              </a:ln>
              <a:effectLst/>
            </c:spPr>
            <c:extLst>
              <c:ext xmlns:c16="http://schemas.microsoft.com/office/drawing/2014/chart" uri="{C3380CC4-5D6E-409C-BE32-E72D297353CC}">
                <c16:uniqueId val="{00000005-7C86-49E9-8DB8-7D64EA00729C}"/>
              </c:ext>
            </c:extLst>
          </c:dPt>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fr-FR"/>
              </a:p>
            </c:txPr>
            <c:dLblPos val="inEnd"/>
            <c:showLegendKey val="0"/>
            <c:showVal val="0"/>
            <c:showCatName val="0"/>
            <c:showSerName val="0"/>
            <c:showPercent val="1"/>
            <c:showBubbleSize val="0"/>
            <c:showLeaderLines val="1"/>
            <c:leaderLines>
              <c:spPr>
                <a:ln w="9525" cap="flat" cmpd="sng" algn="ctr">
                  <a:solidFill>
                    <a:schemeClr val="tx1">
                      <a:lumMod val="35000"/>
                      <a:lumOff val="65000"/>
                    </a:schemeClr>
                  </a:solidFill>
                  <a:round/>
                </a:ln>
                <a:effectLst/>
              </c:spPr>
            </c:leaderLines>
            <c:extLst>
              <c:ext xmlns:c15="http://schemas.microsoft.com/office/drawing/2012/chart" uri="{CE6537A1-D6FC-4f65-9D91-7224C49458BB}"/>
            </c:extLst>
          </c:dLbls>
          <c:cat>
            <c:strRef>
              <c:f>'Tableau de bord'!$L$8:$L$9</c:f>
              <c:strCache>
                <c:ptCount val="2"/>
                <c:pt idx="0">
                  <c:v>1er semestre</c:v>
                </c:pt>
                <c:pt idx="1">
                  <c:v>2e semestre</c:v>
                </c:pt>
              </c:strCache>
            </c:strRef>
          </c:cat>
          <c:val>
            <c:numRef>
              <c:f>'Tableau de bord'!$M$8:$M$9</c:f>
              <c:numCache>
                <c:formatCode>General</c:formatCode>
                <c:ptCount val="2"/>
                <c:pt idx="0">
                  <c:v>9</c:v>
                </c:pt>
                <c:pt idx="1">
                  <c:v>12</c:v>
                </c:pt>
              </c:numCache>
            </c:numRef>
          </c:val>
          <c:extLst>
            <c:ext xmlns:c16="http://schemas.microsoft.com/office/drawing/2014/chart" uri="{C3380CC4-5D6E-409C-BE32-E72D297353CC}">
              <c16:uniqueId val="{00000006-7C86-49E9-8DB8-7D64EA00729C}"/>
            </c:ext>
          </c:extLst>
        </c:ser>
        <c:dLbls>
          <c:dLblPos val="inEnd"/>
          <c:showLegendKey val="0"/>
          <c:showVal val="0"/>
          <c:showCatName val="0"/>
          <c:showSerName val="0"/>
          <c:showPercent val="1"/>
          <c:showBubbleSize val="0"/>
          <c:showLeaderLines val="1"/>
        </c:dLbls>
        <c:firstSliceAng val="0"/>
      </c:pieChart>
      <c:spPr>
        <a:noFill/>
        <a:ln>
          <a:noFill/>
        </a:ln>
        <a:effectLst/>
      </c:spPr>
    </c:plotArea>
    <c:legend>
      <c:legendPos val="r"/>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fr-FR"/>
        </a:p>
      </c:txPr>
    </c:legend>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fr-FR"/>
    </a:p>
  </c:txPr>
  <c:printSettings>
    <c:headerFooter/>
    <c:pageMargins b="0.75" l="0.7" r="0.7" t="0.75" header="0.3" footer="0.3"/>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fr-FR"/>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pieChart>
        <c:varyColors val="1"/>
        <c:ser>
          <c:idx val="0"/>
          <c:order val="0"/>
          <c:dPt>
            <c:idx val="0"/>
            <c:bubble3D val="0"/>
            <c:spPr>
              <a:solidFill>
                <a:schemeClr val="accent1"/>
              </a:solidFill>
              <a:ln w="19050">
                <a:solidFill>
                  <a:schemeClr val="lt1"/>
                </a:solidFill>
              </a:ln>
              <a:effectLst/>
            </c:spPr>
            <c:extLst>
              <c:ext xmlns:c16="http://schemas.microsoft.com/office/drawing/2014/chart" uri="{C3380CC4-5D6E-409C-BE32-E72D297353CC}">
                <c16:uniqueId val="{00000001-02A5-4FA9-8427-22492CF5DF33}"/>
              </c:ext>
            </c:extLst>
          </c:dPt>
          <c:dPt>
            <c:idx val="1"/>
            <c:bubble3D val="0"/>
            <c:spPr>
              <a:solidFill>
                <a:schemeClr val="accent2"/>
              </a:solidFill>
              <a:ln w="19050">
                <a:solidFill>
                  <a:schemeClr val="lt1"/>
                </a:solidFill>
              </a:ln>
              <a:effectLst/>
            </c:spPr>
            <c:extLst>
              <c:ext xmlns:c16="http://schemas.microsoft.com/office/drawing/2014/chart" uri="{C3380CC4-5D6E-409C-BE32-E72D297353CC}">
                <c16:uniqueId val="{00000003-02A5-4FA9-8427-22492CF5DF33}"/>
              </c:ext>
            </c:extLst>
          </c:dPt>
          <c:dPt>
            <c:idx val="2"/>
            <c:bubble3D val="0"/>
            <c:spPr>
              <a:solidFill>
                <a:schemeClr val="accent3"/>
              </a:solidFill>
              <a:ln w="19050">
                <a:solidFill>
                  <a:schemeClr val="lt1"/>
                </a:solidFill>
              </a:ln>
              <a:effectLst/>
            </c:spPr>
            <c:extLst>
              <c:ext xmlns:c16="http://schemas.microsoft.com/office/drawing/2014/chart" uri="{C3380CC4-5D6E-409C-BE32-E72D297353CC}">
                <c16:uniqueId val="{00000005-02A5-4FA9-8427-22492CF5DF33}"/>
              </c:ext>
            </c:extLst>
          </c:dPt>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fr-FR"/>
              </a:p>
            </c:txPr>
            <c:dLblPos val="inEnd"/>
            <c:showLegendKey val="0"/>
            <c:showVal val="0"/>
            <c:showCatName val="0"/>
            <c:showSerName val="0"/>
            <c:showPercent val="1"/>
            <c:showBubbleSize val="0"/>
            <c:showLeaderLines val="1"/>
            <c:leaderLines>
              <c:spPr>
                <a:ln w="9525" cap="flat" cmpd="sng" algn="ctr">
                  <a:solidFill>
                    <a:schemeClr val="tx1">
                      <a:lumMod val="35000"/>
                      <a:lumOff val="65000"/>
                    </a:schemeClr>
                  </a:solidFill>
                  <a:round/>
                </a:ln>
                <a:effectLst/>
              </c:spPr>
            </c:leaderLines>
            <c:extLst>
              <c:ext xmlns:c15="http://schemas.microsoft.com/office/drawing/2012/chart" uri="{CE6537A1-D6FC-4f65-9D91-7224C49458BB}"/>
            </c:extLst>
          </c:dLbls>
          <c:cat>
            <c:strRef>
              <c:f>'Tableau de bord'!$P$8:$P$10</c:f>
              <c:strCache>
                <c:ptCount val="3"/>
                <c:pt idx="0">
                  <c:v>Droitier</c:v>
                </c:pt>
                <c:pt idx="1">
                  <c:v>Gaucher</c:v>
                </c:pt>
                <c:pt idx="2">
                  <c:v>Ambidextre</c:v>
                </c:pt>
              </c:strCache>
            </c:strRef>
          </c:cat>
          <c:val>
            <c:numRef>
              <c:f>'Tableau de bord'!$Q$8:$Q$10</c:f>
              <c:numCache>
                <c:formatCode>General</c:formatCode>
                <c:ptCount val="3"/>
                <c:pt idx="0">
                  <c:v>17</c:v>
                </c:pt>
                <c:pt idx="1">
                  <c:v>3</c:v>
                </c:pt>
                <c:pt idx="2">
                  <c:v>1</c:v>
                </c:pt>
              </c:numCache>
            </c:numRef>
          </c:val>
          <c:extLst>
            <c:ext xmlns:c16="http://schemas.microsoft.com/office/drawing/2014/chart" uri="{C3380CC4-5D6E-409C-BE32-E72D297353CC}">
              <c16:uniqueId val="{00000006-02A5-4FA9-8427-22492CF5DF33}"/>
            </c:ext>
          </c:extLst>
        </c:ser>
        <c:dLbls>
          <c:dLblPos val="inEnd"/>
          <c:showLegendKey val="0"/>
          <c:showVal val="0"/>
          <c:showCatName val="0"/>
          <c:showSerName val="0"/>
          <c:showPercent val="1"/>
          <c:showBubbleSize val="0"/>
          <c:showLeaderLines val="1"/>
        </c:dLbls>
        <c:firstSliceAng val="0"/>
      </c:pieChart>
      <c:spPr>
        <a:noFill/>
        <a:ln>
          <a:noFill/>
        </a:ln>
        <a:effectLst/>
      </c:spPr>
    </c:plotArea>
    <c:legend>
      <c:legendPos val="r"/>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fr-FR"/>
        </a:p>
      </c:txPr>
    </c:legend>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fr-FR"/>
    </a:p>
  </c:txPr>
  <c:printSettings>
    <c:headerFooter/>
    <c:pageMargins b="0.75" l="0.7" r="0.7" t="0.75" header="0.3" footer="0.3"/>
    <c:pageSetup/>
  </c:printSettings>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fr-FR"/>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pieChart>
        <c:varyColors val="1"/>
        <c:ser>
          <c:idx val="0"/>
          <c:order val="0"/>
          <c:dPt>
            <c:idx val="0"/>
            <c:bubble3D val="0"/>
            <c:spPr>
              <a:solidFill>
                <a:schemeClr val="accent1"/>
              </a:solidFill>
              <a:ln w="19050">
                <a:solidFill>
                  <a:schemeClr val="lt1"/>
                </a:solidFill>
              </a:ln>
              <a:effectLst/>
            </c:spPr>
            <c:extLst>
              <c:ext xmlns:c16="http://schemas.microsoft.com/office/drawing/2014/chart" uri="{C3380CC4-5D6E-409C-BE32-E72D297353CC}">
                <c16:uniqueId val="{00000001-BECA-4A32-93B7-37592C86D910}"/>
              </c:ext>
            </c:extLst>
          </c:dPt>
          <c:dPt>
            <c:idx val="1"/>
            <c:bubble3D val="0"/>
            <c:spPr>
              <a:solidFill>
                <a:schemeClr val="accent2"/>
              </a:solidFill>
              <a:ln w="19050">
                <a:solidFill>
                  <a:schemeClr val="lt1"/>
                </a:solidFill>
              </a:ln>
              <a:effectLst/>
            </c:spPr>
            <c:extLst>
              <c:ext xmlns:c16="http://schemas.microsoft.com/office/drawing/2014/chart" uri="{C3380CC4-5D6E-409C-BE32-E72D297353CC}">
                <c16:uniqueId val="{00000003-BECA-4A32-93B7-37592C86D910}"/>
              </c:ext>
            </c:extLst>
          </c:dPt>
          <c:dPt>
            <c:idx val="2"/>
            <c:bubble3D val="0"/>
            <c:spPr>
              <a:solidFill>
                <a:schemeClr val="accent3"/>
              </a:solidFill>
              <a:ln w="19050">
                <a:solidFill>
                  <a:schemeClr val="lt1"/>
                </a:solidFill>
              </a:ln>
              <a:effectLst/>
            </c:spPr>
            <c:extLst>
              <c:ext xmlns:c16="http://schemas.microsoft.com/office/drawing/2014/chart" uri="{C3380CC4-5D6E-409C-BE32-E72D297353CC}">
                <c16:uniqueId val="{00000005-BECA-4A32-93B7-37592C86D910}"/>
              </c:ext>
            </c:extLst>
          </c:dPt>
          <c:dPt>
            <c:idx val="3"/>
            <c:bubble3D val="0"/>
            <c:spPr>
              <a:solidFill>
                <a:schemeClr val="accent4"/>
              </a:solidFill>
              <a:ln w="19050">
                <a:solidFill>
                  <a:schemeClr val="lt1"/>
                </a:solidFill>
              </a:ln>
              <a:effectLst/>
            </c:spPr>
            <c:extLst>
              <c:ext xmlns:c16="http://schemas.microsoft.com/office/drawing/2014/chart" uri="{C3380CC4-5D6E-409C-BE32-E72D297353CC}">
                <c16:uniqueId val="{00000007-A525-481D-9D4B-D284FDD2D283}"/>
              </c:ext>
            </c:extLst>
          </c:dPt>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fr-FR"/>
              </a:p>
            </c:txPr>
            <c:dLblPos val="inEnd"/>
            <c:showLegendKey val="0"/>
            <c:showVal val="0"/>
            <c:showCatName val="0"/>
            <c:showSerName val="0"/>
            <c:showPercent val="1"/>
            <c:showBubbleSize val="0"/>
            <c:showLeaderLines val="1"/>
            <c:leaderLines>
              <c:spPr>
                <a:ln w="9525" cap="flat" cmpd="sng" algn="ctr">
                  <a:solidFill>
                    <a:schemeClr val="tx1">
                      <a:lumMod val="35000"/>
                      <a:lumOff val="65000"/>
                    </a:schemeClr>
                  </a:solidFill>
                  <a:round/>
                </a:ln>
                <a:effectLst/>
              </c:spPr>
            </c:leaderLines>
            <c:extLst>
              <c:ext xmlns:c15="http://schemas.microsoft.com/office/drawing/2012/chart" uri="{CE6537A1-D6FC-4f65-9D91-7224C49458BB}"/>
            </c:extLst>
          </c:dLbls>
          <c:cat>
            <c:strRef>
              <c:f>'Tableau de bord'!$T$8:$T$11</c:f>
              <c:strCache>
                <c:ptCount val="4"/>
                <c:pt idx="0">
                  <c:v>Gardien</c:v>
                </c:pt>
                <c:pt idx="1">
                  <c:v>Défenseur</c:v>
                </c:pt>
                <c:pt idx="2">
                  <c:v>Milieu</c:v>
                </c:pt>
                <c:pt idx="3">
                  <c:v>Attaquant</c:v>
                </c:pt>
              </c:strCache>
            </c:strRef>
          </c:cat>
          <c:val>
            <c:numRef>
              <c:f>'Tableau de bord'!$U$8:$U$11</c:f>
              <c:numCache>
                <c:formatCode>General</c:formatCode>
                <c:ptCount val="4"/>
                <c:pt idx="0">
                  <c:v>2</c:v>
                </c:pt>
                <c:pt idx="1">
                  <c:v>8</c:v>
                </c:pt>
                <c:pt idx="2">
                  <c:v>5</c:v>
                </c:pt>
                <c:pt idx="3">
                  <c:v>6</c:v>
                </c:pt>
              </c:numCache>
            </c:numRef>
          </c:val>
          <c:extLst>
            <c:ext xmlns:c16="http://schemas.microsoft.com/office/drawing/2014/chart" uri="{C3380CC4-5D6E-409C-BE32-E72D297353CC}">
              <c16:uniqueId val="{00000006-BECA-4A32-93B7-37592C86D910}"/>
            </c:ext>
          </c:extLst>
        </c:ser>
        <c:dLbls>
          <c:dLblPos val="inEnd"/>
          <c:showLegendKey val="0"/>
          <c:showVal val="0"/>
          <c:showCatName val="0"/>
          <c:showSerName val="0"/>
          <c:showPercent val="1"/>
          <c:showBubbleSize val="0"/>
          <c:showLeaderLines val="1"/>
        </c:dLbls>
        <c:firstSliceAng val="0"/>
      </c:pieChart>
      <c:spPr>
        <a:noFill/>
        <a:ln>
          <a:noFill/>
        </a:ln>
        <a:effectLst/>
      </c:spPr>
    </c:plotArea>
    <c:legend>
      <c:legendPos val="r"/>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fr-FR"/>
        </a:p>
      </c:txPr>
    </c:legend>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fr-FR"/>
    </a:p>
  </c:txPr>
  <c:printSettings>
    <c:headerFooter/>
    <c:pageMargins b="0.75" l="0.7" r="0.7" t="0.75" header="0.3" footer="0.3"/>
    <c:pageSetup/>
  </c:printSettings>
</c:chartSpace>
</file>

<file path=xl/charts/chart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fr-FR"/>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pieChart>
        <c:varyColors val="1"/>
        <c:ser>
          <c:idx val="0"/>
          <c:order val="0"/>
          <c:dPt>
            <c:idx val="0"/>
            <c:bubble3D val="0"/>
            <c:spPr>
              <a:solidFill>
                <a:schemeClr val="accent2"/>
              </a:solidFill>
              <a:ln w="19050">
                <a:solidFill>
                  <a:schemeClr val="lt1"/>
                </a:solidFill>
              </a:ln>
              <a:effectLst/>
            </c:spPr>
            <c:extLst>
              <c:ext xmlns:c16="http://schemas.microsoft.com/office/drawing/2014/chart" uri="{C3380CC4-5D6E-409C-BE32-E72D297353CC}">
                <c16:uniqueId val="{00000001-52EF-44AB-ABCA-8761D37D6B14}"/>
              </c:ext>
            </c:extLst>
          </c:dPt>
          <c:dPt>
            <c:idx val="1"/>
            <c:bubble3D val="0"/>
            <c:spPr>
              <a:solidFill>
                <a:schemeClr val="accent4"/>
              </a:solidFill>
              <a:ln w="19050">
                <a:solidFill>
                  <a:schemeClr val="lt1"/>
                </a:solidFill>
              </a:ln>
              <a:effectLst/>
            </c:spPr>
            <c:extLst>
              <c:ext xmlns:c16="http://schemas.microsoft.com/office/drawing/2014/chart" uri="{C3380CC4-5D6E-409C-BE32-E72D297353CC}">
                <c16:uniqueId val="{00000003-52EF-44AB-ABCA-8761D37D6B14}"/>
              </c:ext>
            </c:extLst>
          </c:dPt>
          <c:dPt>
            <c:idx val="2"/>
            <c:bubble3D val="0"/>
            <c:spPr>
              <a:solidFill>
                <a:schemeClr val="accent6"/>
              </a:solidFill>
              <a:ln w="19050">
                <a:solidFill>
                  <a:schemeClr val="lt1"/>
                </a:solidFill>
              </a:ln>
              <a:effectLst/>
            </c:spPr>
            <c:extLst>
              <c:ext xmlns:c16="http://schemas.microsoft.com/office/drawing/2014/chart" uri="{C3380CC4-5D6E-409C-BE32-E72D297353CC}">
                <c16:uniqueId val="{00000005-52EF-44AB-ABCA-8761D37D6B14}"/>
              </c:ext>
            </c:extLst>
          </c:dPt>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fr-FR"/>
              </a:p>
            </c:txPr>
            <c:dLblPos val="inEnd"/>
            <c:showLegendKey val="0"/>
            <c:showVal val="0"/>
            <c:showCatName val="0"/>
            <c:showSerName val="0"/>
            <c:showPercent val="1"/>
            <c:showBubbleSize val="0"/>
            <c:showLeaderLines val="1"/>
            <c:leaderLines>
              <c:spPr>
                <a:ln w="9525" cap="flat" cmpd="sng" algn="ctr">
                  <a:solidFill>
                    <a:schemeClr val="tx1">
                      <a:lumMod val="35000"/>
                      <a:lumOff val="65000"/>
                    </a:schemeClr>
                  </a:solidFill>
                  <a:round/>
                </a:ln>
                <a:effectLst/>
              </c:spPr>
            </c:leaderLines>
            <c:extLst>
              <c:ext xmlns:c15="http://schemas.microsoft.com/office/drawing/2012/chart" uri="{CE6537A1-D6FC-4f65-9D91-7224C49458BB}"/>
            </c:extLst>
          </c:dLbls>
          <c:cat>
            <c:strRef>
              <c:f>'Tableau de bord'!$H$31:$H$32</c:f>
              <c:strCache>
                <c:ptCount val="2"/>
                <c:pt idx="0">
                  <c:v>OFF</c:v>
                </c:pt>
                <c:pt idx="1">
                  <c:v>DEF</c:v>
                </c:pt>
              </c:strCache>
            </c:strRef>
          </c:cat>
          <c:val>
            <c:numRef>
              <c:f>'Tableau de bord'!$I$31:$I$32</c:f>
              <c:numCache>
                <c:formatCode>General</c:formatCode>
                <c:ptCount val="2"/>
                <c:pt idx="0">
                  <c:v>17</c:v>
                </c:pt>
                <c:pt idx="1">
                  <c:v>7</c:v>
                </c:pt>
              </c:numCache>
            </c:numRef>
          </c:val>
          <c:extLst>
            <c:ext xmlns:c16="http://schemas.microsoft.com/office/drawing/2014/chart" uri="{C3380CC4-5D6E-409C-BE32-E72D297353CC}">
              <c16:uniqueId val="{00000006-52EF-44AB-ABCA-8761D37D6B14}"/>
            </c:ext>
          </c:extLst>
        </c:ser>
        <c:dLbls>
          <c:dLblPos val="inEnd"/>
          <c:showLegendKey val="0"/>
          <c:showVal val="0"/>
          <c:showCatName val="0"/>
          <c:showSerName val="0"/>
          <c:showPercent val="1"/>
          <c:showBubbleSize val="0"/>
          <c:showLeaderLines val="1"/>
        </c:dLbls>
        <c:firstSliceAng val="0"/>
      </c:pieChart>
      <c:spPr>
        <a:noFill/>
        <a:ln>
          <a:noFill/>
        </a:ln>
        <a:effectLst/>
      </c:spPr>
    </c:plotArea>
    <c:legend>
      <c:legendPos val="r"/>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fr-FR"/>
        </a:p>
      </c:txPr>
    </c:legend>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fr-FR"/>
    </a:p>
  </c:txPr>
  <c:printSettings>
    <c:headerFooter/>
    <c:pageMargins b="0.75" l="0.7" r="0.7" t="0.75" header="0.3" footer="0.3"/>
    <c:pageSetup/>
  </c:printSettings>
</c:chartSpace>
</file>

<file path=xl/charts/chart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fr-FR"/>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pieChart>
        <c:varyColors val="1"/>
        <c:ser>
          <c:idx val="0"/>
          <c:order val="0"/>
          <c:dPt>
            <c:idx val="0"/>
            <c:bubble3D val="0"/>
            <c:spPr>
              <a:solidFill>
                <a:schemeClr val="accent1"/>
              </a:solidFill>
              <a:ln w="19050">
                <a:solidFill>
                  <a:schemeClr val="lt1"/>
                </a:solidFill>
              </a:ln>
              <a:effectLst/>
            </c:spPr>
            <c:extLst>
              <c:ext xmlns:c16="http://schemas.microsoft.com/office/drawing/2014/chart" uri="{C3380CC4-5D6E-409C-BE32-E72D297353CC}">
                <c16:uniqueId val="{00000001-586D-41B5-91DA-9D246BCD8DA5}"/>
              </c:ext>
            </c:extLst>
          </c:dPt>
          <c:dPt>
            <c:idx val="1"/>
            <c:bubble3D val="0"/>
            <c:spPr>
              <a:solidFill>
                <a:schemeClr val="accent2"/>
              </a:solidFill>
              <a:ln w="19050">
                <a:solidFill>
                  <a:schemeClr val="lt1"/>
                </a:solidFill>
              </a:ln>
              <a:effectLst/>
            </c:spPr>
            <c:extLst>
              <c:ext xmlns:c16="http://schemas.microsoft.com/office/drawing/2014/chart" uri="{C3380CC4-5D6E-409C-BE32-E72D297353CC}">
                <c16:uniqueId val="{00000003-586D-41B5-91DA-9D246BCD8DA5}"/>
              </c:ext>
            </c:extLst>
          </c:dPt>
          <c:dPt>
            <c:idx val="2"/>
            <c:bubble3D val="0"/>
            <c:spPr>
              <a:solidFill>
                <a:schemeClr val="accent3"/>
              </a:solidFill>
              <a:ln w="19050">
                <a:solidFill>
                  <a:schemeClr val="lt1"/>
                </a:solidFill>
              </a:ln>
              <a:effectLst/>
            </c:spPr>
            <c:extLst>
              <c:ext xmlns:c16="http://schemas.microsoft.com/office/drawing/2014/chart" uri="{C3380CC4-5D6E-409C-BE32-E72D297353CC}">
                <c16:uniqueId val="{00000005-586D-41B5-91DA-9D246BCD8DA5}"/>
              </c:ext>
            </c:extLst>
          </c:dPt>
          <c:dPt>
            <c:idx val="3"/>
            <c:bubble3D val="0"/>
            <c:spPr>
              <a:solidFill>
                <a:schemeClr val="accent4"/>
              </a:solidFill>
              <a:ln w="19050">
                <a:solidFill>
                  <a:schemeClr val="lt1"/>
                </a:solidFill>
              </a:ln>
              <a:effectLst/>
            </c:spPr>
            <c:extLst>
              <c:ext xmlns:c16="http://schemas.microsoft.com/office/drawing/2014/chart" uri="{C3380CC4-5D6E-409C-BE32-E72D297353CC}">
                <c16:uniqueId val="{00000007-9F91-41AE-9CCB-63F688828490}"/>
              </c:ext>
            </c:extLst>
          </c:dPt>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fr-FR"/>
              </a:p>
            </c:txPr>
            <c:dLblPos val="inEnd"/>
            <c:showLegendKey val="0"/>
            <c:showVal val="0"/>
            <c:showCatName val="0"/>
            <c:showSerName val="0"/>
            <c:showPercent val="1"/>
            <c:showBubbleSize val="0"/>
            <c:showLeaderLines val="1"/>
            <c:leaderLines>
              <c:spPr>
                <a:ln w="9525" cap="flat" cmpd="sng" algn="ctr">
                  <a:solidFill>
                    <a:schemeClr val="tx1">
                      <a:lumMod val="35000"/>
                      <a:lumOff val="65000"/>
                    </a:schemeClr>
                  </a:solidFill>
                  <a:round/>
                </a:ln>
                <a:effectLst/>
              </c:spPr>
            </c:leaderLines>
            <c:extLst>
              <c:ext xmlns:c15="http://schemas.microsoft.com/office/drawing/2012/chart" uri="{CE6537A1-D6FC-4f65-9D91-7224C49458BB}"/>
            </c:extLst>
          </c:dLbls>
          <c:cat>
            <c:strRef>
              <c:f>'Tableau de bord'!$L$31:$L$34</c:f>
              <c:strCache>
                <c:ptCount val="4"/>
                <c:pt idx="0">
                  <c:v>Conserver pour Progresser</c:v>
                </c:pt>
                <c:pt idx="1">
                  <c:v>Déséquilibrer le bloc adverse</c:v>
                </c:pt>
                <c:pt idx="2">
                  <c:v>Finir l'action</c:v>
                </c:pt>
                <c:pt idx="3">
                  <c:v>Transition à la récupération</c:v>
                </c:pt>
              </c:strCache>
            </c:strRef>
          </c:cat>
          <c:val>
            <c:numRef>
              <c:f>'Tableau de bord'!$M$31:$M$34</c:f>
              <c:numCache>
                <c:formatCode>General</c:formatCode>
                <c:ptCount val="4"/>
                <c:pt idx="0">
                  <c:v>10</c:v>
                </c:pt>
                <c:pt idx="1">
                  <c:v>0</c:v>
                </c:pt>
                <c:pt idx="2">
                  <c:v>4</c:v>
                </c:pt>
                <c:pt idx="3">
                  <c:v>3</c:v>
                </c:pt>
              </c:numCache>
            </c:numRef>
          </c:val>
          <c:extLst>
            <c:ext xmlns:c16="http://schemas.microsoft.com/office/drawing/2014/chart" uri="{C3380CC4-5D6E-409C-BE32-E72D297353CC}">
              <c16:uniqueId val="{00000006-586D-41B5-91DA-9D246BCD8DA5}"/>
            </c:ext>
          </c:extLst>
        </c:ser>
        <c:dLbls>
          <c:dLblPos val="inEnd"/>
          <c:showLegendKey val="0"/>
          <c:showVal val="0"/>
          <c:showCatName val="0"/>
          <c:showSerName val="0"/>
          <c:showPercent val="1"/>
          <c:showBubbleSize val="0"/>
          <c:showLeaderLines val="1"/>
        </c:dLbls>
        <c:firstSliceAng val="0"/>
      </c:pieChart>
      <c:spPr>
        <a:noFill/>
        <a:ln>
          <a:noFill/>
        </a:ln>
        <a:effectLst/>
      </c:spPr>
    </c:plotArea>
    <c:legend>
      <c:legendPos val="r"/>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fr-FR"/>
        </a:p>
      </c:txPr>
    </c:legend>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fr-FR"/>
    </a:p>
  </c:txPr>
  <c:printSettings>
    <c:headerFooter/>
    <c:pageMargins b="0.75" l="0.7" r="0.7" t="0.75" header="0.3" footer="0.3"/>
    <c:pageSetup/>
  </c:printSettings>
</c:chartSpace>
</file>

<file path=xl/charts/chart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fr-FR"/>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pieChart>
        <c:varyColors val="1"/>
        <c:ser>
          <c:idx val="0"/>
          <c:order val="0"/>
          <c:dPt>
            <c:idx val="0"/>
            <c:bubble3D val="0"/>
            <c:spPr>
              <a:solidFill>
                <a:schemeClr val="accent1"/>
              </a:solidFill>
              <a:ln w="19050">
                <a:solidFill>
                  <a:schemeClr val="lt1"/>
                </a:solidFill>
              </a:ln>
              <a:effectLst/>
            </c:spPr>
            <c:extLst>
              <c:ext xmlns:c16="http://schemas.microsoft.com/office/drawing/2014/chart" uri="{C3380CC4-5D6E-409C-BE32-E72D297353CC}">
                <c16:uniqueId val="{00000001-A61A-4A75-9501-564D4518AF13}"/>
              </c:ext>
            </c:extLst>
          </c:dPt>
          <c:dPt>
            <c:idx val="1"/>
            <c:bubble3D val="0"/>
            <c:spPr>
              <a:solidFill>
                <a:schemeClr val="accent2"/>
              </a:solidFill>
              <a:ln w="19050">
                <a:solidFill>
                  <a:schemeClr val="lt1"/>
                </a:solidFill>
              </a:ln>
              <a:effectLst/>
            </c:spPr>
            <c:extLst>
              <c:ext xmlns:c16="http://schemas.microsoft.com/office/drawing/2014/chart" uri="{C3380CC4-5D6E-409C-BE32-E72D297353CC}">
                <c16:uniqueId val="{00000003-A61A-4A75-9501-564D4518AF13}"/>
              </c:ext>
            </c:extLst>
          </c:dPt>
          <c:dPt>
            <c:idx val="2"/>
            <c:bubble3D val="0"/>
            <c:spPr>
              <a:solidFill>
                <a:schemeClr val="accent3"/>
              </a:solidFill>
              <a:ln w="19050">
                <a:solidFill>
                  <a:schemeClr val="lt1"/>
                </a:solidFill>
              </a:ln>
              <a:effectLst/>
            </c:spPr>
            <c:extLst>
              <c:ext xmlns:c16="http://schemas.microsoft.com/office/drawing/2014/chart" uri="{C3380CC4-5D6E-409C-BE32-E72D297353CC}">
                <c16:uniqueId val="{00000005-A61A-4A75-9501-564D4518AF13}"/>
              </c:ext>
            </c:extLst>
          </c:dPt>
          <c:dPt>
            <c:idx val="3"/>
            <c:bubble3D val="0"/>
            <c:spPr>
              <a:solidFill>
                <a:schemeClr val="accent4"/>
              </a:solidFill>
              <a:ln w="19050">
                <a:solidFill>
                  <a:schemeClr val="lt1"/>
                </a:solidFill>
              </a:ln>
              <a:effectLst/>
            </c:spPr>
            <c:extLst>
              <c:ext xmlns:c16="http://schemas.microsoft.com/office/drawing/2014/chart" uri="{C3380CC4-5D6E-409C-BE32-E72D297353CC}">
                <c16:uniqueId val="{00000007-A61A-4A75-9501-564D4518AF13}"/>
              </c:ext>
            </c:extLst>
          </c:dPt>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fr-FR"/>
              </a:p>
            </c:txPr>
            <c:dLblPos val="inEnd"/>
            <c:showLegendKey val="0"/>
            <c:showVal val="0"/>
            <c:showCatName val="0"/>
            <c:showSerName val="0"/>
            <c:showPercent val="1"/>
            <c:showBubbleSize val="0"/>
            <c:showLeaderLines val="1"/>
            <c:leaderLines>
              <c:spPr>
                <a:ln w="9525" cap="flat" cmpd="sng" algn="ctr">
                  <a:solidFill>
                    <a:schemeClr val="tx1">
                      <a:lumMod val="35000"/>
                      <a:lumOff val="65000"/>
                    </a:schemeClr>
                  </a:solidFill>
                  <a:round/>
                </a:ln>
                <a:effectLst/>
              </c:spPr>
            </c:leaderLines>
            <c:extLst>
              <c:ext xmlns:c15="http://schemas.microsoft.com/office/drawing/2012/chart" uri="{CE6537A1-D6FC-4f65-9D91-7224C49458BB}"/>
            </c:extLst>
          </c:dLbls>
          <c:cat>
            <c:strRef>
              <c:f>'Tableau de bord'!$L$35:$L$38</c:f>
              <c:strCache>
                <c:ptCount val="4"/>
                <c:pt idx="0">
                  <c:v>S'opposer à la progression</c:v>
                </c:pt>
                <c:pt idx="1">
                  <c:v>S'organiser pour récupérer</c:v>
                </c:pt>
                <c:pt idx="2">
                  <c:v>Protéger son but</c:v>
                </c:pt>
                <c:pt idx="3">
                  <c:v>Transition à la perte</c:v>
                </c:pt>
              </c:strCache>
            </c:strRef>
          </c:cat>
          <c:val>
            <c:numRef>
              <c:f>'Tableau de bord'!$M$35:$M$38</c:f>
              <c:numCache>
                <c:formatCode>General</c:formatCode>
                <c:ptCount val="4"/>
                <c:pt idx="0">
                  <c:v>4</c:v>
                </c:pt>
                <c:pt idx="1">
                  <c:v>0</c:v>
                </c:pt>
                <c:pt idx="2">
                  <c:v>3</c:v>
                </c:pt>
                <c:pt idx="3">
                  <c:v>0</c:v>
                </c:pt>
              </c:numCache>
            </c:numRef>
          </c:val>
          <c:extLst>
            <c:ext xmlns:c16="http://schemas.microsoft.com/office/drawing/2014/chart" uri="{C3380CC4-5D6E-409C-BE32-E72D297353CC}">
              <c16:uniqueId val="{00000008-A61A-4A75-9501-564D4518AF13}"/>
            </c:ext>
          </c:extLst>
        </c:ser>
        <c:dLbls>
          <c:dLblPos val="inEnd"/>
          <c:showLegendKey val="0"/>
          <c:showVal val="0"/>
          <c:showCatName val="0"/>
          <c:showSerName val="0"/>
          <c:showPercent val="1"/>
          <c:showBubbleSize val="0"/>
          <c:showLeaderLines val="1"/>
        </c:dLbls>
        <c:firstSliceAng val="0"/>
      </c:pieChart>
      <c:spPr>
        <a:noFill/>
        <a:ln>
          <a:noFill/>
        </a:ln>
        <a:effectLst/>
      </c:spPr>
    </c:plotArea>
    <c:legend>
      <c:legendPos val="r"/>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fr-FR"/>
        </a:p>
      </c:txPr>
    </c:legend>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fr-FR"/>
    </a:p>
  </c:txPr>
  <c:printSettings>
    <c:headerFooter/>
    <c:pageMargins b="0.75" l="0.7" r="0.7" t="0.75" header="0.3" footer="0.3"/>
    <c:pageSetup/>
  </c:printSettings>
</c:chartSpace>
</file>

<file path=xl/charts/chart9.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fr-FR"/>
  <c:roundedCorners val="0"/>
  <mc:AlternateContent xmlns:mc="http://schemas.openxmlformats.org/markup-compatibility/2006">
    <mc:Choice xmlns:c14="http://schemas.microsoft.com/office/drawing/2007/8/2/chart" Requires="c14">
      <c14:style val="105"/>
    </mc:Choice>
    <mc:Fallback>
      <c:style val="5"/>
    </mc:Fallback>
  </mc:AlternateContent>
  <c:chart>
    <c:autoTitleDeleted val="1"/>
    <c:plotArea>
      <c:layout/>
      <c:barChart>
        <c:barDir val="col"/>
        <c:grouping val="clustered"/>
        <c:varyColors val="0"/>
        <c:ser>
          <c:idx val="0"/>
          <c:order val="0"/>
          <c:tx>
            <c:strRef>
              <c:f>'Tableau de bord'!$O$57</c:f>
              <c:strCache>
                <c:ptCount val="1"/>
                <c:pt idx="0">
                  <c:v>MENTAL</c:v>
                </c:pt>
              </c:strCache>
            </c:strRef>
          </c:tx>
          <c:spPr>
            <a:solidFill>
              <a:schemeClr val="accent3"/>
            </a:solidFill>
            <a:ln>
              <a:noFill/>
            </a:ln>
            <a:effectLst/>
          </c:spPr>
          <c:invertIfNegative val="0"/>
          <c:cat>
            <c:strRef>
              <c:f>'Tableau de bord'!$P$59:$P$64</c:f>
              <c:strCache>
                <c:ptCount val="6"/>
                <c:pt idx="0">
                  <c:v>Autonomie</c:v>
                </c:pt>
                <c:pt idx="1">
                  <c:v>Concentration</c:v>
                </c:pt>
                <c:pt idx="2">
                  <c:v>Confiance en soi</c:v>
                </c:pt>
                <c:pt idx="3">
                  <c:v>Intégration social</c:v>
                </c:pt>
                <c:pt idx="4">
                  <c:v>Maitrise de soi</c:v>
                </c:pt>
                <c:pt idx="5">
                  <c:v>Motivation</c:v>
                </c:pt>
              </c:strCache>
            </c:strRef>
          </c:cat>
          <c:val>
            <c:numRef>
              <c:f>'Tableau de bord'!$Q$59:$Q$64</c:f>
              <c:numCache>
                <c:formatCode>General</c:formatCode>
                <c:ptCount val="6"/>
                <c:pt idx="0">
                  <c:v>0</c:v>
                </c:pt>
                <c:pt idx="1">
                  <c:v>7</c:v>
                </c:pt>
                <c:pt idx="2">
                  <c:v>6</c:v>
                </c:pt>
                <c:pt idx="3">
                  <c:v>4</c:v>
                </c:pt>
                <c:pt idx="4">
                  <c:v>3</c:v>
                </c:pt>
                <c:pt idx="5">
                  <c:v>4</c:v>
                </c:pt>
              </c:numCache>
            </c:numRef>
          </c:val>
          <c:extLst>
            <c:ext xmlns:c16="http://schemas.microsoft.com/office/drawing/2014/chart" uri="{C3380CC4-5D6E-409C-BE32-E72D297353CC}">
              <c16:uniqueId val="{00000000-A3FE-44D0-8257-6C5C05FD8A88}"/>
            </c:ext>
          </c:extLst>
        </c:ser>
        <c:dLbls>
          <c:showLegendKey val="0"/>
          <c:showVal val="0"/>
          <c:showCatName val="0"/>
          <c:showSerName val="0"/>
          <c:showPercent val="0"/>
          <c:showBubbleSize val="0"/>
        </c:dLbls>
        <c:gapWidth val="219"/>
        <c:overlap val="-27"/>
        <c:axId val="618213512"/>
        <c:axId val="618213840"/>
      </c:barChart>
      <c:catAx>
        <c:axId val="618213512"/>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fr-FR"/>
          </a:p>
        </c:txPr>
        <c:crossAx val="618213840"/>
        <c:crosses val="autoZero"/>
        <c:auto val="1"/>
        <c:lblAlgn val="ctr"/>
        <c:lblOffset val="100"/>
        <c:noMultiLvlLbl val="0"/>
      </c:catAx>
      <c:valAx>
        <c:axId val="618213840"/>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fr-FR"/>
          </a:p>
        </c:txPr>
        <c:crossAx val="618213512"/>
        <c:crosses val="autoZero"/>
        <c:crossBetween val="between"/>
      </c:valAx>
      <c:spPr>
        <a:noFill/>
        <a:ln>
          <a:noFill/>
        </a:ln>
        <a:effectLst/>
      </c:spPr>
    </c:plotArea>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fr-FR"/>
    </a:p>
  </c:txPr>
  <c:printSettings>
    <c:headerFooter/>
    <c:pageMargins b="0.75" l="0.7" r="0.7" t="0.75" header="0.3" footer="0.3"/>
    <c:pageSetup/>
  </c:printSettings>
</c:chartSpace>
</file>

<file path=xl/charts/chart10.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fr-FR"/>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600" b="1" i="0" u="none" strike="noStrike" kern="1200" spc="0" baseline="0">
                <a:solidFill>
                  <a:schemeClr val="tx1">
                    <a:lumMod val="65000"/>
                    <a:lumOff val="35000"/>
                  </a:schemeClr>
                </a:solidFill>
                <a:latin typeface="+mn-lt"/>
                <a:ea typeface="+mn-ea"/>
                <a:cs typeface="+mn-cs"/>
              </a:defRPr>
            </a:pPr>
            <a:r>
              <a:rPr lang="fr-FR" sz="1600" b="1"/>
              <a:t>Présence à l'entrainement</a:t>
            </a:r>
          </a:p>
        </c:rich>
      </c:tx>
      <c:overlay val="0"/>
      <c:spPr>
        <a:noFill/>
        <a:ln>
          <a:noFill/>
        </a:ln>
        <a:effectLst/>
      </c:spPr>
      <c:txPr>
        <a:bodyPr rot="0" spcFirstLastPara="1" vertOverflow="ellipsis" vert="horz" wrap="square" anchor="ctr" anchorCtr="1"/>
        <a:lstStyle/>
        <a:p>
          <a:pPr>
            <a:defRPr sz="1600" b="1" i="0" u="none" strike="noStrike" kern="1200" spc="0" baseline="0">
              <a:solidFill>
                <a:schemeClr val="tx1">
                  <a:lumMod val="65000"/>
                  <a:lumOff val="35000"/>
                </a:schemeClr>
              </a:solidFill>
              <a:latin typeface="+mn-lt"/>
              <a:ea typeface="+mn-ea"/>
              <a:cs typeface="+mn-cs"/>
            </a:defRPr>
          </a:pPr>
          <a:endParaRPr lang="fr-FR"/>
        </a:p>
      </c:txPr>
    </c:title>
    <c:autoTitleDeleted val="0"/>
    <c:plotArea>
      <c:layout/>
      <c:barChart>
        <c:barDir val="col"/>
        <c:grouping val="percentStacked"/>
        <c:varyColors val="0"/>
        <c:ser>
          <c:idx val="1"/>
          <c:order val="0"/>
          <c:tx>
            <c:strRef>
              <c:f>'Bilan Entrainement - Annuel'!$B$14</c:f>
              <c:strCache>
                <c:ptCount val="1"/>
                <c:pt idx="0">
                  <c:v>% Présence</c:v>
                </c:pt>
              </c:strCache>
            </c:strRef>
          </c:tx>
          <c:spPr>
            <a:solidFill>
              <a:schemeClr val="accent2"/>
            </a:solidFill>
            <a:ln>
              <a:noFill/>
            </a:ln>
            <a:effectLst/>
          </c:spPr>
          <c:invertIfNegative val="0"/>
          <c:dLbls>
            <c:spPr>
              <a:noFill/>
              <a:ln>
                <a:noFill/>
              </a:ln>
              <a:effectLst/>
            </c:spPr>
            <c:txPr>
              <a:bodyPr rot="-5400000" spcFirstLastPara="1" vertOverflow="ellipsis"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fr-FR"/>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extLst>
                <c:ext xmlns:c15="http://schemas.microsoft.com/office/drawing/2012/chart" uri="{02D57815-91ED-43cb-92C2-25804820EDAC}">
                  <c15:fullRef>
                    <c15:sqref>'Bilan Entrainement - Annuel'!$C$4:$AF$4</c15:sqref>
                  </c15:fullRef>
                </c:ext>
              </c:extLst>
              <c:f>'Bilan Entrainement - Annuel'!$C$4:$W$4</c:f>
              <c:strCache>
                <c:ptCount val="21"/>
                <c:pt idx="0">
                  <c:v>ADDA Matteo</c:v>
                </c:pt>
                <c:pt idx="1">
                  <c:v>ALFONSO Joao</c:v>
                </c:pt>
                <c:pt idx="2">
                  <c:v>BERDAH Matis</c:v>
                </c:pt>
                <c:pt idx="3">
                  <c:v>CAMARA Bandiougou</c:v>
                </c:pt>
                <c:pt idx="4">
                  <c:v>CAMARA Moussa</c:v>
                </c:pt>
                <c:pt idx="5">
                  <c:v>CARREAU Ethan</c:v>
                </c:pt>
                <c:pt idx="6">
                  <c:v>CHEROD Alexis</c:v>
                </c:pt>
                <c:pt idx="7">
                  <c:v>DJEHICHE Ramzi</c:v>
                </c:pt>
                <c:pt idx="8">
                  <c:v>DOSIERE Baptiste</c:v>
                </c:pt>
                <c:pt idx="9">
                  <c:v>DUQUENOY Thomas</c:v>
                </c:pt>
                <c:pt idx="10">
                  <c:v>KIPRE Jordan</c:v>
                </c:pt>
                <c:pt idx="11">
                  <c:v>KONATE Mamadou</c:v>
                </c:pt>
                <c:pt idx="12">
                  <c:v>LECOUFFE Hugo</c:v>
                </c:pt>
                <c:pt idx="13">
                  <c:v>LEFRANC Nathan</c:v>
                </c:pt>
                <c:pt idx="14">
                  <c:v>MASSOUSSI Elie</c:v>
                </c:pt>
                <c:pt idx="15">
                  <c:v>NGOUABI Yoann</c:v>
                </c:pt>
                <c:pt idx="16">
                  <c:v>PLANET Mathis</c:v>
                </c:pt>
                <c:pt idx="17">
                  <c:v>PRONNIER Nicolas</c:v>
                </c:pt>
                <c:pt idx="18">
                  <c:v>STIOUET Reda</c:v>
                </c:pt>
                <c:pt idx="19">
                  <c:v>ZERDEB Said</c:v>
                </c:pt>
                <c:pt idx="20">
                  <c:v>OSSENI Farouk</c:v>
                </c:pt>
              </c:strCache>
            </c:strRef>
          </c:cat>
          <c:val>
            <c:numRef>
              <c:extLst>
                <c:ext xmlns:c15="http://schemas.microsoft.com/office/drawing/2012/chart" uri="{02D57815-91ED-43cb-92C2-25804820EDAC}">
                  <c15:fullRef>
                    <c15:sqref>'Bilan Entrainement - Annuel'!$C$14:$AF$14</c15:sqref>
                  </c15:fullRef>
                </c:ext>
              </c:extLst>
              <c:f>'Bilan Entrainement - Annuel'!$C$14:$W$14</c:f>
              <c:numCache>
                <c:formatCode>0%</c:formatCode>
                <c:ptCount val="21"/>
                <c:pt idx="0">
                  <c:v>1</c:v>
                </c:pt>
                <c:pt idx="1">
                  <c:v>0.75</c:v>
                </c:pt>
                <c:pt idx="2">
                  <c:v>0.70833333333333337</c:v>
                </c:pt>
                <c:pt idx="3">
                  <c:v>0.625</c:v>
                </c:pt>
                <c:pt idx="4">
                  <c:v>0.125</c:v>
                </c:pt>
                <c:pt idx="5">
                  <c:v>0.75</c:v>
                </c:pt>
                <c:pt idx="6">
                  <c:v>0.58333333333333337</c:v>
                </c:pt>
                <c:pt idx="7">
                  <c:v>0.58333333333333337</c:v>
                </c:pt>
                <c:pt idx="8">
                  <c:v>0.41666666666666669</c:v>
                </c:pt>
                <c:pt idx="9">
                  <c:v>0.66666666666666663</c:v>
                </c:pt>
                <c:pt idx="10">
                  <c:v>0.41666666666666669</c:v>
                </c:pt>
                <c:pt idx="11">
                  <c:v>0.70833333333333337</c:v>
                </c:pt>
                <c:pt idx="12">
                  <c:v>0.58333333333333337</c:v>
                </c:pt>
                <c:pt idx="13">
                  <c:v>1</c:v>
                </c:pt>
                <c:pt idx="14">
                  <c:v>1</c:v>
                </c:pt>
                <c:pt idx="15">
                  <c:v>0.5</c:v>
                </c:pt>
                <c:pt idx="16">
                  <c:v>0.54166666666666663</c:v>
                </c:pt>
                <c:pt idx="17">
                  <c:v>0.91666666666666663</c:v>
                </c:pt>
                <c:pt idx="18">
                  <c:v>0.20833333333333334</c:v>
                </c:pt>
                <c:pt idx="19">
                  <c:v>0.25</c:v>
                </c:pt>
                <c:pt idx="20">
                  <c:v>0.875</c:v>
                </c:pt>
              </c:numCache>
            </c:numRef>
          </c:val>
          <c:extLst>
            <c:ext xmlns:c16="http://schemas.microsoft.com/office/drawing/2014/chart" uri="{C3380CC4-5D6E-409C-BE32-E72D297353CC}">
              <c16:uniqueId val="{00000001-72A8-4CF9-B4AE-625B10FBC39C}"/>
            </c:ext>
          </c:extLst>
        </c:ser>
        <c:ser>
          <c:idx val="2"/>
          <c:order val="1"/>
          <c:tx>
            <c:strRef>
              <c:f>'Bilan Entrainement - Annuel'!$B$15</c:f>
              <c:strCache>
                <c:ptCount val="1"/>
                <c:pt idx="0">
                  <c:v>% Abs non excusée</c:v>
                </c:pt>
              </c:strCache>
            </c:strRef>
          </c:tx>
          <c:spPr>
            <a:solidFill>
              <a:schemeClr val="accent3"/>
            </a:solidFill>
            <a:ln>
              <a:noFill/>
            </a:ln>
            <a:effectLst/>
          </c:spPr>
          <c:invertIfNegative val="0"/>
          <c:dLbls>
            <c:spPr>
              <a:noFill/>
              <a:ln>
                <a:noFill/>
              </a:ln>
              <a:effectLst/>
            </c:spPr>
            <c:txPr>
              <a:bodyPr rot="-5400000" spcFirstLastPara="1" vertOverflow="ellipsis"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fr-FR"/>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extLst>
                <c:ext xmlns:c15="http://schemas.microsoft.com/office/drawing/2012/chart" uri="{02D57815-91ED-43cb-92C2-25804820EDAC}">
                  <c15:fullRef>
                    <c15:sqref>'Bilan Entrainement - Annuel'!$C$4:$AF$4</c15:sqref>
                  </c15:fullRef>
                </c:ext>
              </c:extLst>
              <c:f>'Bilan Entrainement - Annuel'!$C$4:$W$4</c:f>
              <c:strCache>
                <c:ptCount val="21"/>
                <c:pt idx="0">
                  <c:v>ADDA Matteo</c:v>
                </c:pt>
                <c:pt idx="1">
                  <c:v>ALFONSO Joao</c:v>
                </c:pt>
                <c:pt idx="2">
                  <c:v>BERDAH Matis</c:v>
                </c:pt>
                <c:pt idx="3">
                  <c:v>CAMARA Bandiougou</c:v>
                </c:pt>
                <c:pt idx="4">
                  <c:v>CAMARA Moussa</c:v>
                </c:pt>
                <c:pt idx="5">
                  <c:v>CARREAU Ethan</c:v>
                </c:pt>
                <c:pt idx="6">
                  <c:v>CHEROD Alexis</c:v>
                </c:pt>
                <c:pt idx="7">
                  <c:v>DJEHICHE Ramzi</c:v>
                </c:pt>
                <c:pt idx="8">
                  <c:v>DOSIERE Baptiste</c:v>
                </c:pt>
                <c:pt idx="9">
                  <c:v>DUQUENOY Thomas</c:v>
                </c:pt>
                <c:pt idx="10">
                  <c:v>KIPRE Jordan</c:v>
                </c:pt>
                <c:pt idx="11">
                  <c:v>KONATE Mamadou</c:v>
                </c:pt>
                <c:pt idx="12">
                  <c:v>LECOUFFE Hugo</c:v>
                </c:pt>
                <c:pt idx="13">
                  <c:v>LEFRANC Nathan</c:v>
                </c:pt>
                <c:pt idx="14">
                  <c:v>MASSOUSSI Elie</c:v>
                </c:pt>
                <c:pt idx="15">
                  <c:v>NGOUABI Yoann</c:v>
                </c:pt>
                <c:pt idx="16">
                  <c:v>PLANET Mathis</c:v>
                </c:pt>
                <c:pt idx="17">
                  <c:v>PRONNIER Nicolas</c:v>
                </c:pt>
                <c:pt idx="18">
                  <c:v>STIOUET Reda</c:v>
                </c:pt>
                <c:pt idx="19">
                  <c:v>ZERDEB Said</c:v>
                </c:pt>
                <c:pt idx="20">
                  <c:v>OSSENI Farouk</c:v>
                </c:pt>
              </c:strCache>
            </c:strRef>
          </c:cat>
          <c:val>
            <c:numRef>
              <c:extLst>
                <c:ext xmlns:c15="http://schemas.microsoft.com/office/drawing/2012/chart" uri="{02D57815-91ED-43cb-92C2-25804820EDAC}">
                  <c15:fullRef>
                    <c15:sqref>'Bilan Entrainement - Annuel'!$C$15:$AF$15</c15:sqref>
                  </c15:fullRef>
                </c:ext>
              </c:extLst>
              <c:f>'Bilan Entrainement - Annuel'!$C$15:$W$15</c:f>
              <c:numCache>
                <c:formatCode>0%</c:formatCode>
                <c:ptCount val="21"/>
                <c:pt idx="0">
                  <c:v>0</c:v>
                </c:pt>
                <c:pt idx="1">
                  <c:v>0.20833333333333334</c:v>
                </c:pt>
                <c:pt idx="2">
                  <c:v>0</c:v>
                </c:pt>
                <c:pt idx="3">
                  <c:v>0.33333333333333331</c:v>
                </c:pt>
                <c:pt idx="4">
                  <c:v>0.83333333333333337</c:v>
                </c:pt>
                <c:pt idx="5">
                  <c:v>0</c:v>
                </c:pt>
                <c:pt idx="6">
                  <c:v>0.20833333333333334</c:v>
                </c:pt>
                <c:pt idx="7">
                  <c:v>0.20833333333333334</c:v>
                </c:pt>
                <c:pt idx="8">
                  <c:v>0</c:v>
                </c:pt>
                <c:pt idx="9">
                  <c:v>0</c:v>
                </c:pt>
                <c:pt idx="10">
                  <c:v>8.3333333333333329E-2</c:v>
                </c:pt>
                <c:pt idx="11">
                  <c:v>4.1666666666666664E-2</c:v>
                </c:pt>
                <c:pt idx="12">
                  <c:v>0</c:v>
                </c:pt>
                <c:pt idx="13">
                  <c:v>0</c:v>
                </c:pt>
                <c:pt idx="14">
                  <c:v>0</c:v>
                </c:pt>
                <c:pt idx="15">
                  <c:v>0.45833333333333331</c:v>
                </c:pt>
                <c:pt idx="16">
                  <c:v>0</c:v>
                </c:pt>
                <c:pt idx="17">
                  <c:v>0</c:v>
                </c:pt>
                <c:pt idx="18">
                  <c:v>0</c:v>
                </c:pt>
                <c:pt idx="19">
                  <c:v>0.16666666666666666</c:v>
                </c:pt>
                <c:pt idx="20">
                  <c:v>0.125</c:v>
                </c:pt>
              </c:numCache>
            </c:numRef>
          </c:val>
          <c:extLst>
            <c:ext xmlns:c16="http://schemas.microsoft.com/office/drawing/2014/chart" uri="{C3380CC4-5D6E-409C-BE32-E72D297353CC}">
              <c16:uniqueId val="{00000002-72A8-4CF9-B4AE-625B10FBC39C}"/>
            </c:ext>
          </c:extLst>
        </c:ser>
        <c:ser>
          <c:idx val="3"/>
          <c:order val="2"/>
          <c:tx>
            <c:strRef>
              <c:f>'Bilan Entrainement - Annuel'!$B$16</c:f>
              <c:strCache>
                <c:ptCount val="1"/>
                <c:pt idx="0">
                  <c:v>% Abs excusée</c:v>
                </c:pt>
              </c:strCache>
            </c:strRef>
          </c:tx>
          <c:spPr>
            <a:solidFill>
              <a:schemeClr val="accent4"/>
            </a:solidFill>
            <a:ln>
              <a:noFill/>
            </a:ln>
            <a:effectLst/>
          </c:spPr>
          <c:invertIfNegative val="0"/>
          <c:dLbls>
            <c:spPr>
              <a:noFill/>
              <a:ln>
                <a:noFill/>
              </a:ln>
              <a:effectLst/>
            </c:spPr>
            <c:txPr>
              <a:bodyPr rot="-5400000" spcFirstLastPara="1" vertOverflow="ellipsis"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fr-FR"/>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extLst>
                <c:ext xmlns:c15="http://schemas.microsoft.com/office/drawing/2012/chart" uri="{02D57815-91ED-43cb-92C2-25804820EDAC}">
                  <c15:fullRef>
                    <c15:sqref>'Bilan Entrainement - Annuel'!$C$4:$AF$4</c15:sqref>
                  </c15:fullRef>
                </c:ext>
              </c:extLst>
              <c:f>'Bilan Entrainement - Annuel'!$C$4:$W$4</c:f>
              <c:strCache>
                <c:ptCount val="21"/>
                <c:pt idx="0">
                  <c:v>ADDA Matteo</c:v>
                </c:pt>
                <c:pt idx="1">
                  <c:v>ALFONSO Joao</c:v>
                </c:pt>
                <c:pt idx="2">
                  <c:v>BERDAH Matis</c:v>
                </c:pt>
                <c:pt idx="3">
                  <c:v>CAMARA Bandiougou</c:v>
                </c:pt>
                <c:pt idx="4">
                  <c:v>CAMARA Moussa</c:v>
                </c:pt>
                <c:pt idx="5">
                  <c:v>CARREAU Ethan</c:v>
                </c:pt>
                <c:pt idx="6">
                  <c:v>CHEROD Alexis</c:v>
                </c:pt>
                <c:pt idx="7">
                  <c:v>DJEHICHE Ramzi</c:v>
                </c:pt>
                <c:pt idx="8">
                  <c:v>DOSIERE Baptiste</c:v>
                </c:pt>
                <c:pt idx="9">
                  <c:v>DUQUENOY Thomas</c:v>
                </c:pt>
                <c:pt idx="10">
                  <c:v>KIPRE Jordan</c:v>
                </c:pt>
                <c:pt idx="11">
                  <c:v>KONATE Mamadou</c:v>
                </c:pt>
                <c:pt idx="12">
                  <c:v>LECOUFFE Hugo</c:v>
                </c:pt>
                <c:pt idx="13">
                  <c:v>LEFRANC Nathan</c:v>
                </c:pt>
                <c:pt idx="14">
                  <c:v>MASSOUSSI Elie</c:v>
                </c:pt>
                <c:pt idx="15">
                  <c:v>NGOUABI Yoann</c:v>
                </c:pt>
                <c:pt idx="16">
                  <c:v>PLANET Mathis</c:v>
                </c:pt>
                <c:pt idx="17">
                  <c:v>PRONNIER Nicolas</c:v>
                </c:pt>
                <c:pt idx="18">
                  <c:v>STIOUET Reda</c:v>
                </c:pt>
                <c:pt idx="19">
                  <c:v>ZERDEB Said</c:v>
                </c:pt>
                <c:pt idx="20">
                  <c:v>OSSENI Farouk</c:v>
                </c:pt>
              </c:strCache>
            </c:strRef>
          </c:cat>
          <c:val>
            <c:numRef>
              <c:extLst>
                <c:ext xmlns:c15="http://schemas.microsoft.com/office/drawing/2012/chart" uri="{02D57815-91ED-43cb-92C2-25804820EDAC}">
                  <c15:fullRef>
                    <c15:sqref>'Bilan Entrainement - Annuel'!$C$16:$AF$16</c15:sqref>
                  </c15:fullRef>
                </c:ext>
              </c:extLst>
              <c:f>'Bilan Entrainement - Annuel'!$C$16:$W$16</c:f>
              <c:numCache>
                <c:formatCode>0%</c:formatCode>
                <c:ptCount val="21"/>
                <c:pt idx="0">
                  <c:v>0</c:v>
                </c:pt>
                <c:pt idx="1">
                  <c:v>4.1666666666666664E-2</c:v>
                </c:pt>
                <c:pt idx="2">
                  <c:v>0.29166666666666669</c:v>
                </c:pt>
                <c:pt idx="3">
                  <c:v>4.1666666666666664E-2</c:v>
                </c:pt>
                <c:pt idx="4">
                  <c:v>4.1666666666666664E-2</c:v>
                </c:pt>
                <c:pt idx="5">
                  <c:v>0.25</c:v>
                </c:pt>
                <c:pt idx="6">
                  <c:v>8.3333333333333329E-2</c:v>
                </c:pt>
                <c:pt idx="7">
                  <c:v>0.20833333333333334</c:v>
                </c:pt>
                <c:pt idx="8">
                  <c:v>0.58333333333333337</c:v>
                </c:pt>
                <c:pt idx="9">
                  <c:v>0.33333333333333331</c:v>
                </c:pt>
                <c:pt idx="10">
                  <c:v>0.5</c:v>
                </c:pt>
                <c:pt idx="11">
                  <c:v>0.25</c:v>
                </c:pt>
                <c:pt idx="12">
                  <c:v>0.41666666666666669</c:v>
                </c:pt>
                <c:pt idx="13">
                  <c:v>0</c:v>
                </c:pt>
                <c:pt idx="14">
                  <c:v>0</c:v>
                </c:pt>
                <c:pt idx="15">
                  <c:v>4.1666666666666664E-2</c:v>
                </c:pt>
                <c:pt idx="16">
                  <c:v>0.45833333333333331</c:v>
                </c:pt>
                <c:pt idx="17">
                  <c:v>8.3333333333333329E-2</c:v>
                </c:pt>
                <c:pt idx="18">
                  <c:v>0.79166666666666663</c:v>
                </c:pt>
                <c:pt idx="19">
                  <c:v>0.58333333333333337</c:v>
                </c:pt>
                <c:pt idx="20">
                  <c:v>0</c:v>
                </c:pt>
              </c:numCache>
            </c:numRef>
          </c:val>
          <c:extLst>
            <c:ext xmlns:c16="http://schemas.microsoft.com/office/drawing/2014/chart" uri="{C3380CC4-5D6E-409C-BE32-E72D297353CC}">
              <c16:uniqueId val="{00000003-72A8-4CF9-B4AE-625B10FBC39C}"/>
            </c:ext>
          </c:extLst>
        </c:ser>
        <c:dLbls>
          <c:dLblPos val="ctr"/>
          <c:showLegendKey val="0"/>
          <c:showVal val="1"/>
          <c:showCatName val="0"/>
          <c:showSerName val="0"/>
          <c:showPercent val="0"/>
          <c:showBubbleSize val="0"/>
        </c:dLbls>
        <c:gapWidth val="150"/>
        <c:overlap val="100"/>
        <c:axId val="551581032"/>
        <c:axId val="551581360"/>
      </c:barChart>
      <c:catAx>
        <c:axId val="551581032"/>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fr-FR"/>
          </a:p>
        </c:txPr>
        <c:crossAx val="551581360"/>
        <c:crosses val="autoZero"/>
        <c:auto val="1"/>
        <c:lblAlgn val="ctr"/>
        <c:lblOffset val="100"/>
        <c:noMultiLvlLbl val="0"/>
      </c:catAx>
      <c:valAx>
        <c:axId val="551581360"/>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fr-FR"/>
          </a:p>
        </c:txPr>
        <c:crossAx val="551581032"/>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fr-FR"/>
        </a:p>
      </c:txPr>
    </c:legend>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fr-FR"/>
    </a:p>
  </c:txPr>
  <c:printSettings>
    <c:headerFooter/>
    <c:pageMargins b="0.75" l="0.7" r="0.7" t="0.75" header="0.3" footer="0.3"/>
    <c:pageSetup/>
  </c:printSettings>
</c:chartSpace>
</file>

<file path=xl/charts/chart1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fr-FR"/>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fr-FR" b="1"/>
              <a:t>Présences à l'entrainement - Août</a:t>
            </a: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fr-FR"/>
        </a:p>
      </c:txPr>
    </c:title>
    <c:autoTitleDeleted val="0"/>
    <c:plotArea>
      <c:layout/>
      <c:barChart>
        <c:barDir val="col"/>
        <c:grouping val="percentStacked"/>
        <c:varyColors val="0"/>
        <c:ser>
          <c:idx val="0"/>
          <c:order val="0"/>
          <c:tx>
            <c:strRef>
              <c:f>'Bilan Entrainement - Mensuel'!$F$5</c:f>
              <c:strCache>
                <c:ptCount val="1"/>
                <c:pt idx="0">
                  <c:v>Présent</c:v>
                </c:pt>
              </c:strCache>
            </c:strRef>
          </c:tx>
          <c:spPr>
            <a:solidFill>
              <a:schemeClr val="accent6"/>
            </a:solidFill>
            <a:ln>
              <a:noFill/>
            </a:ln>
            <a:effectLst/>
          </c:spPr>
          <c:invertIfNegative val="0"/>
          <c:cat>
            <c:strRef>
              <c:extLst>
                <c:ext xmlns:c15="http://schemas.microsoft.com/office/drawing/2012/chart" uri="{02D57815-91ED-43cb-92C2-25804820EDAC}">
                  <c15:fullRef>
                    <c15:sqref>'Bilan Entrainement - Mensuel'!$G$4:$AJ$4</c15:sqref>
                  </c15:fullRef>
                </c:ext>
              </c:extLst>
              <c:f>'Bilan Entrainement - Mensuel'!$G$4:$AA$4</c:f>
              <c:strCache>
                <c:ptCount val="21"/>
                <c:pt idx="0">
                  <c:v>ADDA Matteo</c:v>
                </c:pt>
                <c:pt idx="1">
                  <c:v>ALFONSO Joao</c:v>
                </c:pt>
                <c:pt idx="2">
                  <c:v>BERDAH Matis</c:v>
                </c:pt>
                <c:pt idx="3">
                  <c:v>CAMARA Bandiougou</c:v>
                </c:pt>
                <c:pt idx="4">
                  <c:v>CAMARA Moussa</c:v>
                </c:pt>
                <c:pt idx="5">
                  <c:v>CARREAU Ethan</c:v>
                </c:pt>
                <c:pt idx="6">
                  <c:v>CHEROD Alexis</c:v>
                </c:pt>
                <c:pt idx="7">
                  <c:v>DJEHICHE Ramzi</c:v>
                </c:pt>
                <c:pt idx="8">
                  <c:v>DOSIERE Baptiste</c:v>
                </c:pt>
                <c:pt idx="9">
                  <c:v>DUQUENOY Thomas</c:v>
                </c:pt>
                <c:pt idx="10">
                  <c:v>KIPRE Jordan</c:v>
                </c:pt>
                <c:pt idx="11">
                  <c:v>KONATE Mamadou</c:v>
                </c:pt>
                <c:pt idx="12">
                  <c:v>LECOUFFE Hugo</c:v>
                </c:pt>
                <c:pt idx="13">
                  <c:v>LEFRANC Nathan</c:v>
                </c:pt>
                <c:pt idx="14">
                  <c:v>MASSOUSSI Elie</c:v>
                </c:pt>
                <c:pt idx="15">
                  <c:v>NGOUABI Yoann</c:v>
                </c:pt>
                <c:pt idx="16">
                  <c:v>PLANET Mathis</c:v>
                </c:pt>
                <c:pt idx="17">
                  <c:v>PRONNIER Nicolas</c:v>
                </c:pt>
                <c:pt idx="18">
                  <c:v>STIOUET Reda</c:v>
                </c:pt>
                <c:pt idx="19">
                  <c:v>ZERDEB Said</c:v>
                </c:pt>
                <c:pt idx="20">
                  <c:v>OSSENI Farouk</c:v>
                </c:pt>
              </c:strCache>
            </c:strRef>
          </c:cat>
          <c:val>
            <c:numRef>
              <c:extLst>
                <c:ext xmlns:c15="http://schemas.microsoft.com/office/drawing/2012/chart" uri="{02D57815-91ED-43cb-92C2-25804820EDAC}">
                  <c15:fullRef>
                    <c15:sqref>'Bilan Entrainement - Mensuel'!$G$5:$AJ$5</c15:sqref>
                  </c15:fullRef>
                </c:ext>
              </c:extLst>
              <c:f>'Bilan Entrainement - Mensuel'!$G$5:$AA$5</c:f>
              <c:numCache>
                <c:formatCode>General</c:formatCode>
                <c:ptCount val="21"/>
                <c:pt idx="0">
                  <c:v>18</c:v>
                </c:pt>
                <c:pt idx="1">
                  <c:v>15</c:v>
                </c:pt>
                <c:pt idx="2">
                  <c:v>12</c:v>
                </c:pt>
                <c:pt idx="3">
                  <c:v>12</c:v>
                </c:pt>
                <c:pt idx="4">
                  <c:v>2</c:v>
                </c:pt>
                <c:pt idx="5">
                  <c:v>16</c:v>
                </c:pt>
                <c:pt idx="6">
                  <c:v>12</c:v>
                </c:pt>
                <c:pt idx="7">
                  <c:v>10</c:v>
                </c:pt>
                <c:pt idx="8">
                  <c:v>6</c:v>
                </c:pt>
                <c:pt idx="9">
                  <c:v>12</c:v>
                </c:pt>
                <c:pt idx="10">
                  <c:v>6</c:v>
                </c:pt>
                <c:pt idx="11">
                  <c:v>12</c:v>
                </c:pt>
                <c:pt idx="12">
                  <c:v>8</c:v>
                </c:pt>
                <c:pt idx="13">
                  <c:v>18</c:v>
                </c:pt>
                <c:pt idx="14">
                  <c:v>18</c:v>
                </c:pt>
                <c:pt idx="15">
                  <c:v>8</c:v>
                </c:pt>
                <c:pt idx="16">
                  <c:v>10</c:v>
                </c:pt>
                <c:pt idx="17">
                  <c:v>17</c:v>
                </c:pt>
                <c:pt idx="18">
                  <c:v>3</c:v>
                </c:pt>
                <c:pt idx="19">
                  <c:v>0</c:v>
                </c:pt>
                <c:pt idx="20">
                  <c:v>18</c:v>
                </c:pt>
              </c:numCache>
            </c:numRef>
          </c:val>
          <c:extLst>
            <c:ext xmlns:c16="http://schemas.microsoft.com/office/drawing/2014/chart" uri="{C3380CC4-5D6E-409C-BE32-E72D297353CC}">
              <c16:uniqueId val="{00000000-BA8F-4A3F-85E7-48A6961CEDC4}"/>
            </c:ext>
          </c:extLst>
        </c:ser>
        <c:ser>
          <c:idx val="1"/>
          <c:order val="1"/>
          <c:tx>
            <c:strRef>
              <c:f>'Bilan Entrainement - Mensuel'!$F$6</c:f>
              <c:strCache>
                <c:ptCount val="1"/>
                <c:pt idx="0">
                  <c:v>Absent</c:v>
                </c:pt>
              </c:strCache>
            </c:strRef>
          </c:tx>
          <c:spPr>
            <a:solidFill>
              <a:schemeClr val="accent5"/>
            </a:solidFill>
            <a:ln>
              <a:noFill/>
            </a:ln>
            <a:effectLst/>
          </c:spPr>
          <c:invertIfNegative val="0"/>
          <c:cat>
            <c:strRef>
              <c:extLst>
                <c:ext xmlns:c15="http://schemas.microsoft.com/office/drawing/2012/chart" uri="{02D57815-91ED-43cb-92C2-25804820EDAC}">
                  <c15:fullRef>
                    <c15:sqref>'Bilan Entrainement - Mensuel'!$G$4:$AJ$4</c15:sqref>
                  </c15:fullRef>
                </c:ext>
              </c:extLst>
              <c:f>'Bilan Entrainement - Mensuel'!$G$4:$AA$4</c:f>
              <c:strCache>
                <c:ptCount val="21"/>
                <c:pt idx="0">
                  <c:v>ADDA Matteo</c:v>
                </c:pt>
                <c:pt idx="1">
                  <c:v>ALFONSO Joao</c:v>
                </c:pt>
                <c:pt idx="2">
                  <c:v>BERDAH Matis</c:v>
                </c:pt>
                <c:pt idx="3">
                  <c:v>CAMARA Bandiougou</c:v>
                </c:pt>
                <c:pt idx="4">
                  <c:v>CAMARA Moussa</c:v>
                </c:pt>
                <c:pt idx="5">
                  <c:v>CARREAU Ethan</c:v>
                </c:pt>
                <c:pt idx="6">
                  <c:v>CHEROD Alexis</c:v>
                </c:pt>
                <c:pt idx="7">
                  <c:v>DJEHICHE Ramzi</c:v>
                </c:pt>
                <c:pt idx="8">
                  <c:v>DOSIERE Baptiste</c:v>
                </c:pt>
                <c:pt idx="9">
                  <c:v>DUQUENOY Thomas</c:v>
                </c:pt>
                <c:pt idx="10">
                  <c:v>KIPRE Jordan</c:v>
                </c:pt>
                <c:pt idx="11">
                  <c:v>KONATE Mamadou</c:v>
                </c:pt>
                <c:pt idx="12">
                  <c:v>LECOUFFE Hugo</c:v>
                </c:pt>
                <c:pt idx="13">
                  <c:v>LEFRANC Nathan</c:v>
                </c:pt>
                <c:pt idx="14">
                  <c:v>MASSOUSSI Elie</c:v>
                </c:pt>
                <c:pt idx="15">
                  <c:v>NGOUABI Yoann</c:v>
                </c:pt>
                <c:pt idx="16">
                  <c:v>PLANET Mathis</c:v>
                </c:pt>
                <c:pt idx="17">
                  <c:v>PRONNIER Nicolas</c:v>
                </c:pt>
                <c:pt idx="18">
                  <c:v>STIOUET Reda</c:v>
                </c:pt>
                <c:pt idx="19">
                  <c:v>ZERDEB Said</c:v>
                </c:pt>
                <c:pt idx="20">
                  <c:v>OSSENI Farouk</c:v>
                </c:pt>
              </c:strCache>
            </c:strRef>
          </c:cat>
          <c:val>
            <c:numRef>
              <c:extLst>
                <c:ext xmlns:c15="http://schemas.microsoft.com/office/drawing/2012/chart" uri="{02D57815-91ED-43cb-92C2-25804820EDAC}">
                  <c15:fullRef>
                    <c15:sqref>'Bilan Entrainement - Mensuel'!$G$6:$AJ$6</c15:sqref>
                  </c15:fullRef>
                </c:ext>
              </c:extLst>
              <c:f>'Bilan Entrainement - Mensuel'!$G$6:$AA$6</c:f>
              <c:numCache>
                <c:formatCode>General</c:formatCode>
                <c:ptCount val="21"/>
                <c:pt idx="0">
                  <c:v>0</c:v>
                </c:pt>
                <c:pt idx="1">
                  <c:v>2</c:v>
                </c:pt>
                <c:pt idx="2">
                  <c:v>0</c:v>
                </c:pt>
                <c:pt idx="3">
                  <c:v>6</c:v>
                </c:pt>
                <c:pt idx="4">
                  <c:v>15</c:v>
                </c:pt>
                <c:pt idx="5">
                  <c:v>0</c:v>
                </c:pt>
                <c:pt idx="6">
                  <c:v>4</c:v>
                </c:pt>
                <c:pt idx="7">
                  <c:v>4</c:v>
                </c:pt>
                <c:pt idx="8">
                  <c:v>0</c:v>
                </c:pt>
                <c:pt idx="9">
                  <c:v>0</c:v>
                </c:pt>
                <c:pt idx="10">
                  <c:v>1</c:v>
                </c:pt>
                <c:pt idx="11">
                  <c:v>1</c:v>
                </c:pt>
                <c:pt idx="12">
                  <c:v>0</c:v>
                </c:pt>
                <c:pt idx="13">
                  <c:v>0</c:v>
                </c:pt>
                <c:pt idx="14">
                  <c:v>0</c:v>
                </c:pt>
                <c:pt idx="15">
                  <c:v>10</c:v>
                </c:pt>
                <c:pt idx="16">
                  <c:v>0</c:v>
                </c:pt>
                <c:pt idx="17">
                  <c:v>0</c:v>
                </c:pt>
                <c:pt idx="18">
                  <c:v>0</c:v>
                </c:pt>
                <c:pt idx="19">
                  <c:v>4</c:v>
                </c:pt>
                <c:pt idx="20">
                  <c:v>0</c:v>
                </c:pt>
              </c:numCache>
            </c:numRef>
          </c:val>
          <c:extLst>
            <c:ext xmlns:c16="http://schemas.microsoft.com/office/drawing/2014/chart" uri="{C3380CC4-5D6E-409C-BE32-E72D297353CC}">
              <c16:uniqueId val="{00000001-BA8F-4A3F-85E7-48A6961CEDC4}"/>
            </c:ext>
          </c:extLst>
        </c:ser>
        <c:ser>
          <c:idx val="2"/>
          <c:order val="2"/>
          <c:tx>
            <c:strRef>
              <c:f>'Bilan Entrainement - Mensuel'!$F$7</c:f>
              <c:strCache>
                <c:ptCount val="1"/>
                <c:pt idx="0">
                  <c:v>Excusé</c:v>
                </c:pt>
              </c:strCache>
            </c:strRef>
          </c:tx>
          <c:spPr>
            <a:solidFill>
              <a:schemeClr val="accent4"/>
            </a:solidFill>
            <a:ln>
              <a:noFill/>
            </a:ln>
            <a:effectLst/>
          </c:spPr>
          <c:invertIfNegative val="0"/>
          <c:cat>
            <c:strRef>
              <c:extLst>
                <c:ext xmlns:c15="http://schemas.microsoft.com/office/drawing/2012/chart" uri="{02D57815-91ED-43cb-92C2-25804820EDAC}">
                  <c15:fullRef>
                    <c15:sqref>'Bilan Entrainement - Mensuel'!$G$4:$AJ$4</c15:sqref>
                  </c15:fullRef>
                </c:ext>
              </c:extLst>
              <c:f>'Bilan Entrainement - Mensuel'!$G$4:$AA$4</c:f>
              <c:strCache>
                <c:ptCount val="21"/>
                <c:pt idx="0">
                  <c:v>ADDA Matteo</c:v>
                </c:pt>
                <c:pt idx="1">
                  <c:v>ALFONSO Joao</c:v>
                </c:pt>
                <c:pt idx="2">
                  <c:v>BERDAH Matis</c:v>
                </c:pt>
                <c:pt idx="3">
                  <c:v>CAMARA Bandiougou</c:v>
                </c:pt>
                <c:pt idx="4">
                  <c:v>CAMARA Moussa</c:v>
                </c:pt>
                <c:pt idx="5">
                  <c:v>CARREAU Ethan</c:v>
                </c:pt>
                <c:pt idx="6">
                  <c:v>CHEROD Alexis</c:v>
                </c:pt>
                <c:pt idx="7">
                  <c:v>DJEHICHE Ramzi</c:v>
                </c:pt>
                <c:pt idx="8">
                  <c:v>DOSIERE Baptiste</c:v>
                </c:pt>
                <c:pt idx="9">
                  <c:v>DUQUENOY Thomas</c:v>
                </c:pt>
                <c:pt idx="10">
                  <c:v>KIPRE Jordan</c:v>
                </c:pt>
                <c:pt idx="11">
                  <c:v>KONATE Mamadou</c:v>
                </c:pt>
                <c:pt idx="12">
                  <c:v>LECOUFFE Hugo</c:v>
                </c:pt>
                <c:pt idx="13">
                  <c:v>LEFRANC Nathan</c:v>
                </c:pt>
                <c:pt idx="14">
                  <c:v>MASSOUSSI Elie</c:v>
                </c:pt>
                <c:pt idx="15">
                  <c:v>NGOUABI Yoann</c:v>
                </c:pt>
                <c:pt idx="16">
                  <c:v>PLANET Mathis</c:v>
                </c:pt>
                <c:pt idx="17">
                  <c:v>PRONNIER Nicolas</c:v>
                </c:pt>
                <c:pt idx="18">
                  <c:v>STIOUET Reda</c:v>
                </c:pt>
                <c:pt idx="19">
                  <c:v>ZERDEB Said</c:v>
                </c:pt>
                <c:pt idx="20">
                  <c:v>OSSENI Farouk</c:v>
                </c:pt>
              </c:strCache>
            </c:strRef>
          </c:cat>
          <c:val>
            <c:numRef>
              <c:extLst>
                <c:ext xmlns:c15="http://schemas.microsoft.com/office/drawing/2012/chart" uri="{02D57815-91ED-43cb-92C2-25804820EDAC}">
                  <c15:fullRef>
                    <c15:sqref>'Bilan Entrainement - Mensuel'!$G$7:$AJ$7</c15:sqref>
                  </c15:fullRef>
                </c:ext>
              </c:extLst>
              <c:f>'Bilan Entrainement - Mensuel'!$G$7:$AA$7</c:f>
              <c:numCache>
                <c:formatCode>General</c:formatCode>
                <c:ptCount val="21"/>
                <c:pt idx="0">
                  <c:v>0</c:v>
                </c:pt>
                <c:pt idx="1">
                  <c:v>1</c:v>
                </c:pt>
                <c:pt idx="2">
                  <c:v>6</c:v>
                </c:pt>
                <c:pt idx="3">
                  <c:v>0</c:v>
                </c:pt>
                <c:pt idx="4">
                  <c:v>1</c:v>
                </c:pt>
                <c:pt idx="5">
                  <c:v>2</c:v>
                </c:pt>
                <c:pt idx="6">
                  <c:v>2</c:v>
                </c:pt>
                <c:pt idx="7">
                  <c:v>4</c:v>
                </c:pt>
                <c:pt idx="8">
                  <c:v>12</c:v>
                </c:pt>
                <c:pt idx="9">
                  <c:v>6</c:v>
                </c:pt>
                <c:pt idx="10">
                  <c:v>11</c:v>
                </c:pt>
                <c:pt idx="11">
                  <c:v>5</c:v>
                </c:pt>
                <c:pt idx="12">
                  <c:v>10</c:v>
                </c:pt>
                <c:pt idx="13">
                  <c:v>0</c:v>
                </c:pt>
                <c:pt idx="14">
                  <c:v>0</c:v>
                </c:pt>
                <c:pt idx="15">
                  <c:v>0</c:v>
                </c:pt>
                <c:pt idx="16">
                  <c:v>8</c:v>
                </c:pt>
                <c:pt idx="17">
                  <c:v>1</c:v>
                </c:pt>
                <c:pt idx="18">
                  <c:v>15</c:v>
                </c:pt>
                <c:pt idx="19">
                  <c:v>14</c:v>
                </c:pt>
                <c:pt idx="20">
                  <c:v>0</c:v>
                </c:pt>
              </c:numCache>
            </c:numRef>
          </c:val>
          <c:extLst>
            <c:ext xmlns:c16="http://schemas.microsoft.com/office/drawing/2014/chart" uri="{C3380CC4-5D6E-409C-BE32-E72D297353CC}">
              <c16:uniqueId val="{00000002-BA8F-4A3F-85E7-48A6961CEDC4}"/>
            </c:ext>
          </c:extLst>
        </c:ser>
        <c:dLbls>
          <c:showLegendKey val="0"/>
          <c:showVal val="0"/>
          <c:showCatName val="0"/>
          <c:showSerName val="0"/>
          <c:showPercent val="0"/>
          <c:showBubbleSize val="0"/>
        </c:dLbls>
        <c:gapWidth val="150"/>
        <c:overlap val="100"/>
        <c:axId val="604750480"/>
        <c:axId val="604756712"/>
      </c:barChart>
      <c:catAx>
        <c:axId val="604750480"/>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fr-FR"/>
          </a:p>
        </c:txPr>
        <c:crossAx val="604756712"/>
        <c:crosses val="autoZero"/>
        <c:auto val="1"/>
        <c:lblAlgn val="ctr"/>
        <c:lblOffset val="100"/>
        <c:noMultiLvlLbl val="0"/>
      </c:catAx>
      <c:valAx>
        <c:axId val="604756712"/>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fr-FR"/>
          </a:p>
        </c:txPr>
        <c:crossAx val="604750480"/>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fr-FR"/>
        </a:p>
      </c:txPr>
    </c:legend>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fr-FR"/>
    </a:p>
  </c:txPr>
  <c:printSettings>
    <c:headerFooter/>
    <c:pageMargins b="0.75" l="0.7" r="0.7" t="0.75" header="0.3" footer="0.3"/>
    <c:pageSetup paperSize="9" orientation="landscape"/>
  </c:printSettings>
</c:chartSpace>
</file>

<file path=xl/charts/chart1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fr-FR"/>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fr-FR" b="1"/>
              <a:t>Présences à l'entrainement - Septembre</a:t>
            </a: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fr-FR"/>
        </a:p>
      </c:txPr>
    </c:title>
    <c:autoTitleDeleted val="0"/>
    <c:plotArea>
      <c:layout/>
      <c:barChart>
        <c:barDir val="col"/>
        <c:grouping val="percentStacked"/>
        <c:varyColors val="0"/>
        <c:ser>
          <c:idx val="0"/>
          <c:order val="0"/>
          <c:tx>
            <c:strRef>
              <c:f>'Bilan Entrainement - Mensuel'!$F$8</c:f>
              <c:strCache>
                <c:ptCount val="1"/>
                <c:pt idx="0">
                  <c:v>Présent</c:v>
                </c:pt>
              </c:strCache>
            </c:strRef>
          </c:tx>
          <c:spPr>
            <a:solidFill>
              <a:schemeClr val="accent6"/>
            </a:solidFill>
            <a:ln>
              <a:noFill/>
            </a:ln>
            <a:effectLst/>
          </c:spPr>
          <c:invertIfNegative val="0"/>
          <c:cat>
            <c:strRef>
              <c:extLst>
                <c:ext xmlns:c15="http://schemas.microsoft.com/office/drawing/2012/chart" uri="{02D57815-91ED-43cb-92C2-25804820EDAC}">
                  <c15:fullRef>
                    <c15:sqref>'Bilan Entrainement - Mensuel'!$G$4:$AJ$4</c15:sqref>
                  </c15:fullRef>
                </c:ext>
              </c:extLst>
              <c:f>'Bilan Entrainement - Mensuel'!$G$4:$AA$4</c:f>
              <c:strCache>
                <c:ptCount val="21"/>
                <c:pt idx="0">
                  <c:v>ADDA Matteo</c:v>
                </c:pt>
                <c:pt idx="1">
                  <c:v>ALFONSO Joao</c:v>
                </c:pt>
                <c:pt idx="2">
                  <c:v>BERDAH Matis</c:v>
                </c:pt>
                <c:pt idx="3">
                  <c:v>CAMARA Bandiougou</c:v>
                </c:pt>
                <c:pt idx="4">
                  <c:v>CAMARA Moussa</c:v>
                </c:pt>
                <c:pt idx="5">
                  <c:v>CARREAU Ethan</c:v>
                </c:pt>
                <c:pt idx="6">
                  <c:v>CHEROD Alexis</c:v>
                </c:pt>
                <c:pt idx="7">
                  <c:v>DJEHICHE Ramzi</c:v>
                </c:pt>
                <c:pt idx="8">
                  <c:v>DOSIERE Baptiste</c:v>
                </c:pt>
                <c:pt idx="9">
                  <c:v>DUQUENOY Thomas</c:v>
                </c:pt>
                <c:pt idx="10">
                  <c:v>KIPRE Jordan</c:v>
                </c:pt>
                <c:pt idx="11">
                  <c:v>KONATE Mamadou</c:v>
                </c:pt>
                <c:pt idx="12">
                  <c:v>LECOUFFE Hugo</c:v>
                </c:pt>
                <c:pt idx="13">
                  <c:v>LEFRANC Nathan</c:v>
                </c:pt>
                <c:pt idx="14">
                  <c:v>MASSOUSSI Elie</c:v>
                </c:pt>
                <c:pt idx="15">
                  <c:v>NGOUABI Yoann</c:v>
                </c:pt>
                <c:pt idx="16">
                  <c:v>PLANET Mathis</c:v>
                </c:pt>
                <c:pt idx="17">
                  <c:v>PRONNIER Nicolas</c:v>
                </c:pt>
                <c:pt idx="18">
                  <c:v>STIOUET Reda</c:v>
                </c:pt>
                <c:pt idx="19">
                  <c:v>ZERDEB Said</c:v>
                </c:pt>
                <c:pt idx="20">
                  <c:v>OSSENI Farouk</c:v>
                </c:pt>
              </c:strCache>
            </c:strRef>
          </c:cat>
          <c:val>
            <c:numRef>
              <c:extLst>
                <c:ext xmlns:c15="http://schemas.microsoft.com/office/drawing/2012/chart" uri="{02D57815-91ED-43cb-92C2-25804820EDAC}">
                  <c15:fullRef>
                    <c15:sqref>'Bilan Entrainement - Mensuel'!$G$8:$AJ$8</c15:sqref>
                  </c15:fullRef>
                </c:ext>
              </c:extLst>
              <c:f>'Bilan Entrainement - Mensuel'!$G$8:$AA$8</c:f>
              <c:numCache>
                <c:formatCode>General</c:formatCode>
                <c:ptCount val="21"/>
                <c:pt idx="0">
                  <c:v>6</c:v>
                </c:pt>
                <c:pt idx="1">
                  <c:v>3</c:v>
                </c:pt>
                <c:pt idx="2">
                  <c:v>5</c:v>
                </c:pt>
                <c:pt idx="3">
                  <c:v>3</c:v>
                </c:pt>
                <c:pt idx="4">
                  <c:v>1</c:v>
                </c:pt>
                <c:pt idx="5">
                  <c:v>2</c:v>
                </c:pt>
                <c:pt idx="6">
                  <c:v>2</c:v>
                </c:pt>
                <c:pt idx="7">
                  <c:v>4</c:v>
                </c:pt>
                <c:pt idx="8">
                  <c:v>4</c:v>
                </c:pt>
                <c:pt idx="9">
                  <c:v>4</c:v>
                </c:pt>
                <c:pt idx="10">
                  <c:v>4</c:v>
                </c:pt>
                <c:pt idx="11">
                  <c:v>5</c:v>
                </c:pt>
                <c:pt idx="12">
                  <c:v>6</c:v>
                </c:pt>
                <c:pt idx="13">
                  <c:v>6</c:v>
                </c:pt>
                <c:pt idx="14">
                  <c:v>6</c:v>
                </c:pt>
                <c:pt idx="15">
                  <c:v>4</c:v>
                </c:pt>
                <c:pt idx="16">
                  <c:v>3</c:v>
                </c:pt>
                <c:pt idx="17">
                  <c:v>5</c:v>
                </c:pt>
                <c:pt idx="18">
                  <c:v>2</c:v>
                </c:pt>
                <c:pt idx="19">
                  <c:v>6</c:v>
                </c:pt>
                <c:pt idx="20">
                  <c:v>3</c:v>
                </c:pt>
              </c:numCache>
            </c:numRef>
          </c:val>
          <c:extLst>
            <c:ext xmlns:c16="http://schemas.microsoft.com/office/drawing/2014/chart" uri="{C3380CC4-5D6E-409C-BE32-E72D297353CC}">
              <c16:uniqueId val="{00000000-6CD6-477E-BFBB-B6D53B755E1E}"/>
            </c:ext>
          </c:extLst>
        </c:ser>
        <c:ser>
          <c:idx val="1"/>
          <c:order val="1"/>
          <c:tx>
            <c:strRef>
              <c:f>'Bilan Entrainement - Mensuel'!$F$9</c:f>
              <c:strCache>
                <c:ptCount val="1"/>
                <c:pt idx="0">
                  <c:v>Absent</c:v>
                </c:pt>
              </c:strCache>
            </c:strRef>
          </c:tx>
          <c:spPr>
            <a:solidFill>
              <a:schemeClr val="accent5"/>
            </a:solidFill>
            <a:ln>
              <a:noFill/>
            </a:ln>
            <a:effectLst/>
          </c:spPr>
          <c:invertIfNegative val="0"/>
          <c:cat>
            <c:strRef>
              <c:extLst>
                <c:ext xmlns:c15="http://schemas.microsoft.com/office/drawing/2012/chart" uri="{02D57815-91ED-43cb-92C2-25804820EDAC}">
                  <c15:fullRef>
                    <c15:sqref>'Bilan Entrainement - Mensuel'!$G$4:$AJ$4</c15:sqref>
                  </c15:fullRef>
                </c:ext>
              </c:extLst>
              <c:f>'Bilan Entrainement - Mensuel'!$G$4:$AA$4</c:f>
              <c:strCache>
                <c:ptCount val="21"/>
                <c:pt idx="0">
                  <c:v>ADDA Matteo</c:v>
                </c:pt>
                <c:pt idx="1">
                  <c:v>ALFONSO Joao</c:v>
                </c:pt>
                <c:pt idx="2">
                  <c:v>BERDAH Matis</c:v>
                </c:pt>
                <c:pt idx="3">
                  <c:v>CAMARA Bandiougou</c:v>
                </c:pt>
                <c:pt idx="4">
                  <c:v>CAMARA Moussa</c:v>
                </c:pt>
                <c:pt idx="5">
                  <c:v>CARREAU Ethan</c:v>
                </c:pt>
                <c:pt idx="6">
                  <c:v>CHEROD Alexis</c:v>
                </c:pt>
                <c:pt idx="7">
                  <c:v>DJEHICHE Ramzi</c:v>
                </c:pt>
                <c:pt idx="8">
                  <c:v>DOSIERE Baptiste</c:v>
                </c:pt>
                <c:pt idx="9">
                  <c:v>DUQUENOY Thomas</c:v>
                </c:pt>
                <c:pt idx="10">
                  <c:v>KIPRE Jordan</c:v>
                </c:pt>
                <c:pt idx="11">
                  <c:v>KONATE Mamadou</c:v>
                </c:pt>
                <c:pt idx="12">
                  <c:v>LECOUFFE Hugo</c:v>
                </c:pt>
                <c:pt idx="13">
                  <c:v>LEFRANC Nathan</c:v>
                </c:pt>
                <c:pt idx="14">
                  <c:v>MASSOUSSI Elie</c:v>
                </c:pt>
                <c:pt idx="15">
                  <c:v>NGOUABI Yoann</c:v>
                </c:pt>
                <c:pt idx="16">
                  <c:v>PLANET Mathis</c:v>
                </c:pt>
                <c:pt idx="17">
                  <c:v>PRONNIER Nicolas</c:v>
                </c:pt>
                <c:pt idx="18">
                  <c:v>STIOUET Reda</c:v>
                </c:pt>
                <c:pt idx="19">
                  <c:v>ZERDEB Said</c:v>
                </c:pt>
                <c:pt idx="20">
                  <c:v>OSSENI Farouk</c:v>
                </c:pt>
              </c:strCache>
            </c:strRef>
          </c:cat>
          <c:val>
            <c:numRef>
              <c:extLst>
                <c:ext xmlns:c15="http://schemas.microsoft.com/office/drawing/2012/chart" uri="{02D57815-91ED-43cb-92C2-25804820EDAC}">
                  <c15:fullRef>
                    <c15:sqref>'Bilan Entrainement - Mensuel'!$G$9:$AJ$9</c15:sqref>
                  </c15:fullRef>
                </c:ext>
              </c:extLst>
              <c:f>'Bilan Entrainement - Mensuel'!$G$9:$AA$9</c:f>
              <c:numCache>
                <c:formatCode>General</c:formatCode>
                <c:ptCount val="21"/>
                <c:pt idx="0">
                  <c:v>0</c:v>
                </c:pt>
                <c:pt idx="1">
                  <c:v>3</c:v>
                </c:pt>
                <c:pt idx="2">
                  <c:v>0</c:v>
                </c:pt>
                <c:pt idx="3">
                  <c:v>2</c:v>
                </c:pt>
                <c:pt idx="4">
                  <c:v>5</c:v>
                </c:pt>
                <c:pt idx="5">
                  <c:v>0</c:v>
                </c:pt>
                <c:pt idx="6">
                  <c:v>1</c:v>
                </c:pt>
                <c:pt idx="7">
                  <c:v>1</c:v>
                </c:pt>
                <c:pt idx="8">
                  <c:v>0</c:v>
                </c:pt>
                <c:pt idx="9">
                  <c:v>0</c:v>
                </c:pt>
                <c:pt idx="10">
                  <c:v>1</c:v>
                </c:pt>
                <c:pt idx="11">
                  <c:v>0</c:v>
                </c:pt>
                <c:pt idx="12">
                  <c:v>0</c:v>
                </c:pt>
                <c:pt idx="13">
                  <c:v>0</c:v>
                </c:pt>
                <c:pt idx="14">
                  <c:v>0</c:v>
                </c:pt>
                <c:pt idx="15">
                  <c:v>1</c:v>
                </c:pt>
                <c:pt idx="16">
                  <c:v>0</c:v>
                </c:pt>
                <c:pt idx="17">
                  <c:v>0</c:v>
                </c:pt>
                <c:pt idx="18">
                  <c:v>0</c:v>
                </c:pt>
                <c:pt idx="19">
                  <c:v>0</c:v>
                </c:pt>
                <c:pt idx="20">
                  <c:v>3</c:v>
                </c:pt>
              </c:numCache>
            </c:numRef>
          </c:val>
          <c:extLst>
            <c:ext xmlns:c16="http://schemas.microsoft.com/office/drawing/2014/chart" uri="{C3380CC4-5D6E-409C-BE32-E72D297353CC}">
              <c16:uniqueId val="{00000001-6CD6-477E-BFBB-B6D53B755E1E}"/>
            </c:ext>
          </c:extLst>
        </c:ser>
        <c:ser>
          <c:idx val="2"/>
          <c:order val="2"/>
          <c:tx>
            <c:strRef>
              <c:f>'Bilan Entrainement - Mensuel'!$F$10</c:f>
              <c:strCache>
                <c:ptCount val="1"/>
                <c:pt idx="0">
                  <c:v>Excusé</c:v>
                </c:pt>
              </c:strCache>
            </c:strRef>
          </c:tx>
          <c:spPr>
            <a:solidFill>
              <a:schemeClr val="accent4"/>
            </a:solidFill>
            <a:ln>
              <a:noFill/>
            </a:ln>
            <a:effectLst/>
          </c:spPr>
          <c:invertIfNegative val="0"/>
          <c:cat>
            <c:strRef>
              <c:extLst>
                <c:ext xmlns:c15="http://schemas.microsoft.com/office/drawing/2012/chart" uri="{02D57815-91ED-43cb-92C2-25804820EDAC}">
                  <c15:fullRef>
                    <c15:sqref>'Bilan Entrainement - Mensuel'!$G$4:$AJ$4</c15:sqref>
                  </c15:fullRef>
                </c:ext>
              </c:extLst>
              <c:f>'Bilan Entrainement - Mensuel'!$G$4:$AA$4</c:f>
              <c:strCache>
                <c:ptCount val="21"/>
                <c:pt idx="0">
                  <c:v>ADDA Matteo</c:v>
                </c:pt>
                <c:pt idx="1">
                  <c:v>ALFONSO Joao</c:v>
                </c:pt>
                <c:pt idx="2">
                  <c:v>BERDAH Matis</c:v>
                </c:pt>
                <c:pt idx="3">
                  <c:v>CAMARA Bandiougou</c:v>
                </c:pt>
                <c:pt idx="4">
                  <c:v>CAMARA Moussa</c:v>
                </c:pt>
                <c:pt idx="5">
                  <c:v>CARREAU Ethan</c:v>
                </c:pt>
                <c:pt idx="6">
                  <c:v>CHEROD Alexis</c:v>
                </c:pt>
                <c:pt idx="7">
                  <c:v>DJEHICHE Ramzi</c:v>
                </c:pt>
                <c:pt idx="8">
                  <c:v>DOSIERE Baptiste</c:v>
                </c:pt>
                <c:pt idx="9">
                  <c:v>DUQUENOY Thomas</c:v>
                </c:pt>
                <c:pt idx="10">
                  <c:v>KIPRE Jordan</c:v>
                </c:pt>
                <c:pt idx="11">
                  <c:v>KONATE Mamadou</c:v>
                </c:pt>
                <c:pt idx="12">
                  <c:v>LECOUFFE Hugo</c:v>
                </c:pt>
                <c:pt idx="13">
                  <c:v>LEFRANC Nathan</c:v>
                </c:pt>
                <c:pt idx="14">
                  <c:v>MASSOUSSI Elie</c:v>
                </c:pt>
                <c:pt idx="15">
                  <c:v>NGOUABI Yoann</c:v>
                </c:pt>
                <c:pt idx="16">
                  <c:v>PLANET Mathis</c:v>
                </c:pt>
                <c:pt idx="17">
                  <c:v>PRONNIER Nicolas</c:v>
                </c:pt>
                <c:pt idx="18">
                  <c:v>STIOUET Reda</c:v>
                </c:pt>
                <c:pt idx="19">
                  <c:v>ZERDEB Said</c:v>
                </c:pt>
                <c:pt idx="20">
                  <c:v>OSSENI Farouk</c:v>
                </c:pt>
              </c:strCache>
            </c:strRef>
          </c:cat>
          <c:val>
            <c:numRef>
              <c:extLst>
                <c:ext xmlns:c15="http://schemas.microsoft.com/office/drawing/2012/chart" uri="{02D57815-91ED-43cb-92C2-25804820EDAC}">
                  <c15:fullRef>
                    <c15:sqref>'Bilan Entrainement - Mensuel'!$G$10:$AJ$10</c15:sqref>
                  </c15:fullRef>
                </c:ext>
              </c:extLst>
              <c:f>'Bilan Entrainement - Mensuel'!$G$10:$AA$10</c:f>
              <c:numCache>
                <c:formatCode>General</c:formatCode>
                <c:ptCount val="21"/>
                <c:pt idx="0">
                  <c:v>0</c:v>
                </c:pt>
                <c:pt idx="1">
                  <c:v>0</c:v>
                </c:pt>
                <c:pt idx="2">
                  <c:v>1</c:v>
                </c:pt>
                <c:pt idx="3">
                  <c:v>1</c:v>
                </c:pt>
                <c:pt idx="4">
                  <c:v>0</c:v>
                </c:pt>
                <c:pt idx="5">
                  <c:v>4</c:v>
                </c:pt>
                <c:pt idx="6">
                  <c:v>3</c:v>
                </c:pt>
                <c:pt idx="7">
                  <c:v>1</c:v>
                </c:pt>
                <c:pt idx="8">
                  <c:v>2</c:v>
                </c:pt>
                <c:pt idx="9">
                  <c:v>2</c:v>
                </c:pt>
                <c:pt idx="10">
                  <c:v>1</c:v>
                </c:pt>
                <c:pt idx="11">
                  <c:v>1</c:v>
                </c:pt>
                <c:pt idx="12">
                  <c:v>0</c:v>
                </c:pt>
                <c:pt idx="13">
                  <c:v>0</c:v>
                </c:pt>
                <c:pt idx="14">
                  <c:v>0</c:v>
                </c:pt>
                <c:pt idx="15">
                  <c:v>1</c:v>
                </c:pt>
                <c:pt idx="16">
                  <c:v>3</c:v>
                </c:pt>
                <c:pt idx="17">
                  <c:v>1</c:v>
                </c:pt>
                <c:pt idx="18">
                  <c:v>4</c:v>
                </c:pt>
                <c:pt idx="19">
                  <c:v>0</c:v>
                </c:pt>
                <c:pt idx="20">
                  <c:v>0</c:v>
                </c:pt>
              </c:numCache>
            </c:numRef>
          </c:val>
          <c:extLst>
            <c:ext xmlns:c16="http://schemas.microsoft.com/office/drawing/2014/chart" uri="{C3380CC4-5D6E-409C-BE32-E72D297353CC}">
              <c16:uniqueId val="{00000002-6CD6-477E-BFBB-B6D53B755E1E}"/>
            </c:ext>
          </c:extLst>
        </c:ser>
        <c:dLbls>
          <c:showLegendKey val="0"/>
          <c:showVal val="0"/>
          <c:showCatName val="0"/>
          <c:showSerName val="0"/>
          <c:showPercent val="0"/>
          <c:showBubbleSize val="0"/>
        </c:dLbls>
        <c:gapWidth val="150"/>
        <c:overlap val="100"/>
        <c:axId val="604750480"/>
        <c:axId val="604756712"/>
      </c:barChart>
      <c:catAx>
        <c:axId val="604750480"/>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fr-FR"/>
          </a:p>
        </c:txPr>
        <c:crossAx val="604756712"/>
        <c:crosses val="autoZero"/>
        <c:auto val="1"/>
        <c:lblAlgn val="ctr"/>
        <c:lblOffset val="100"/>
        <c:noMultiLvlLbl val="0"/>
      </c:catAx>
      <c:valAx>
        <c:axId val="604756712"/>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fr-FR"/>
          </a:p>
        </c:txPr>
        <c:crossAx val="604750480"/>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fr-FR"/>
        </a:p>
      </c:txPr>
    </c:legend>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fr-FR"/>
    </a:p>
  </c:txPr>
  <c:printSettings>
    <c:headerFooter/>
    <c:pageMargins b="0.75" l="0.7" r="0.7" t="0.75" header="0.3" footer="0.3"/>
    <c:pageSetup paperSize="9" orientation="landscape"/>
  </c:printSettings>
</c:chartSpace>
</file>

<file path=xl/charts/chart1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fr-FR"/>
  <c:roundedCorners val="0"/>
  <mc:AlternateContent xmlns:mc="http://schemas.openxmlformats.org/markup-compatibility/2006">
    <mc:Choice xmlns:c14="http://schemas.microsoft.com/office/drawing/2007/8/2/chart" Requires="c14">
      <c14:style val="104"/>
    </mc:Choice>
    <mc:Fallback>
      <c:style val="4"/>
    </mc:Fallback>
  </mc:AlternateContent>
  <c:chart>
    <c:autoTitleDeleted val="1"/>
    <c:plotArea>
      <c:layout/>
      <c:barChart>
        <c:barDir val="col"/>
        <c:grouping val="clustered"/>
        <c:varyColors val="0"/>
        <c:ser>
          <c:idx val="0"/>
          <c:order val="0"/>
          <c:tx>
            <c:v>Forme</c:v>
          </c:tx>
          <c:spPr>
            <a:solidFill>
              <a:schemeClr val="accent2"/>
            </a:solidFill>
            <a:ln>
              <a:noFill/>
            </a:ln>
            <a:effectLst/>
          </c:spPr>
          <c:invertIfNegative val="0"/>
          <c:cat>
            <c:strRef>
              <c:f>Forme!$B$19:$B$149</c:f>
              <c:strCache>
                <c:ptCount val="24"/>
                <c:pt idx="0">
                  <c:v>06/08/2018</c:v>
                </c:pt>
                <c:pt idx="1">
                  <c:v>07/08/2018</c:v>
                </c:pt>
                <c:pt idx="2">
                  <c:v>09/08/2018</c:v>
                </c:pt>
                <c:pt idx="3">
                  <c:v>10/08/2018</c:v>
                </c:pt>
                <c:pt idx="4">
                  <c:v>13/08/2018</c:v>
                </c:pt>
                <c:pt idx="5">
                  <c:v>14/08/2018</c:v>
                </c:pt>
                <c:pt idx="6">
                  <c:v>15/08/2018</c:v>
                </c:pt>
                <c:pt idx="7">
                  <c:v>16/08/2018</c:v>
                </c:pt>
                <c:pt idx="8">
                  <c:v>17/08/2018</c:v>
                </c:pt>
                <c:pt idx="9">
                  <c:v>18/08/2018</c:v>
                </c:pt>
                <c:pt idx="10">
                  <c:v>20/08/2018</c:v>
                </c:pt>
                <c:pt idx="11">
                  <c:v>21/08/2018</c:v>
                </c:pt>
                <c:pt idx="12">
                  <c:v>23/08/2018</c:v>
                </c:pt>
                <c:pt idx="13">
                  <c:v>24/08/2018</c:v>
                </c:pt>
                <c:pt idx="14">
                  <c:v>27/08/2018</c:v>
                </c:pt>
                <c:pt idx="15">
                  <c:v>28/08/2018</c:v>
                </c:pt>
                <c:pt idx="16">
                  <c:v>30/08/2018</c:v>
                </c:pt>
                <c:pt idx="17">
                  <c:v>31/08/2018</c:v>
                </c:pt>
                <c:pt idx="18">
                  <c:v>04/09/2018</c:v>
                </c:pt>
                <c:pt idx="19">
                  <c:v>06/09/2018</c:v>
                </c:pt>
                <c:pt idx="20">
                  <c:v>07/09/2018</c:v>
                </c:pt>
                <c:pt idx="21">
                  <c:v>11/09/2018</c:v>
                </c:pt>
                <c:pt idx="22">
                  <c:v>14/09/2018</c:v>
                </c:pt>
                <c:pt idx="23">
                  <c:v>15/09/2018</c:v>
                </c:pt>
              </c:strCache>
            </c:strRef>
          </c:cat>
          <c:val>
            <c:numRef>
              <c:f>Forme!$AG$19:$AG$149</c:f>
              <c:numCache>
                <c:formatCode>0.00</c:formatCode>
                <c:ptCount val="131"/>
                <c:pt idx="0">
                  <c:v>3.5555555555555554</c:v>
                </c:pt>
                <c:pt idx="1">
                  <c:v>3.1111111111111112</c:v>
                </c:pt>
                <c:pt idx="2">
                  <c:v>3.8</c:v>
                </c:pt>
                <c:pt idx="3">
                  <c:v>2.8333333333333335</c:v>
                </c:pt>
                <c:pt idx="4">
                  <c:v>3</c:v>
                </c:pt>
                <c:pt idx="5">
                  <c:v>2.8333333333333335</c:v>
                </c:pt>
                <c:pt idx="6">
                  <c:v>3.4285714285714284</c:v>
                </c:pt>
                <c:pt idx="7">
                  <c:v>3.0769230769230771</c:v>
                </c:pt>
                <c:pt idx="8">
                  <c:v>2.8</c:v>
                </c:pt>
                <c:pt idx="9">
                  <c:v>2.5833333333333335</c:v>
                </c:pt>
                <c:pt idx="10">
                  <c:v>2.8571428571428572</c:v>
                </c:pt>
                <c:pt idx="11">
                  <c:v>3.6153846153846154</c:v>
                </c:pt>
                <c:pt idx="12">
                  <c:v>4.5714285714285712</c:v>
                </c:pt>
                <c:pt idx="13">
                  <c:v>3.4705882352941178</c:v>
                </c:pt>
                <c:pt idx="14">
                  <c:v>3.5333333333333332</c:v>
                </c:pt>
                <c:pt idx="15">
                  <c:v>3.8235294117647061</c:v>
                </c:pt>
                <c:pt idx="16">
                  <c:v>3.75</c:v>
                </c:pt>
                <c:pt idx="17">
                  <c:v>3.8125</c:v>
                </c:pt>
                <c:pt idx="18">
                  <c:v>3.6428571428571428</c:v>
                </c:pt>
                <c:pt idx="19">
                  <c:v>3.7222222222222223</c:v>
                </c:pt>
                <c:pt idx="20">
                  <c:v>3.4166666666666665</c:v>
                </c:pt>
                <c:pt idx="21">
                  <c:v>4</c:v>
                </c:pt>
                <c:pt idx="22">
                  <c:v>3.4</c:v>
                </c:pt>
                <c:pt idx="23">
                  <c:v>3.9090909090909092</c:v>
                </c:pt>
                <c:pt idx="24">
                  <c:v>0</c:v>
                </c:pt>
                <c:pt idx="25">
                  <c:v>0</c:v>
                </c:pt>
                <c:pt idx="26">
                  <c:v>0</c:v>
                </c:pt>
                <c:pt idx="27">
                  <c:v>0</c:v>
                </c:pt>
                <c:pt idx="28">
                  <c:v>0</c:v>
                </c:pt>
                <c:pt idx="29">
                  <c:v>0</c:v>
                </c:pt>
                <c:pt idx="30">
                  <c:v>0</c:v>
                </c:pt>
                <c:pt idx="31">
                  <c:v>0</c:v>
                </c:pt>
                <c:pt idx="32">
                  <c:v>0</c:v>
                </c:pt>
                <c:pt idx="33">
                  <c:v>0</c:v>
                </c:pt>
                <c:pt idx="34">
                  <c:v>0</c:v>
                </c:pt>
                <c:pt idx="35">
                  <c:v>0</c:v>
                </c:pt>
                <c:pt idx="36">
                  <c:v>0</c:v>
                </c:pt>
                <c:pt idx="37">
                  <c:v>0</c:v>
                </c:pt>
                <c:pt idx="38">
                  <c:v>0</c:v>
                </c:pt>
                <c:pt idx="39">
                  <c:v>0</c:v>
                </c:pt>
                <c:pt idx="40">
                  <c:v>0</c:v>
                </c:pt>
                <c:pt idx="41">
                  <c:v>0</c:v>
                </c:pt>
                <c:pt idx="42">
                  <c:v>0</c:v>
                </c:pt>
                <c:pt idx="43">
                  <c:v>0</c:v>
                </c:pt>
                <c:pt idx="44">
                  <c:v>0</c:v>
                </c:pt>
                <c:pt idx="45">
                  <c:v>0</c:v>
                </c:pt>
                <c:pt idx="46">
                  <c:v>0</c:v>
                </c:pt>
                <c:pt idx="47">
                  <c:v>0</c:v>
                </c:pt>
                <c:pt idx="48">
                  <c:v>0</c:v>
                </c:pt>
                <c:pt idx="49">
                  <c:v>0</c:v>
                </c:pt>
                <c:pt idx="50">
                  <c:v>0</c:v>
                </c:pt>
                <c:pt idx="51">
                  <c:v>0</c:v>
                </c:pt>
                <c:pt idx="52">
                  <c:v>0</c:v>
                </c:pt>
                <c:pt idx="53">
                  <c:v>0</c:v>
                </c:pt>
                <c:pt idx="54">
                  <c:v>0</c:v>
                </c:pt>
                <c:pt idx="55">
                  <c:v>0</c:v>
                </c:pt>
                <c:pt idx="56">
                  <c:v>0</c:v>
                </c:pt>
                <c:pt idx="57">
                  <c:v>0</c:v>
                </c:pt>
                <c:pt idx="58">
                  <c:v>0</c:v>
                </c:pt>
                <c:pt idx="59">
                  <c:v>0</c:v>
                </c:pt>
                <c:pt idx="60">
                  <c:v>0</c:v>
                </c:pt>
                <c:pt idx="61">
                  <c:v>0</c:v>
                </c:pt>
                <c:pt idx="62">
                  <c:v>0</c:v>
                </c:pt>
                <c:pt idx="63">
                  <c:v>0</c:v>
                </c:pt>
                <c:pt idx="64">
                  <c:v>0</c:v>
                </c:pt>
                <c:pt idx="65">
                  <c:v>0</c:v>
                </c:pt>
                <c:pt idx="66">
                  <c:v>0</c:v>
                </c:pt>
                <c:pt idx="67">
                  <c:v>0</c:v>
                </c:pt>
                <c:pt idx="68">
                  <c:v>0</c:v>
                </c:pt>
                <c:pt idx="69">
                  <c:v>0</c:v>
                </c:pt>
                <c:pt idx="70">
                  <c:v>0</c:v>
                </c:pt>
                <c:pt idx="71">
                  <c:v>0</c:v>
                </c:pt>
                <c:pt idx="72">
                  <c:v>0</c:v>
                </c:pt>
                <c:pt idx="73">
                  <c:v>0</c:v>
                </c:pt>
                <c:pt idx="74">
                  <c:v>0</c:v>
                </c:pt>
                <c:pt idx="75">
                  <c:v>0</c:v>
                </c:pt>
                <c:pt idx="76">
                  <c:v>0</c:v>
                </c:pt>
                <c:pt idx="77">
                  <c:v>0</c:v>
                </c:pt>
                <c:pt idx="78">
                  <c:v>0</c:v>
                </c:pt>
                <c:pt idx="79">
                  <c:v>0</c:v>
                </c:pt>
                <c:pt idx="80">
                  <c:v>0</c:v>
                </c:pt>
                <c:pt idx="81">
                  <c:v>0</c:v>
                </c:pt>
                <c:pt idx="82">
                  <c:v>0</c:v>
                </c:pt>
                <c:pt idx="83">
                  <c:v>0</c:v>
                </c:pt>
                <c:pt idx="84">
                  <c:v>0</c:v>
                </c:pt>
                <c:pt idx="85">
                  <c:v>0</c:v>
                </c:pt>
                <c:pt idx="86">
                  <c:v>0</c:v>
                </c:pt>
                <c:pt idx="87">
                  <c:v>0</c:v>
                </c:pt>
                <c:pt idx="88">
                  <c:v>0</c:v>
                </c:pt>
                <c:pt idx="89">
                  <c:v>0</c:v>
                </c:pt>
                <c:pt idx="90">
                  <c:v>0</c:v>
                </c:pt>
                <c:pt idx="91">
                  <c:v>0</c:v>
                </c:pt>
                <c:pt idx="92">
                  <c:v>0</c:v>
                </c:pt>
                <c:pt idx="93">
                  <c:v>0</c:v>
                </c:pt>
                <c:pt idx="94">
                  <c:v>0</c:v>
                </c:pt>
                <c:pt idx="95">
                  <c:v>0</c:v>
                </c:pt>
                <c:pt idx="96">
                  <c:v>0</c:v>
                </c:pt>
                <c:pt idx="97">
                  <c:v>0</c:v>
                </c:pt>
                <c:pt idx="98">
                  <c:v>0</c:v>
                </c:pt>
                <c:pt idx="99">
                  <c:v>0</c:v>
                </c:pt>
                <c:pt idx="100">
                  <c:v>0</c:v>
                </c:pt>
                <c:pt idx="101">
                  <c:v>0</c:v>
                </c:pt>
                <c:pt idx="102">
                  <c:v>0</c:v>
                </c:pt>
                <c:pt idx="103">
                  <c:v>0</c:v>
                </c:pt>
                <c:pt idx="104">
                  <c:v>0</c:v>
                </c:pt>
                <c:pt idx="105">
                  <c:v>0</c:v>
                </c:pt>
                <c:pt idx="106">
                  <c:v>0</c:v>
                </c:pt>
                <c:pt idx="107">
                  <c:v>0</c:v>
                </c:pt>
                <c:pt idx="108">
                  <c:v>0</c:v>
                </c:pt>
                <c:pt idx="109">
                  <c:v>0</c:v>
                </c:pt>
                <c:pt idx="110">
                  <c:v>0</c:v>
                </c:pt>
                <c:pt idx="111">
                  <c:v>0</c:v>
                </c:pt>
                <c:pt idx="112">
                  <c:v>0</c:v>
                </c:pt>
                <c:pt idx="113">
                  <c:v>0</c:v>
                </c:pt>
                <c:pt idx="114">
                  <c:v>0</c:v>
                </c:pt>
                <c:pt idx="115">
                  <c:v>0</c:v>
                </c:pt>
                <c:pt idx="116">
                  <c:v>0</c:v>
                </c:pt>
                <c:pt idx="117">
                  <c:v>0</c:v>
                </c:pt>
                <c:pt idx="118">
                  <c:v>0</c:v>
                </c:pt>
                <c:pt idx="119">
                  <c:v>0</c:v>
                </c:pt>
                <c:pt idx="120">
                  <c:v>0</c:v>
                </c:pt>
                <c:pt idx="121">
                  <c:v>0</c:v>
                </c:pt>
                <c:pt idx="122">
                  <c:v>0</c:v>
                </c:pt>
                <c:pt idx="123">
                  <c:v>0</c:v>
                </c:pt>
                <c:pt idx="124">
                  <c:v>0</c:v>
                </c:pt>
                <c:pt idx="125">
                  <c:v>0</c:v>
                </c:pt>
                <c:pt idx="126">
                  <c:v>0</c:v>
                </c:pt>
                <c:pt idx="127">
                  <c:v>0</c:v>
                </c:pt>
                <c:pt idx="128">
                  <c:v>0</c:v>
                </c:pt>
                <c:pt idx="129">
                  <c:v>0</c:v>
                </c:pt>
                <c:pt idx="130">
                  <c:v>0</c:v>
                </c:pt>
              </c:numCache>
            </c:numRef>
          </c:val>
          <c:extLst>
            <c:ext xmlns:c16="http://schemas.microsoft.com/office/drawing/2014/chart" uri="{C3380CC4-5D6E-409C-BE32-E72D297353CC}">
              <c16:uniqueId val="{00000000-8A67-47CE-9814-EABFA4A3EC68}"/>
            </c:ext>
          </c:extLst>
        </c:ser>
        <c:dLbls>
          <c:showLegendKey val="0"/>
          <c:showVal val="0"/>
          <c:showCatName val="0"/>
          <c:showSerName val="0"/>
          <c:showPercent val="0"/>
          <c:showBubbleSize val="0"/>
        </c:dLbls>
        <c:gapWidth val="150"/>
        <c:axId val="972361184"/>
        <c:axId val="972363936"/>
      </c:barChart>
      <c:dateAx>
        <c:axId val="972361184"/>
        <c:scaling>
          <c:orientation val="minMax"/>
        </c:scaling>
        <c:delete val="0"/>
        <c:axPos val="b"/>
        <c:numFmt formatCode="m/d/yyyy"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fr-FR"/>
          </a:p>
        </c:txPr>
        <c:crossAx val="972363936"/>
        <c:crosses val="autoZero"/>
        <c:auto val="1"/>
        <c:lblOffset val="100"/>
        <c:baseTimeUnit val="days"/>
      </c:dateAx>
      <c:valAx>
        <c:axId val="972363936"/>
        <c:scaling>
          <c:orientation val="minMax"/>
        </c:scaling>
        <c:delete val="0"/>
        <c:axPos val="l"/>
        <c:majorGridlines>
          <c:spPr>
            <a:ln w="9525" cap="flat" cmpd="sng" algn="ctr">
              <a:solidFill>
                <a:schemeClr val="tx1">
                  <a:lumMod val="15000"/>
                  <a:lumOff val="85000"/>
                </a:schemeClr>
              </a:solidFill>
              <a:round/>
            </a:ln>
            <a:effectLst/>
          </c:spPr>
        </c:majorGridlines>
        <c:numFmt formatCode="0.0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fr-FR"/>
          </a:p>
        </c:txPr>
        <c:crossAx val="972361184"/>
        <c:crosses val="autoZero"/>
        <c:crossBetween val="between"/>
      </c:valAx>
      <c:spPr>
        <a:noFill/>
        <a:ln>
          <a:noFill/>
        </a:ln>
        <a:effectLst/>
      </c:spPr>
    </c:plotArea>
    <c:legend>
      <c:legendPos val="r"/>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fr-FR"/>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fr-FR"/>
    </a:p>
  </c:txPr>
  <c:printSettings>
    <c:headerFooter/>
    <c:pageMargins b="0.75" l="0.7" r="0.7" t="0.75" header="0.3" footer="0.3"/>
    <c:pageSetup/>
  </c:printSettings>
</c:chartSpace>
</file>

<file path=xl/charts/chart1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fr-FR"/>
  <c:roundedCorners val="0"/>
  <mc:AlternateContent xmlns:mc="http://schemas.openxmlformats.org/markup-compatibility/2006">
    <mc:Choice xmlns:c14="http://schemas.microsoft.com/office/drawing/2007/8/2/chart" Requires="c14">
      <c14:style val="106"/>
    </mc:Choice>
    <mc:Fallback>
      <c:style val="6"/>
    </mc:Fallback>
  </mc:AlternateContent>
  <c:chart>
    <c:autoTitleDeleted val="1"/>
    <c:plotArea>
      <c:layout/>
      <c:barChart>
        <c:barDir val="col"/>
        <c:grouping val="clustered"/>
        <c:varyColors val="0"/>
        <c:ser>
          <c:idx val="0"/>
          <c:order val="0"/>
          <c:tx>
            <c:v>REP</c:v>
          </c:tx>
          <c:spPr>
            <a:solidFill>
              <a:schemeClr val="accent4"/>
            </a:solidFill>
            <a:ln>
              <a:noFill/>
            </a:ln>
            <a:effectLst/>
          </c:spPr>
          <c:invertIfNegative val="0"/>
          <c:cat>
            <c:strRef>
              <c:f>RPE!$B$19:$B$149</c:f>
              <c:strCache>
                <c:ptCount val="24"/>
                <c:pt idx="0">
                  <c:v>06/08/2018</c:v>
                </c:pt>
                <c:pt idx="1">
                  <c:v>07/08/2018</c:v>
                </c:pt>
                <c:pt idx="2">
                  <c:v>09/08/2018</c:v>
                </c:pt>
                <c:pt idx="3">
                  <c:v>10/08/2018</c:v>
                </c:pt>
                <c:pt idx="4">
                  <c:v>13/08/2018</c:v>
                </c:pt>
                <c:pt idx="5">
                  <c:v>14/08/2018</c:v>
                </c:pt>
                <c:pt idx="6">
                  <c:v>15/08/2018</c:v>
                </c:pt>
                <c:pt idx="7">
                  <c:v>16/08/2018</c:v>
                </c:pt>
                <c:pt idx="8">
                  <c:v>17/08/2018</c:v>
                </c:pt>
                <c:pt idx="9">
                  <c:v>18/08/2018</c:v>
                </c:pt>
                <c:pt idx="10">
                  <c:v>20/08/2018</c:v>
                </c:pt>
                <c:pt idx="11">
                  <c:v>21/08/2018</c:v>
                </c:pt>
                <c:pt idx="12">
                  <c:v>23/08/2018</c:v>
                </c:pt>
                <c:pt idx="13">
                  <c:v>24/08/2018</c:v>
                </c:pt>
                <c:pt idx="14">
                  <c:v>27/08/2018</c:v>
                </c:pt>
                <c:pt idx="15">
                  <c:v>28/08/2018</c:v>
                </c:pt>
                <c:pt idx="16">
                  <c:v>30/08/2018</c:v>
                </c:pt>
                <c:pt idx="17">
                  <c:v>31/08/2018</c:v>
                </c:pt>
                <c:pt idx="18">
                  <c:v>04/09/2018</c:v>
                </c:pt>
                <c:pt idx="19">
                  <c:v>06/09/2018</c:v>
                </c:pt>
                <c:pt idx="20">
                  <c:v>07/09/2018</c:v>
                </c:pt>
                <c:pt idx="21">
                  <c:v>11/09/2018</c:v>
                </c:pt>
                <c:pt idx="22">
                  <c:v>14/09/2018</c:v>
                </c:pt>
                <c:pt idx="23">
                  <c:v>15/09/2018</c:v>
                </c:pt>
              </c:strCache>
            </c:strRef>
          </c:cat>
          <c:val>
            <c:numRef>
              <c:f>RPE!$AG$19:$AG$149</c:f>
              <c:numCache>
                <c:formatCode>0.00</c:formatCode>
                <c:ptCount val="131"/>
                <c:pt idx="0">
                  <c:v>5.333333333333333</c:v>
                </c:pt>
                <c:pt idx="1">
                  <c:v>4.7777777777777777</c:v>
                </c:pt>
                <c:pt idx="2">
                  <c:v>3.6363636363636362</c:v>
                </c:pt>
                <c:pt idx="3">
                  <c:v>5.166666666666667</c:v>
                </c:pt>
                <c:pt idx="4">
                  <c:v>5.5454545454545459</c:v>
                </c:pt>
                <c:pt idx="5">
                  <c:v>4.666666666666667</c:v>
                </c:pt>
                <c:pt idx="6">
                  <c:v>3.4285714285714284</c:v>
                </c:pt>
                <c:pt idx="7">
                  <c:v>4.1538461538461542</c:v>
                </c:pt>
                <c:pt idx="8">
                  <c:v>5.6</c:v>
                </c:pt>
                <c:pt idx="9">
                  <c:v>3.9166666666666665</c:v>
                </c:pt>
                <c:pt idx="10">
                  <c:v>7.3571428571428568</c:v>
                </c:pt>
                <c:pt idx="11">
                  <c:v>5.4615384615384617</c:v>
                </c:pt>
                <c:pt idx="12">
                  <c:v>2.6428571428571428</c:v>
                </c:pt>
                <c:pt idx="13">
                  <c:v>3.4705882352941178</c:v>
                </c:pt>
                <c:pt idx="14">
                  <c:v>5.1333333333333337</c:v>
                </c:pt>
                <c:pt idx="15">
                  <c:v>4.5882352941176467</c:v>
                </c:pt>
                <c:pt idx="16">
                  <c:v>4.5999999999999996</c:v>
                </c:pt>
                <c:pt idx="17">
                  <c:v>3.6875</c:v>
                </c:pt>
                <c:pt idx="18">
                  <c:v>4.2857142857142856</c:v>
                </c:pt>
                <c:pt idx="19">
                  <c:v>4.166666666666667</c:v>
                </c:pt>
                <c:pt idx="20">
                  <c:v>3.3333333333333335</c:v>
                </c:pt>
                <c:pt idx="21">
                  <c:v>4.583333333333333</c:v>
                </c:pt>
                <c:pt idx="22">
                  <c:v>4.5999999999999996</c:v>
                </c:pt>
                <c:pt idx="23">
                  <c:v>3.3636363636363638</c:v>
                </c:pt>
                <c:pt idx="24">
                  <c:v>0</c:v>
                </c:pt>
                <c:pt idx="25">
                  <c:v>0</c:v>
                </c:pt>
                <c:pt idx="26">
                  <c:v>0</c:v>
                </c:pt>
                <c:pt idx="27">
                  <c:v>0</c:v>
                </c:pt>
                <c:pt idx="28">
                  <c:v>0</c:v>
                </c:pt>
                <c:pt idx="29">
                  <c:v>0</c:v>
                </c:pt>
                <c:pt idx="30">
                  <c:v>0</c:v>
                </c:pt>
                <c:pt idx="31">
                  <c:v>0</c:v>
                </c:pt>
                <c:pt idx="32">
                  <c:v>0</c:v>
                </c:pt>
                <c:pt idx="33">
                  <c:v>0</c:v>
                </c:pt>
                <c:pt idx="34">
                  <c:v>0</c:v>
                </c:pt>
                <c:pt idx="35">
                  <c:v>0</c:v>
                </c:pt>
                <c:pt idx="36">
                  <c:v>0</c:v>
                </c:pt>
                <c:pt idx="37">
                  <c:v>0</c:v>
                </c:pt>
                <c:pt idx="38">
                  <c:v>0</c:v>
                </c:pt>
                <c:pt idx="39">
                  <c:v>0</c:v>
                </c:pt>
                <c:pt idx="40">
                  <c:v>0</c:v>
                </c:pt>
                <c:pt idx="41">
                  <c:v>0</c:v>
                </c:pt>
                <c:pt idx="42">
                  <c:v>0</c:v>
                </c:pt>
                <c:pt idx="43">
                  <c:v>0</c:v>
                </c:pt>
                <c:pt idx="44">
                  <c:v>0</c:v>
                </c:pt>
                <c:pt idx="45">
                  <c:v>0</c:v>
                </c:pt>
                <c:pt idx="46">
                  <c:v>0</c:v>
                </c:pt>
                <c:pt idx="47">
                  <c:v>0</c:v>
                </c:pt>
                <c:pt idx="48">
                  <c:v>0</c:v>
                </c:pt>
                <c:pt idx="49">
                  <c:v>0</c:v>
                </c:pt>
                <c:pt idx="50">
                  <c:v>0</c:v>
                </c:pt>
                <c:pt idx="51">
                  <c:v>0</c:v>
                </c:pt>
                <c:pt idx="52">
                  <c:v>0</c:v>
                </c:pt>
                <c:pt idx="53">
                  <c:v>0</c:v>
                </c:pt>
                <c:pt idx="54">
                  <c:v>0</c:v>
                </c:pt>
                <c:pt idx="55">
                  <c:v>0</c:v>
                </c:pt>
                <c:pt idx="56">
                  <c:v>0</c:v>
                </c:pt>
                <c:pt idx="57">
                  <c:v>0</c:v>
                </c:pt>
                <c:pt idx="58">
                  <c:v>0</c:v>
                </c:pt>
                <c:pt idx="59">
                  <c:v>0</c:v>
                </c:pt>
                <c:pt idx="60">
                  <c:v>0</c:v>
                </c:pt>
                <c:pt idx="61">
                  <c:v>0</c:v>
                </c:pt>
                <c:pt idx="62">
                  <c:v>0</c:v>
                </c:pt>
                <c:pt idx="63">
                  <c:v>0</c:v>
                </c:pt>
                <c:pt idx="64">
                  <c:v>0</c:v>
                </c:pt>
                <c:pt idx="65">
                  <c:v>0</c:v>
                </c:pt>
                <c:pt idx="66">
                  <c:v>0</c:v>
                </c:pt>
                <c:pt idx="67">
                  <c:v>0</c:v>
                </c:pt>
                <c:pt idx="68">
                  <c:v>0</c:v>
                </c:pt>
                <c:pt idx="69">
                  <c:v>0</c:v>
                </c:pt>
                <c:pt idx="70">
                  <c:v>0</c:v>
                </c:pt>
                <c:pt idx="71">
                  <c:v>0</c:v>
                </c:pt>
                <c:pt idx="72">
                  <c:v>0</c:v>
                </c:pt>
                <c:pt idx="73">
                  <c:v>0</c:v>
                </c:pt>
                <c:pt idx="74">
                  <c:v>0</c:v>
                </c:pt>
                <c:pt idx="75">
                  <c:v>0</c:v>
                </c:pt>
                <c:pt idx="76">
                  <c:v>0</c:v>
                </c:pt>
                <c:pt idx="77">
                  <c:v>0</c:v>
                </c:pt>
                <c:pt idx="78">
                  <c:v>0</c:v>
                </c:pt>
                <c:pt idx="79">
                  <c:v>0</c:v>
                </c:pt>
                <c:pt idx="80">
                  <c:v>0</c:v>
                </c:pt>
                <c:pt idx="81">
                  <c:v>0</c:v>
                </c:pt>
                <c:pt idx="82">
                  <c:v>0</c:v>
                </c:pt>
                <c:pt idx="83">
                  <c:v>0</c:v>
                </c:pt>
                <c:pt idx="84">
                  <c:v>0</c:v>
                </c:pt>
                <c:pt idx="85">
                  <c:v>0</c:v>
                </c:pt>
                <c:pt idx="86">
                  <c:v>0</c:v>
                </c:pt>
                <c:pt idx="87">
                  <c:v>0</c:v>
                </c:pt>
                <c:pt idx="88">
                  <c:v>0</c:v>
                </c:pt>
                <c:pt idx="89">
                  <c:v>0</c:v>
                </c:pt>
                <c:pt idx="90">
                  <c:v>0</c:v>
                </c:pt>
                <c:pt idx="91">
                  <c:v>0</c:v>
                </c:pt>
                <c:pt idx="92">
                  <c:v>0</c:v>
                </c:pt>
                <c:pt idx="93">
                  <c:v>0</c:v>
                </c:pt>
                <c:pt idx="94">
                  <c:v>0</c:v>
                </c:pt>
                <c:pt idx="95">
                  <c:v>0</c:v>
                </c:pt>
                <c:pt idx="96">
                  <c:v>0</c:v>
                </c:pt>
                <c:pt idx="97">
                  <c:v>0</c:v>
                </c:pt>
                <c:pt idx="98">
                  <c:v>0</c:v>
                </c:pt>
                <c:pt idx="99">
                  <c:v>0</c:v>
                </c:pt>
                <c:pt idx="100">
                  <c:v>0</c:v>
                </c:pt>
                <c:pt idx="101">
                  <c:v>0</c:v>
                </c:pt>
                <c:pt idx="102">
                  <c:v>0</c:v>
                </c:pt>
                <c:pt idx="103">
                  <c:v>0</c:v>
                </c:pt>
                <c:pt idx="104">
                  <c:v>0</c:v>
                </c:pt>
                <c:pt idx="105">
                  <c:v>0</c:v>
                </c:pt>
                <c:pt idx="106">
                  <c:v>0</c:v>
                </c:pt>
                <c:pt idx="107">
                  <c:v>0</c:v>
                </c:pt>
                <c:pt idx="108">
                  <c:v>0</c:v>
                </c:pt>
                <c:pt idx="109">
                  <c:v>0</c:v>
                </c:pt>
                <c:pt idx="110">
                  <c:v>0</c:v>
                </c:pt>
                <c:pt idx="111">
                  <c:v>0</c:v>
                </c:pt>
                <c:pt idx="112">
                  <c:v>0</c:v>
                </c:pt>
                <c:pt idx="113">
                  <c:v>0</c:v>
                </c:pt>
                <c:pt idx="114">
                  <c:v>0</c:v>
                </c:pt>
                <c:pt idx="115">
                  <c:v>0</c:v>
                </c:pt>
                <c:pt idx="116">
                  <c:v>0</c:v>
                </c:pt>
                <c:pt idx="117">
                  <c:v>0</c:v>
                </c:pt>
                <c:pt idx="118">
                  <c:v>0</c:v>
                </c:pt>
                <c:pt idx="119">
                  <c:v>0</c:v>
                </c:pt>
                <c:pt idx="120">
                  <c:v>0</c:v>
                </c:pt>
                <c:pt idx="121">
                  <c:v>0</c:v>
                </c:pt>
                <c:pt idx="122">
                  <c:v>0</c:v>
                </c:pt>
                <c:pt idx="123">
                  <c:v>0</c:v>
                </c:pt>
                <c:pt idx="124">
                  <c:v>0</c:v>
                </c:pt>
                <c:pt idx="125">
                  <c:v>0</c:v>
                </c:pt>
                <c:pt idx="126">
                  <c:v>0</c:v>
                </c:pt>
                <c:pt idx="127">
                  <c:v>0</c:v>
                </c:pt>
                <c:pt idx="128">
                  <c:v>0</c:v>
                </c:pt>
                <c:pt idx="129">
                  <c:v>0</c:v>
                </c:pt>
                <c:pt idx="130">
                  <c:v>0</c:v>
                </c:pt>
              </c:numCache>
            </c:numRef>
          </c:val>
          <c:extLst>
            <c:ext xmlns:c16="http://schemas.microsoft.com/office/drawing/2014/chart" uri="{C3380CC4-5D6E-409C-BE32-E72D297353CC}">
              <c16:uniqueId val="{00000000-1187-46B3-A6D7-997C2F4863C1}"/>
            </c:ext>
          </c:extLst>
        </c:ser>
        <c:dLbls>
          <c:showLegendKey val="0"/>
          <c:showVal val="0"/>
          <c:showCatName val="0"/>
          <c:showSerName val="0"/>
          <c:showPercent val="0"/>
          <c:showBubbleSize val="0"/>
        </c:dLbls>
        <c:gapWidth val="150"/>
        <c:axId val="1006751616"/>
        <c:axId val="1006745392"/>
      </c:barChart>
      <c:dateAx>
        <c:axId val="1006751616"/>
        <c:scaling>
          <c:orientation val="minMax"/>
        </c:scaling>
        <c:delete val="0"/>
        <c:axPos val="b"/>
        <c:numFmt formatCode="m/d/yyyy"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fr-FR"/>
          </a:p>
        </c:txPr>
        <c:crossAx val="1006745392"/>
        <c:crosses val="autoZero"/>
        <c:auto val="1"/>
        <c:lblOffset val="100"/>
        <c:baseTimeUnit val="days"/>
      </c:dateAx>
      <c:valAx>
        <c:axId val="1006745392"/>
        <c:scaling>
          <c:orientation val="minMax"/>
        </c:scaling>
        <c:delete val="0"/>
        <c:axPos val="l"/>
        <c:majorGridlines>
          <c:spPr>
            <a:ln w="9525" cap="flat" cmpd="sng" algn="ctr">
              <a:solidFill>
                <a:schemeClr val="tx1">
                  <a:lumMod val="15000"/>
                  <a:lumOff val="85000"/>
                </a:schemeClr>
              </a:solidFill>
              <a:round/>
            </a:ln>
            <a:effectLst/>
          </c:spPr>
        </c:majorGridlines>
        <c:numFmt formatCode="0.0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fr-FR"/>
          </a:p>
        </c:txPr>
        <c:crossAx val="1006751616"/>
        <c:crosses val="autoZero"/>
        <c:crossBetween val="between"/>
      </c:valAx>
      <c:spPr>
        <a:noFill/>
        <a:ln>
          <a:noFill/>
        </a:ln>
        <a:effectLst/>
      </c:spPr>
    </c:plotArea>
    <c:legend>
      <c:legendPos val="r"/>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fr-FR"/>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fr-FR"/>
    </a:p>
  </c:txPr>
  <c:printSettings>
    <c:headerFooter/>
    <c:pageMargins b="0.75" l="0.7" r="0.7" t="0.75" header="0.3" footer="0.3"/>
    <c:pageSetup/>
  </c:printSettings>
</c:chartSpace>
</file>

<file path=xl/charts/chart1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fr-FR"/>
  <c:roundedCorners val="0"/>
  <mc:AlternateContent xmlns:mc="http://schemas.openxmlformats.org/markup-compatibility/2006">
    <mc:Choice xmlns:c14="http://schemas.microsoft.com/office/drawing/2007/8/2/chart" Requires="c14">
      <c14:style val="105"/>
    </mc:Choice>
    <mc:Fallback>
      <c:style val="5"/>
    </mc:Fallback>
  </mc:AlternateContent>
  <c:chart>
    <c:autoTitleDeleted val="1"/>
    <c:plotArea>
      <c:layout/>
      <c:barChart>
        <c:barDir val="col"/>
        <c:grouping val="clustered"/>
        <c:varyColors val="0"/>
        <c:ser>
          <c:idx val="0"/>
          <c:order val="0"/>
          <c:tx>
            <c:v>Plaisir</c:v>
          </c:tx>
          <c:spPr>
            <a:solidFill>
              <a:schemeClr val="accent3"/>
            </a:solidFill>
            <a:ln>
              <a:noFill/>
            </a:ln>
            <a:effectLst/>
          </c:spPr>
          <c:invertIfNegative val="0"/>
          <c:cat>
            <c:strRef>
              <c:f>Plaisir!$B$19:$B$149</c:f>
              <c:strCache>
                <c:ptCount val="24"/>
                <c:pt idx="0">
                  <c:v>06/08/2018</c:v>
                </c:pt>
                <c:pt idx="1">
                  <c:v>07/08/2018</c:v>
                </c:pt>
                <c:pt idx="2">
                  <c:v>09/08/2018</c:v>
                </c:pt>
                <c:pt idx="3">
                  <c:v>10/08/2018</c:v>
                </c:pt>
                <c:pt idx="4">
                  <c:v>13/08/2018</c:v>
                </c:pt>
                <c:pt idx="5">
                  <c:v>14/08/2018</c:v>
                </c:pt>
                <c:pt idx="6">
                  <c:v>15/08/2018</c:v>
                </c:pt>
                <c:pt idx="7">
                  <c:v>16/08/2018</c:v>
                </c:pt>
                <c:pt idx="8">
                  <c:v>17/08/2018</c:v>
                </c:pt>
                <c:pt idx="9">
                  <c:v>18/08/2018</c:v>
                </c:pt>
                <c:pt idx="10">
                  <c:v>20/08/2018</c:v>
                </c:pt>
                <c:pt idx="11">
                  <c:v>21/08/2018</c:v>
                </c:pt>
                <c:pt idx="12">
                  <c:v>23/08/2018</c:v>
                </c:pt>
                <c:pt idx="13">
                  <c:v>24/08/2018</c:v>
                </c:pt>
                <c:pt idx="14">
                  <c:v>27/08/2018</c:v>
                </c:pt>
                <c:pt idx="15">
                  <c:v>28/08/2018</c:v>
                </c:pt>
                <c:pt idx="16">
                  <c:v>30/08/2018</c:v>
                </c:pt>
                <c:pt idx="17">
                  <c:v>31/08/2018</c:v>
                </c:pt>
                <c:pt idx="18">
                  <c:v>04/09/2018</c:v>
                </c:pt>
                <c:pt idx="19">
                  <c:v>06/09/2018</c:v>
                </c:pt>
                <c:pt idx="20">
                  <c:v>07/09/2018</c:v>
                </c:pt>
                <c:pt idx="21">
                  <c:v>11/09/2018</c:v>
                </c:pt>
                <c:pt idx="22">
                  <c:v>14/09/2018</c:v>
                </c:pt>
                <c:pt idx="23">
                  <c:v>15/09/2018</c:v>
                </c:pt>
              </c:strCache>
            </c:strRef>
          </c:cat>
          <c:val>
            <c:numRef>
              <c:f>Plaisir!$AG$19:$AG$149</c:f>
              <c:numCache>
                <c:formatCode>0.00</c:formatCode>
                <c:ptCount val="131"/>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pt idx="26">
                  <c:v>0</c:v>
                </c:pt>
                <c:pt idx="27">
                  <c:v>0</c:v>
                </c:pt>
                <c:pt idx="28">
                  <c:v>0</c:v>
                </c:pt>
                <c:pt idx="29">
                  <c:v>0</c:v>
                </c:pt>
                <c:pt idx="30">
                  <c:v>0</c:v>
                </c:pt>
                <c:pt idx="31">
                  <c:v>0</c:v>
                </c:pt>
                <c:pt idx="32">
                  <c:v>0</c:v>
                </c:pt>
                <c:pt idx="33">
                  <c:v>0</c:v>
                </c:pt>
                <c:pt idx="34">
                  <c:v>0</c:v>
                </c:pt>
                <c:pt idx="35">
                  <c:v>0</c:v>
                </c:pt>
                <c:pt idx="36">
                  <c:v>0</c:v>
                </c:pt>
                <c:pt idx="37">
                  <c:v>0</c:v>
                </c:pt>
                <c:pt idx="38">
                  <c:v>0</c:v>
                </c:pt>
                <c:pt idx="39">
                  <c:v>0</c:v>
                </c:pt>
                <c:pt idx="40">
                  <c:v>0</c:v>
                </c:pt>
                <c:pt idx="41">
                  <c:v>0</c:v>
                </c:pt>
                <c:pt idx="42">
                  <c:v>0</c:v>
                </c:pt>
                <c:pt idx="43">
                  <c:v>0</c:v>
                </c:pt>
                <c:pt idx="44">
                  <c:v>0</c:v>
                </c:pt>
                <c:pt idx="45">
                  <c:v>0</c:v>
                </c:pt>
                <c:pt idx="46">
                  <c:v>0</c:v>
                </c:pt>
                <c:pt idx="47">
                  <c:v>0</c:v>
                </c:pt>
                <c:pt idx="48">
                  <c:v>0</c:v>
                </c:pt>
                <c:pt idx="49">
                  <c:v>0</c:v>
                </c:pt>
                <c:pt idx="50">
                  <c:v>0</c:v>
                </c:pt>
                <c:pt idx="51">
                  <c:v>0</c:v>
                </c:pt>
                <c:pt idx="52">
                  <c:v>0</c:v>
                </c:pt>
                <c:pt idx="53">
                  <c:v>0</c:v>
                </c:pt>
                <c:pt idx="54">
                  <c:v>0</c:v>
                </c:pt>
                <c:pt idx="55">
                  <c:v>0</c:v>
                </c:pt>
                <c:pt idx="56">
                  <c:v>0</c:v>
                </c:pt>
                <c:pt idx="57">
                  <c:v>0</c:v>
                </c:pt>
                <c:pt idx="58">
                  <c:v>0</c:v>
                </c:pt>
                <c:pt idx="59">
                  <c:v>0</c:v>
                </c:pt>
                <c:pt idx="60">
                  <c:v>0</c:v>
                </c:pt>
                <c:pt idx="61">
                  <c:v>0</c:v>
                </c:pt>
                <c:pt idx="62">
                  <c:v>0</c:v>
                </c:pt>
                <c:pt idx="63">
                  <c:v>0</c:v>
                </c:pt>
                <c:pt idx="64">
                  <c:v>0</c:v>
                </c:pt>
                <c:pt idx="65">
                  <c:v>0</c:v>
                </c:pt>
                <c:pt idx="66">
                  <c:v>0</c:v>
                </c:pt>
                <c:pt idx="67">
                  <c:v>0</c:v>
                </c:pt>
                <c:pt idx="68">
                  <c:v>0</c:v>
                </c:pt>
                <c:pt idx="69">
                  <c:v>0</c:v>
                </c:pt>
                <c:pt idx="70">
                  <c:v>0</c:v>
                </c:pt>
                <c:pt idx="71">
                  <c:v>0</c:v>
                </c:pt>
                <c:pt idx="72">
                  <c:v>0</c:v>
                </c:pt>
                <c:pt idx="73">
                  <c:v>0</c:v>
                </c:pt>
                <c:pt idx="74">
                  <c:v>0</c:v>
                </c:pt>
                <c:pt idx="75">
                  <c:v>0</c:v>
                </c:pt>
                <c:pt idx="76">
                  <c:v>0</c:v>
                </c:pt>
                <c:pt idx="77">
                  <c:v>0</c:v>
                </c:pt>
                <c:pt idx="78">
                  <c:v>0</c:v>
                </c:pt>
                <c:pt idx="79">
                  <c:v>0</c:v>
                </c:pt>
                <c:pt idx="80">
                  <c:v>0</c:v>
                </c:pt>
                <c:pt idx="81">
                  <c:v>0</c:v>
                </c:pt>
                <c:pt idx="82">
                  <c:v>0</c:v>
                </c:pt>
                <c:pt idx="83">
                  <c:v>0</c:v>
                </c:pt>
                <c:pt idx="84">
                  <c:v>0</c:v>
                </c:pt>
                <c:pt idx="85">
                  <c:v>0</c:v>
                </c:pt>
                <c:pt idx="86">
                  <c:v>0</c:v>
                </c:pt>
                <c:pt idx="87">
                  <c:v>0</c:v>
                </c:pt>
                <c:pt idx="88">
                  <c:v>0</c:v>
                </c:pt>
                <c:pt idx="89">
                  <c:v>0</c:v>
                </c:pt>
                <c:pt idx="90">
                  <c:v>0</c:v>
                </c:pt>
                <c:pt idx="91">
                  <c:v>0</c:v>
                </c:pt>
                <c:pt idx="92">
                  <c:v>0</c:v>
                </c:pt>
                <c:pt idx="93">
                  <c:v>0</c:v>
                </c:pt>
                <c:pt idx="94">
                  <c:v>0</c:v>
                </c:pt>
                <c:pt idx="95">
                  <c:v>0</c:v>
                </c:pt>
                <c:pt idx="96">
                  <c:v>0</c:v>
                </c:pt>
                <c:pt idx="97">
                  <c:v>0</c:v>
                </c:pt>
                <c:pt idx="98">
                  <c:v>0</c:v>
                </c:pt>
                <c:pt idx="99">
                  <c:v>0</c:v>
                </c:pt>
                <c:pt idx="100">
                  <c:v>0</c:v>
                </c:pt>
                <c:pt idx="101">
                  <c:v>0</c:v>
                </c:pt>
                <c:pt idx="102">
                  <c:v>0</c:v>
                </c:pt>
                <c:pt idx="103">
                  <c:v>0</c:v>
                </c:pt>
                <c:pt idx="104">
                  <c:v>0</c:v>
                </c:pt>
                <c:pt idx="105">
                  <c:v>0</c:v>
                </c:pt>
                <c:pt idx="106">
                  <c:v>0</c:v>
                </c:pt>
                <c:pt idx="107">
                  <c:v>0</c:v>
                </c:pt>
                <c:pt idx="108">
                  <c:v>0</c:v>
                </c:pt>
                <c:pt idx="109">
                  <c:v>0</c:v>
                </c:pt>
                <c:pt idx="110">
                  <c:v>0</c:v>
                </c:pt>
                <c:pt idx="111">
                  <c:v>0</c:v>
                </c:pt>
                <c:pt idx="112">
                  <c:v>0</c:v>
                </c:pt>
                <c:pt idx="113">
                  <c:v>0</c:v>
                </c:pt>
                <c:pt idx="114">
                  <c:v>0</c:v>
                </c:pt>
                <c:pt idx="115">
                  <c:v>0</c:v>
                </c:pt>
                <c:pt idx="116">
                  <c:v>0</c:v>
                </c:pt>
                <c:pt idx="117">
                  <c:v>0</c:v>
                </c:pt>
                <c:pt idx="118">
                  <c:v>0</c:v>
                </c:pt>
                <c:pt idx="119">
                  <c:v>0</c:v>
                </c:pt>
                <c:pt idx="120">
                  <c:v>0</c:v>
                </c:pt>
                <c:pt idx="121">
                  <c:v>0</c:v>
                </c:pt>
                <c:pt idx="122">
                  <c:v>0</c:v>
                </c:pt>
                <c:pt idx="123">
                  <c:v>0</c:v>
                </c:pt>
                <c:pt idx="124">
                  <c:v>0</c:v>
                </c:pt>
                <c:pt idx="125">
                  <c:v>0</c:v>
                </c:pt>
                <c:pt idx="126">
                  <c:v>0</c:v>
                </c:pt>
                <c:pt idx="127">
                  <c:v>0</c:v>
                </c:pt>
                <c:pt idx="128">
                  <c:v>0</c:v>
                </c:pt>
                <c:pt idx="129">
                  <c:v>0</c:v>
                </c:pt>
                <c:pt idx="130">
                  <c:v>0</c:v>
                </c:pt>
              </c:numCache>
            </c:numRef>
          </c:val>
          <c:extLst>
            <c:ext xmlns:c16="http://schemas.microsoft.com/office/drawing/2014/chart" uri="{C3380CC4-5D6E-409C-BE32-E72D297353CC}">
              <c16:uniqueId val="{00000000-2F51-4BD6-80C2-F485BEDD8A43}"/>
            </c:ext>
          </c:extLst>
        </c:ser>
        <c:dLbls>
          <c:showLegendKey val="0"/>
          <c:showVal val="0"/>
          <c:showCatName val="0"/>
          <c:showSerName val="0"/>
          <c:showPercent val="0"/>
          <c:showBubbleSize val="0"/>
        </c:dLbls>
        <c:gapWidth val="150"/>
        <c:axId val="1006957152"/>
        <c:axId val="1006948128"/>
      </c:barChart>
      <c:dateAx>
        <c:axId val="1006957152"/>
        <c:scaling>
          <c:orientation val="minMax"/>
        </c:scaling>
        <c:delete val="0"/>
        <c:axPos val="b"/>
        <c:numFmt formatCode="m/d/yyyy"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fr-FR"/>
          </a:p>
        </c:txPr>
        <c:crossAx val="1006948128"/>
        <c:crosses val="autoZero"/>
        <c:auto val="1"/>
        <c:lblOffset val="100"/>
        <c:baseTimeUnit val="days"/>
      </c:dateAx>
      <c:valAx>
        <c:axId val="1006948128"/>
        <c:scaling>
          <c:orientation val="minMax"/>
        </c:scaling>
        <c:delete val="0"/>
        <c:axPos val="l"/>
        <c:majorGridlines>
          <c:spPr>
            <a:ln w="9525" cap="flat" cmpd="sng" algn="ctr">
              <a:solidFill>
                <a:schemeClr val="tx1">
                  <a:lumMod val="15000"/>
                  <a:lumOff val="85000"/>
                </a:schemeClr>
              </a:solidFill>
              <a:round/>
            </a:ln>
            <a:effectLst/>
          </c:spPr>
        </c:majorGridlines>
        <c:numFmt formatCode="0.00" sourceLinked="0"/>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fr-FR"/>
          </a:p>
        </c:txPr>
        <c:crossAx val="1006957152"/>
        <c:crosses val="autoZero"/>
        <c:crossBetween val="between"/>
      </c:valAx>
      <c:spPr>
        <a:noFill/>
        <a:ln>
          <a:noFill/>
        </a:ln>
        <a:effectLst/>
      </c:spPr>
    </c:plotArea>
    <c:legend>
      <c:legendPos val="r"/>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fr-FR"/>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fr-FR"/>
    </a:p>
  </c:txPr>
  <c:printSettings>
    <c:headerFooter/>
    <c:pageMargins b="0.75" l="0.7" r="0.7" t="0.75" header="0.3" footer="0.3"/>
    <c:pageSetup/>
  </c:printSettings>
</c:chartSpace>
</file>

<file path=xl/charts/chart1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fr-FR"/>
  <c:roundedCorners val="0"/>
  <mc:AlternateContent xmlns:mc="http://schemas.openxmlformats.org/markup-compatibility/2006">
    <mc:Choice xmlns:c14="http://schemas.microsoft.com/office/drawing/2007/8/2/chart" Requires="c14">
      <c14:style val="103"/>
    </mc:Choice>
    <mc:Fallback>
      <c:style val="3"/>
    </mc:Fallback>
  </mc:AlternateContent>
  <c:chart>
    <c:autoTitleDeleted val="1"/>
    <c:plotArea>
      <c:layout/>
      <c:barChart>
        <c:barDir val="col"/>
        <c:grouping val="clustered"/>
        <c:varyColors val="0"/>
        <c:ser>
          <c:idx val="0"/>
          <c:order val="0"/>
          <c:tx>
            <c:v>Perfo.</c:v>
          </c:tx>
          <c:spPr>
            <a:solidFill>
              <a:schemeClr val="accent1"/>
            </a:solidFill>
            <a:ln>
              <a:noFill/>
            </a:ln>
            <a:effectLst/>
          </c:spPr>
          <c:invertIfNegative val="0"/>
          <c:cat>
            <c:strRef>
              <c:f>Perfo.!$B$19:$B$149</c:f>
              <c:strCache>
                <c:ptCount val="24"/>
                <c:pt idx="0">
                  <c:v>06/08/2018</c:v>
                </c:pt>
                <c:pt idx="1">
                  <c:v>07/08/2018</c:v>
                </c:pt>
                <c:pt idx="2">
                  <c:v>09/08/2018</c:v>
                </c:pt>
                <c:pt idx="3">
                  <c:v>10/08/2018</c:v>
                </c:pt>
                <c:pt idx="4">
                  <c:v>13/08/2018</c:v>
                </c:pt>
                <c:pt idx="5">
                  <c:v>14/08/2018</c:v>
                </c:pt>
                <c:pt idx="6">
                  <c:v>15/08/2018</c:v>
                </c:pt>
                <c:pt idx="7">
                  <c:v>16/08/2018</c:v>
                </c:pt>
                <c:pt idx="8">
                  <c:v>17/08/2018</c:v>
                </c:pt>
                <c:pt idx="9">
                  <c:v>18/08/2018</c:v>
                </c:pt>
                <c:pt idx="10">
                  <c:v>20/08/2018</c:v>
                </c:pt>
                <c:pt idx="11">
                  <c:v>21/08/2018</c:v>
                </c:pt>
                <c:pt idx="12">
                  <c:v>23/08/2018</c:v>
                </c:pt>
                <c:pt idx="13">
                  <c:v>24/08/2018</c:v>
                </c:pt>
                <c:pt idx="14">
                  <c:v>27/08/2018</c:v>
                </c:pt>
                <c:pt idx="15">
                  <c:v>28/08/2018</c:v>
                </c:pt>
                <c:pt idx="16">
                  <c:v>30/08/2018</c:v>
                </c:pt>
                <c:pt idx="17">
                  <c:v>31/08/2018</c:v>
                </c:pt>
                <c:pt idx="18">
                  <c:v>04/09/2018</c:v>
                </c:pt>
                <c:pt idx="19">
                  <c:v>06/09/2018</c:v>
                </c:pt>
                <c:pt idx="20">
                  <c:v>07/09/2018</c:v>
                </c:pt>
                <c:pt idx="21">
                  <c:v>11/09/2018</c:v>
                </c:pt>
                <c:pt idx="22">
                  <c:v>14/09/2018</c:v>
                </c:pt>
                <c:pt idx="23">
                  <c:v>15/09/2018</c:v>
                </c:pt>
              </c:strCache>
            </c:strRef>
          </c:cat>
          <c:val>
            <c:numRef>
              <c:f>Perfo.!$AG$19:$AG$149</c:f>
              <c:numCache>
                <c:formatCode>0.00</c:formatCode>
                <c:ptCount val="131"/>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pt idx="26">
                  <c:v>0</c:v>
                </c:pt>
                <c:pt idx="27">
                  <c:v>0</c:v>
                </c:pt>
                <c:pt idx="28">
                  <c:v>0</c:v>
                </c:pt>
                <c:pt idx="29">
                  <c:v>0</c:v>
                </c:pt>
                <c:pt idx="30">
                  <c:v>0</c:v>
                </c:pt>
                <c:pt idx="31">
                  <c:v>0</c:v>
                </c:pt>
                <c:pt idx="32">
                  <c:v>0</c:v>
                </c:pt>
                <c:pt idx="33">
                  <c:v>0</c:v>
                </c:pt>
                <c:pt idx="34">
                  <c:v>0</c:v>
                </c:pt>
                <c:pt idx="35">
                  <c:v>0</c:v>
                </c:pt>
                <c:pt idx="36">
                  <c:v>0</c:v>
                </c:pt>
                <c:pt idx="37">
                  <c:v>0</c:v>
                </c:pt>
                <c:pt idx="38">
                  <c:v>0</c:v>
                </c:pt>
                <c:pt idx="39">
                  <c:v>0</c:v>
                </c:pt>
                <c:pt idx="40">
                  <c:v>0</c:v>
                </c:pt>
                <c:pt idx="41">
                  <c:v>0</c:v>
                </c:pt>
                <c:pt idx="42">
                  <c:v>0</c:v>
                </c:pt>
                <c:pt idx="43">
                  <c:v>0</c:v>
                </c:pt>
                <c:pt idx="44">
                  <c:v>0</c:v>
                </c:pt>
                <c:pt idx="45">
                  <c:v>0</c:v>
                </c:pt>
                <c:pt idx="46">
                  <c:v>0</c:v>
                </c:pt>
                <c:pt idx="47">
                  <c:v>0</c:v>
                </c:pt>
                <c:pt idx="48">
                  <c:v>0</c:v>
                </c:pt>
                <c:pt idx="49">
                  <c:v>0</c:v>
                </c:pt>
                <c:pt idx="50">
                  <c:v>0</c:v>
                </c:pt>
                <c:pt idx="51">
                  <c:v>0</c:v>
                </c:pt>
                <c:pt idx="52">
                  <c:v>0</c:v>
                </c:pt>
                <c:pt idx="53">
                  <c:v>0</c:v>
                </c:pt>
                <c:pt idx="54">
                  <c:v>0</c:v>
                </c:pt>
                <c:pt idx="55">
                  <c:v>0</c:v>
                </c:pt>
                <c:pt idx="56">
                  <c:v>0</c:v>
                </c:pt>
                <c:pt idx="57">
                  <c:v>0</c:v>
                </c:pt>
                <c:pt idx="58">
                  <c:v>0</c:v>
                </c:pt>
                <c:pt idx="59">
                  <c:v>0</c:v>
                </c:pt>
                <c:pt idx="60">
                  <c:v>0</c:v>
                </c:pt>
                <c:pt idx="61">
                  <c:v>0</c:v>
                </c:pt>
                <c:pt idx="62">
                  <c:v>0</c:v>
                </c:pt>
                <c:pt idx="63">
                  <c:v>0</c:v>
                </c:pt>
                <c:pt idx="64">
                  <c:v>0</c:v>
                </c:pt>
                <c:pt idx="65">
                  <c:v>0</c:v>
                </c:pt>
                <c:pt idx="66">
                  <c:v>0</c:v>
                </c:pt>
                <c:pt idx="67">
                  <c:v>0</c:v>
                </c:pt>
                <c:pt idx="68">
                  <c:v>0</c:v>
                </c:pt>
                <c:pt idx="69">
                  <c:v>0</c:v>
                </c:pt>
                <c:pt idx="70">
                  <c:v>0</c:v>
                </c:pt>
                <c:pt idx="71">
                  <c:v>0</c:v>
                </c:pt>
                <c:pt idx="72">
                  <c:v>0</c:v>
                </c:pt>
                <c:pt idx="73">
                  <c:v>0</c:v>
                </c:pt>
                <c:pt idx="74">
                  <c:v>0</c:v>
                </c:pt>
                <c:pt idx="75">
                  <c:v>0</c:v>
                </c:pt>
                <c:pt idx="76">
                  <c:v>0</c:v>
                </c:pt>
                <c:pt idx="77">
                  <c:v>0</c:v>
                </c:pt>
                <c:pt idx="78">
                  <c:v>0</c:v>
                </c:pt>
                <c:pt idx="79">
                  <c:v>0</c:v>
                </c:pt>
                <c:pt idx="80">
                  <c:v>0</c:v>
                </c:pt>
                <c:pt idx="81">
                  <c:v>0</c:v>
                </c:pt>
                <c:pt idx="82">
                  <c:v>0</c:v>
                </c:pt>
                <c:pt idx="83">
                  <c:v>0</c:v>
                </c:pt>
                <c:pt idx="84">
                  <c:v>0</c:v>
                </c:pt>
                <c:pt idx="85">
                  <c:v>0</c:v>
                </c:pt>
                <c:pt idx="86">
                  <c:v>0</c:v>
                </c:pt>
                <c:pt idx="87">
                  <c:v>0</c:v>
                </c:pt>
                <c:pt idx="88">
                  <c:v>0</c:v>
                </c:pt>
                <c:pt idx="89">
                  <c:v>0</c:v>
                </c:pt>
                <c:pt idx="90">
                  <c:v>0</c:v>
                </c:pt>
                <c:pt idx="91">
                  <c:v>0</c:v>
                </c:pt>
                <c:pt idx="92">
                  <c:v>0</c:v>
                </c:pt>
                <c:pt idx="93">
                  <c:v>0</c:v>
                </c:pt>
                <c:pt idx="94">
                  <c:v>0</c:v>
                </c:pt>
                <c:pt idx="95">
                  <c:v>0</c:v>
                </c:pt>
                <c:pt idx="96">
                  <c:v>0</c:v>
                </c:pt>
                <c:pt idx="97">
                  <c:v>0</c:v>
                </c:pt>
                <c:pt idx="98">
                  <c:v>0</c:v>
                </c:pt>
                <c:pt idx="99">
                  <c:v>0</c:v>
                </c:pt>
                <c:pt idx="100">
                  <c:v>0</c:v>
                </c:pt>
                <c:pt idx="101">
                  <c:v>0</c:v>
                </c:pt>
                <c:pt idx="102">
                  <c:v>0</c:v>
                </c:pt>
                <c:pt idx="103">
                  <c:v>0</c:v>
                </c:pt>
                <c:pt idx="104">
                  <c:v>0</c:v>
                </c:pt>
                <c:pt idx="105">
                  <c:v>0</c:v>
                </c:pt>
                <c:pt idx="106">
                  <c:v>0</c:v>
                </c:pt>
                <c:pt idx="107">
                  <c:v>0</c:v>
                </c:pt>
                <c:pt idx="108">
                  <c:v>0</c:v>
                </c:pt>
                <c:pt idx="109">
                  <c:v>0</c:v>
                </c:pt>
                <c:pt idx="110">
                  <c:v>0</c:v>
                </c:pt>
                <c:pt idx="111">
                  <c:v>0</c:v>
                </c:pt>
                <c:pt idx="112">
                  <c:v>0</c:v>
                </c:pt>
                <c:pt idx="113">
                  <c:v>0</c:v>
                </c:pt>
                <c:pt idx="114">
                  <c:v>0</c:v>
                </c:pt>
                <c:pt idx="115">
                  <c:v>0</c:v>
                </c:pt>
                <c:pt idx="116">
                  <c:v>0</c:v>
                </c:pt>
                <c:pt idx="117">
                  <c:v>0</c:v>
                </c:pt>
                <c:pt idx="118">
                  <c:v>0</c:v>
                </c:pt>
                <c:pt idx="119">
                  <c:v>0</c:v>
                </c:pt>
                <c:pt idx="120">
                  <c:v>0</c:v>
                </c:pt>
                <c:pt idx="121">
                  <c:v>0</c:v>
                </c:pt>
                <c:pt idx="122">
                  <c:v>0</c:v>
                </c:pt>
                <c:pt idx="123">
                  <c:v>0</c:v>
                </c:pt>
                <c:pt idx="124">
                  <c:v>0</c:v>
                </c:pt>
                <c:pt idx="125">
                  <c:v>0</c:v>
                </c:pt>
                <c:pt idx="126">
                  <c:v>0</c:v>
                </c:pt>
                <c:pt idx="127">
                  <c:v>0</c:v>
                </c:pt>
                <c:pt idx="128">
                  <c:v>0</c:v>
                </c:pt>
                <c:pt idx="129">
                  <c:v>0</c:v>
                </c:pt>
                <c:pt idx="130">
                  <c:v>0</c:v>
                </c:pt>
              </c:numCache>
            </c:numRef>
          </c:val>
          <c:extLst>
            <c:ext xmlns:c16="http://schemas.microsoft.com/office/drawing/2014/chart" uri="{C3380CC4-5D6E-409C-BE32-E72D297353CC}">
              <c16:uniqueId val="{00000000-3A9F-4DB4-B21A-3AC80C11BBDD}"/>
            </c:ext>
          </c:extLst>
        </c:ser>
        <c:dLbls>
          <c:showLegendKey val="0"/>
          <c:showVal val="0"/>
          <c:showCatName val="0"/>
          <c:showSerName val="0"/>
          <c:showPercent val="0"/>
          <c:showBubbleSize val="0"/>
        </c:dLbls>
        <c:gapWidth val="150"/>
        <c:axId val="1006851008"/>
        <c:axId val="1006853056"/>
      </c:barChart>
      <c:dateAx>
        <c:axId val="1006851008"/>
        <c:scaling>
          <c:orientation val="minMax"/>
        </c:scaling>
        <c:delete val="0"/>
        <c:axPos val="b"/>
        <c:numFmt formatCode="m/d/yyyy"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fr-FR"/>
          </a:p>
        </c:txPr>
        <c:crossAx val="1006853056"/>
        <c:crosses val="autoZero"/>
        <c:auto val="1"/>
        <c:lblOffset val="100"/>
        <c:baseTimeUnit val="days"/>
      </c:dateAx>
      <c:valAx>
        <c:axId val="1006853056"/>
        <c:scaling>
          <c:orientation val="minMax"/>
        </c:scaling>
        <c:delete val="0"/>
        <c:axPos val="l"/>
        <c:majorGridlines>
          <c:spPr>
            <a:ln w="9525" cap="flat" cmpd="sng" algn="ctr">
              <a:solidFill>
                <a:schemeClr val="tx1">
                  <a:lumMod val="15000"/>
                  <a:lumOff val="85000"/>
                </a:schemeClr>
              </a:solidFill>
              <a:round/>
            </a:ln>
            <a:effectLst/>
          </c:spPr>
        </c:majorGridlines>
        <c:numFmt formatCode="0.00" sourceLinked="0"/>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fr-FR"/>
          </a:p>
        </c:txPr>
        <c:crossAx val="1006851008"/>
        <c:crosses val="autoZero"/>
        <c:crossBetween val="between"/>
      </c:valAx>
      <c:spPr>
        <a:noFill/>
        <a:ln>
          <a:noFill/>
        </a:ln>
        <a:effectLst/>
      </c:spPr>
    </c:plotArea>
    <c:legend>
      <c:legendPos val="r"/>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fr-FR"/>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fr-FR"/>
    </a:p>
  </c:txPr>
  <c:printSettings>
    <c:headerFooter/>
    <c:pageMargins b="0.75" l="0.7" r="0.7" t="0.75" header="0.3" footer="0.3"/>
    <c:pageSetup/>
  </c:printSettings>
</c:chartSpace>
</file>

<file path=xl/charts/chart1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fr-FR"/>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fr-FR" b="1"/>
              <a:t>Nombre de victoire - Septembre</a:t>
            </a: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fr-FR"/>
        </a:p>
      </c:txPr>
    </c:title>
    <c:autoTitleDeleted val="0"/>
    <c:plotArea>
      <c:layout/>
      <c:barChart>
        <c:barDir val="col"/>
        <c:grouping val="clustered"/>
        <c:varyColors val="0"/>
        <c:ser>
          <c:idx val="0"/>
          <c:order val="0"/>
          <c:spPr>
            <a:solidFill>
              <a:schemeClr val="accent1"/>
            </a:solidFill>
            <a:ln>
              <a:noFill/>
            </a:ln>
            <a:effectLst/>
          </c:spPr>
          <c:invertIfNegative val="0"/>
          <c:cat>
            <c:strRef>
              <c:f>'Bilan Victoire - Mensuel'!$G$4:$AA$4</c:f>
              <c:strCache>
                <c:ptCount val="21"/>
                <c:pt idx="0">
                  <c:v>ADDA Matteo</c:v>
                </c:pt>
                <c:pt idx="1">
                  <c:v>ALFONSO Joao</c:v>
                </c:pt>
                <c:pt idx="2">
                  <c:v>BERDAH Matis</c:v>
                </c:pt>
                <c:pt idx="3">
                  <c:v>CAMARA Bandiougou</c:v>
                </c:pt>
                <c:pt idx="4">
                  <c:v>CAMARA Moussa</c:v>
                </c:pt>
                <c:pt idx="5">
                  <c:v>CARREAU Ethan</c:v>
                </c:pt>
                <c:pt idx="6">
                  <c:v>CHEROD Alexis</c:v>
                </c:pt>
                <c:pt idx="7">
                  <c:v>DJEHICHE Ramzi</c:v>
                </c:pt>
                <c:pt idx="8">
                  <c:v>DOSIERE Baptiste</c:v>
                </c:pt>
                <c:pt idx="9">
                  <c:v>DUQUENOY Thomas</c:v>
                </c:pt>
                <c:pt idx="10">
                  <c:v>KIPRE Jordan</c:v>
                </c:pt>
                <c:pt idx="11">
                  <c:v>KONATE Mamadou</c:v>
                </c:pt>
                <c:pt idx="12">
                  <c:v>LECOUFFE Hugo</c:v>
                </c:pt>
                <c:pt idx="13">
                  <c:v>LEFRANC Nathan</c:v>
                </c:pt>
                <c:pt idx="14">
                  <c:v>MASSOUSSI Elie</c:v>
                </c:pt>
                <c:pt idx="15">
                  <c:v>NGOUABI Yoann</c:v>
                </c:pt>
                <c:pt idx="16">
                  <c:v>PLANET Mathis</c:v>
                </c:pt>
                <c:pt idx="17">
                  <c:v>PRONNIER Nicolas</c:v>
                </c:pt>
                <c:pt idx="18">
                  <c:v>STIOUET Reda</c:v>
                </c:pt>
                <c:pt idx="19">
                  <c:v>ZERDEB Said</c:v>
                </c:pt>
                <c:pt idx="20">
                  <c:v>OSSENI Farouk</c:v>
                </c:pt>
              </c:strCache>
            </c:strRef>
          </c:cat>
          <c:val>
            <c:numRef>
              <c:f>'Bilan Victoire - Mensuel'!$G$7:$AA$7</c:f>
              <c:numCache>
                <c:formatCode>General</c:formatCode>
                <c:ptCount val="21"/>
                <c:pt idx="0">
                  <c:v>2</c:v>
                </c:pt>
                <c:pt idx="1">
                  <c:v>0</c:v>
                </c:pt>
                <c:pt idx="2">
                  <c:v>2</c:v>
                </c:pt>
                <c:pt idx="3">
                  <c:v>1</c:v>
                </c:pt>
                <c:pt idx="4">
                  <c:v>0</c:v>
                </c:pt>
                <c:pt idx="5">
                  <c:v>0</c:v>
                </c:pt>
                <c:pt idx="6">
                  <c:v>2</c:v>
                </c:pt>
                <c:pt idx="7">
                  <c:v>3</c:v>
                </c:pt>
                <c:pt idx="8">
                  <c:v>2</c:v>
                </c:pt>
                <c:pt idx="9">
                  <c:v>1</c:v>
                </c:pt>
                <c:pt idx="10">
                  <c:v>2</c:v>
                </c:pt>
                <c:pt idx="11">
                  <c:v>1</c:v>
                </c:pt>
                <c:pt idx="12">
                  <c:v>2</c:v>
                </c:pt>
                <c:pt idx="13">
                  <c:v>1</c:v>
                </c:pt>
                <c:pt idx="14">
                  <c:v>4</c:v>
                </c:pt>
                <c:pt idx="15">
                  <c:v>2</c:v>
                </c:pt>
                <c:pt idx="16">
                  <c:v>2</c:v>
                </c:pt>
                <c:pt idx="17">
                  <c:v>4</c:v>
                </c:pt>
                <c:pt idx="18">
                  <c:v>1</c:v>
                </c:pt>
                <c:pt idx="19">
                  <c:v>1</c:v>
                </c:pt>
                <c:pt idx="20">
                  <c:v>2</c:v>
                </c:pt>
              </c:numCache>
            </c:numRef>
          </c:val>
          <c:extLst>
            <c:ext xmlns:c16="http://schemas.microsoft.com/office/drawing/2014/chart" uri="{C3380CC4-5D6E-409C-BE32-E72D297353CC}">
              <c16:uniqueId val="{00000000-99AF-4D6A-8972-A8C6A9EE097E}"/>
            </c:ext>
          </c:extLst>
        </c:ser>
        <c:dLbls>
          <c:showLegendKey val="0"/>
          <c:showVal val="0"/>
          <c:showCatName val="0"/>
          <c:showSerName val="0"/>
          <c:showPercent val="0"/>
          <c:showBubbleSize val="0"/>
        </c:dLbls>
        <c:gapWidth val="219"/>
        <c:overlap val="-27"/>
        <c:axId val="552697744"/>
        <c:axId val="552697416"/>
      </c:barChart>
      <c:catAx>
        <c:axId val="552697744"/>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fr-FR"/>
          </a:p>
        </c:txPr>
        <c:crossAx val="552697416"/>
        <c:crosses val="autoZero"/>
        <c:auto val="1"/>
        <c:lblAlgn val="ctr"/>
        <c:lblOffset val="100"/>
        <c:noMultiLvlLbl val="0"/>
      </c:catAx>
      <c:valAx>
        <c:axId val="552697416"/>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fr-FR"/>
          </a:p>
        </c:txPr>
        <c:crossAx val="552697744"/>
        <c:crosses val="autoZero"/>
        <c:crossBetween val="between"/>
        <c:majorUnit val="1"/>
      </c:valAx>
      <c:spPr>
        <a:noFill/>
        <a:ln>
          <a:noFill/>
        </a:ln>
        <a:effectLst/>
      </c:spPr>
    </c:plotArea>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fr-FR"/>
    </a:p>
  </c:txPr>
  <c:printSettings>
    <c:headerFooter/>
    <c:pageMargins b="0.75" l="0.7" r="0.7" t="0.75" header="0.3" footer="0.3"/>
    <c:pageSetup/>
  </c:printSettings>
</c:chartSpace>
</file>

<file path=xl/charts/chart1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fr-FR"/>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fr-FR" b="1"/>
              <a:t>% de victoire - Septembre</a:t>
            </a: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fr-FR"/>
        </a:p>
      </c:txPr>
    </c:title>
    <c:autoTitleDeleted val="0"/>
    <c:plotArea>
      <c:layout/>
      <c:barChart>
        <c:barDir val="col"/>
        <c:grouping val="clustered"/>
        <c:varyColors val="0"/>
        <c:ser>
          <c:idx val="0"/>
          <c:order val="0"/>
          <c:spPr>
            <a:solidFill>
              <a:schemeClr val="accent1"/>
            </a:solidFill>
            <a:ln>
              <a:noFill/>
            </a:ln>
            <a:effectLst/>
          </c:spPr>
          <c:invertIfNegative val="0"/>
          <c:cat>
            <c:strRef>
              <c:f>'Bilan Victoire - Mensuel'!$G$4:$AA$4</c:f>
              <c:strCache>
                <c:ptCount val="21"/>
                <c:pt idx="0">
                  <c:v>ADDA Matteo</c:v>
                </c:pt>
                <c:pt idx="1">
                  <c:v>ALFONSO Joao</c:v>
                </c:pt>
                <c:pt idx="2">
                  <c:v>BERDAH Matis</c:v>
                </c:pt>
                <c:pt idx="3">
                  <c:v>CAMARA Bandiougou</c:v>
                </c:pt>
                <c:pt idx="4">
                  <c:v>CAMARA Moussa</c:v>
                </c:pt>
                <c:pt idx="5">
                  <c:v>CARREAU Ethan</c:v>
                </c:pt>
                <c:pt idx="6">
                  <c:v>CHEROD Alexis</c:v>
                </c:pt>
                <c:pt idx="7">
                  <c:v>DJEHICHE Ramzi</c:v>
                </c:pt>
                <c:pt idx="8">
                  <c:v>DOSIERE Baptiste</c:v>
                </c:pt>
                <c:pt idx="9">
                  <c:v>DUQUENOY Thomas</c:v>
                </c:pt>
                <c:pt idx="10">
                  <c:v>KIPRE Jordan</c:v>
                </c:pt>
                <c:pt idx="11">
                  <c:v>KONATE Mamadou</c:v>
                </c:pt>
                <c:pt idx="12">
                  <c:v>LECOUFFE Hugo</c:v>
                </c:pt>
                <c:pt idx="13">
                  <c:v>LEFRANC Nathan</c:v>
                </c:pt>
                <c:pt idx="14">
                  <c:v>MASSOUSSI Elie</c:v>
                </c:pt>
                <c:pt idx="15">
                  <c:v>NGOUABI Yoann</c:v>
                </c:pt>
                <c:pt idx="16">
                  <c:v>PLANET Mathis</c:v>
                </c:pt>
                <c:pt idx="17">
                  <c:v>PRONNIER Nicolas</c:v>
                </c:pt>
                <c:pt idx="18">
                  <c:v>STIOUET Reda</c:v>
                </c:pt>
                <c:pt idx="19">
                  <c:v>ZERDEB Said</c:v>
                </c:pt>
                <c:pt idx="20">
                  <c:v>OSSENI Farouk</c:v>
                </c:pt>
              </c:strCache>
            </c:strRef>
          </c:cat>
          <c:val>
            <c:numRef>
              <c:f>'Bilan Victoire - Mensuel'!$G$8:$AA$8</c:f>
              <c:numCache>
                <c:formatCode>0.00%</c:formatCode>
                <c:ptCount val="21"/>
                <c:pt idx="0">
                  <c:v>0.33333333333333331</c:v>
                </c:pt>
                <c:pt idx="1">
                  <c:v>0</c:v>
                </c:pt>
                <c:pt idx="2">
                  <c:v>0.33333333333333331</c:v>
                </c:pt>
                <c:pt idx="3">
                  <c:v>0.16666666666666666</c:v>
                </c:pt>
                <c:pt idx="4">
                  <c:v>0</c:v>
                </c:pt>
                <c:pt idx="5">
                  <c:v>0</c:v>
                </c:pt>
                <c:pt idx="6">
                  <c:v>0.33333333333333331</c:v>
                </c:pt>
                <c:pt idx="7">
                  <c:v>0.5</c:v>
                </c:pt>
                <c:pt idx="8">
                  <c:v>0.33333333333333331</c:v>
                </c:pt>
                <c:pt idx="9">
                  <c:v>0.16666666666666666</c:v>
                </c:pt>
                <c:pt idx="10">
                  <c:v>0.33333333333333331</c:v>
                </c:pt>
                <c:pt idx="11">
                  <c:v>0.16666666666666666</c:v>
                </c:pt>
                <c:pt idx="12">
                  <c:v>0.33333333333333331</c:v>
                </c:pt>
                <c:pt idx="13">
                  <c:v>0.16666666666666666</c:v>
                </c:pt>
                <c:pt idx="14">
                  <c:v>0.66666666666666663</c:v>
                </c:pt>
                <c:pt idx="15">
                  <c:v>0.33333333333333331</c:v>
                </c:pt>
                <c:pt idx="16">
                  <c:v>0.33333333333333331</c:v>
                </c:pt>
                <c:pt idx="17">
                  <c:v>0.66666666666666663</c:v>
                </c:pt>
                <c:pt idx="18">
                  <c:v>0.16666666666666666</c:v>
                </c:pt>
                <c:pt idx="19">
                  <c:v>0.16666666666666666</c:v>
                </c:pt>
                <c:pt idx="20">
                  <c:v>0.33333333333333331</c:v>
                </c:pt>
              </c:numCache>
            </c:numRef>
          </c:val>
          <c:extLst>
            <c:ext xmlns:c16="http://schemas.microsoft.com/office/drawing/2014/chart" uri="{C3380CC4-5D6E-409C-BE32-E72D297353CC}">
              <c16:uniqueId val="{00000000-2905-464D-8DE4-7F09B596DB3F}"/>
            </c:ext>
          </c:extLst>
        </c:ser>
        <c:dLbls>
          <c:showLegendKey val="0"/>
          <c:showVal val="0"/>
          <c:showCatName val="0"/>
          <c:showSerName val="0"/>
          <c:showPercent val="0"/>
          <c:showBubbleSize val="0"/>
        </c:dLbls>
        <c:gapWidth val="219"/>
        <c:overlap val="-27"/>
        <c:axId val="510937816"/>
        <c:axId val="510937488"/>
      </c:barChart>
      <c:catAx>
        <c:axId val="510937816"/>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fr-FR"/>
          </a:p>
        </c:txPr>
        <c:crossAx val="510937488"/>
        <c:crosses val="autoZero"/>
        <c:auto val="1"/>
        <c:lblAlgn val="ctr"/>
        <c:lblOffset val="100"/>
        <c:noMultiLvlLbl val="0"/>
      </c:catAx>
      <c:valAx>
        <c:axId val="510937488"/>
        <c:scaling>
          <c:orientation val="minMax"/>
        </c:scaling>
        <c:delete val="0"/>
        <c:axPos val="l"/>
        <c:majorGridlines>
          <c:spPr>
            <a:ln w="9525" cap="flat" cmpd="sng" algn="ctr">
              <a:solidFill>
                <a:schemeClr val="tx1">
                  <a:lumMod val="15000"/>
                  <a:lumOff val="85000"/>
                </a:schemeClr>
              </a:solidFill>
              <a:round/>
            </a:ln>
            <a:effectLst/>
          </c:spPr>
        </c:majorGridlines>
        <c:numFmt formatCode="0.0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fr-FR"/>
          </a:p>
        </c:txPr>
        <c:crossAx val="510937816"/>
        <c:crosses val="autoZero"/>
        <c:crossBetween val="between"/>
      </c:valAx>
      <c:spPr>
        <a:noFill/>
        <a:ln>
          <a:noFill/>
        </a:ln>
        <a:effectLst/>
      </c:spPr>
    </c:plotArea>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fr-FR"/>
    </a:p>
  </c:txPr>
  <c:printSettings>
    <c:headerFooter/>
    <c:pageMargins b="0.75" l="0.7" r="0.7" t="0.75" header="0.3" footer="0.3"/>
    <c:pageSetup/>
  </c:printSettings>
</c:chartSpace>
</file>

<file path=xl/charts/chart19.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fr-FR"/>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fr-FR" b="1">
                <a:latin typeface="+mj-lt"/>
              </a:rPr>
              <a:t>Bilan</a:t>
            </a:r>
            <a:r>
              <a:rPr lang="fr-FR" b="1" baseline="0">
                <a:latin typeface="+mj-lt"/>
              </a:rPr>
              <a:t> accompagne mental</a:t>
            </a:r>
            <a:endParaRPr lang="fr-FR" b="1">
              <a:latin typeface="+mj-lt"/>
            </a:endParaRP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fr-FR"/>
        </a:p>
      </c:txPr>
    </c:title>
    <c:autoTitleDeleted val="0"/>
    <c:plotArea>
      <c:layout/>
      <c:barChart>
        <c:barDir val="col"/>
        <c:grouping val="clustered"/>
        <c:varyColors val="0"/>
        <c:ser>
          <c:idx val="0"/>
          <c:order val="0"/>
          <c:tx>
            <c:strRef>
              <c:f>'Bilan mental'!$C$10</c:f>
              <c:strCache>
                <c:ptCount val="1"/>
                <c:pt idx="0">
                  <c:v>Forme</c:v>
                </c:pt>
              </c:strCache>
            </c:strRef>
          </c:tx>
          <c:spPr>
            <a:solidFill>
              <a:schemeClr val="accent2"/>
            </a:solidFill>
            <a:ln>
              <a:noFill/>
            </a:ln>
            <a:effectLst/>
          </c:spPr>
          <c:invertIfNegative val="0"/>
          <c:cat>
            <c:strRef>
              <c:f>'Bilan mental'!$B$11:$B$141</c:f>
              <c:strCache>
                <c:ptCount val="24"/>
                <c:pt idx="0">
                  <c:v>06/08/2018</c:v>
                </c:pt>
                <c:pt idx="1">
                  <c:v>07/08/2018</c:v>
                </c:pt>
                <c:pt idx="2">
                  <c:v>09/08/2018</c:v>
                </c:pt>
                <c:pt idx="3">
                  <c:v>10/08/2018</c:v>
                </c:pt>
                <c:pt idx="4">
                  <c:v>13/08/2018</c:v>
                </c:pt>
                <c:pt idx="5">
                  <c:v>14/08/2018</c:v>
                </c:pt>
                <c:pt idx="6">
                  <c:v>15/08/2018</c:v>
                </c:pt>
                <c:pt idx="7">
                  <c:v>16/08/2018</c:v>
                </c:pt>
                <c:pt idx="8">
                  <c:v>17/08/2018</c:v>
                </c:pt>
                <c:pt idx="9">
                  <c:v>18/08/2018</c:v>
                </c:pt>
                <c:pt idx="10">
                  <c:v>20/08/2018</c:v>
                </c:pt>
                <c:pt idx="11">
                  <c:v>21/08/2018</c:v>
                </c:pt>
                <c:pt idx="12">
                  <c:v>23/08/2018</c:v>
                </c:pt>
                <c:pt idx="13">
                  <c:v>24/08/2018</c:v>
                </c:pt>
                <c:pt idx="14">
                  <c:v>27/08/2018</c:v>
                </c:pt>
                <c:pt idx="15">
                  <c:v>28/08/2018</c:v>
                </c:pt>
                <c:pt idx="16">
                  <c:v>30/08/2018</c:v>
                </c:pt>
                <c:pt idx="17">
                  <c:v>31/08/2018</c:v>
                </c:pt>
                <c:pt idx="18">
                  <c:v>04/09/2018</c:v>
                </c:pt>
                <c:pt idx="19">
                  <c:v>06/09/2018</c:v>
                </c:pt>
                <c:pt idx="20">
                  <c:v>07/09/2018</c:v>
                </c:pt>
                <c:pt idx="21">
                  <c:v>11/09/2018</c:v>
                </c:pt>
                <c:pt idx="22">
                  <c:v>14/09/2018</c:v>
                </c:pt>
                <c:pt idx="23">
                  <c:v>15/09/2018</c:v>
                </c:pt>
              </c:strCache>
            </c:strRef>
          </c:cat>
          <c:val>
            <c:numRef>
              <c:f>'Bilan mental'!$C$11:$C$141</c:f>
              <c:numCache>
                <c:formatCode>0.00</c:formatCode>
                <c:ptCount val="131"/>
                <c:pt idx="0">
                  <c:v>3.5555555555555554</c:v>
                </c:pt>
                <c:pt idx="1">
                  <c:v>3.1111111111111112</c:v>
                </c:pt>
                <c:pt idx="2">
                  <c:v>3.8</c:v>
                </c:pt>
                <c:pt idx="3">
                  <c:v>2.8333333333333335</c:v>
                </c:pt>
                <c:pt idx="4">
                  <c:v>3</c:v>
                </c:pt>
                <c:pt idx="5">
                  <c:v>2.8333333333333335</c:v>
                </c:pt>
                <c:pt idx="6">
                  <c:v>3.4285714285714284</c:v>
                </c:pt>
                <c:pt idx="7">
                  <c:v>3.0769230769230771</c:v>
                </c:pt>
                <c:pt idx="8">
                  <c:v>2.8</c:v>
                </c:pt>
                <c:pt idx="9">
                  <c:v>2.5833333333333335</c:v>
                </c:pt>
                <c:pt idx="10">
                  <c:v>2.8571428571428572</c:v>
                </c:pt>
                <c:pt idx="11">
                  <c:v>3.6153846153846154</c:v>
                </c:pt>
                <c:pt idx="12">
                  <c:v>4.5714285714285712</c:v>
                </c:pt>
                <c:pt idx="13">
                  <c:v>3.4705882352941178</c:v>
                </c:pt>
                <c:pt idx="14">
                  <c:v>3.5333333333333332</c:v>
                </c:pt>
                <c:pt idx="15">
                  <c:v>3.8235294117647061</c:v>
                </c:pt>
                <c:pt idx="16">
                  <c:v>3.75</c:v>
                </c:pt>
                <c:pt idx="17">
                  <c:v>3.8125</c:v>
                </c:pt>
                <c:pt idx="18">
                  <c:v>3.6428571428571428</c:v>
                </c:pt>
                <c:pt idx="19">
                  <c:v>3.7222222222222223</c:v>
                </c:pt>
                <c:pt idx="20">
                  <c:v>3.4166666666666665</c:v>
                </c:pt>
                <c:pt idx="21">
                  <c:v>4</c:v>
                </c:pt>
                <c:pt idx="22">
                  <c:v>3.4</c:v>
                </c:pt>
                <c:pt idx="23">
                  <c:v>3.9090909090909092</c:v>
                </c:pt>
                <c:pt idx="24">
                  <c:v>0</c:v>
                </c:pt>
                <c:pt idx="25">
                  <c:v>0</c:v>
                </c:pt>
                <c:pt idx="26">
                  <c:v>0</c:v>
                </c:pt>
                <c:pt idx="27">
                  <c:v>0</c:v>
                </c:pt>
                <c:pt idx="28">
                  <c:v>0</c:v>
                </c:pt>
                <c:pt idx="29">
                  <c:v>0</c:v>
                </c:pt>
                <c:pt idx="30">
                  <c:v>0</c:v>
                </c:pt>
                <c:pt idx="31">
                  <c:v>0</c:v>
                </c:pt>
                <c:pt idx="32">
                  <c:v>0</c:v>
                </c:pt>
                <c:pt idx="33">
                  <c:v>0</c:v>
                </c:pt>
                <c:pt idx="34">
                  <c:v>0</c:v>
                </c:pt>
                <c:pt idx="35">
                  <c:v>0</c:v>
                </c:pt>
                <c:pt idx="36">
                  <c:v>0</c:v>
                </c:pt>
                <c:pt idx="37">
                  <c:v>0</c:v>
                </c:pt>
                <c:pt idx="38">
                  <c:v>0</c:v>
                </c:pt>
                <c:pt idx="39">
                  <c:v>0</c:v>
                </c:pt>
                <c:pt idx="40">
                  <c:v>0</c:v>
                </c:pt>
                <c:pt idx="41">
                  <c:v>0</c:v>
                </c:pt>
                <c:pt idx="42">
                  <c:v>0</c:v>
                </c:pt>
                <c:pt idx="43">
                  <c:v>0</c:v>
                </c:pt>
                <c:pt idx="44">
                  <c:v>0</c:v>
                </c:pt>
                <c:pt idx="45">
                  <c:v>0</c:v>
                </c:pt>
                <c:pt idx="46">
                  <c:v>0</c:v>
                </c:pt>
                <c:pt idx="47">
                  <c:v>0</c:v>
                </c:pt>
                <c:pt idx="48">
                  <c:v>0</c:v>
                </c:pt>
                <c:pt idx="49">
                  <c:v>0</c:v>
                </c:pt>
                <c:pt idx="50">
                  <c:v>0</c:v>
                </c:pt>
                <c:pt idx="51">
                  <c:v>0</c:v>
                </c:pt>
                <c:pt idx="52">
                  <c:v>0</c:v>
                </c:pt>
                <c:pt idx="53">
                  <c:v>0</c:v>
                </c:pt>
                <c:pt idx="54">
                  <c:v>0</c:v>
                </c:pt>
                <c:pt idx="55">
                  <c:v>0</c:v>
                </c:pt>
                <c:pt idx="56">
                  <c:v>0</c:v>
                </c:pt>
                <c:pt idx="57">
                  <c:v>0</c:v>
                </c:pt>
                <c:pt idx="58">
                  <c:v>0</c:v>
                </c:pt>
                <c:pt idx="59">
                  <c:v>0</c:v>
                </c:pt>
                <c:pt idx="60">
                  <c:v>0</c:v>
                </c:pt>
                <c:pt idx="61">
                  <c:v>0</c:v>
                </c:pt>
                <c:pt idx="62">
                  <c:v>0</c:v>
                </c:pt>
                <c:pt idx="63">
                  <c:v>0</c:v>
                </c:pt>
                <c:pt idx="64">
                  <c:v>0</c:v>
                </c:pt>
                <c:pt idx="65">
                  <c:v>0</c:v>
                </c:pt>
                <c:pt idx="66">
                  <c:v>0</c:v>
                </c:pt>
                <c:pt idx="67">
                  <c:v>0</c:v>
                </c:pt>
                <c:pt idx="68">
                  <c:v>0</c:v>
                </c:pt>
                <c:pt idx="69">
                  <c:v>0</c:v>
                </c:pt>
                <c:pt idx="70">
                  <c:v>0</c:v>
                </c:pt>
                <c:pt idx="71">
                  <c:v>0</c:v>
                </c:pt>
                <c:pt idx="72">
                  <c:v>0</c:v>
                </c:pt>
                <c:pt idx="73">
                  <c:v>0</c:v>
                </c:pt>
                <c:pt idx="74">
                  <c:v>0</c:v>
                </c:pt>
                <c:pt idx="75">
                  <c:v>0</c:v>
                </c:pt>
                <c:pt idx="76">
                  <c:v>0</c:v>
                </c:pt>
                <c:pt idx="77">
                  <c:v>0</c:v>
                </c:pt>
                <c:pt idx="78">
                  <c:v>0</c:v>
                </c:pt>
                <c:pt idx="79">
                  <c:v>0</c:v>
                </c:pt>
                <c:pt idx="80">
                  <c:v>0</c:v>
                </c:pt>
                <c:pt idx="81">
                  <c:v>0</c:v>
                </c:pt>
                <c:pt idx="82">
                  <c:v>0</c:v>
                </c:pt>
                <c:pt idx="83">
                  <c:v>0</c:v>
                </c:pt>
                <c:pt idx="84">
                  <c:v>0</c:v>
                </c:pt>
                <c:pt idx="85">
                  <c:v>0</c:v>
                </c:pt>
                <c:pt idx="86">
                  <c:v>0</c:v>
                </c:pt>
                <c:pt idx="87">
                  <c:v>0</c:v>
                </c:pt>
                <c:pt idx="88">
                  <c:v>0</c:v>
                </c:pt>
                <c:pt idx="89">
                  <c:v>0</c:v>
                </c:pt>
                <c:pt idx="90">
                  <c:v>0</c:v>
                </c:pt>
                <c:pt idx="91">
                  <c:v>0</c:v>
                </c:pt>
                <c:pt idx="92">
                  <c:v>0</c:v>
                </c:pt>
                <c:pt idx="93">
                  <c:v>0</c:v>
                </c:pt>
                <c:pt idx="94">
                  <c:v>0</c:v>
                </c:pt>
                <c:pt idx="95">
                  <c:v>0</c:v>
                </c:pt>
                <c:pt idx="96">
                  <c:v>0</c:v>
                </c:pt>
                <c:pt idx="97">
                  <c:v>0</c:v>
                </c:pt>
                <c:pt idx="98">
                  <c:v>0</c:v>
                </c:pt>
                <c:pt idx="99">
                  <c:v>0</c:v>
                </c:pt>
                <c:pt idx="100">
                  <c:v>0</c:v>
                </c:pt>
                <c:pt idx="101">
                  <c:v>0</c:v>
                </c:pt>
                <c:pt idx="102">
                  <c:v>0</c:v>
                </c:pt>
                <c:pt idx="103">
                  <c:v>0</c:v>
                </c:pt>
                <c:pt idx="104">
                  <c:v>0</c:v>
                </c:pt>
                <c:pt idx="105">
                  <c:v>0</c:v>
                </c:pt>
                <c:pt idx="106">
                  <c:v>0</c:v>
                </c:pt>
                <c:pt idx="107">
                  <c:v>0</c:v>
                </c:pt>
                <c:pt idx="108">
                  <c:v>0</c:v>
                </c:pt>
                <c:pt idx="109">
                  <c:v>0</c:v>
                </c:pt>
                <c:pt idx="110">
                  <c:v>0</c:v>
                </c:pt>
                <c:pt idx="111">
                  <c:v>0</c:v>
                </c:pt>
                <c:pt idx="112">
                  <c:v>0</c:v>
                </c:pt>
                <c:pt idx="113">
                  <c:v>0</c:v>
                </c:pt>
                <c:pt idx="114">
                  <c:v>0</c:v>
                </c:pt>
                <c:pt idx="115">
                  <c:v>0</c:v>
                </c:pt>
                <c:pt idx="116">
                  <c:v>0</c:v>
                </c:pt>
                <c:pt idx="117">
                  <c:v>0</c:v>
                </c:pt>
                <c:pt idx="118">
                  <c:v>0</c:v>
                </c:pt>
                <c:pt idx="119">
                  <c:v>0</c:v>
                </c:pt>
                <c:pt idx="120">
                  <c:v>0</c:v>
                </c:pt>
                <c:pt idx="121">
                  <c:v>0</c:v>
                </c:pt>
                <c:pt idx="122">
                  <c:v>0</c:v>
                </c:pt>
                <c:pt idx="123">
                  <c:v>0</c:v>
                </c:pt>
                <c:pt idx="124">
                  <c:v>0</c:v>
                </c:pt>
                <c:pt idx="125">
                  <c:v>0</c:v>
                </c:pt>
                <c:pt idx="126">
                  <c:v>0</c:v>
                </c:pt>
                <c:pt idx="127">
                  <c:v>0</c:v>
                </c:pt>
                <c:pt idx="128">
                  <c:v>0</c:v>
                </c:pt>
                <c:pt idx="129">
                  <c:v>0</c:v>
                </c:pt>
                <c:pt idx="130">
                  <c:v>0</c:v>
                </c:pt>
              </c:numCache>
            </c:numRef>
          </c:val>
          <c:extLst>
            <c:ext xmlns:c16="http://schemas.microsoft.com/office/drawing/2014/chart" uri="{C3380CC4-5D6E-409C-BE32-E72D297353CC}">
              <c16:uniqueId val="{00000000-893B-47B8-9980-2D008D4BA9CC}"/>
            </c:ext>
          </c:extLst>
        </c:ser>
        <c:ser>
          <c:idx val="1"/>
          <c:order val="1"/>
          <c:tx>
            <c:strRef>
              <c:f>'Bilan mental'!$D$10</c:f>
              <c:strCache>
                <c:ptCount val="1"/>
                <c:pt idx="0">
                  <c:v>Plaisir</c:v>
                </c:pt>
              </c:strCache>
            </c:strRef>
          </c:tx>
          <c:spPr>
            <a:solidFill>
              <a:schemeClr val="accent3"/>
            </a:solidFill>
            <a:ln>
              <a:noFill/>
            </a:ln>
            <a:effectLst/>
          </c:spPr>
          <c:invertIfNegative val="0"/>
          <c:cat>
            <c:strRef>
              <c:f>'Bilan mental'!$B$11:$B$141</c:f>
              <c:strCache>
                <c:ptCount val="24"/>
                <c:pt idx="0">
                  <c:v>06/08/2018</c:v>
                </c:pt>
                <c:pt idx="1">
                  <c:v>07/08/2018</c:v>
                </c:pt>
                <c:pt idx="2">
                  <c:v>09/08/2018</c:v>
                </c:pt>
                <c:pt idx="3">
                  <c:v>10/08/2018</c:v>
                </c:pt>
                <c:pt idx="4">
                  <c:v>13/08/2018</c:v>
                </c:pt>
                <c:pt idx="5">
                  <c:v>14/08/2018</c:v>
                </c:pt>
                <c:pt idx="6">
                  <c:v>15/08/2018</c:v>
                </c:pt>
                <c:pt idx="7">
                  <c:v>16/08/2018</c:v>
                </c:pt>
                <c:pt idx="8">
                  <c:v>17/08/2018</c:v>
                </c:pt>
                <c:pt idx="9">
                  <c:v>18/08/2018</c:v>
                </c:pt>
                <c:pt idx="10">
                  <c:v>20/08/2018</c:v>
                </c:pt>
                <c:pt idx="11">
                  <c:v>21/08/2018</c:v>
                </c:pt>
                <c:pt idx="12">
                  <c:v>23/08/2018</c:v>
                </c:pt>
                <c:pt idx="13">
                  <c:v>24/08/2018</c:v>
                </c:pt>
                <c:pt idx="14">
                  <c:v>27/08/2018</c:v>
                </c:pt>
                <c:pt idx="15">
                  <c:v>28/08/2018</c:v>
                </c:pt>
                <c:pt idx="16">
                  <c:v>30/08/2018</c:v>
                </c:pt>
                <c:pt idx="17">
                  <c:v>31/08/2018</c:v>
                </c:pt>
                <c:pt idx="18">
                  <c:v>04/09/2018</c:v>
                </c:pt>
                <c:pt idx="19">
                  <c:v>06/09/2018</c:v>
                </c:pt>
                <c:pt idx="20">
                  <c:v>07/09/2018</c:v>
                </c:pt>
                <c:pt idx="21">
                  <c:v>11/09/2018</c:v>
                </c:pt>
                <c:pt idx="22">
                  <c:v>14/09/2018</c:v>
                </c:pt>
                <c:pt idx="23">
                  <c:v>15/09/2018</c:v>
                </c:pt>
              </c:strCache>
            </c:strRef>
          </c:cat>
          <c:val>
            <c:numRef>
              <c:f>'Bilan mental'!$D$11:$D$141</c:f>
              <c:numCache>
                <c:formatCode>0.00</c:formatCode>
                <c:ptCount val="131"/>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pt idx="26">
                  <c:v>0</c:v>
                </c:pt>
                <c:pt idx="27">
                  <c:v>0</c:v>
                </c:pt>
                <c:pt idx="28">
                  <c:v>0</c:v>
                </c:pt>
                <c:pt idx="29">
                  <c:v>0</c:v>
                </c:pt>
                <c:pt idx="30">
                  <c:v>0</c:v>
                </c:pt>
                <c:pt idx="31">
                  <c:v>0</c:v>
                </c:pt>
                <c:pt idx="32">
                  <c:v>0</c:v>
                </c:pt>
                <c:pt idx="33">
                  <c:v>0</c:v>
                </c:pt>
                <c:pt idx="34">
                  <c:v>0</c:v>
                </c:pt>
                <c:pt idx="35">
                  <c:v>0</c:v>
                </c:pt>
                <c:pt idx="36">
                  <c:v>0</c:v>
                </c:pt>
                <c:pt idx="37">
                  <c:v>0</c:v>
                </c:pt>
                <c:pt idx="38">
                  <c:v>0</c:v>
                </c:pt>
                <c:pt idx="39">
                  <c:v>0</c:v>
                </c:pt>
                <c:pt idx="40">
                  <c:v>0</c:v>
                </c:pt>
                <c:pt idx="41">
                  <c:v>0</c:v>
                </c:pt>
                <c:pt idx="42">
                  <c:v>0</c:v>
                </c:pt>
                <c:pt idx="43">
                  <c:v>0</c:v>
                </c:pt>
                <c:pt idx="44">
                  <c:v>0</c:v>
                </c:pt>
                <c:pt idx="45">
                  <c:v>0</c:v>
                </c:pt>
                <c:pt idx="46">
                  <c:v>0</c:v>
                </c:pt>
                <c:pt idx="47">
                  <c:v>0</c:v>
                </c:pt>
                <c:pt idx="48">
                  <c:v>0</c:v>
                </c:pt>
                <c:pt idx="49">
                  <c:v>0</c:v>
                </c:pt>
                <c:pt idx="50">
                  <c:v>0</c:v>
                </c:pt>
                <c:pt idx="51">
                  <c:v>0</c:v>
                </c:pt>
                <c:pt idx="52">
                  <c:v>0</c:v>
                </c:pt>
                <c:pt idx="53">
                  <c:v>0</c:v>
                </c:pt>
                <c:pt idx="54">
                  <c:v>0</c:v>
                </c:pt>
                <c:pt idx="55">
                  <c:v>0</c:v>
                </c:pt>
                <c:pt idx="56">
                  <c:v>0</c:v>
                </c:pt>
                <c:pt idx="57">
                  <c:v>0</c:v>
                </c:pt>
                <c:pt idx="58">
                  <c:v>0</c:v>
                </c:pt>
                <c:pt idx="59">
                  <c:v>0</c:v>
                </c:pt>
                <c:pt idx="60">
                  <c:v>0</c:v>
                </c:pt>
                <c:pt idx="61">
                  <c:v>0</c:v>
                </c:pt>
                <c:pt idx="62">
                  <c:v>0</c:v>
                </c:pt>
                <c:pt idx="63">
                  <c:v>0</c:v>
                </c:pt>
                <c:pt idx="64">
                  <c:v>0</c:v>
                </c:pt>
                <c:pt idx="65">
                  <c:v>0</c:v>
                </c:pt>
                <c:pt idx="66">
                  <c:v>0</c:v>
                </c:pt>
                <c:pt idx="67">
                  <c:v>0</c:v>
                </c:pt>
                <c:pt idx="68">
                  <c:v>0</c:v>
                </c:pt>
                <c:pt idx="69">
                  <c:v>0</c:v>
                </c:pt>
                <c:pt idx="70">
                  <c:v>0</c:v>
                </c:pt>
                <c:pt idx="71">
                  <c:v>0</c:v>
                </c:pt>
                <c:pt idx="72">
                  <c:v>0</c:v>
                </c:pt>
                <c:pt idx="73">
                  <c:v>0</c:v>
                </c:pt>
                <c:pt idx="74">
                  <c:v>0</c:v>
                </c:pt>
                <c:pt idx="75">
                  <c:v>0</c:v>
                </c:pt>
                <c:pt idx="76">
                  <c:v>0</c:v>
                </c:pt>
                <c:pt idx="77">
                  <c:v>0</c:v>
                </c:pt>
                <c:pt idx="78">
                  <c:v>0</c:v>
                </c:pt>
                <c:pt idx="79">
                  <c:v>0</c:v>
                </c:pt>
                <c:pt idx="80">
                  <c:v>0</c:v>
                </c:pt>
                <c:pt idx="81">
                  <c:v>0</c:v>
                </c:pt>
                <c:pt idx="82">
                  <c:v>0</c:v>
                </c:pt>
                <c:pt idx="83">
                  <c:v>0</c:v>
                </c:pt>
                <c:pt idx="84">
                  <c:v>0</c:v>
                </c:pt>
                <c:pt idx="85">
                  <c:v>0</c:v>
                </c:pt>
                <c:pt idx="86">
                  <c:v>0</c:v>
                </c:pt>
                <c:pt idx="87">
                  <c:v>0</c:v>
                </c:pt>
                <c:pt idx="88">
                  <c:v>0</c:v>
                </c:pt>
                <c:pt idx="89">
                  <c:v>0</c:v>
                </c:pt>
                <c:pt idx="90">
                  <c:v>0</c:v>
                </c:pt>
                <c:pt idx="91">
                  <c:v>0</c:v>
                </c:pt>
                <c:pt idx="92">
                  <c:v>0</c:v>
                </c:pt>
                <c:pt idx="93">
                  <c:v>0</c:v>
                </c:pt>
                <c:pt idx="94">
                  <c:v>0</c:v>
                </c:pt>
                <c:pt idx="95">
                  <c:v>0</c:v>
                </c:pt>
                <c:pt idx="96">
                  <c:v>0</c:v>
                </c:pt>
                <c:pt idx="97">
                  <c:v>0</c:v>
                </c:pt>
                <c:pt idx="98">
                  <c:v>0</c:v>
                </c:pt>
                <c:pt idx="99">
                  <c:v>0</c:v>
                </c:pt>
                <c:pt idx="100">
                  <c:v>0</c:v>
                </c:pt>
                <c:pt idx="101">
                  <c:v>0</c:v>
                </c:pt>
                <c:pt idx="102">
                  <c:v>0</c:v>
                </c:pt>
                <c:pt idx="103">
                  <c:v>0</c:v>
                </c:pt>
                <c:pt idx="104">
                  <c:v>0</c:v>
                </c:pt>
                <c:pt idx="105">
                  <c:v>0</c:v>
                </c:pt>
                <c:pt idx="106">
                  <c:v>0</c:v>
                </c:pt>
                <c:pt idx="107">
                  <c:v>0</c:v>
                </c:pt>
                <c:pt idx="108">
                  <c:v>0</c:v>
                </c:pt>
                <c:pt idx="109">
                  <c:v>0</c:v>
                </c:pt>
                <c:pt idx="110">
                  <c:v>0</c:v>
                </c:pt>
                <c:pt idx="111">
                  <c:v>0</c:v>
                </c:pt>
                <c:pt idx="112">
                  <c:v>0</c:v>
                </c:pt>
                <c:pt idx="113">
                  <c:v>0</c:v>
                </c:pt>
                <c:pt idx="114">
                  <c:v>0</c:v>
                </c:pt>
                <c:pt idx="115">
                  <c:v>0</c:v>
                </c:pt>
                <c:pt idx="116">
                  <c:v>0</c:v>
                </c:pt>
                <c:pt idx="117">
                  <c:v>0</c:v>
                </c:pt>
                <c:pt idx="118">
                  <c:v>0</c:v>
                </c:pt>
                <c:pt idx="119">
                  <c:v>0</c:v>
                </c:pt>
                <c:pt idx="120">
                  <c:v>0</c:v>
                </c:pt>
                <c:pt idx="121">
                  <c:v>0</c:v>
                </c:pt>
                <c:pt idx="122">
                  <c:v>0</c:v>
                </c:pt>
                <c:pt idx="123">
                  <c:v>0</c:v>
                </c:pt>
                <c:pt idx="124">
                  <c:v>0</c:v>
                </c:pt>
                <c:pt idx="125">
                  <c:v>0</c:v>
                </c:pt>
                <c:pt idx="126">
                  <c:v>0</c:v>
                </c:pt>
                <c:pt idx="127">
                  <c:v>0</c:v>
                </c:pt>
                <c:pt idx="128">
                  <c:v>0</c:v>
                </c:pt>
                <c:pt idx="129">
                  <c:v>0</c:v>
                </c:pt>
                <c:pt idx="130">
                  <c:v>0</c:v>
                </c:pt>
              </c:numCache>
            </c:numRef>
          </c:val>
          <c:extLst>
            <c:ext xmlns:c16="http://schemas.microsoft.com/office/drawing/2014/chart" uri="{C3380CC4-5D6E-409C-BE32-E72D297353CC}">
              <c16:uniqueId val="{00000001-893B-47B8-9980-2D008D4BA9CC}"/>
            </c:ext>
          </c:extLst>
        </c:ser>
        <c:ser>
          <c:idx val="2"/>
          <c:order val="2"/>
          <c:tx>
            <c:strRef>
              <c:f>'Bilan mental'!$E$10</c:f>
              <c:strCache>
                <c:ptCount val="1"/>
                <c:pt idx="0">
                  <c:v>Perfo.</c:v>
                </c:pt>
              </c:strCache>
            </c:strRef>
          </c:tx>
          <c:spPr>
            <a:solidFill>
              <a:schemeClr val="accent1"/>
            </a:solidFill>
            <a:ln>
              <a:noFill/>
            </a:ln>
            <a:effectLst/>
          </c:spPr>
          <c:invertIfNegative val="0"/>
          <c:cat>
            <c:strRef>
              <c:f>'Bilan mental'!$B$11:$B$141</c:f>
              <c:strCache>
                <c:ptCount val="24"/>
                <c:pt idx="0">
                  <c:v>06/08/2018</c:v>
                </c:pt>
                <c:pt idx="1">
                  <c:v>07/08/2018</c:v>
                </c:pt>
                <c:pt idx="2">
                  <c:v>09/08/2018</c:v>
                </c:pt>
                <c:pt idx="3">
                  <c:v>10/08/2018</c:v>
                </c:pt>
                <c:pt idx="4">
                  <c:v>13/08/2018</c:v>
                </c:pt>
                <c:pt idx="5">
                  <c:v>14/08/2018</c:v>
                </c:pt>
                <c:pt idx="6">
                  <c:v>15/08/2018</c:v>
                </c:pt>
                <c:pt idx="7">
                  <c:v>16/08/2018</c:v>
                </c:pt>
                <c:pt idx="8">
                  <c:v>17/08/2018</c:v>
                </c:pt>
                <c:pt idx="9">
                  <c:v>18/08/2018</c:v>
                </c:pt>
                <c:pt idx="10">
                  <c:v>20/08/2018</c:v>
                </c:pt>
                <c:pt idx="11">
                  <c:v>21/08/2018</c:v>
                </c:pt>
                <c:pt idx="12">
                  <c:v>23/08/2018</c:v>
                </c:pt>
                <c:pt idx="13">
                  <c:v>24/08/2018</c:v>
                </c:pt>
                <c:pt idx="14">
                  <c:v>27/08/2018</c:v>
                </c:pt>
                <c:pt idx="15">
                  <c:v>28/08/2018</c:v>
                </c:pt>
                <c:pt idx="16">
                  <c:v>30/08/2018</c:v>
                </c:pt>
                <c:pt idx="17">
                  <c:v>31/08/2018</c:v>
                </c:pt>
                <c:pt idx="18">
                  <c:v>04/09/2018</c:v>
                </c:pt>
                <c:pt idx="19">
                  <c:v>06/09/2018</c:v>
                </c:pt>
                <c:pt idx="20">
                  <c:v>07/09/2018</c:v>
                </c:pt>
                <c:pt idx="21">
                  <c:v>11/09/2018</c:v>
                </c:pt>
                <c:pt idx="22">
                  <c:v>14/09/2018</c:v>
                </c:pt>
                <c:pt idx="23">
                  <c:v>15/09/2018</c:v>
                </c:pt>
              </c:strCache>
            </c:strRef>
          </c:cat>
          <c:val>
            <c:numRef>
              <c:f>'Bilan mental'!$E$11:$E$141</c:f>
              <c:numCache>
                <c:formatCode>0.00</c:formatCode>
                <c:ptCount val="131"/>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pt idx="26">
                  <c:v>0</c:v>
                </c:pt>
                <c:pt idx="27">
                  <c:v>0</c:v>
                </c:pt>
                <c:pt idx="28">
                  <c:v>0</c:v>
                </c:pt>
                <c:pt idx="29">
                  <c:v>0</c:v>
                </c:pt>
                <c:pt idx="30">
                  <c:v>0</c:v>
                </c:pt>
                <c:pt idx="31">
                  <c:v>0</c:v>
                </c:pt>
                <c:pt idx="32">
                  <c:v>0</c:v>
                </c:pt>
                <c:pt idx="33">
                  <c:v>0</c:v>
                </c:pt>
                <c:pt idx="34">
                  <c:v>0</c:v>
                </c:pt>
                <c:pt idx="35">
                  <c:v>0</c:v>
                </c:pt>
                <c:pt idx="36">
                  <c:v>0</c:v>
                </c:pt>
                <c:pt idx="37">
                  <c:v>0</c:v>
                </c:pt>
                <c:pt idx="38">
                  <c:v>0</c:v>
                </c:pt>
                <c:pt idx="39">
                  <c:v>0</c:v>
                </c:pt>
                <c:pt idx="40">
                  <c:v>0</c:v>
                </c:pt>
                <c:pt idx="41">
                  <c:v>0</c:v>
                </c:pt>
                <c:pt idx="42">
                  <c:v>0</c:v>
                </c:pt>
                <c:pt idx="43">
                  <c:v>0</c:v>
                </c:pt>
                <c:pt idx="44">
                  <c:v>0</c:v>
                </c:pt>
                <c:pt idx="45">
                  <c:v>0</c:v>
                </c:pt>
                <c:pt idx="46">
                  <c:v>0</c:v>
                </c:pt>
                <c:pt idx="47">
                  <c:v>0</c:v>
                </c:pt>
                <c:pt idx="48">
                  <c:v>0</c:v>
                </c:pt>
                <c:pt idx="49">
                  <c:v>0</c:v>
                </c:pt>
                <c:pt idx="50">
                  <c:v>0</c:v>
                </c:pt>
                <c:pt idx="51">
                  <c:v>0</c:v>
                </c:pt>
                <c:pt idx="52">
                  <c:v>0</c:v>
                </c:pt>
                <c:pt idx="53">
                  <c:v>0</c:v>
                </c:pt>
                <c:pt idx="54">
                  <c:v>0</c:v>
                </c:pt>
                <c:pt idx="55">
                  <c:v>0</c:v>
                </c:pt>
                <c:pt idx="56">
                  <c:v>0</c:v>
                </c:pt>
                <c:pt idx="57">
                  <c:v>0</c:v>
                </c:pt>
                <c:pt idx="58">
                  <c:v>0</c:v>
                </c:pt>
                <c:pt idx="59">
                  <c:v>0</c:v>
                </c:pt>
                <c:pt idx="60">
                  <c:v>0</c:v>
                </c:pt>
                <c:pt idx="61">
                  <c:v>0</c:v>
                </c:pt>
                <c:pt idx="62">
                  <c:v>0</c:v>
                </c:pt>
                <c:pt idx="63">
                  <c:v>0</c:v>
                </c:pt>
                <c:pt idx="64">
                  <c:v>0</c:v>
                </c:pt>
                <c:pt idx="65">
                  <c:v>0</c:v>
                </c:pt>
                <c:pt idx="66">
                  <c:v>0</c:v>
                </c:pt>
                <c:pt idx="67">
                  <c:v>0</c:v>
                </c:pt>
                <c:pt idx="68">
                  <c:v>0</c:v>
                </c:pt>
                <c:pt idx="69">
                  <c:v>0</c:v>
                </c:pt>
                <c:pt idx="70">
                  <c:v>0</c:v>
                </c:pt>
                <c:pt idx="71">
                  <c:v>0</c:v>
                </c:pt>
                <c:pt idx="72">
                  <c:v>0</c:v>
                </c:pt>
                <c:pt idx="73">
                  <c:v>0</c:v>
                </c:pt>
                <c:pt idx="74">
                  <c:v>0</c:v>
                </c:pt>
                <c:pt idx="75">
                  <c:v>0</c:v>
                </c:pt>
                <c:pt idx="76">
                  <c:v>0</c:v>
                </c:pt>
                <c:pt idx="77">
                  <c:v>0</c:v>
                </c:pt>
                <c:pt idx="78">
                  <c:v>0</c:v>
                </c:pt>
                <c:pt idx="79">
                  <c:v>0</c:v>
                </c:pt>
                <c:pt idx="80">
                  <c:v>0</c:v>
                </c:pt>
                <c:pt idx="81">
                  <c:v>0</c:v>
                </c:pt>
                <c:pt idx="82">
                  <c:v>0</c:v>
                </c:pt>
                <c:pt idx="83">
                  <c:v>0</c:v>
                </c:pt>
                <c:pt idx="84">
                  <c:v>0</c:v>
                </c:pt>
                <c:pt idx="85">
                  <c:v>0</c:v>
                </c:pt>
                <c:pt idx="86">
                  <c:v>0</c:v>
                </c:pt>
                <c:pt idx="87">
                  <c:v>0</c:v>
                </c:pt>
                <c:pt idx="88">
                  <c:v>0</c:v>
                </c:pt>
                <c:pt idx="89">
                  <c:v>0</c:v>
                </c:pt>
                <c:pt idx="90">
                  <c:v>0</c:v>
                </c:pt>
                <c:pt idx="91">
                  <c:v>0</c:v>
                </c:pt>
                <c:pt idx="92">
                  <c:v>0</c:v>
                </c:pt>
                <c:pt idx="93">
                  <c:v>0</c:v>
                </c:pt>
                <c:pt idx="94">
                  <c:v>0</c:v>
                </c:pt>
                <c:pt idx="95">
                  <c:v>0</c:v>
                </c:pt>
                <c:pt idx="96">
                  <c:v>0</c:v>
                </c:pt>
                <c:pt idx="97">
                  <c:v>0</c:v>
                </c:pt>
                <c:pt idx="98">
                  <c:v>0</c:v>
                </c:pt>
                <c:pt idx="99">
                  <c:v>0</c:v>
                </c:pt>
                <c:pt idx="100">
                  <c:v>0</c:v>
                </c:pt>
                <c:pt idx="101">
                  <c:v>0</c:v>
                </c:pt>
                <c:pt idx="102">
                  <c:v>0</c:v>
                </c:pt>
                <c:pt idx="103">
                  <c:v>0</c:v>
                </c:pt>
                <c:pt idx="104">
                  <c:v>0</c:v>
                </c:pt>
                <c:pt idx="105">
                  <c:v>0</c:v>
                </c:pt>
                <c:pt idx="106">
                  <c:v>0</c:v>
                </c:pt>
                <c:pt idx="107">
                  <c:v>0</c:v>
                </c:pt>
                <c:pt idx="108">
                  <c:v>0</c:v>
                </c:pt>
                <c:pt idx="109">
                  <c:v>0</c:v>
                </c:pt>
                <c:pt idx="110">
                  <c:v>0</c:v>
                </c:pt>
                <c:pt idx="111">
                  <c:v>0</c:v>
                </c:pt>
                <c:pt idx="112">
                  <c:v>0</c:v>
                </c:pt>
                <c:pt idx="113">
                  <c:v>0</c:v>
                </c:pt>
                <c:pt idx="114">
                  <c:v>0</c:v>
                </c:pt>
                <c:pt idx="115">
                  <c:v>0</c:v>
                </c:pt>
                <c:pt idx="116">
                  <c:v>0</c:v>
                </c:pt>
                <c:pt idx="117">
                  <c:v>0</c:v>
                </c:pt>
                <c:pt idx="118">
                  <c:v>0</c:v>
                </c:pt>
                <c:pt idx="119">
                  <c:v>0</c:v>
                </c:pt>
                <c:pt idx="120">
                  <c:v>0</c:v>
                </c:pt>
                <c:pt idx="121">
                  <c:v>0</c:v>
                </c:pt>
                <c:pt idx="122">
                  <c:v>0</c:v>
                </c:pt>
                <c:pt idx="123">
                  <c:v>0</c:v>
                </c:pt>
                <c:pt idx="124">
                  <c:v>0</c:v>
                </c:pt>
                <c:pt idx="125">
                  <c:v>0</c:v>
                </c:pt>
                <c:pt idx="126">
                  <c:v>0</c:v>
                </c:pt>
                <c:pt idx="127">
                  <c:v>0</c:v>
                </c:pt>
                <c:pt idx="128">
                  <c:v>0</c:v>
                </c:pt>
                <c:pt idx="129">
                  <c:v>0</c:v>
                </c:pt>
                <c:pt idx="130">
                  <c:v>0</c:v>
                </c:pt>
              </c:numCache>
            </c:numRef>
          </c:val>
          <c:extLst>
            <c:ext xmlns:c16="http://schemas.microsoft.com/office/drawing/2014/chart" uri="{C3380CC4-5D6E-409C-BE32-E72D297353CC}">
              <c16:uniqueId val="{00000002-893B-47B8-9980-2D008D4BA9CC}"/>
            </c:ext>
          </c:extLst>
        </c:ser>
        <c:ser>
          <c:idx val="3"/>
          <c:order val="3"/>
          <c:tx>
            <c:strRef>
              <c:f>'Bilan mental'!$F$10</c:f>
              <c:strCache>
                <c:ptCount val="1"/>
                <c:pt idx="0">
                  <c:v>RPE</c:v>
                </c:pt>
              </c:strCache>
            </c:strRef>
          </c:tx>
          <c:spPr>
            <a:solidFill>
              <a:schemeClr val="accent4"/>
            </a:solidFill>
            <a:ln>
              <a:noFill/>
            </a:ln>
            <a:effectLst/>
          </c:spPr>
          <c:invertIfNegative val="0"/>
          <c:cat>
            <c:strRef>
              <c:f>'Bilan mental'!$B$11:$B$141</c:f>
              <c:strCache>
                <c:ptCount val="24"/>
                <c:pt idx="0">
                  <c:v>06/08/2018</c:v>
                </c:pt>
                <c:pt idx="1">
                  <c:v>07/08/2018</c:v>
                </c:pt>
                <c:pt idx="2">
                  <c:v>09/08/2018</c:v>
                </c:pt>
                <c:pt idx="3">
                  <c:v>10/08/2018</c:v>
                </c:pt>
                <c:pt idx="4">
                  <c:v>13/08/2018</c:v>
                </c:pt>
                <c:pt idx="5">
                  <c:v>14/08/2018</c:v>
                </c:pt>
                <c:pt idx="6">
                  <c:v>15/08/2018</c:v>
                </c:pt>
                <c:pt idx="7">
                  <c:v>16/08/2018</c:v>
                </c:pt>
                <c:pt idx="8">
                  <c:v>17/08/2018</c:v>
                </c:pt>
                <c:pt idx="9">
                  <c:v>18/08/2018</c:v>
                </c:pt>
                <c:pt idx="10">
                  <c:v>20/08/2018</c:v>
                </c:pt>
                <c:pt idx="11">
                  <c:v>21/08/2018</c:v>
                </c:pt>
                <c:pt idx="12">
                  <c:v>23/08/2018</c:v>
                </c:pt>
                <c:pt idx="13">
                  <c:v>24/08/2018</c:v>
                </c:pt>
                <c:pt idx="14">
                  <c:v>27/08/2018</c:v>
                </c:pt>
                <c:pt idx="15">
                  <c:v>28/08/2018</c:v>
                </c:pt>
                <c:pt idx="16">
                  <c:v>30/08/2018</c:v>
                </c:pt>
                <c:pt idx="17">
                  <c:v>31/08/2018</c:v>
                </c:pt>
                <c:pt idx="18">
                  <c:v>04/09/2018</c:v>
                </c:pt>
                <c:pt idx="19">
                  <c:v>06/09/2018</c:v>
                </c:pt>
                <c:pt idx="20">
                  <c:v>07/09/2018</c:v>
                </c:pt>
                <c:pt idx="21">
                  <c:v>11/09/2018</c:v>
                </c:pt>
                <c:pt idx="22">
                  <c:v>14/09/2018</c:v>
                </c:pt>
                <c:pt idx="23">
                  <c:v>15/09/2018</c:v>
                </c:pt>
              </c:strCache>
            </c:strRef>
          </c:cat>
          <c:val>
            <c:numRef>
              <c:f>'Bilan mental'!$F$11:$F$141</c:f>
              <c:numCache>
                <c:formatCode>0.00</c:formatCode>
                <c:ptCount val="131"/>
                <c:pt idx="0">
                  <c:v>5.333333333333333</c:v>
                </c:pt>
                <c:pt idx="1">
                  <c:v>4.7777777777777777</c:v>
                </c:pt>
                <c:pt idx="2">
                  <c:v>3.6363636363636362</c:v>
                </c:pt>
                <c:pt idx="3">
                  <c:v>5.166666666666667</c:v>
                </c:pt>
                <c:pt idx="4">
                  <c:v>5.5454545454545459</c:v>
                </c:pt>
                <c:pt idx="5">
                  <c:v>4.666666666666667</c:v>
                </c:pt>
                <c:pt idx="6">
                  <c:v>3.4285714285714284</c:v>
                </c:pt>
                <c:pt idx="7">
                  <c:v>4.1538461538461542</c:v>
                </c:pt>
                <c:pt idx="8">
                  <c:v>5.6</c:v>
                </c:pt>
                <c:pt idx="9">
                  <c:v>3.9166666666666665</c:v>
                </c:pt>
                <c:pt idx="10">
                  <c:v>7.3571428571428568</c:v>
                </c:pt>
                <c:pt idx="11">
                  <c:v>5.4615384615384617</c:v>
                </c:pt>
                <c:pt idx="12">
                  <c:v>2.6428571428571428</c:v>
                </c:pt>
                <c:pt idx="13">
                  <c:v>3.4705882352941178</c:v>
                </c:pt>
                <c:pt idx="14">
                  <c:v>5.1333333333333337</c:v>
                </c:pt>
                <c:pt idx="15">
                  <c:v>4.5882352941176467</c:v>
                </c:pt>
                <c:pt idx="16">
                  <c:v>4.5999999999999996</c:v>
                </c:pt>
                <c:pt idx="17">
                  <c:v>3.6875</c:v>
                </c:pt>
                <c:pt idx="18">
                  <c:v>4.2857142857142856</c:v>
                </c:pt>
                <c:pt idx="19">
                  <c:v>4.166666666666667</c:v>
                </c:pt>
                <c:pt idx="20">
                  <c:v>3.3333333333333335</c:v>
                </c:pt>
                <c:pt idx="21">
                  <c:v>4.583333333333333</c:v>
                </c:pt>
                <c:pt idx="22">
                  <c:v>4.5999999999999996</c:v>
                </c:pt>
                <c:pt idx="23">
                  <c:v>3.3636363636363638</c:v>
                </c:pt>
                <c:pt idx="24">
                  <c:v>0</c:v>
                </c:pt>
                <c:pt idx="25">
                  <c:v>0</c:v>
                </c:pt>
                <c:pt idx="26">
                  <c:v>0</c:v>
                </c:pt>
                <c:pt idx="27">
                  <c:v>0</c:v>
                </c:pt>
                <c:pt idx="28">
                  <c:v>0</c:v>
                </c:pt>
                <c:pt idx="29">
                  <c:v>0</c:v>
                </c:pt>
                <c:pt idx="30">
                  <c:v>0</c:v>
                </c:pt>
                <c:pt idx="31">
                  <c:v>0</c:v>
                </c:pt>
                <c:pt idx="32">
                  <c:v>0</c:v>
                </c:pt>
                <c:pt idx="33">
                  <c:v>0</c:v>
                </c:pt>
                <c:pt idx="34">
                  <c:v>0</c:v>
                </c:pt>
                <c:pt idx="35">
                  <c:v>0</c:v>
                </c:pt>
                <c:pt idx="36">
                  <c:v>0</c:v>
                </c:pt>
                <c:pt idx="37">
                  <c:v>0</c:v>
                </c:pt>
                <c:pt idx="38">
                  <c:v>0</c:v>
                </c:pt>
                <c:pt idx="39">
                  <c:v>0</c:v>
                </c:pt>
                <c:pt idx="40">
                  <c:v>0</c:v>
                </c:pt>
                <c:pt idx="41">
                  <c:v>0</c:v>
                </c:pt>
                <c:pt idx="42">
                  <c:v>0</c:v>
                </c:pt>
                <c:pt idx="43">
                  <c:v>0</c:v>
                </c:pt>
                <c:pt idx="44">
                  <c:v>0</c:v>
                </c:pt>
                <c:pt idx="45">
                  <c:v>0</c:v>
                </c:pt>
                <c:pt idx="46">
                  <c:v>0</c:v>
                </c:pt>
                <c:pt idx="47">
                  <c:v>0</c:v>
                </c:pt>
                <c:pt idx="48">
                  <c:v>0</c:v>
                </c:pt>
                <c:pt idx="49">
                  <c:v>0</c:v>
                </c:pt>
                <c:pt idx="50">
                  <c:v>0</c:v>
                </c:pt>
                <c:pt idx="51">
                  <c:v>0</c:v>
                </c:pt>
                <c:pt idx="52">
                  <c:v>0</c:v>
                </c:pt>
                <c:pt idx="53">
                  <c:v>0</c:v>
                </c:pt>
                <c:pt idx="54">
                  <c:v>0</c:v>
                </c:pt>
                <c:pt idx="55">
                  <c:v>0</c:v>
                </c:pt>
                <c:pt idx="56">
                  <c:v>0</c:v>
                </c:pt>
                <c:pt idx="57">
                  <c:v>0</c:v>
                </c:pt>
                <c:pt idx="58">
                  <c:v>0</c:v>
                </c:pt>
                <c:pt idx="59">
                  <c:v>0</c:v>
                </c:pt>
                <c:pt idx="60">
                  <c:v>0</c:v>
                </c:pt>
                <c:pt idx="61">
                  <c:v>0</c:v>
                </c:pt>
                <c:pt idx="62">
                  <c:v>0</c:v>
                </c:pt>
                <c:pt idx="63">
                  <c:v>0</c:v>
                </c:pt>
                <c:pt idx="64">
                  <c:v>0</c:v>
                </c:pt>
                <c:pt idx="65">
                  <c:v>0</c:v>
                </c:pt>
                <c:pt idx="66">
                  <c:v>0</c:v>
                </c:pt>
                <c:pt idx="67">
                  <c:v>0</c:v>
                </c:pt>
                <c:pt idx="68">
                  <c:v>0</c:v>
                </c:pt>
                <c:pt idx="69">
                  <c:v>0</c:v>
                </c:pt>
                <c:pt idx="70">
                  <c:v>0</c:v>
                </c:pt>
                <c:pt idx="71">
                  <c:v>0</c:v>
                </c:pt>
                <c:pt idx="72">
                  <c:v>0</c:v>
                </c:pt>
                <c:pt idx="73">
                  <c:v>0</c:v>
                </c:pt>
                <c:pt idx="74">
                  <c:v>0</c:v>
                </c:pt>
                <c:pt idx="75">
                  <c:v>0</c:v>
                </c:pt>
                <c:pt idx="76">
                  <c:v>0</c:v>
                </c:pt>
                <c:pt idx="77">
                  <c:v>0</c:v>
                </c:pt>
                <c:pt idx="78">
                  <c:v>0</c:v>
                </c:pt>
                <c:pt idx="79">
                  <c:v>0</c:v>
                </c:pt>
                <c:pt idx="80">
                  <c:v>0</c:v>
                </c:pt>
                <c:pt idx="81">
                  <c:v>0</c:v>
                </c:pt>
                <c:pt idx="82">
                  <c:v>0</c:v>
                </c:pt>
                <c:pt idx="83">
                  <c:v>0</c:v>
                </c:pt>
                <c:pt idx="84">
                  <c:v>0</c:v>
                </c:pt>
                <c:pt idx="85">
                  <c:v>0</c:v>
                </c:pt>
                <c:pt idx="86">
                  <c:v>0</c:v>
                </c:pt>
                <c:pt idx="87">
                  <c:v>0</c:v>
                </c:pt>
                <c:pt idx="88">
                  <c:v>0</c:v>
                </c:pt>
                <c:pt idx="89">
                  <c:v>0</c:v>
                </c:pt>
                <c:pt idx="90">
                  <c:v>0</c:v>
                </c:pt>
                <c:pt idx="91">
                  <c:v>0</c:v>
                </c:pt>
                <c:pt idx="92">
                  <c:v>0</c:v>
                </c:pt>
                <c:pt idx="93">
                  <c:v>0</c:v>
                </c:pt>
                <c:pt idx="94">
                  <c:v>0</c:v>
                </c:pt>
                <c:pt idx="95">
                  <c:v>0</c:v>
                </c:pt>
                <c:pt idx="96">
                  <c:v>0</c:v>
                </c:pt>
                <c:pt idx="97">
                  <c:v>0</c:v>
                </c:pt>
                <c:pt idx="98">
                  <c:v>0</c:v>
                </c:pt>
                <c:pt idx="99">
                  <c:v>0</c:v>
                </c:pt>
                <c:pt idx="100">
                  <c:v>0</c:v>
                </c:pt>
                <c:pt idx="101">
                  <c:v>0</c:v>
                </c:pt>
                <c:pt idx="102">
                  <c:v>0</c:v>
                </c:pt>
                <c:pt idx="103">
                  <c:v>0</c:v>
                </c:pt>
                <c:pt idx="104">
                  <c:v>0</c:v>
                </c:pt>
                <c:pt idx="105">
                  <c:v>0</c:v>
                </c:pt>
                <c:pt idx="106">
                  <c:v>0</c:v>
                </c:pt>
                <c:pt idx="107">
                  <c:v>0</c:v>
                </c:pt>
                <c:pt idx="108">
                  <c:v>0</c:v>
                </c:pt>
                <c:pt idx="109">
                  <c:v>0</c:v>
                </c:pt>
                <c:pt idx="110">
                  <c:v>0</c:v>
                </c:pt>
                <c:pt idx="111">
                  <c:v>0</c:v>
                </c:pt>
                <c:pt idx="112">
                  <c:v>0</c:v>
                </c:pt>
                <c:pt idx="113">
                  <c:v>0</c:v>
                </c:pt>
                <c:pt idx="114">
                  <c:v>0</c:v>
                </c:pt>
                <c:pt idx="115">
                  <c:v>0</c:v>
                </c:pt>
                <c:pt idx="116">
                  <c:v>0</c:v>
                </c:pt>
                <c:pt idx="117">
                  <c:v>0</c:v>
                </c:pt>
                <c:pt idx="118">
                  <c:v>0</c:v>
                </c:pt>
                <c:pt idx="119">
                  <c:v>0</c:v>
                </c:pt>
                <c:pt idx="120">
                  <c:v>0</c:v>
                </c:pt>
                <c:pt idx="121">
                  <c:v>0</c:v>
                </c:pt>
                <c:pt idx="122">
                  <c:v>0</c:v>
                </c:pt>
                <c:pt idx="123">
                  <c:v>0</c:v>
                </c:pt>
                <c:pt idx="124">
                  <c:v>0</c:v>
                </c:pt>
                <c:pt idx="125">
                  <c:v>0</c:v>
                </c:pt>
                <c:pt idx="126">
                  <c:v>0</c:v>
                </c:pt>
                <c:pt idx="127">
                  <c:v>0</c:v>
                </c:pt>
                <c:pt idx="128">
                  <c:v>0</c:v>
                </c:pt>
                <c:pt idx="129">
                  <c:v>0</c:v>
                </c:pt>
                <c:pt idx="130">
                  <c:v>0</c:v>
                </c:pt>
              </c:numCache>
            </c:numRef>
          </c:val>
          <c:extLst>
            <c:ext xmlns:c16="http://schemas.microsoft.com/office/drawing/2014/chart" uri="{C3380CC4-5D6E-409C-BE32-E72D297353CC}">
              <c16:uniqueId val="{00000003-893B-47B8-9980-2D008D4BA9CC}"/>
            </c:ext>
          </c:extLst>
        </c:ser>
        <c:dLbls>
          <c:showLegendKey val="0"/>
          <c:showVal val="0"/>
          <c:showCatName val="0"/>
          <c:showSerName val="0"/>
          <c:showPercent val="0"/>
          <c:showBubbleSize val="0"/>
        </c:dLbls>
        <c:gapWidth val="150"/>
        <c:axId val="970455936"/>
        <c:axId val="970459200"/>
      </c:barChart>
      <c:dateAx>
        <c:axId val="970455936"/>
        <c:scaling>
          <c:orientation val="minMax"/>
        </c:scaling>
        <c:delete val="0"/>
        <c:axPos val="b"/>
        <c:numFmt formatCode="m/d/yyyy" sourceLinked="1"/>
        <c:majorTickMark val="out"/>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fr-FR"/>
          </a:p>
        </c:txPr>
        <c:crossAx val="970459200"/>
        <c:crosses val="autoZero"/>
        <c:auto val="1"/>
        <c:lblOffset val="100"/>
        <c:baseTimeUnit val="days"/>
      </c:dateAx>
      <c:valAx>
        <c:axId val="970459200"/>
        <c:scaling>
          <c:orientation val="minMax"/>
        </c:scaling>
        <c:delete val="0"/>
        <c:axPos val="l"/>
        <c:majorGridlines>
          <c:spPr>
            <a:ln w="9525" cap="flat" cmpd="sng" algn="ctr">
              <a:solidFill>
                <a:schemeClr val="tx1">
                  <a:lumMod val="15000"/>
                  <a:lumOff val="85000"/>
                </a:schemeClr>
              </a:solidFill>
              <a:round/>
            </a:ln>
            <a:effectLst/>
          </c:spPr>
        </c:majorGridlines>
        <c:numFmt formatCode="0.0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fr-FR"/>
          </a:p>
        </c:txPr>
        <c:crossAx val="970455936"/>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fr-FR"/>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fr-FR"/>
    </a:p>
  </c:txPr>
  <c:printSettings>
    <c:headerFooter/>
    <c:pageMargins b="0.75" l="0.7" r="0.7" t="0.75" header="0.3" footer="0.3"/>
    <c:pageSetup/>
  </c:printSettings>
</c:chartSpace>
</file>

<file path=xl/charts/chart20.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fr-FR"/>
  <c:roundedCorners val="0"/>
  <mc:AlternateContent xmlns:mc="http://schemas.openxmlformats.org/markup-compatibility/2006">
    <mc:Choice xmlns:c14="http://schemas.microsoft.com/office/drawing/2007/8/2/chart" Requires="c14">
      <c14:style val="101"/>
    </mc:Choice>
    <mc:Fallback>
      <c:style val="1"/>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fr-FR"/>
              <a:t>Ressenti moyen</a:t>
            </a:r>
          </a:p>
        </c:rich>
      </c:tx>
      <c:layout>
        <c:manualLayout>
          <c:xMode val="edge"/>
          <c:yMode val="edge"/>
          <c:x val="0.443459836499138"/>
          <c:y val="2.8662420382165599E-2"/>
        </c:manualLayout>
      </c:layout>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fr-FR"/>
        </a:p>
      </c:txPr>
    </c:title>
    <c:autoTitleDeleted val="0"/>
    <c:plotArea>
      <c:layout/>
      <c:radarChart>
        <c:radarStyle val="marker"/>
        <c:varyColors val="0"/>
        <c:ser>
          <c:idx val="0"/>
          <c:order val="0"/>
          <c:tx>
            <c:v>Forme, Plaisir, Perfo., RPE</c:v>
          </c:tx>
          <c:spPr>
            <a:ln w="28575" cap="rnd">
              <a:solidFill>
                <a:schemeClr val="dk1">
                  <a:tint val="88500"/>
                </a:schemeClr>
              </a:solidFill>
              <a:round/>
            </a:ln>
            <a:effectLst/>
          </c:spPr>
          <c:marker>
            <c:symbol val="none"/>
          </c:marker>
          <c:cat>
            <c:strRef>
              <c:f>'Bilan mental'!$C$10:$F$10</c:f>
              <c:strCache>
                <c:ptCount val="4"/>
                <c:pt idx="0">
                  <c:v>Forme</c:v>
                </c:pt>
                <c:pt idx="1">
                  <c:v>Plaisir</c:v>
                </c:pt>
                <c:pt idx="2">
                  <c:v>Perfo.</c:v>
                </c:pt>
                <c:pt idx="3">
                  <c:v>RPE</c:v>
                </c:pt>
              </c:strCache>
            </c:strRef>
          </c:cat>
          <c:val>
            <c:numRef>
              <c:f>'Bilan mental'!$C$142:$F$142</c:f>
              <c:numCache>
                <c:formatCode>#,##0.00</c:formatCode>
                <c:ptCount val="4"/>
                <c:pt idx="0">
                  <c:v>3.4394543807227631</c:v>
                </c:pt>
                <c:pt idx="1">
                  <c:v>0</c:v>
                </c:pt>
                <c:pt idx="2">
                  <c:v>0</c:v>
                </c:pt>
                <c:pt idx="3">
                  <c:v>4.4791344242631004</c:v>
                </c:pt>
              </c:numCache>
            </c:numRef>
          </c:val>
          <c:extLst>
            <c:ext xmlns:c16="http://schemas.microsoft.com/office/drawing/2014/chart" uri="{C3380CC4-5D6E-409C-BE32-E72D297353CC}">
              <c16:uniqueId val="{00000000-E069-4DA7-A876-F486A640DC20}"/>
            </c:ext>
          </c:extLst>
        </c:ser>
        <c:dLbls>
          <c:showLegendKey val="0"/>
          <c:showVal val="0"/>
          <c:showCatName val="0"/>
          <c:showSerName val="0"/>
          <c:showPercent val="0"/>
          <c:showBubbleSize val="0"/>
        </c:dLbls>
        <c:axId val="1112610928"/>
        <c:axId val="1112613680"/>
      </c:radarChart>
      <c:catAx>
        <c:axId val="1112610928"/>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fr-FR"/>
          </a:p>
        </c:txPr>
        <c:crossAx val="1112613680"/>
        <c:crosses val="autoZero"/>
        <c:auto val="1"/>
        <c:lblAlgn val="ctr"/>
        <c:lblOffset val="100"/>
        <c:noMultiLvlLbl val="0"/>
      </c:catAx>
      <c:valAx>
        <c:axId val="1112613680"/>
        <c:scaling>
          <c:orientation val="minMax"/>
        </c:scaling>
        <c:delete val="0"/>
        <c:axPos val="l"/>
        <c:majorGridlines>
          <c:spPr>
            <a:ln w="9525" cap="flat" cmpd="sng" algn="ctr">
              <a:solidFill>
                <a:schemeClr val="tx1">
                  <a:lumMod val="15000"/>
                  <a:lumOff val="85000"/>
                </a:schemeClr>
              </a:solidFill>
              <a:round/>
            </a:ln>
            <a:effectLst/>
          </c:spPr>
        </c:majorGridlines>
        <c:numFmt formatCode="#,##0.0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fr-FR"/>
          </a:p>
        </c:txPr>
        <c:crossAx val="1112610928"/>
        <c:crosses val="autoZero"/>
        <c:crossBetween val="between"/>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fr-FR"/>
    </a:p>
  </c:txPr>
  <c:printSettings>
    <c:headerFooter/>
    <c:pageMargins b="0.75" l="0.7" r="0.7" t="0.75" header="0.3" footer="0.3"/>
    <c:pageSetup/>
  </c:printSettings>
</c:chartSpace>
</file>

<file path=xl/charts/chart2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fr-FR"/>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barChart>
        <c:barDir val="col"/>
        <c:grouping val="clustered"/>
        <c:varyColors val="0"/>
        <c:ser>
          <c:idx val="31"/>
          <c:order val="0"/>
          <c:tx>
            <c:strRef>
              <c:f>'Charges individuel'!$C$4</c:f>
              <c:strCache>
                <c:ptCount val="1"/>
                <c:pt idx="0">
                  <c:v>ADDA Matteo</c:v>
                </c:pt>
              </c:strCache>
            </c:strRef>
          </c:tx>
          <c:spPr>
            <a:solidFill>
              <a:schemeClr val="accent2">
                <a:lumMod val="50000"/>
              </a:schemeClr>
            </a:solidFill>
            <a:ln>
              <a:noFill/>
            </a:ln>
            <a:effectLst/>
          </c:spPr>
          <c:invertIfNegative val="0"/>
          <c:val>
            <c:numRef>
              <c:f>'Charges individuel'!$C$150</c:f>
              <c:numCache>
                <c:formatCode>#,##0</c:formatCode>
                <c:ptCount val="1"/>
                <c:pt idx="0">
                  <c:v>0</c:v>
                </c:pt>
              </c:numCache>
            </c:numRef>
          </c:val>
          <c:extLst>
            <c:ext xmlns:c16="http://schemas.microsoft.com/office/drawing/2014/chart" uri="{C3380CC4-5D6E-409C-BE32-E72D297353CC}">
              <c16:uniqueId val="{00000000-E412-4863-9619-EC590E94FFDE}"/>
            </c:ext>
          </c:extLst>
        </c:ser>
        <c:ser>
          <c:idx val="32"/>
          <c:order val="1"/>
          <c:tx>
            <c:strRef>
              <c:f>'Charges individuel'!$D$4</c:f>
              <c:strCache>
                <c:ptCount val="1"/>
                <c:pt idx="0">
                  <c:v>ALFONSO Joao</c:v>
                </c:pt>
              </c:strCache>
            </c:strRef>
          </c:tx>
          <c:spPr>
            <a:solidFill>
              <a:schemeClr val="accent3">
                <a:lumMod val="50000"/>
              </a:schemeClr>
            </a:solidFill>
            <a:ln>
              <a:noFill/>
            </a:ln>
            <a:effectLst/>
          </c:spPr>
          <c:invertIfNegative val="0"/>
          <c:val>
            <c:numRef>
              <c:f>'Charges individuel'!$D$150</c:f>
              <c:numCache>
                <c:formatCode>#,##0</c:formatCode>
                <c:ptCount val="1"/>
                <c:pt idx="0">
                  <c:v>0</c:v>
                </c:pt>
              </c:numCache>
            </c:numRef>
          </c:val>
          <c:extLst>
            <c:ext xmlns:c16="http://schemas.microsoft.com/office/drawing/2014/chart" uri="{C3380CC4-5D6E-409C-BE32-E72D297353CC}">
              <c16:uniqueId val="{00000001-E412-4863-9619-EC590E94FFDE}"/>
            </c:ext>
          </c:extLst>
        </c:ser>
        <c:ser>
          <c:idx val="33"/>
          <c:order val="2"/>
          <c:tx>
            <c:strRef>
              <c:f>'Charges individuel'!$E$4</c:f>
              <c:strCache>
                <c:ptCount val="1"/>
                <c:pt idx="0">
                  <c:v>BERDAH Matis</c:v>
                </c:pt>
              </c:strCache>
            </c:strRef>
          </c:tx>
          <c:spPr>
            <a:solidFill>
              <a:schemeClr val="accent4">
                <a:lumMod val="50000"/>
              </a:schemeClr>
            </a:solidFill>
            <a:ln>
              <a:noFill/>
            </a:ln>
            <a:effectLst/>
          </c:spPr>
          <c:invertIfNegative val="0"/>
          <c:val>
            <c:numRef>
              <c:f>'Charges individuel'!$E$150</c:f>
              <c:numCache>
                <c:formatCode>#,##0</c:formatCode>
                <c:ptCount val="1"/>
                <c:pt idx="0">
                  <c:v>0</c:v>
                </c:pt>
              </c:numCache>
            </c:numRef>
          </c:val>
          <c:extLst>
            <c:ext xmlns:c16="http://schemas.microsoft.com/office/drawing/2014/chart" uri="{C3380CC4-5D6E-409C-BE32-E72D297353CC}">
              <c16:uniqueId val="{00000002-E412-4863-9619-EC590E94FFDE}"/>
            </c:ext>
          </c:extLst>
        </c:ser>
        <c:ser>
          <c:idx val="34"/>
          <c:order val="3"/>
          <c:tx>
            <c:strRef>
              <c:f>'Charges individuel'!$F$4</c:f>
              <c:strCache>
                <c:ptCount val="1"/>
                <c:pt idx="0">
                  <c:v>CAMARA Bandiougou</c:v>
                </c:pt>
              </c:strCache>
            </c:strRef>
          </c:tx>
          <c:spPr>
            <a:solidFill>
              <a:schemeClr val="accent5">
                <a:lumMod val="50000"/>
              </a:schemeClr>
            </a:solidFill>
            <a:ln>
              <a:noFill/>
            </a:ln>
            <a:effectLst/>
          </c:spPr>
          <c:invertIfNegative val="0"/>
          <c:val>
            <c:numRef>
              <c:f>'Charges individuel'!$F$150</c:f>
              <c:numCache>
                <c:formatCode>#,##0</c:formatCode>
                <c:ptCount val="1"/>
                <c:pt idx="0">
                  <c:v>0</c:v>
                </c:pt>
              </c:numCache>
            </c:numRef>
          </c:val>
          <c:extLst>
            <c:ext xmlns:c16="http://schemas.microsoft.com/office/drawing/2014/chart" uri="{C3380CC4-5D6E-409C-BE32-E72D297353CC}">
              <c16:uniqueId val="{00000003-E412-4863-9619-EC590E94FFDE}"/>
            </c:ext>
          </c:extLst>
        </c:ser>
        <c:ser>
          <c:idx val="35"/>
          <c:order val="4"/>
          <c:tx>
            <c:strRef>
              <c:f>'Charges individuel'!$G$4</c:f>
              <c:strCache>
                <c:ptCount val="1"/>
                <c:pt idx="0">
                  <c:v>CAMARA Moussa</c:v>
                </c:pt>
              </c:strCache>
            </c:strRef>
          </c:tx>
          <c:spPr>
            <a:solidFill>
              <a:schemeClr val="accent6">
                <a:lumMod val="50000"/>
              </a:schemeClr>
            </a:solidFill>
            <a:ln>
              <a:noFill/>
            </a:ln>
            <a:effectLst/>
          </c:spPr>
          <c:invertIfNegative val="0"/>
          <c:val>
            <c:numRef>
              <c:f>'Charges individuel'!$G$150</c:f>
              <c:numCache>
                <c:formatCode>#,##0</c:formatCode>
                <c:ptCount val="1"/>
                <c:pt idx="0">
                  <c:v>0</c:v>
                </c:pt>
              </c:numCache>
            </c:numRef>
          </c:val>
          <c:extLst>
            <c:ext xmlns:c16="http://schemas.microsoft.com/office/drawing/2014/chart" uri="{C3380CC4-5D6E-409C-BE32-E72D297353CC}">
              <c16:uniqueId val="{00000004-E412-4863-9619-EC590E94FFDE}"/>
            </c:ext>
          </c:extLst>
        </c:ser>
        <c:ser>
          <c:idx val="36"/>
          <c:order val="5"/>
          <c:tx>
            <c:strRef>
              <c:f>'Charges individuel'!$H$4</c:f>
              <c:strCache>
                <c:ptCount val="1"/>
                <c:pt idx="0">
                  <c:v>CARREAU Ethan</c:v>
                </c:pt>
              </c:strCache>
            </c:strRef>
          </c:tx>
          <c:spPr>
            <a:solidFill>
              <a:schemeClr val="accent1">
                <a:lumMod val="70000"/>
                <a:lumOff val="30000"/>
              </a:schemeClr>
            </a:solidFill>
            <a:ln>
              <a:noFill/>
            </a:ln>
            <a:effectLst/>
          </c:spPr>
          <c:invertIfNegative val="0"/>
          <c:val>
            <c:numRef>
              <c:f>'Charges individuel'!$H$150</c:f>
              <c:numCache>
                <c:formatCode>#,##0</c:formatCode>
                <c:ptCount val="1"/>
                <c:pt idx="0">
                  <c:v>0</c:v>
                </c:pt>
              </c:numCache>
            </c:numRef>
          </c:val>
          <c:extLst>
            <c:ext xmlns:c16="http://schemas.microsoft.com/office/drawing/2014/chart" uri="{C3380CC4-5D6E-409C-BE32-E72D297353CC}">
              <c16:uniqueId val="{00000005-E412-4863-9619-EC590E94FFDE}"/>
            </c:ext>
          </c:extLst>
        </c:ser>
        <c:ser>
          <c:idx val="37"/>
          <c:order val="6"/>
          <c:tx>
            <c:strRef>
              <c:f>'Charges individuel'!$I$4</c:f>
              <c:strCache>
                <c:ptCount val="1"/>
                <c:pt idx="0">
                  <c:v>CHEROD Alexis</c:v>
                </c:pt>
              </c:strCache>
            </c:strRef>
          </c:tx>
          <c:spPr>
            <a:solidFill>
              <a:schemeClr val="accent2">
                <a:lumMod val="70000"/>
                <a:lumOff val="30000"/>
              </a:schemeClr>
            </a:solidFill>
            <a:ln>
              <a:noFill/>
            </a:ln>
            <a:effectLst/>
          </c:spPr>
          <c:invertIfNegative val="0"/>
          <c:val>
            <c:numRef>
              <c:f>'Charges individuel'!$I$150</c:f>
              <c:numCache>
                <c:formatCode>#,##0</c:formatCode>
                <c:ptCount val="1"/>
                <c:pt idx="0">
                  <c:v>0</c:v>
                </c:pt>
              </c:numCache>
            </c:numRef>
          </c:val>
          <c:extLst>
            <c:ext xmlns:c16="http://schemas.microsoft.com/office/drawing/2014/chart" uri="{C3380CC4-5D6E-409C-BE32-E72D297353CC}">
              <c16:uniqueId val="{00000006-E412-4863-9619-EC590E94FFDE}"/>
            </c:ext>
          </c:extLst>
        </c:ser>
        <c:ser>
          <c:idx val="38"/>
          <c:order val="7"/>
          <c:tx>
            <c:strRef>
              <c:f>'Charges individuel'!$J$4</c:f>
              <c:strCache>
                <c:ptCount val="1"/>
                <c:pt idx="0">
                  <c:v>DJEHICHE Ramzi</c:v>
                </c:pt>
              </c:strCache>
            </c:strRef>
          </c:tx>
          <c:spPr>
            <a:solidFill>
              <a:schemeClr val="accent3">
                <a:lumMod val="70000"/>
                <a:lumOff val="30000"/>
              </a:schemeClr>
            </a:solidFill>
            <a:ln>
              <a:noFill/>
            </a:ln>
            <a:effectLst/>
          </c:spPr>
          <c:invertIfNegative val="0"/>
          <c:val>
            <c:numRef>
              <c:f>'Charges individuel'!$J$150</c:f>
              <c:numCache>
                <c:formatCode>#,##0</c:formatCode>
                <c:ptCount val="1"/>
                <c:pt idx="0">
                  <c:v>0</c:v>
                </c:pt>
              </c:numCache>
            </c:numRef>
          </c:val>
          <c:extLst>
            <c:ext xmlns:c16="http://schemas.microsoft.com/office/drawing/2014/chart" uri="{C3380CC4-5D6E-409C-BE32-E72D297353CC}">
              <c16:uniqueId val="{00000007-E412-4863-9619-EC590E94FFDE}"/>
            </c:ext>
          </c:extLst>
        </c:ser>
        <c:ser>
          <c:idx val="39"/>
          <c:order val="8"/>
          <c:tx>
            <c:strRef>
              <c:f>'Charges individuel'!$K$4</c:f>
              <c:strCache>
                <c:ptCount val="1"/>
                <c:pt idx="0">
                  <c:v>DOSIERE Baptiste</c:v>
                </c:pt>
              </c:strCache>
            </c:strRef>
          </c:tx>
          <c:spPr>
            <a:solidFill>
              <a:schemeClr val="accent4">
                <a:lumMod val="70000"/>
                <a:lumOff val="30000"/>
              </a:schemeClr>
            </a:solidFill>
            <a:ln>
              <a:noFill/>
            </a:ln>
            <a:effectLst/>
          </c:spPr>
          <c:invertIfNegative val="0"/>
          <c:val>
            <c:numRef>
              <c:f>'Charges individuel'!$K$150</c:f>
              <c:numCache>
                <c:formatCode>#,##0</c:formatCode>
                <c:ptCount val="1"/>
                <c:pt idx="0">
                  <c:v>0</c:v>
                </c:pt>
              </c:numCache>
            </c:numRef>
          </c:val>
          <c:extLst>
            <c:ext xmlns:c16="http://schemas.microsoft.com/office/drawing/2014/chart" uri="{C3380CC4-5D6E-409C-BE32-E72D297353CC}">
              <c16:uniqueId val="{00000008-E412-4863-9619-EC590E94FFDE}"/>
            </c:ext>
          </c:extLst>
        </c:ser>
        <c:ser>
          <c:idx val="40"/>
          <c:order val="9"/>
          <c:tx>
            <c:strRef>
              <c:f>'Charges individuel'!$L$4</c:f>
              <c:strCache>
                <c:ptCount val="1"/>
                <c:pt idx="0">
                  <c:v>DUQUENOY Thomas</c:v>
                </c:pt>
              </c:strCache>
            </c:strRef>
          </c:tx>
          <c:spPr>
            <a:solidFill>
              <a:schemeClr val="accent5">
                <a:lumMod val="70000"/>
                <a:lumOff val="30000"/>
              </a:schemeClr>
            </a:solidFill>
            <a:ln>
              <a:noFill/>
            </a:ln>
            <a:effectLst/>
          </c:spPr>
          <c:invertIfNegative val="0"/>
          <c:val>
            <c:numRef>
              <c:f>'Charges individuel'!$L$150</c:f>
              <c:numCache>
                <c:formatCode>#,##0</c:formatCode>
                <c:ptCount val="1"/>
                <c:pt idx="0">
                  <c:v>0</c:v>
                </c:pt>
              </c:numCache>
            </c:numRef>
          </c:val>
          <c:extLst>
            <c:ext xmlns:c16="http://schemas.microsoft.com/office/drawing/2014/chart" uri="{C3380CC4-5D6E-409C-BE32-E72D297353CC}">
              <c16:uniqueId val="{00000009-E412-4863-9619-EC590E94FFDE}"/>
            </c:ext>
          </c:extLst>
        </c:ser>
        <c:ser>
          <c:idx val="41"/>
          <c:order val="10"/>
          <c:tx>
            <c:strRef>
              <c:f>'Charges individuel'!$M$4</c:f>
              <c:strCache>
                <c:ptCount val="1"/>
                <c:pt idx="0">
                  <c:v>KIPRE Jordan</c:v>
                </c:pt>
              </c:strCache>
            </c:strRef>
          </c:tx>
          <c:spPr>
            <a:solidFill>
              <a:schemeClr val="accent6">
                <a:lumMod val="70000"/>
                <a:lumOff val="30000"/>
              </a:schemeClr>
            </a:solidFill>
            <a:ln>
              <a:noFill/>
            </a:ln>
            <a:effectLst/>
          </c:spPr>
          <c:invertIfNegative val="0"/>
          <c:val>
            <c:numRef>
              <c:f>'Charges individuel'!$M$150</c:f>
              <c:numCache>
                <c:formatCode>#,##0</c:formatCode>
                <c:ptCount val="1"/>
                <c:pt idx="0">
                  <c:v>0</c:v>
                </c:pt>
              </c:numCache>
            </c:numRef>
          </c:val>
          <c:extLst>
            <c:ext xmlns:c16="http://schemas.microsoft.com/office/drawing/2014/chart" uri="{C3380CC4-5D6E-409C-BE32-E72D297353CC}">
              <c16:uniqueId val="{0000000A-E412-4863-9619-EC590E94FFDE}"/>
            </c:ext>
          </c:extLst>
        </c:ser>
        <c:ser>
          <c:idx val="42"/>
          <c:order val="11"/>
          <c:tx>
            <c:strRef>
              <c:f>'Charges individuel'!$N$4</c:f>
              <c:strCache>
                <c:ptCount val="1"/>
                <c:pt idx="0">
                  <c:v>KONATE Mamadou</c:v>
                </c:pt>
              </c:strCache>
            </c:strRef>
          </c:tx>
          <c:spPr>
            <a:solidFill>
              <a:schemeClr val="accent1">
                <a:lumMod val="70000"/>
              </a:schemeClr>
            </a:solidFill>
            <a:ln>
              <a:noFill/>
            </a:ln>
            <a:effectLst/>
          </c:spPr>
          <c:invertIfNegative val="0"/>
          <c:val>
            <c:numRef>
              <c:f>'Charges individuel'!$N$150</c:f>
              <c:numCache>
                <c:formatCode>#,##0</c:formatCode>
                <c:ptCount val="1"/>
                <c:pt idx="0">
                  <c:v>0</c:v>
                </c:pt>
              </c:numCache>
            </c:numRef>
          </c:val>
          <c:extLst>
            <c:ext xmlns:c16="http://schemas.microsoft.com/office/drawing/2014/chart" uri="{C3380CC4-5D6E-409C-BE32-E72D297353CC}">
              <c16:uniqueId val="{0000000B-E412-4863-9619-EC590E94FFDE}"/>
            </c:ext>
          </c:extLst>
        </c:ser>
        <c:ser>
          <c:idx val="43"/>
          <c:order val="12"/>
          <c:tx>
            <c:strRef>
              <c:f>'Charges individuel'!$O$4</c:f>
              <c:strCache>
                <c:ptCount val="1"/>
                <c:pt idx="0">
                  <c:v>LECOUFFE Hugo</c:v>
                </c:pt>
              </c:strCache>
            </c:strRef>
          </c:tx>
          <c:spPr>
            <a:solidFill>
              <a:schemeClr val="accent2">
                <a:lumMod val="70000"/>
              </a:schemeClr>
            </a:solidFill>
            <a:ln>
              <a:noFill/>
            </a:ln>
            <a:effectLst/>
          </c:spPr>
          <c:invertIfNegative val="0"/>
          <c:val>
            <c:numRef>
              <c:f>'Charges individuel'!$O$150</c:f>
              <c:numCache>
                <c:formatCode>#,##0</c:formatCode>
                <c:ptCount val="1"/>
                <c:pt idx="0">
                  <c:v>0</c:v>
                </c:pt>
              </c:numCache>
            </c:numRef>
          </c:val>
          <c:extLst>
            <c:ext xmlns:c16="http://schemas.microsoft.com/office/drawing/2014/chart" uri="{C3380CC4-5D6E-409C-BE32-E72D297353CC}">
              <c16:uniqueId val="{0000000C-E412-4863-9619-EC590E94FFDE}"/>
            </c:ext>
          </c:extLst>
        </c:ser>
        <c:ser>
          <c:idx val="44"/>
          <c:order val="13"/>
          <c:tx>
            <c:strRef>
              <c:f>'Charges individuel'!$P$4</c:f>
              <c:strCache>
                <c:ptCount val="1"/>
                <c:pt idx="0">
                  <c:v>LEFRANC Nathan</c:v>
                </c:pt>
              </c:strCache>
            </c:strRef>
          </c:tx>
          <c:spPr>
            <a:solidFill>
              <a:schemeClr val="accent3">
                <a:lumMod val="70000"/>
              </a:schemeClr>
            </a:solidFill>
            <a:ln>
              <a:noFill/>
            </a:ln>
            <a:effectLst/>
          </c:spPr>
          <c:invertIfNegative val="0"/>
          <c:val>
            <c:numRef>
              <c:f>'Charges individuel'!$P$150</c:f>
              <c:numCache>
                <c:formatCode>#,##0</c:formatCode>
                <c:ptCount val="1"/>
                <c:pt idx="0">
                  <c:v>0</c:v>
                </c:pt>
              </c:numCache>
            </c:numRef>
          </c:val>
          <c:extLst>
            <c:ext xmlns:c16="http://schemas.microsoft.com/office/drawing/2014/chart" uri="{C3380CC4-5D6E-409C-BE32-E72D297353CC}">
              <c16:uniqueId val="{0000000D-E412-4863-9619-EC590E94FFDE}"/>
            </c:ext>
          </c:extLst>
        </c:ser>
        <c:ser>
          <c:idx val="45"/>
          <c:order val="14"/>
          <c:tx>
            <c:strRef>
              <c:f>'Charges individuel'!$Q$4</c:f>
              <c:strCache>
                <c:ptCount val="1"/>
                <c:pt idx="0">
                  <c:v>MASSOUSSI Elie</c:v>
                </c:pt>
              </c:strCache>
            </c:strRef>
          </c:tx>
          <c:spPr>
            <a:solidFill>
              <a:schemeClr val="accent4">
                <a:lumMod val="70000"/>
              </a:schemeClr>
            </a:solidFill>
            <a:ln>
              <a:noFill/>
            </a:ln>
            <a:effectLst/>
          </c:spPr>
          <c:invertIfNegative val="0"/>
          <c:val>
            <c:numRef>
              <c:f>'Charges individuel'!$Q$150</c:f>
              <c:numCache>
                <c:formatCode>#,##0</c:formatCode>
                <c:ptCount val="1"/>
                <c:pt idx="0">
                  <c:v>0</c:v>
                </c:pt>
              </c:numCache>
            </c:numRef>
          </c:val>
          <c:extLst>
            <c:ext xmlns:c16="http://schemas.microsoft.com/office/drawing/2014/chart" uri="{C3380CC4-5D6E-409C-BE32-E72D297353CC}">
              <c16:uniqueId val="{0000000E-E412-4863-9619-EC590E94FFDE}"/>
            </c:ext>
          </c:extLst>
        </c:ser>
        <c:ser>
          <c:idx val="46"/>
          <c:order val="15"/>
          <c:tx>
            <c:strRef>
              <c:f>'Charges individuel'!$R$4</c:f>
              <c:strCache>
                <c:ptCount val="1"/>
                <c:pt idx="0">
                  <c:v>NGOUABI Yoann</c:v>
                </c:pt>
              </c:strCache>
            </c:strRef>
          </c:tx>
          <c:spPr>
            <a:solidFill>
              <a:schemeClr val="accent5">
                <a:lumMod val="70000"/>
              </a:schemeClr>
            </a:solidFill>
            <a:ln>
              <a:noFill/>
            </a:ln>
            <a:effectLst/>
          </c:spPr>
          <c:invertIfNegative val="0"/>
          <c:val>
            <c:numRef>
              <c:f>'Charges individuel'!$R$150</c:f>
              <c:numCache>
                <c:formatCode>#,##0</c:formatCode>
                <c:ptCount val="1"/>
                <c:pt idx="0">
                  <c:v>0</c:v>
                </c:pt>
              </c:numCache>
            </c:numRef>
          </c:val>
          <c:extLst>
            <c:ext xmlns:c16="http://schemas.microsoft.com/office/drawing/2014/chart" uri="{C3380CC4-5D6E-409C-BE32-E72D297353CC}">
              <c16:uniqueId val="{0000000F-E412-4863-9619-EC590E94FFDE}"/>
            </c:ext>
          </c:extLst>
        </c:ser>
        <c:ser>
          <c:idx val="47"/>
          <c:order val="16"/>
          <c:tx>
            <c:strRef>
              <c:f>'Charges individuel'!$S$4</c:f>
              <c:strCache>
                <c:ptCount val="1"/>
                <c:pt idx="0">
                  <c:v>PLANET Mathis</c:v>
                </c:pt>
              </c:strCache>
            </c:strRef>
          </c:tx>
          <c:spPr>
            <a:solidFill>
              <a:schemeClr val="accent6">
                <a:lumMod val="70000"/>
              </a:schemeClr>
            </a:solidFill>
            <a:ln>
              <a:noFill/>
            </a:ln>
            <a:effectLst/>
          </c:spPr>
          <c:invertIfNegative val="0"/>
          <c:val>
            <c:numRef>
              <c:f>'Charges individuel'!$S$150</c:f>
              <c:numCache>
                <c:formatCode>#,##0</c:formatCode>
                <c:ptCount val="1"/>
                <c:pt idx="0">
                  <c:v>0</c:v>
                </c:pt>
              </c:numCache>
            </c:numRef>
          </c:val>
          <c:extLst>
            <c:ext xmlns:c16="http://schemas.microsoft.com/office/drawing/2014/chart" uri="{C3380CC4-5D6E-409C-BE32-E72D297353CC}">
              <c16:uniqueId val="{00000010-E412-4863-9619-EC590E94FFDE}"/>
            </c:ext>
          </c:extLst>
        </c:ser>
        <c:ser>
          <c:idx val="48"/>
          <c:order val="17"/>
          <c:tx>
            <c:strRef>
              <c:f>'Charges individuel'!$T$4</c:f>
              <c:strCache>
                <c:ptCount val="1"/>
                <c:pt idx="0">
                  <c:v>PRONNIER Nicolas</c:v>
                </c:pt>
              </c:strCache>
            </c:strRef>
          </c:tx>
          <c:spPr>
            <a:solidFill>
              <a:schemeClr val="accent1">
                <a:lumMod val="50000"/>
                <a:lumOff val="50000"/>
              </a:schemeClr>
            </a:solidFill>
            <a:ln>
              <a:noFill/>
            </a:ln>
            <a:effectLst/>
          </c:spPr>
          <c:invertIfNegative val="0"/>
          <c:val>
            <c:numRef>
              <c:f>'Charges individuel'!$T$150</c:f>
              <c:numCache>
                <c:formatCode>#,##0</c:formatCode>
                <c:ptCount val="1"/>
                <c:pt idx="0">
                  <c:v>0</c:v>
                </c:pt>
              </c:numCache>
            </c:numRef>
          </c:val>
          <c:extLst>
            <c:ext xmlns:c16="http://schemas.microsoft.com/office/drawing/2014/chart" uri="{C3380CC4-5D6E-409C-BE32-E72D297353CC}">
              <c16:uniqueId val="{00000011-E412-4863-9619-EC590E94FFDE}"/>
            </c:ext>
          </c:extLst>
        </c:ser>
        <c:ser>
          <c:idx val="49"/>
          <c:order val="18"/>
          <c:tx>
            <c:strRef>
              <c:f>'Charges individuel'!$U$4</c:f>
              <c:strCache>
                <c:ptCount val="1"/>
                <c:pt idx="0">
                  <c:v>STIOUET Reda</c:v>
                </c:pt>
              </c:strCache>
            </c:strRef>
          </c:tx>
          <c:spPr>
            <a:solidFill>
              <a:schemeClr val="accent2">
                <a:lumMod val="50000"/>
                <a:lumOff val="50000"/>
              </a:schemeClr>
            </a:solidFill>
            <a:ln>
              <a:noFill/>
            </a:ln>
            <a:effectLst/>
          </c:spPr>
          <c:invertIfNegative val="0"/>
          <c:val>
            <c:numRef>
              <c:f>'Charges individuel'!$U$150</c:f>
              <c:numCache>
                <c:formatCode>#,##0</c:formatCode>
                <c:ptCount val="1"/>
                <c:pt idx="0">
                  <c:v>0</c:v>
                </c:pt>
              </c:numCache>
            </c:numRef>
          </c:val>
          <c:extLst>
            <c:ext xmlns:c16="http://schemas.microsoft.com/office/drawing/2014/chart" uri="{C3380CC4-5D6E-409C-BE32-E72D297353CC}">
              <c16:uniqueId val="{00000012-E412-4863-9619-EC590E94FFDE}"/>
            </c:ext>
          </c:extLst>
        </c:ser>
        <c:ser>
          <c:idx val="50"/>
          <c:order val="19"/>
          <c:tx>
            <c:strRef>
              <c:f>'Charges individuel'!$V$4</c:f>
              <c:strCache>
                <c:ptCount val="1"/>
                <c:pt idx="0">
                  <c:v>ZERDEB Said</c:v>
                </c:pt>
              </c:strCache>
            </c:strRef>
          </c:tx>
          <c:spPr>
            <a:solidFill>
              <a:schemeClr val="accent3">
                <a:lumMod val="50000"/>
                <a:lumOff val="50000"/>
              </a:schemeClr>
            </a:solidFill>
            <a:ln>
              <a:noFill/>
            </a:ln>
            <a:effectLst/>
          </c:spPr>
          <c:invertIfNegative val="0"/>
          <c:val>
            <c:numRef>
              <c:f>'Charges individuel'!$V$150</c:f>
              <c:numCache>
                <c:formatCode>#,##0</c:formatCode>
                <c:ptCount val="1"/>
                <c:pt idx="0">
                  <c:v>0</c:v>
                </c:pt>
              </c:numCache>
            </c:numRef>
          </c:val>
          <c:extLst>
            <c:ext xmlns:c16="http://schemas.microsoft.com/office/drawing/2014/chart" uri="{C3380CC4-5D6E-409C-BE32-E72D297353CC}">
              <c16:uniqueId val="{00000013-E412-4863-9619-EC590E94FFDE}"/>
            </c:ext>
          </c:extLst>
        </c:ser>
        <c:ser>
          <c:idx val="51"/>
          <c:order val="20"/>
          <c:tx>
            <c:strRef>
              <c:f>'Charges individuel'!$W$4</c:f>
              <c:strCache>
                <c:ptCount val="1"/>
                <c:pt idx="0">
                  <c:v>OSSENI Farouk</c:v>
                </c:pt>
              </c:strCache>
            </c:strRef>
          </c:tx>
          <c:spPr>
            <a:solidFill>
              <a:schemeClr val="accent4">
                <a:lumMod val="50000"/>
                <a:lumOff val="50000"/>
              </a:schemeClr>
            </a:solidFill>
            <a:ln>
              <a:noFill/>
            </a:ln>
            <a:effectLst/>
          </c:spPr>
          <c:invertIfNegative val="0"/>
          <c:val>
            <c:numRef>
              <c:f>'Charges individuel'!$W$150</c:f>
              <c:numCache>
                <c:formatCode>#,##0</c:formatCode>
                <c:ptCount val="1"/>
                <c:pt idx="0">
                  <c:v>0</c:v>
                </c:pt>
              </c:numCache>
            </c:numRef>
          </c:val>
          <c:extLst>
            <c:ext xmlns:c16="http://schemas.microsoft.com/office/drawing/2014/chart" uri="{C3380CC4-5D6E-409C-BE32-E72D297353CC}">
              <c16:uniqueId val="{00000014-E412-4863-9619-EC590E94FFDE}"/>
            </c:ext>
          </c:extLst>
        </c:ser>
        <c:ser>
          <c:idx val="52"/>
          <c:order val="21"/>
          <c:tx>
            <c:strRef>
              <c:f>'Charges individuel'!$X$4</c:f>
              <c:strCache>
                <c:ptCount val="1"/>
                <c:pt idx="0">
                  <c:v>0</c:v>
                </c:pt>
              </c:strCache>
            </c:strRef>
          </c:tx>
          <c:spPr>
            <a:solidFill>
              <a:schemeClr val="accent5">
                <a:lumMod val="50000"/>
                <a:lumOff val="50000"/>
              </a:schemeClr>
            </a:solidFill>
            <a:ln>
              <a:noFill/>
            </a:ln>
            <a:effectLst/>
          </c:spPr>
          <c:invertIfNegative val="0"/>
          <c:val>
            <c:numRef>
              <c:f>'Charges individuel'!$X$150</c:f>
              <c:numCache>
                <c:formatCode>#,##0</c:formatCode>
                <c:ptCount val="1"/>
                <c:pt idx="0">
                  <c:v>0</c:v>
                </c:pt>
              </c:numCache>
            </c:numRef>
          </c:val>
          <c:extLst>
            <c:ext xmlns:c16="http://schemas.microsoft.com/office/drawing/2014/chart" uri="{C3380CC4-5D6E-409C-BE32-E72D297353CC}">
              <c16:uniqueId val="{00000015-E412-4863-9619-EC590E94FFDE}"/>
            </c:ext>
          </c:extLst>
        </c:ser>
        <c:ser>
          <c:idx val="53"/>
          <c:order val="22"/>
          <c:tx>
            <c:strRef>
              <c:f>'Charges individuel'!$Y$4</c:f>
              <c:strCache>
                <c:ptCount val="1"/>
                <c:pt idx="0">
                  <c:v>0</c:v>
                </c:pt>
              </c:strCache>
            </c:strRef>
          </c:tx>
          <c:spPr>
            <a:solidFill>
              <a:schemeClr val="accent6">
                <a:lumMod val="50000"/>
                <a:lumOff val="50000"/>
              </a:schemeClr>
            </a:solidFill>
            <a:ln>
              <a:noFill/>
            </a:ln>
            <a:effectLst/>
          </c:spPr>
          <c:invertIfNegative val="0"/>
          <c:val>
            <c:numRef>
              <c:f>'Charges individuel'!$Y$150</c:f>
              <c:numCache>
                <c:formatCode>#,##0</c:formatCode>
                <c:ptCount val="1"/>
                <c:pt idx="0">
                  <c:v>0</c:v>
                </c:pt>
              </c:numCache>
            </c:numRef>
          </c:val>
          <c:extLst>
            <c:ext xmlns:c16="http://schemas.microsoft.com/office/drawing/2014/chart" uri="{C3380CC4-5D6E-409C-BE32-E72D297353CC}">
              <c16:uniqueId val="{00000016-E412-4863-9619-EC590E94FFDE}"/>
            </c:ext>
          </c:extLst>
        </c:ser>
        <c:ser>
          <c:idx val="54"/>
          <c:order val="23"/>
          <c:tx>
            <c:strRef>
              <c:f>'Charges individuel'!$Z$4</c:f>
              <c:strCache>
                <c:ptCount val="1"/>
                <c:pt idx="0">
                  <c:v>0</c:v>
                </c:pt>
              </c:strCache>
            </c:strRef>
          </c:tx>
          <c:spPr>
            <a:solidFill>
              <a:schemeClr val="accent1"/>
            </a:solidFill>
            <a:ln>
              <a:noFill/>
            </a:ln>
            <a:effectLst/>
          </c:spPr>
          <c:invertIfNegative val="0"/>
          <c:val>
            <c:numRef>
              <c:f>'Charges individuel'!$Z$150</c:f>
              <c:numCache>
                <c:formatCode>#,##0</c:formatCode>
                <c:ptCount val="1"/>
                <c:pt idx="0">
                  <c:v>0</c:v>
                </c:pt>
              </c:numCache>
            </c:numRef>
          </c:val>
          <c:extLst>
            <c:ext xmlns:c16="http://schemas.microsoft.com/office/drawing/2014/chart" uri="{C3380CC4-5D6E-409C-BE32-E72D297353CC}">
              <c16:uniqueId val="{00000017-E412-4863-9619-EC590E94FFDE}"/>
            </c:ext>
          </c:extLst>
        </c:ser>
        <c:ser>
          <c:idx val="55"/>
          <c:order val="24"/>
          <c:tx>
            <c:strRef>
              <c:f>'Charges individuel'!$AA$4</c:f>
              <c:strCache>
                <c:ptCount val="1"/>
                <c:pt idx="0">
                  <c:v>0</c:v>
                </c:pt>
              </c:strCache>
            </c:strRef>
          </c:tx>
          <c:spPr>
            <a:solidFill>
              <a:schemeClr val="accent2"/>
            </a:solidFill>
            <a:ln>
              <a:noFill/>
            </a:ln>
            <a:effectLst/>
          </c:spPr>
          <c:invertIfNegative val="0"/>
          <c:val>
            <c:numRef>
              <c:f>'Charges individuel'!$AA$150</c:f>
              <c:numCache>
                <c:formatCode>#,##0</c:formatCode>
                <c:ptCount val="1"/>
                <c:pt idx="0">
                  <c:v>0</c:v>
                </c:pt>
              </c:numCache>
            </c:numRef>
          </c:val>
          <c:extLst>
            <c:ext xmlns:c16="http://schemas.microsoft.com/office/drawing/2014/chart" uri="{C3380CC4-5D6E-409C-BE32-E72D297353CC}">
              <c16:uniqueId val="{00000018-E412-4863-9619-EC590E94FFDE}"/>
            </c:ext>
          </c:extLst>
        </c:ser>
        <c:ser>
          <c:idx val="56"/>
          <c:order val="25"/>
          <c:tx>
            <c:strRef>
              <c:f>'Charges individuel'!$AB$4</c:f>
              <c:strCache>
                <c:ptCount val="1"/>
                <c:pt idx="0">
                  <c:v>0</c:v>
                </c:pt>
              </c:strCache>
            </c:strRef>
          </c:tx>
          <c:spPr>
            <a:solidFill>
              <a:schemeClr val="accent3"/>
            </a:solidFill>
            <a:ln>
              <a:noFill/>
            </a:ln>
            <a:effectLst/>
          </c:spPr>
          <c:invertIfNegative val="0"/>
          <c:val>
            <c:numRef>
              <c:f>'Charges individuel'!$AB$150</c:f>
              <c:numCache>
                <c:formatCode>#,##0</c:formatCode>
                <c:ptCount val="1"/>
                <c:pt idx="0">
                  <c:v>0</c:v>
                </c:pt>
              </c:numCache>
            </c:numRef>
          </c:val>
          <c:extLst>
            <c:ext xmlns:c16="http://schemas.microsoft.com/office/drawing/2014/chart" uri="{C3380CC4-5D6E-409C-BE32-E72D297353CC}">
              <c16:uniqueId val="{00000019-E412-4863-9619-EC590E94FFDE}"/>
            </c:ext>
          </c:extLst>
        </c:ser>
        <c:ser>
          <c:idx val="57"/>
          <c:order val="26"/>
          <c:tx>
            <c:strRef>
              <c:f>'Charges individuel'!$AC$4</c:f>
              <c:strCache>
                <c:ptCount val="1"/>
                <c:pt idx="0">
                  <c:v>0</c:v>
                </c:pt>
              </c:strCache>
            </c:strRef>
          </c:tx>
          <c:spPr>
            <a:solidFill>
              <a:schemeClr val="accent4"/>
            </a:solidFill>
            <a:ln>
              <a:noFill/>
            </a:ln>
            <a:effectLst/>
          </c:spPr>
          <c:invertIfNegative val="0"/>
          <c:val>
            <c:numRef>
              <c:f>'Charges individuel'!$AC$150</c:f>
              <c:numCache>
                <c:formatCode>#,##0</c:formatCode>
                <c:ptCount val="1"/>
                <c:pt idx="0">
                  <c:v>0</c:v>
                </c:pt>
              </c:numCache>
            </c:numRef>
          </c:val>
          <c:extLst>
            <c:ext xmlns:c16="http://schemas.microsoft.com/office/drawing/2014/chart" uri="{C3380CC4-5D6E-409C-BE32-E72D297353CC}">
              <c16:uniqueId val="{0000001A-E412-4863-9619-EC590E94FFDE}"/>
            </c:ext>
          </c:extLst>
        </c:ser>
        <c:ser>
          <c:idx val="58"/>
          <c:order val="27"/>
          <c:tx>
            <c:strRef>
              <c:f>'Charges individuel'!$AD$4</c:f>
              <c:strCache>
                <c:ptCount val="1"/>
                <c:pt idx="0">
                  <c:v>0</c:v>
                </c:pt>
              </c:strCache>
            </c:strRef>
          </c:tx>
          <c:spPr>
            <a:solidFill>
              <a:schemeClr val="accent5"/>
            </a:solidFill>
            <a:ln>
              <a:noFill/>
            </a:ln>
            <a:effectLst/>
          </c:spPr>
          <c:invertIfNegative val="0"/>
          <c:val>
            <c:numRef>
              <c:f>'Charges individuel'!$AD$150</c:f>
              <c:numCache>
                <c:formatCode>#,##0</c:formatCode>
                <c:ptCount val="1"/>
                <c:pt idx="0">
                  <c:v>0</c:v>
                </c:pt>
              </c:numCache>
            </c:numRef>
          </c:val>
          <c:extLst>
            <c:ext xmlns:c16="http://schemas.microsoft.com/office/drawing/2014/chart" uri="{C3380CC4-5D6E-409C-BE32-E72D297353CC}">
              <c16:uniqueId val="{0000001B-E412-4863-9619-EC590E94FFDE}"/>
            </c:ext>
          </c:extLst>
        </c:ser>
        <c:ser>
          <c:idx val="59"/>
          <c:order val="28"/>
          <c:tx>
            <c:strRef>
              <c:f>'Charges individuel'!$AE$4</c:f>
              <c:strCache>
                <c:ptCount val="1"/>
                <c:pt idx="0">
                  <c:v>0</c:v>
                </c:pt>
              </c:strCache>
            </c:strRef>
          </c:tx>
          <c:spPr>
            <a:solidFill>
              <a:schemeClr val="accent6"/>
            </a:solidFill>
            <a:ln>
              <a:noFill/>
            </a:ln>
            <a:effectLst/>
          </c:spPr>
          <c:invertIfNegative val="0"/>
          <c:val>
            <c:numRef>
              <c:f>'Charges individuel'!$AE$150</c:f>
              <c:numCache>
                <c:formatCode>#,##0</c:formatCode>
                <c:ptCount val="1"/>
                <c:pt idx="0">
                  <c:v>0</c:v>
                </c:pt>
              </c:numCache>
            </c:numRef>
          </c:val>
          <c:extLst>
            <c:ext xmlns:c16="http://schemas.microsoft.com/office/drawing/2014/chart" uri="{C3380CC4-5D6E-409C-BE32-E72D297353CC}">
              <c16:uniqueId val="{0000001C-E412-4863-9619-EC590E94FFDE}"/>
            </c:ext>
          </c:extLst>
        </c:ser>
        <c:ser>
          <c:idx val="60"/>
          <c:order val="29"/>
          <c:tx>
            <c:strRef>
              <c:f>'Charges individuel'!$AF$4</c:f>
              <c:strCache>
                <c:ptCount val="1"/>
                <c:pt idx="0">
                  <c:v>0</c:v>
                </c:pt>
              </c:strCache>
            </c:strRef>
          </c:tx>
          <c:spPr>
            <a:solidFill>
              <a:schemeClr val="accent1">
                <a:lumMod val="60000"/>
              </a:schemeClr>
            </a:solidFill>
            <a:ln>
              <a:noFill/>
            </a:ln>
            <a:effectLst/>
          </c:spPr>
          <c:invertIfNegative val="0"/>
          <c:val>
            <c:numRef>
              <c:f>'Charges individuel'!$AF$150</c:f>
              <c:numCache>
                <c:formatCode>#,##0</c:formatCode>
                <c:ptCount val="1"/>
                <c:pt idx="0">
                  <c:v>0</c:v>
                </c:pt>
              </c:numCache>
            </c:numRef>
          </c:val>
          <c:extLst>
            <c:ext xmlns:c16="http://schemas.microsoft.com/office/drawing/2014/chart" uri="{C3380CC4-5D6E-409C-BE32-E72D297353CC}">
              <c16:uniqueId val="{0000001D-E412-4863-9619-EC590E94FFDE}"/>
            </c:ext>
          </c:extLst>
        </c:ser>
        <c:dLbls>
          <c:showLegendKey val="0"/>
          <c:showVal val="0"/>
          <c:showCatName val="0"/>
          <c:showSerName val="0"/>
          <c:showPercent val="0"/>
          <c:showBubbleSize val="0"/>
        </c:dLbls>
        <c:gapWidth val="219"/>
        <c:overlap val="-27"/>
        <c:axId val="1113637616"/>
        <c:axId val="1113639824"/>
      </c:barChart>
      <c:catAx>
        <c:axId val="1113637616"/>
        <c:scaling>
          <c:orientation val="minMax"/>
        </c:scaling>
        <c:delete val="1"/>
        <c:axPos val="b"/>
        <c:majorTickMark val="none"/>
        <c:minorTickMark val="none"/>
        <c:tickLblPos val="nextTo"/>
        <c:crossAx val="1113639824"/>
        <c:crosses val="autoZero"/>
        <c:auto val="1"/>
        <c:lblAlgn val="ctr"/>
        <c:lblOffset val="100"/>
        <c:noMultiLvlLbl val="0"/>
      </c:catAx>
      <c:valAx>
        <c:axId val="1113639824"/>
        <c:scaling>
          <c:orientation val="minMax"/>
        </c:scaling>
        <c:delete val="0"/>
        <c:axPos val="l"/>
        <c:majorGridlines>
          <c:spPr>
            <a:ln w="9525" cap="flat" cmpd="sng" algn="ctr">
              <a:solidFill>
                <a:schemeClr val="tx1">
                  <a:lumMod val="15000"/>
                  <a:lumOff val="85000"/>
                </a:schemeClr>
              </a:solidFill>
              <a:round/>
            </a:ln>
            <a:effectLst/>
          </c:spPr>
        </c:majorGridlines>
        <c:minorGridlines>
          <c:spPr>
            <a:ln w="9525" cap="flat" cmpd="sng" algn="ctr">
              <a:solidFill>
                <a:schemeClr val="tx1">
                  <a:lumMod val="5000"/>
                  <a:lumOff val="95000"/>
                </a:schemeClr>
              </a:solidFill>
              <a:round/>
            </a:ln>
            <a:effectLst/>
          </c:spPr>
        </c:min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fr-FR"/>
          </a:p>
        </c:txPr>
        <c:crossAx val="1113637616"/>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fr-FR"/>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fr-FR"/>
    </a:p>
  </c:txPr>
  <c:printSettings>
    <c:headerFooter/>
    <c:pageMargins b="0.75" l="0.7" r="0.7" t="0.75" header="0.3" footer="0.3"/>
    <c:pageSetup/>
  </c:printSettings>
</c:chartSpace>
</file>

<file path=xl/charts/chart2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fr-FR"/>
  <c:roundedCorners val="0"/>
  <mc:AlternateContent xmlns:mc="http://schemas.openxmlformats.org/markup-compatibility/2006">
    <mc:Choice xmlns:c14="http://schemas.microsoft.com/office/drawing/2007/8/2/chart" Requires="c14">
      <c14:style val="101"/>
    </mc:Choice>
    <mc:Fallback>
      <c:style val="1"/>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US" sz="1600" b="1">
                <a:latin typeface="+mj-lt"/>
              </a:rPr>
              <a:t>Charge de</a:t>
            </a:r>
            <a:r>
              <a:rPr lang="en-US" sz="1600" b="1" baseline="0">
                <a:latin typeface="+mj-lt"/>
              </a:rPr>
              <a:t> la</a:t>
            </a:r>
            <a:r>
              <a:rPr lang="en-US" sz="1600" b="1">
                <a:latin typeface="+mj-lt"/>
              </a:rPr>
              <a:t> semaine</a:t>
            </a: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fr-FR"/>
        </a:p>
      </c:txPr>
    </c:title>
    <c:autoTitleDeleted val="0"/>
    <c:plotArea>
      <c:layout/>
      <c:barChart>
        <c:barDir val="col"/>
        <c:grouping val="clustered"/>
        <c:varyColors val="0"/>
        <c:ser>
          <c:idx val="1"/>
          <c:order val="0"/>
          <c:tx>
            <c:strRef>
              <c:f>'Charges collective'!$H$62</c:f>
              <c:strCache>
                <c:ptCount val="1"/>
                <c:pt idx="0">
                  <c:v>UA</c:v>
                </c:pt>
              </c:strCache>
            </c:strRef>
          </c:tx>
          <c:spPr>
            <a:solidFill>
              <a:schemeClr val="dk1">
                <a:tint val="55000"/>
              </a:schemeClr>
            </a:solidFill>
            <a:ln>
              <a:noFill/>
            </a:ln>
            <a:effectLst/>
          </c:spPr>
          <c:invertIfNegative val="0"/>
          <c:cat>
            <c:strRef>
              <c:f>'Charges collective'!$I$60:$O$60</c:f>
              <c:strCache>
                <c:ptCount val="7"/>
                <c:pt idx="0">
                  <c:v>LUNDI</c:v>
                </c:pt>
                <c:pt idx="1">
                  <c:v>MARDI</c:v>
                </c:pt>
                <c:pt idx="2">
                  <c:v>MERCREDI</c:v>
                </c:pt>
                <c:pt idx="3">
                  <c:v>JEUDI</c:v>
                </c:pt>
                <c:pt idx="4">
                  <c:v>VENDREDI</c:v>
                </c:pt>
                <c:pt idx="5">
                  <c:v>SAMEDI</c:v>
                </c:pt>
                <c:pt idx="6">
                  <c:v>DIMANCHE</c:v>
                </c:pt>
              </c:strCache>
            </c:strRef>
          </c:cat>
          <c:val>
            <c:numRef>
              <c:f>'Charges collective'!$I$62:$O$62</c:f>
              <c:numCache>
                <c:formatCode>0</c:formatCode>
                <c:ptCount val="7"/>
                <c:pt idx="1">
                  <c:v>275</c:v>
                </c:pt>
                <c:pt idx="3">
                  <c:v>360</c:v>
                </c:pt>
                <c:pt idx="4">
                  <c:v>121</c:v>
                </c:pt>
                <c:pt idx="6">
                  <c:v>559</c:v>
                </c:pt>
              </c:numCache>
            </c:numRef>
          </c:val>
          <c:extLst>
            <c:ext xmlns:c16="http://schemas.microsoft.com/office/drawing/2014/chart" uri="{C3380CC4-5D6E-409C-BE32-E72D297353CC}">
              <c16:uniqueId val="{00000000-CDE5-4F27-9F72-4F01E3C867DA}"/>
            </c:ext>
          </c:extLst>
        </c:ser>
        <c:dLbls>
          <c:showLegendKey val="0"/>
          <c:showVal val="0"/>
          <c:showCatName val="0"/>
          <c:showSerName val="0"/>
          <c:showPercent val="0"/>
          <c:showBubbleSize val="0"/>
        </c:dLbls>
        <c:gapWidth val="219"/>
        <c:overlap val="-27"/>
        <c:axId val="1113682832"/>
        <c:axId val="1113685584"/>
      </c:barChart>
      <c:catAx>
        <c:axId val="1113682832"/>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fr-FR"/>
          </a:p>
        </c:txPr>
        <c:crossAx val="1113685584"/>
        <c:crosses val="autoZero"/>
        <c:auto val="1"/>
        <c:lblAlgn val="ctr"/>
        <c:lblOffset val="100"/>
        <c:noMultiLvlLbl val="0"/>
      </c:catAx>
      <c:valAx>
        <c:axId val="1113685584"/>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fr-FR"/>
          </a:p>
        </c:txPr>
        <c:crossAx val="1113682832"/>
        <c:crosses val="autoZero"/>
        <c:crossBetween val="between"/>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fr-FR"/>
    </a:p>
  </c:txPr>
  <c:printSettings>
    <c:headerFooter/>
    <c:pageMargins b="0.75" l="0.7" r="0.7" t="0.75" header="0.3" footer="0.3"/>
    <c:pageSetup/>
  </c:printSettings>
</c:chartSpace>
</file>

<file path=xl/charts/chart2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fr-FR"/>
  <c:roundedCorners val="0"/>
  <mc:AlternateContent xmlns:mc="http://schemas.openxmlformats.org/markup-compatibility/2006">
    <mc:Choice xmlns:c14="http://schemas.microsoft.com/office/drawing/2007/8/2/chart" Requires="c14">
      <c14:style val="101"/>
    </mc:Choice>
    <mc:Fallback>
      <c:style val="1"/>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fr-FR" sz="1600" b="1">
                <a:solidFill>
                  <a:schemeClr val="tx2">
                    <a:lumMod val="65000"/>
                    <a:lumOff val="35000"/>
                  </a:schemeClr>
                </a:solidFill>
                <a:latin typeface="+mj-lt"/>
              </a:rPr>
              <a:t>Charges par</a:t>
            </a:r>
            <a:r>
              <a:rPr lang="fr-FR" sz="1600" b="1" baseline="0">
                <a:solidFill>
                  <a:schemeClr val="tx2">
                    <a:lumMod val="65000"/>
                    <a:lumOff val="35000"/>
                  </a:schemeClr>
                </a:solidFill>
                <a:latin typeface="+mj-lt"/>
              </a:rPr>
              <a:t> </a:t>
            </a:r>
            <a:r>
              <a:rPr lang="fr-FR" sz="1600" b="1">
                <a:solidFill>
                  <a:schemeClr val="tx2">
                    <a:lumMod val="65000"/>
                    <a:lumOff val="35000"/>
                  </a:schemeClr>
                </a:solidFill>
                <a:latin typeface="+mj-lt"/>
              </a:rPr>
              <a:t>entrainements</a:t>
            </a: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fr-FR"/>
        </a:p>
      </c:txPr>
    </c:title>
    <c:autoTitleDeleted val="0"/>
    <c:plotArea>
      <c:layout/>
      <c:barChart>
        <c:barDir val="col"/>
        <c:grouping val="clustered"/>
        <c:varyColors val="0"/>
        <c:ser>
          <c:idx val="0"/>
          <c:order val="0"/>
          <c:tx>
            <c:v>Charge</c:v>
          </c:tx>
          <c:spPr>
            <a:solidFill>
              <a:schemeClr val="dk1">
                <a:tint val="88500"/>
              </a:schemeClr>
            </a:solidFill>
            <a:ln>
              <a:noFill/>
            </a:ln>
            <a:effectLst/>
          </c:spPr>
          <c:invertIfNegative val="0"/>
          <c:cat>
            <c:strRef>
              <c:f>'Charges collective'!$B$11:$B$141</c:f>
              <c:strCache>
                <c:ptCount val="24"/>
                <c:pt idx="0">
                  <c:v>06/08/2018</c:v>
                </c:pt>
                <c:pt idx="1">
                  <c:v>07/08/2018</c:v>
                </c:pt>
                <c:pt idx="2">
                  <c:v>09/08/2018</c:v>
                </c:pt>
                <c:pt idx="3">
                  <c:v>10/08/2018</c:v>
                </c:pt>
                <c:pt idx="4">
                  <c:v>13/08/2018</c:v>
                </c:pt>
                <c:pt idx="5">
                  <c:v>14/08/2018</c:v>
                </c:pt>
                <c:pt idx="6">
                  <c:v>15/08/2018</c:v>
                </c:pt>
                <c:pt idx="7">
                  <c:v>16/08/2018</c:v>
                </c:pt>
                <c:pt idx="8">
                  <c:v>17/08/2018</c:v>
                </c:pt>
                <c:pt idx="9">
                  <c:v>18/08/2018</c:v>
                </c:pt>
                <c:pt idx="10">
                  <c:v>20/08/2018</c:v>
                </c:pt>
                <c:pt idx="11">
                  <c:v>21/08/2018</c:v>
                </c:pt>
                <c:pt idx="12">
                  <c:v>23/08/2018</c:v>
                </c:pt>
                <c:pt idx="13">
                  <c:v>24/08/2018</c:v>
                </c:pt>
                <c:pt idx="14">
                  <c:v>27/08/2018</c:v>
                </c:pt>
                <c:pt idx="15">
                  <c:v>28/08/2018</c:v>
                </c:pt>
                <c:pt idx="16">
                  <c:v>30/08/2018</c:v>
                </c:pt>
                <c:pt idx="17">
                  <c:v>31/08/2018</c:v>
                </c:pt>
                <c:pt idx="18">
                  <c:v>04/09/2018</c:v>
                </c:pt>
                <c:pt idx="19">
                  <c:v>06/09/2018</c:v>
                </c:pt>
                <c:pt idx="20">
                  <c:v>07/09/2018</c:v>
                </c:pt>
                <c:pt idx="21">
                  <c:v>11/09/2018</c:v>
                </c:pt>
                <c:pt idx="22">
                  <c:v>14/09/2018</c:v>
                </c:pt>
                <c:pt idx="23">
                  <c:v>15/09/2018</c:v>
                </c:pt>
              </c:strCache>
            </c:strRef>
          </c:cat>
          <c:val>
            <c:numRef>
              <c:f>'Charges collective'!$E$11:$E$141</c:f>
              <c:numCache>
                <c:formatCode>0</c:formatCode>
                <c:ptCount val="131"/>
                <c:pt idx="0">
                  <c:v>357.33333333333331</c:v>
                </c:pt>
                <c:pt idx="1">
                  <c:v>296.22222222222223</c:v>
                </c:pt>
                <c:pt idx="2">
                  <c:v>240</c:v>
                </c:pt>
                <c:pt idx="3">
                  <c:v>387.5</c:v>
                </c:pt>
                <c:pt idx="4">
                  <c:v>349.36363636363637</c:v>
                </c:pt>
                <c:pt idx="5">
                  <c:v>331.33333333333337</c:v>
                </c:pt>
                <c:pt idx="6">
                  <c:v>188.57142857142856</c:v>
                </c:pt>
                <c:pt idx="7">
                  <c:v>278.30769230769232</c:v>
                </c:pt>
                <c:pt idx="8">
                  <c:v>341.59999999999997</c:v>
                </c:pt>
                <c:pt idx="9">
                  <c:v>274.16666666666663</c:v>
                </c:pt>
                <c:pt idx="10">
                  <c:v>507.64285714285711</c:v>
                </c:pt>
                <c:pt idx="11">
                  <c:v>273.07692307692309</c:v>
                </c:pt>
                <c:pt idx="12">
                  <c:v>145.35714285714286</c:v>
                </c:pt>
                <c:pt idx="13">
                  <c:v>242.94117647058823</c:v>
                </c:pt>
                <c:pt idx="14">
                  <c:v>328.53333333333336</c:v>
                </c:pt>
                <c:pt idx="15">
                  <c:v>275.29411764705878</c:v>
                </c:pt>
                <c:pt idx="16">
                  <c:v>262.2</c:v>
                </c:pt>
                <c:pt idx="17">
                  <c:v>184.375</c:v>
                </c:pt>
                <c:pt idx="18">
                  <c:v>278.57142857142856</c:v>
                </c:pt>
                <c:pt idx="19">
                  <c:v>291.66666666666669</c:v>
                </c:pt>
                <c:pt idx="20">
                  <c:v>150</c:v>
                </c:pt>
                <c:pt idx="21">
                  <c:v>275</c:v>
                </c:pt>
                <c:pt idx="22">
                  <c:v>340.4</c:v>
                </c:pt>
                <c:pt idx="23">
                  <c:v>121.09090909090909</c:v>
                </c:pt>
                <c:pt idx="24">
                  <c:v>0</c:v>
                </c:pt>
                <c:pt idx="25">
                  <c:v>0</c:v>
                </c:pt>
                <c:pt idx="26">
                  <c:v>0</c:v>
                </c:pt>
                <c:pt idx="27">
                  <c:v>0</c:v>
                </c:pt>
                <c:pt idx="28">
                  <c:v>0</c:v>
                </c:pt>
                <c:pt idx="29">
                  <c:v>0</c:v>
                </c:pt>
                <c:pt idx="30">
                  <c:v>0</c:v>
                </c:pt>
                <c:pt idx="31">
                  <c:v>0</c:v>
                </c:pt>
                <c:pt idx="32">
                  <c:v>0</c:v>
                </c:pt>
                <c:pt idx="33">
                  <c:v>0</c:v>
                </c:pt>
                <c:pt idx="34">
                  <c:v>0</c:v>
                </c:pt>
                <c:pt idx="35">
                  <c:v>0</c:v>
                </c:pt>
                <c:pt idx="36">
                  <c:v>0</c:v>
                </c:pt>
                <c:pt idx="37">
                  <c:v>0</c:v>
                </c:pt>
                <c:pt idx="38">
                  <c:v>0</c:v>
                </c:pt>
                <c:pt idx="39">
                  <c:v>0</c:v>
                </c:pt>
                <c:pt idx="40">
                  <c:v>0</c:v>
                </c:pt>
                <c:pt idx="41">
                  <c:v>0</c:v>
                </c:pt>
                <c:pt idx="42">
                  <c:v>0</c:v>
                </c:pt>
                <c:pt idx="43">
                  <c:v>0</c:v>
                </c:pt>
                <c:pt idx="44">
                  <c:v>0</c:v>
                </c:pt>
                <c:pt idx="45">
                  <c:v>0</c:v>
                </c:pt>
                <c:pt idx="46">
                  <c:v>0</c:v>
                </c:pt>
                <c:pt idx="47">
                  <c:v>0</c:v>
                </c:pt>
                <c:pt idx="48">
                  <c:v>0</c:v>
                </c:pt>
                <c:pt idx="49">
                  <c:v>0</c:v>
                </c:pt>
                <c:pt idx="50">
                  <c:v>0</c:v>
                </c:pt>
                <c:pt idx="51">
                  <c:v>0</c:v>
                </c:pt>
                <c:pt idx="52">
                  <c:v>0</c:v>
                </c:pt>
                <c:pt idx="53">
                  <c:v>0</c:v>
                </c:pt>
                <c:pt idx="54">
                  <c:v>0</c:v>
                </c:pt>
                <c:pt idx="55">
                  <c:v>0</c:v>
                </c:pt>
                <c:pt idx="56">
                  <c:v>0</c:v>
                </c:pt>
                <c:pt idx="57">
                  <c:v>0</c:v>
                </c:pt>
                <c:pt idx="58">
                  <c:v>0</c:v>
                </c:pt>
                <c:pt idx="59">
                  <c:v>0</c:v>
                </c:pt>
                <c:pt idx="60">
                  <c:v>0</c:v>
                </c:pt>
                <c:pt idx="61">
                  <c:v>0</c:v>
                </c:pt>
                <c:pt idx="62">
                  <c:v>0</c:v>
                </c:pt>
                <c:pt idx="63">
                  <c:v>0</c:v>
                </c:pt>
                <c:pt idx="64">
                  <c:v>0</c:v>
                </c:pt>
                <c:pt idx="65">
                  <c:v>0</c:v>
                </c:pt>
                <c:pt idx="66">
                  <c:v>0</c:v>
                </c:pt>
                <c:pt idx="67">
                  <c:v>0</c:v>
                </c:pt>
                <c:pt idx="68">
                  <c:v>0</c:v>
                </c:pt>
                <c:pt idx="69">
                  <c:v>0</c:v>
                </c:pt>
                <c:pt idx="70">
                  <c:v>0</c:v>
                </c:pt>
                <c:pt idx="71">
                  <c:v>0</c:v>
                </c:pt>
                <c:pt idx="72">
                  <c:v>0</c:v>
                </c:pt>
                <c:pt idx="73">
                  <c:v>0</c:v>
                </c:pt>
                <c:pt idx="74">
                  <c:v>0</c:v>
                </c:pt>
                <c:pt idx="75">
                  <c:v>0</c:v>
                </c:pt>
                <c:pt idx="76">
                  <c:v>0</c:v>
                </c:pt>
                <c:pt idx="77">
                  <c:v>0</c:v>
                </c:pt>
                <c:pt idx="78">
                  <c:v>0</c:v>
                </c:pt>
                <c:pt idx="79">
                  <c:v>0</c:v>
                </c:pt>
                <c:pt idx="80">
                  <c:v>0</c:v>
                </c:pt>
                <c:pt idx="81">
                  <c:v>0</c:v>
                </c:pt>
                <c:pt idx="82">
                  <c:v>0</c:v>
                </c:pt>
                <c:pt idx="83">
                  <c:v>0</c:v>
                </c:pt>
                <c:pt idx="84">
                  <c:v>0</c:v>
                </c:pt>
                <c:pt idx="85">
                  <c:v>0</c:v>
                </c:pt>
                <c:pt idx="86">
                  <c:v>0</c:v>
                </c:pt>
                <c:pt idx="87">
                  <c:v>0</c:v>
                </c:pt>
                <c:pt idx="88">
                  <c:v>0</c:v>
                </c:pt>
                <c:pt idx="89">
                  <c:v>0</c:v>
                </c:pt>
                <c:pt idx="90">
                  <c:v>0</c:v>
                </c:pt>
                <c:pt idx="91">
                  <c:v>0</c:v>
                </c:pt>
                <c:pt idx="92">
                  <c:v>0</c:v>
                </c:pt>
                <c:pt idx="93">
                  <c:v>0</c:v>
                </c:pt>
                <c:pt idx="94">
                  <c:v>0</c:v>
                </c:pt>
                <c:pt idx="95">
                  <c:v>0</c:v>
                </c:pt>
                <c:pt idx="96">
                  <c:v>0</c:v>
                </c:pt>
                <c:pt idx="97">
                  <c:v>0</c:v>
                </c:pt>
                <c:pt idx="98">
                  <c:v>0</c:v>
                </c:pt>
                <c:pt idx="99">
                  <c:v>0</c:v>
                </c:pt>
                <c:pt idx="100">
                  <c:v>0</c:v>
                </c:pt>
                <c:pt idx="101">
                  <c:v>0</c:v>
                </c:pt>
                <c:pt idx="102">
                  <c:v>0</c:v>
                </c:pt>
                <c:pt idx="103">
                  <c:v>0</c:v>
                </c:pt>
                <c:pt idx="104">
                  <c:v>0</c:v>
                </c:pt>
                <c:pt idx="105">
                  <c:v>0</c:v>
                </c:pt>
                <c:pt idx="106">
                  <c:v>0</c:v>
                </c:pt>
                <c:pt idx="107">
                  <c:v>0</c:v>
                </c:pt>
                <c:pt idx="108">
                  <c:v>0</c:v>
                </c:pt>
                <c:pt idx="109">
                  <c:v>0</c:v>
                </c:pt>
                <c:pt idx="110">
                  <c:v>0</c:v>
                </c:pt>
                <c:pt idx="111">
                  <c:v>0</c:v>
                </c:pt>
                <c:pt idx="112">
                  <c:v>0</c:v>
                </c:pt>
                <c:pt idx="113">
                  <c:v>0</c:v>
                </c:pt>
                <c:pt idx="114">
                  <c:v>0</c:v>
                </c:pt>
                <c:pt idx="115">
                  <c:v>0</c:v>
                </c:pt>
                <c:pt idx="116">
                  <c:v>0</c:v>
                </c:pt>
                <c:pt idx="117">
                  <c:v>0</c:v>
                </c:pt>
                <c:pt idx="118">
                  <c:v>0</c:v>
                </c:pt>
                <c:pt idx="119">
                  <c:v>0</c:v>
                </c:pt>
                <c:pt idx="120">
                  <c:v>0</c:v>
                </c:pt>
                <c:pt idx="121">
                  <c:v>0</c:v>
                </c:pt>
                <c:pt idx="122">
                  <c:v>0</c:v>
                </c:pt>
                <c:pt idx="123">
                  <c:v>0</c:v>
                </c:pt>
                <c:pt idx="124">
                  <c:v>0</c:v>
                </c:pt>
                <c:pt idx="125">
                  <c:v>0</c:v>
                </c:pt>
                <c:pt idx="126">
                  <c:v>0</c:v>
                </c:pt>
                <c:pt idx="127">
                  <c:v>0</c:v>
                </c:pt>
                <c:pt idx="128">
                  <c:v>0</c:v>
                </c:pt>
                <c:pt idx="129">
                  <c:v>0</c:v>
                </c:pt>
                <c:pt idx="130">
                  <c:v>0</c:v>
                </c:pt>
              </c:numCache>
            </c:numRef>
          </c:val>
          <c:extLst>
            <c:ext xmlns:c16="http://schemas.microsoft.com/office/drawing/2014/chart" uri="{C3380CC4-5D6E-409C-BE32-E72D297353CC}">
              <c16:uniqueId val="{00000000-4B73-4F91-A9E9-6B767881BF85}"/>
            </c:ext>
          </c:extLst>
        </c:ser>
        <c:dLbls>
          <c:showLegendKey val="0"/>
          <c:showVal val="0"/>
          <c:showCatName val="0"/>
          <c:showSerName val="0"/>
          <c:showPercent val="0"/>
          <c:showBubbleSize val="0"/>
        </c:dLbls>
        <c:gapWidth val="219"/>
        <c:overlap val="-27"/>
        <c:axId val="1113709008"/>
        <c:axId val="1113711760"/>
      </c:barChart>
      <c:dateAx>
        <c:axId val="1113709008"/>
        <c:scaling>
          <c:orientation val="minMax"/>
        </c:scaling>
        <c:delete val="0"/>
        <c:axPos val="b"/>
        <c:numFmt formatCode="m/d/yyyy"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fr-FR"/>
          </a:p>
        </c:txPr>
        <c:crossAx val="1113711760"/>
        <c:crosses val="autoZero"/>
        <c:auto val="1"/>
        <c:lblOffset val="100"/>
        <c:baseTimeUnit val="days"/>
      </c:dateAx>
      <c:valAx>
        <c:axId val="1113711760"/>
        <c:scaling>
          <c:orientation val="minMax"/>
        </c:scaling>
        <c:delete val="0"/>
        <c:axPos val="l"/>
        <c:majorGridlines>
          <c:spPr>
            <a:ln w="9525" cap="flat" cmpd="sng" algn="ctr">
              <a:solidFill>
                <a:schemeClr val="tx1">
                  <a:lumMod val="15000"/>
                  <a:lumOff val="85000"/>
                </a:schemeClr>
              </a:solidFill>
              <a:round/>
            </a:ln>
            <a:effectLst/>
          </c:spPr>
        </c:majorGridlines>
        <c:minorGridlines>
          <c:spPr>
            <a:ln w="9525" cap="flat" cmpd="sng" algn="ctr">
              <a:solidFill>
                <a:schemeClr val="tx1">
                  <a:lumMod val="5000"/>
                  <a:lumOff val="95000"/>
                </a:schemeClr>
              </a:solidFill>
              <a:round/>
            </a:ln>
            <a:effectLst/>
          </c:spPr>
        </c:min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fr-FR"/>
          </a:p>
        </c:txPr>
        <c:crossAx val="1113709008"/>
        <c:crosses val="autoZero"/>
        <c:crossBetween val="between"/>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fr-FR"/>
    </a:p>
  </c:txPr>
  <c:printSettings>
    <c:headerFooter/>
    <c:pageMargins b="0.75" l="0.7" r="0.7" t="0.75" header="0.3" footer="0.3"/>
    <c:pageSetup/>
  </c:printSettings>
</c:chartSpace>
</file>

<file path=xl/charts/chart2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fr-FR"/>
  <c:roundedCorners val="0"/>
  <mc:AlternateContent xmlns:mc="http://schemas.openxmlformats.org/markup-compatibility/2006">
    <mc:Choice xmlns:c14="http://schemas.microsoft.com/office/drawing/2007/8/2/chart" Requires="c14">
      <c14:style val="101"/>
    </mc:Choice>
    <mc:Fallback>
      <c:style val="1"/>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US" sz="1600" b="1">
                <a:solidFill>
                  <a:schemeClr val="tx2">
                    <a:lumMod val="65000"/>
                    <a:lumOff val="35000"/>
                  </a:schemeClr>
                </a:solidFill>
                <a:latin typeface="+mj-lt"/>
              </a:rPr>
              <a:t>Charges</a:t>
            </a:r>
            <a:r>
              <a:rPr lang="en-US" sz="1600" b="1" baseline="0">
                <a:solidFill>
                  <a:schemeClr val="tx2">
                    <a:lumMod val="65000"/>
                    <a:lumOff val="35000"/>
                  </a:schemeClr>
                </a:solidFill>
                <a:latin typeface="+mj-lt"/>
              </a:rPr>
              <a:t> par </a:t>
            </a:r>
            <a:r>
              <a:rPr lang="en-US" sz="1600" b="1">
                <a:solidFill>
                  <a:schemeClr val="tx2">
                    <a:lumMod val="65000"/>
                    <a:lumOff val="35000"/>
                  </a:schemeClr>
                </a:solidFill>
                <a:latin typeface="+mj-lt"/>
              </a:rPr>
              <a:t>matchs</a:t>
            </a:r>
            <a:endParaRPr lang="en-US" b="1">
              <a:solidFill>
                <a:schemeClr val="tx2">
                  <a:lumMod val="65000"/>
                  <a:lumOff val="35000"/>
                </a:schemeClr>
              </a:solidFill>
              <a:latin typeface="+mj-lt"/>
            </a:endParaRP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fr-FR"/>
        </a:p>
      </c:txPr>
    </c:title>
    <c:autoTitleDeleted val="0"/>
    <c:plotArea>
      <c:layout/>
      <c:barChart>
        <c:barDir val="col"/>
        <c:grouping val="clustered"/>
        <c:varyColors val="0"/>
        <c:ser>
          <c:idx val="0"/>
          <c:order val="0"/>
          <c:spPr>
            <a:solidFill>
              <a:schemeClr val="dk1">
                <a:tint val="88500"/>
              </a:schemeClr>
            </a:solidFill>
            <a:ln>
              <a:noFill/>
            </a:ln>
            <a:effectLst/>
          </c:spPr>
          <c:invertIfNegative val="0"/>
          <c:cat>
            <c:strRef>
              <c:f>'Charges collective'!$S$11:$S$42</c:f>
              <c:strCache>
                <c:ptCount val="32"/>
                <c:pt idx="0">
                  <c:v>AFC - Choisy au Bac</c:v>
                </c:pt>
                <c:pt idx="1">
                  <c:v>Le Portel - AFC</c:v>
                </c:pt>
                <c:pt idx="2">
                  <c:v>Beauvais - AFC</c:v>
                </c:pt>
                <c:pt idx="3">
                  <c:v>AFC - Cambrai</c:v>
                </c:pt>
                <c:pt idx="4">
                  <c:v>Château T. - AFC</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pt idx="26">
                  <c:v>0</c:v>
                </c:pt>
                <c:pt idx="27">
                  <c:v>0</c:v>
                </c:pt>
                <c:pt idx="28">
                  <c:v>0</c:v>
                </c:pt>
                <c:pt idx="29">
                  <c:v>0</c:v>
                </c:pt>
                <c:pt idx="30">
                  <c:v>0</c:v>
                </c:pt>
                <c:pt idx="31">
                  <c:v>0</c:v>
                </c:pt>
              </c:strCache>
            </c:strRef>
          </c:cat>
          <c:val>
            <c:numRef>
              <c:f>'Charges collective'!$S$11:$S$42</c:f>
              <c:numCache>
                <c:formatCode>General</c:formatCode>
                <c:ptCount val="32"/>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pt idx="26">
                  <c:v>0</c:v>
                </c:pt>
                <c:pt idx="27">
                  <c:v>0</c:v>
                </c:pt>
                <c:pt idx="28">
                  <c:v>0</c:v>
                </c:pt>
                <c:pt idx="29">
                  <c:v>0</c:v>
                </c:pt>
                <c:pt idx="30">
                  <c:v>0</c:v>
                </c:pt>
                <c:pt idx="31">
                  <c:v>0</c:v>
                </c:pt>
              </c:numCache>
            </c:numRef>
          </c:val>
          <c:extLst>
            <c:ext xmlns:c16="http://schemas.microsoft.com/office/drawing/2014/chart" uri="{C3380CC4-5D6E-409C-BE32-E72D297353CC}">
              <c16:uniqueId val="{00000000-4493-43E3-B134-F08CECB39B22}"/>
            </c:ext>
          </c:extLst>
        </c:ser>
        <c:ser>
          <c:idx val="1"/>
          <c:order val="1"/>
          <c:spPr>
            <a:solidFill>
              <a:schemeClr val="dk1">
                <a:tint val="55000"/>
              </a:schemeClr>
            </a:solidFill>
            <a:ln>
              <a:noFill/>
            </a:ln>
            <a:effectLst/>
          </c:spPr>
          <c:invertIfNegative val="0"/>
          <c:cat>
            <c:strRef>
              <c:f>'Charges collective'!$S$11:$S$42</c:f>
              <c:strCache>
                <c:ptCount val="32"/>
                <c:pt idx="0">
                  <c:v>AFC - Choisy au Bac</c:v>
                </c:pt>
                <c:pt idx="1">
                  <c:v>Le Portel - AFC</c:v>
                </c:pt>
                <c:pt idx="2">
                  <c:v>Beauvais - AFC</c:v>
                </c:pt>
                <c:pt idx="3">
                  <c:v>AFC - Cambrai</c:v>
                </c:pt>
                <c:pt idx="4">
                  <c:v>Château T. - AFC</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pt idx="26">
                  <c:v>0</c:v>
                </c:pt>
                <c:pt idx="27">
                  <c:v>0</c:v>
                </c:pt>
                <c:pt idx="28">
                  <c:v>0</c:v>
                </c:pt>
                <c:pt idx="29">
                  <c:v>0</c:v>
                </c:pt>
                <c:pt idx="30">
                  <c:v>0</c:v>
                </c:pt>
                <c:pt idx="31">
                  <c:v>0</c:v>
                </c:pt>
              </c:strCache>
            </c:strRef>
          </c:cat>
          <c:val>
            <c:numRef>
              <c:f>'Charges collective'!$U$11:$U$42</c:f>
              <c:numCache>
                <c:formatCode>0</c:formatCode>
                <c:ptCount val="32"/>
                <c:pt idx="0">
                  <c:v>318.75</c:v>
                </c:pt>
                <c:pt idx="1">
                  <c:v>300.1875</c:v>
                </c:pt>
                <c:pt idx="2">
                  <c:v>411.625</c:v>
                </c:pt>
                <c:pt idx="3">
                  <c:v>415.5</c:v>
                </c:pt>
                <c:pt idx="4">
                  <c:v>558.5</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pt idx="26">
                  <c:v>0</c:v>
                </c:pt>
                <c:pt idx="27">
                  <c:v>0</c:v>
                </c:pt>
                <c:pt idx="28">
                  <c:v>0</c:v>
                </c:pt>
                <c:pt idx="29">
                  <c:v>0</c:v>
                </c:pt>
                <c:pt idx="30">
                  <c:v>0</c:v>
                </c:pt>
                <c:pt idx="31">
                  <c:v>0</c:v>
                </c:pt>
              </c:numCache>
            </c:numRef>
          </c:val>
          <c:extLst>
            <c:ext xmlns:c16="http://schemas.microsoft.com/office/drawing/2014/chart" uri="{C3380CC4-5D6E-409C-BE32-E72D297353CC}">
              <c16:uniqueId val="{00000000-AB7E-4183-B0AD-DB53188FBCF3}"/>
            </c:ext>
          </c:extLst>
        </c:ser>
        <c:dLbls>
          <c:showLegendKey val="0"/>
          <c:showVal val="0"/>
          <c:showCatName val="0"/>
          <c:showSerName val="0"/>
          <c:showPercent val="0"/>
          <c:showBubbleSize val="0"/>
        </c:dLbls>
        <c:gapWidth val="219"/>
        <c:overlap val="-27"/>
        <c:axId val="1113743520"/>
        <c:axId val="1113745728"/>
      </c:barChart>
      <c:catAx>
        <c:axId val="1113743520"/>
        <c:scaling>
          <c:orientation val="minMax"/>
        </c:scaling>
        <c:delete val="0"/>
        <c:axPos val="b"/>
        <c:numFmt formatCode="General" sourceLinked="1"/>
        <c:majorTickMark val="none"/>
        <c:minorTickMark val="none"/>
        <c:tickLblPos val="low"/>
        <c:spPr>
          <a:noFill/>
          <a:ln w="9525" cap="flat" cmpd="sng" algn="ctr">
            <a:solidFill>
              <a:schemeClr val="tx1">
                <a:lumMod val="15000"/>
                <a:lumOff val="85000"/>
              </a:schemeClr>
            </a:solidFill>
            <a:round/>
          </a:ln>
          <a:effectLst/>
        </c:spPr>
        <c:txPr>
          <a:bodyPr rot="-2700000" spcFirstLastPara="1" vertOverflow="ellipsis" wrap="square" anchor="ctr" anchorCtr="1"/>
          <a:lstStyle/>
          <a:p>
            <a:pPr>
              <a:defRPr sz="900" b="0" i="0" u="none" strike="noStrike" kern="1200" baseline="0">
                <a:solidFill>
                  <a:schemeClr val="tx1">
                    <a:lumMod val="65000"/>
                    <a:lumOff val="35000"/>
                  </a:schemeClr>
                </a:solidFill>
                <a:latin typeface="+mn-lt"/>
                <a:ea typeface="+mn-ea"/>
                <a:cs typeface="+mn-cs"/>
              </a:defRPr>
            </a:pPr>
            <a:endParaRPr lang="fr-FR"/>
          </a:p>
        </c:txPr>
        <c:crossAx val="1113745728"/>
        <c:crosses val="autoZero"/>
        <c:auto val="1"/>
        <c:lblAlgn val="ctr"/>
        <c:lblOffset val="100"/>
        <c:noMultiLvlLbl val="0"/>
      </c:catAx>
      <c:valAx>
        <c:axId val="1113745728"/>
        <c:scaling>
          <c:orientation val="minMax"/>
        </c:scaling>
        <c:delete val="0"/>
        <c:axPos val="l"/>
        <c:majorGridlines>
          <c:spPr>
            <a:ln w="9525" cap="flat" cmpd="sng" algn="ctr">
              <a:solidFill>
                <a:schemeClr val="tx1">
                  <a:lumMod val="15000"/>
                  <a:lumOff val="85000"/>
                </a:schemeClr>
              </a:solidFill>
              <a:round/>
            </a:ln>
            <a:effectLst/>
          </c:spPr>
        </c:majorGridlines>
        <c:minorGridlines>
          <c:spPr>
            <a:ln w="9525" cap="flat" cmpd="sng" algn="ctr">
              <a:solidFill>
                <a:schemeClr val="tx1">
                  <a:lumMod val="5000"/>
                  <a:lumOff val="95000"/>
                </a:schemeClr>
              </a:solidFill>
              <a:round/>
            </a:ln>
            <a:effectLst/>
          </c:spPr>
        </c:min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fr-FR"/>
          </a:p>
        </c:txPr>
        <c:crossAx val="1113743520"/>
        <c:crosses val="autoZero"/>
        <c:crossBetween val="between"/>
      </c:valAx>
      <c:spPr>
        <a:noFill/>
        <a:ln w="25400">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fr-FR"/>
    </a:p>
  </c:txPr>
  <c:printSettings>
    <c:headerFooter/>
    <c:pageMargins b="0.75" l="0.7" r="0.7" t="0.75" header="0.3" footer="0.3"/>
    <c:pageSetup/>
  </c:printSettings>
</c:chartSpace>
</file>

<file path=xl/charts/chart2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fr-FR"/>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fr-FR" sz="1600" b="1" i="0" baseline="0">
                <a:effectLst/>
                <a:latin typeface="+mj-lt"/>
              </a:rPr>
              <a:t>Charge par semaine </a:t>
            </a:r>
            <a:endParaRPr lang="fr-FR" sz="1200">
              <a:effectLst/>
              <a:latin typeface="+mj-lt"/>
            </a:endParaRP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fr-FR"/>
        </a:p>
      </c:txPr>
    </c:title>
    <c:autoTitleDeleted val="0"/>
    <c:plotArea>
      <c:layout/>
      <c:barChart>
        <c:barDir val="col"/>
        <c:grouping val="clustered"/>
        <c:varyColors val="0"/>
        <c:ser>
          <c:idx val="2"/>
          <c:order val="1"/>
          <c:tx>
            <c:v>Charge réelle</c:v>
          </c:tx>
          <c:spPr>
            <a:solidFill>
              <a:schemeClr val="accent2"/>
            </a:solidFill>
            <a:ln>
              <a:noFill/>
            </a:ln>
            <a:effectLst/>
          </c:spPr>
          <c:invertIfNegative val="0"/>
          <c:val>
            <c:numRef>
              <c:f>'Charges collective'!$K$11:$K$46</c:f>
              <c:numCache>
                <c:formatCode>General</c:formatCode>
                <c:ptCount val="36"/>
                <c:pt idx="0">
                  <c:v>1275</c:v>
                </c:pt>
                <c:pt idx="1">
                  <c:v>1663</c:v>
                </c:pt>
                <c:pt idx="2">
                  <c:v>1788</c:v>
                </c:pt>
                <c:pt idx="3">
                  <c:v>1462</c:v>
                </c:pt>
                <c:pt idx="4">
                  <c:v>1138</c:v>
                </c:pt>
                <c:pt idx="5">
                  <c:v>1356</c:v>
                </c:pt>
              </c:numCache>
            </c:numRef>
          </c:val>
          <c:extLst>
            <c:ext xmlns:c16="http://schemas.microsoft.com/office/drawing/2014/chart" uri="{C3380CC4-5D6E-409C-BE32-E72D297353CC}">
              <c16:uniqueId val="{00000001-8DE0-437E-A89A-848BC46E0751}"/>
            </c:ext>
          </c:extLst>
        </c:ser>
        <c:dLbls>
          <c:showLegendKey val="0"/>
          <c:showVal val="0"/>
          <c:showCatName val="0"/>
          <c:showSerName val="0"/>
          <c:showPercent val="0"/>
          <c:showBubbleSize val="0"/>
        </c:dLbls>
        <c:gapWidth val="75"/>
        <c:overlap val="-25"/>
        <c:axId val="1112652400"/>
        <c:axId val="1112655152"/>
      </c:barChart>
      <c:lineChart>
        <c:grouping val="standard"/>
        <c:varyColors val="0"/>
        <c:ser>
          <c:idx val="1"/>
          <c:order val="0"/>
          <c:tx>
            <c:v>Charge prévisionnelle</c:v>
          </c:tx>
          <c:spPr>
            <a:ln w="28575" cap="rnd">
              <a:solidFill>
                <a:schemeClr val="accent4"/>
              </a:solidFill>
              <a:round/>
            </a:ln>
            <a:effectLst/>
          </c:spPr>
          <c:marker>
            <c:symbol val="none"/>
          </c:marker>
          <c:val>
            <c:numRef>
              <c:f>'Charges collective'!$J$11:$J$46</c:f>
              <c:numCache>
                <c:formatCode>General</c:formatCode>
                <c:ptCount val="36"/>
                <c:pt idx="0">
                  <c:v>1125</c:v>
                </c:pt>
                <c:pt idx="1">
                  <c:v>1600</c:v>
                </c:pt>
                <c:pt idx="2">
                  <c:v>1700</c:v>
                </c:pt>
                <c:pt idx="3">
                  <c:v>1500</c:v>
                </c:pt>
                <c:pt idx="4">
                  <c:v>1200</c:v>
                </c:pt>
                <c:pt idx="5">
                  <c:v>1300</c:v>
                </c:pt>
                <c:pt idx="6">
                  <c:v>1000</c:v>
                </c:pt>
              </c:numCache>
            </c:numRef>
          </c:val>
          <c:smooth val="0"/>
          <c:extLst>
            <c:ext xmlns:c16="http://schemas.microsoft.com/office/drawing/2014/chart" uri="{C3380CC4-5D6E-409C-BE32-E72D297353CC}">
              <c16:uniqueId val="{00000000-8DE0-437E-A89A-848BC46E0751}"/>
            </c:ext>
          </c:extLst>
        </c:ser>
        <c:dLbls>
          <c:showLegendKey val="0"/>
          <c:showVal val="0"/>
          <c:showCatName val="0"/>
          <c:showSerName val="0"/>
          <c:showPercent val="0"/>
          <c:showBubbleSize val="0"/>
        </c:dLbls>
        <c:marker val="1"/>
        <c:smooth val="0"/>
        <c:axId val="1112652400"/>
        <c:axId val="1112655152"/>
      </c:lineChart>
      <c:catAx>
        <c:axId val="1112652400"/>
        <c:scaling>
          <c:orientation val="minMax"/>
        </c:scaling>
        <c:delete val="0"/>
        <c:axPos val="b"/>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fr-FR"/>
          </a:p>
        </c:txPr>
        <c:crossAx val="1112655152"/>
        <c:crosses val="autoZero"/>
        <c:auto val="1"/>
        <c:lblAlgn val="ctr"/>
        <c:lblOffset val="100"/>
        <c:noMultiLvlLbl val="0"/>
      </c:catAx>
      <c:valAx>
        <c:axId val="1112655152"/>
        <c:scaling>
          <c:orientation val="minMax"/>
        </c:scaling>
        <c:delete val="0"/>
        <c:axPos val="l"/>
        <c:majorGridlines>
          <c:spPr>
            <a:ln w="9525" cap="flat" cmpd="sng" algn="ctr">
              <a:solidFill>
                <a:schemeClr val="tx1">
                  <a:lumMod val="15000"/>
                  <a:lumOff val="85000"/>
                </a:schemeClr>
              </a:solidFill>
              <a:round/>
            </a:ln>
            <a:effectLst/>
          </c:spPr>
        </c:majorGridlines>
        <c:minorGridlines>
          <c:spPr>
            <a:ln w="9525" cap="flat" cmpd="sng" algn="ctr">
              <a:solidFill>
                <a:schemeClr val="tx1">
                  <a:lumMod val="5000"/>
                  <a:lumOff val="95000"/>
                </a:schemeClr>
              </a:solidFill>
              <a:round/>
            </a:ln>
            <a:effectLst/>
          </c:spPr>
        </c:min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fr-FR"/>
          </a:p>
        </c:txPr>
        <c:crossAx val="1112652400"/>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fr-FR"/>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fr-FR"/>
    </a:p>
  </c:txPr>
  <c:printSettings>
    <c:headerFooter/>
    <c:pageMargins b="0.75" l="0.7" r="0.7" t="0.75" header="0.3" footer="0.3"/>
    <c:pageSetup/>
  </c:printSettings>
</c:chartSpace>
</file>

<file path=xl/charts/chart2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fr-FR"/>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fr-FR" b="1">
                <a:latin typeface="+mj-lt"/>
              </a:rPr>
              <a:t>Présence à l'entrainement</a:t>
            </a: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fr-FR"/>
        </a:p>
      </c:txPr>
    </c:title>
    <c:autoTitleDeleted val="0"/>
    <c:plotArea>
      <c:layout>
        <c:manualLayout>
          <c:layoutTarget val="inner"/>
          <c:xMode val="edge"/>
          <c:yMode val="edge"/>
          <c:x val="9.1825693794823804E-2"/>
          <c:y val="0.18006397637795299"/>
          <c:w val="0.57560310778505297"/>
          <c:h val="0.77866669010123701"/>
        </c:manualLayout>
      </c:layout>
      <c:pieChart>
        <c:varyColors val="1"/>
        <c:ser>
          <c:idx val="0"/>
          <c:order val="0"/>
          <c:dPt>
            <c:idx val="0"/>
            <c:bubble3D val="0"/>
            <c:spPr>
              <a:solidFill>
                <a:schemeClr val="accent1"/>
              </a:solidFill>
              <a:ln w="19050">
                <a:solidFill>
                  <a:schemeClr val="lt1"/>
                </a:solidFill>
              </a:ln>
              <a:effectLst/>
            </c:spPr>
            <c:extLst>
              <c:ext xmlns:c16="http://schemas.microsoft.com/office/drawing/2014/chart" uri="{C3380CC4-5D6E-409C-BE32-E72D297353CC}">
                <c16:uniqueId val="{00000001-2ACC-48C3-AFC5-1EA33520642B}"/>
              </c:ext>
            </c:extLst>
          </c:dPt>
          <c:dPt>
            <c:idx val="1"/>
            <c:bubble3D val="0"/>
            <c:spPr>
              <a:solidFill>
                <a:schemeClr val="accent2"/>
              </a:solidFill>
              <a:ln w="19050">
                <a:solidFill>
                  <a:schemeClr val="lt1"/>
                </a:solidFill>
              </a:ln>
              <a:effectLst/>
            </c:spPr>
            <c:extLst>
              <c:ext xmlns:c16="http://schemas.microsoft.com/office/drawing/2014/chart" uri="{C3380CC4-5D6E-409C-BE32-E72D297353CC}">
                <c16:uniqueId val="{00000003-2ACC-48C3-AFC5-1EA33520642B}"/>
              </c:ext>
            </c:extLst>
          </c:dPt>
          <c:dPt>
            <c:idx val="2"/>
            <c:bubble3D val="0"/>
            <c:spPr>
              <a:solidFill>
                <a:schemeClr val="accent3"/>
              </a:solidFill>
              <a:ln w="19050">
                <a:solidFill>
                  <a:schemeClr val="lt1"/>
                </a:solidFill>
              </a:ln>
              <a:effectLst/>
            </c:spPr>
            <c:extLst>
              <c:ext xmlns:c16="http://schemas.microsoft.com/office/drawing/2014/chart" uri="{C3380CC4-5D6E-409C-BE32-E72D297353CC}">
                <c16:uniqueId val="{00000005-2ACC-48C3-AFC5-1EA33520642B}"/>
              </c:ext>
            </c:extLst>
          </c:dPt>
          <c:dPt>
            <c:idx val="3"/>
            <c:bubble3D val="0"/>
            <c:spPr>
              <a:solidFill>
                <a:schemeClr val="accent4"/>
              </a:solidFill>
              <a:ln w="19050">
                <a:solidFill>
                  <a:schemeClr val="lt1"/>
                </a:solidFill>
              </a:ln>
              <a:effectLst/>
            </c:spPr>
            <c:extLst>
              <c:ext xmlns:c16="http://schemas.microsoft.com/office/drawing/2014/chart" uri="{C3380CC4-5D6E-409C-BE32-E72D297353CC}">
                <c16:uniqueId val="{00000007-2ACC-48C3-AFC5-1EA33520642B}"/>
              </c:ext>
            </c:extLst>
          </c:dPt>
          <c:dPt>
            <c:idx val="4"/>
            <c:bubble3D val="0"/>
            <c:spPr>
              <a:solidFill>
                <a:schemeClr val="accent5"/>
              </a:solidFill>
              <a:ln w="19050">
                <a:solidFill>
                  <a:schemeClr val="lt1"/>
                </a:solidFill>
              </a:ln>
              <a:effectLst/>
            </c:spPr>
            <c:extLst>
              <c:ext xmlns:c16="http://schemas.microsoft.com/office/drawing/2014/chart" uri="{C3380CC4-5D6E-409C-BE32-E72D297353CC}">
                <c16:uniqueId val="{00000009-2ACC-48C3-AFC5-1EA33520642B}"/>
              </c:ext>
            </c:extLst>
          </c:dPt>
          <c:dPt>
            <c:idx val="5"/>
            <c:bubble3D val="0"/>
            <c:spPr>
              <a:solidFill>
                <a:schemeClr val="accent6"/>
              </a:solidFill>
              <a:ln w="19050">
                <a:solidFill>
                  <a:schemeClr val="lt1"/>
                </a:solidFill>
              </a:ln>
              <a:effectLst/>
            </c:spPr>
            <c:extLst>
              <c:ext xmlns:c16="http://schemas.microsoft.com/office/drawing/2014/chart" uri="{C3380CC4-5D6E-409C-BE32-E72D297353CC}">
                <c16:uniqueId val="{0000000B-2ACC-48C3-AFC5-1EA33520642B}"/>
              </c:ext>
            </c:extLst>
          </c:dPt>
          <c:dPt>
            <c:idx val="6"/>
            <c:bubble3D val="0"/>
            <c:spPr>
              <a:solidFill>
                <a:schemeClr val="accent1">
                  <a:lumMod val="60000"/>
                </a:schemeClr>
              </a:solidFill>
              <a:ln w="19050">
                <a:solidFill>
                  <a:schemeClr val="lt1"/>
                </a:solidFill>
              </a:ln>
              <a:effectLst/>
            </c:spPr>
            <c:extLst>
              <c:ext xmlns:c16="http://schemas.microsoft.com/office/drawing/2014/chart" uri="{C3380CC4-5D6E-409C-BE32-E72D297353CC}">
                <c16:uniqueId val="{0000000D-2ACC-48C3-AFC5-1EA33520642B}"/>
              </c:ext>
            </c:extLst>
          </c:dPt>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fr-FR"/>
              </a:p>
            </c:txPr>
            <c:showLegendKey val="0"/>
            <c:showVal val="0"/>
            <c:showCatName val="0"/>
            <c:showSerName val="0"/>
            <c:showPercent val="1"/>
            <c:showBubbleSize val="0"/>
            <c:showLeaderLines val="1"/>
            <c:leaderLines>
              <c:spPr>
                <a:ln w="9525" cap="flat" cmpd="sng" algn="ctr">
                  <a:solidFill>
                    <a:schemeClr val="tx1">
                      <a:lumMod val="35000"/>
                      <a:lumOff val="65000"/>
                    </a:schemeClr>
                  </a:solidFill>
                  <a:round/>
                </a:ln>
                <a:effectLst/>
              </c:spPr>
            </c:leaderLines>
            <c:extLst>
              <c:ext xmlns:c15="http://schemas.microsoft.com/office/drawing/2012/chart" uri="{CE6537A1-D6FC-4f65-9D91-7224C49458BB}"/>
            </c:extLst>
          </c:dLbls>
          <c:cat>
            <c:strRef>
              <c:f>'Fiche joueur'!$I$12:$I$18</c:f>
              <c:strCache>
                <c:ptCount val="7"/>
                <c:pt idx="0">
                  <c:v>Présent</c:v>
                </c:pt>
                <c:pt idx="1">
                  <c:v>Absent</c:v>
                </c:pt>
                <c:pt idx="2">
                  <c:v>Blessé</c:v>
                </c:pt>
                <c:pt idx="3">
                  <c:v>Eq. Sup.</c:v>
                </c:pt>
                <c:pt idx="4">
                  <c:v>Excusé</c:v>
                </c:pt>
                <c:pt idx="5">
                  <c:v>Malade</c:v>
                </c:pt>
                <c:pt idx="6">
                  <c:v>Repos</c:v>
                </c:pt>
              </c:strCache>
            </c:strRef>
          </c:cat>
          <c:val>
            <c:numRef>
              <c:f>'Fiche joueur'!$J$12:$J$18</c:f>
              <c:numCache>
                <c:formatCode>General</c:formatCode>
                <c:ptCount val="7"/>
                <c:pt idx="0">
                  <c:v>17</c:v>
                </c:pt>
                <c:pt idx="1">
                  <c:v>1</c:v>
                </c:pt>
                <c:pt idx="2">
                  <c:v>0</c:v>
                </c:pt>
                <c:pt idx="3">
                  <c:v>0</c:v>
                </c:pt>
                <c:pt idx="4">
                  <c:v>1</c:v>
                </c:pt>
                <c:pt idx="5">
                  <c:v>0</c:v>
                </c:pt>
                <c:pt idx="6">
                  <c:v>0</c:v>
                </c:pt>
              </c:numCache>
            </c:numRef>
          </c:val>
          <c:extLst>
            <c:ext xmlns:c16="http://schemas.microsoft.com/office/drawing/2014/chart" uri="{C3380CC4-5D6E-409C-BE32-E72D297353CC}">
              <c16:uniqueId val="{0000000E-2ACC-48C3-AFC5-1EA33520642B}"/>
            </c:ext>
          </c:extLst>
        </c:ser>
        <c:dLbls>
          <c:showLegendKey val="0"/>
          <c:showVal val="0"/>
          <c:showCatName val="0"/>
          <c:showSerName val="0"/>
          <c:showPercent val="1"/>
          <c:showBubbleSize val="0"/>
          <c:showLeaderLines val="1"/>
        </c:dLbls>
        <c:firstSliceAng val="0"/>
      </c:pieChart>
      <c:spPr>
        <a:noFill/>
        <a:ln>
          <a:noFill/>
        </a:ln>
        <a:effectLst/>
      </c:spPr>
    </c:plotArea>
    <c:legend>
      <c:legendPos val="r"/>
      <c:legendEntry>
        <c:idx val="0"/>
        <c:txPr>
          <a:bodyPr rot="0" spcFirstLastPara="1" vertOverflow="ellipsis" vert="horz" wrap="square" anchor="ctr" anchorCtr="1"/>
          <a:lstStyle/>
          <a:p>
            <a:pPr>
              <a:defRPr sz="1050" b="0" i="0" u="none" strike="noStrike" kern="1200" baseline="0">
                <a:solidFill>
                  <a:schemeClr val="tx1">
                    <a:lumMod val="65000"/>
                    <a:lumOff val="35000"/>
                  </a:schemeClr>
                </a:solidFill>
                <a:latin typeface="+mn-lt"/>
                <a:ea typeface="+mn-ea"/>
                <a:cs typeface="+mn-cs"/>
              </a:defRPr>
            </a:pPr>
            <a:endParaRPr lang="fr-FR"/>
          </a:p>
        </c:txPr>
      </c:legendEntry>
      <c:legendEntry>
        <c:idx val="1"/>
        <c:txPr>
          <a:bodyPr rot="0" spcFirstLastPara="1" vertOverflow="ellipsis" vert="horz" wrap="square" anchor="ctr" anchorCtr="1"/>
          <a:lstStyle/>
          <a:p>
            <a:pPr>
              <a:defRPr sz="1050" b="0" i="0" u="none" strike="noStrike" kern="1200" baseline="0">
                <a:solidFill>
                  <a:schemeClr val="tx1">
                    <a:lumMod val="65000"/>
                    <a:lumOff val="35000"/>
                  </a:schemeClr>
                </a:solidFill>
                <a:latin typeface="+mn-lt"/>
                <a:ea typeface="+mn-ea"/>
                <a:cs typeface="+mn-cs"/>
              </a:defRPr>
            </a:pPr>
            <a:endParaRPr lang="fr-FR"/>
          </a:p>
        </c:txPr>
      </c:legendEntry>
      <c:legendEntry>
        <c:idx val="2"/>
        <c:txPr>
          <a:bodyPr rot="0" spcFirstLastPara="1" vertOverflow="ellipsis" vert="horz" wrap="square" anchor="ctr" anchorCtr="1"/>
          <a:lstStyle/>
          <a:p>
            <a:pPr>
              <a:defRPr sz="1050" b="0" i="0" u="none" strike="noStrike" kern="1200" baseline="0">
                <a:solidFill>
                  <a:schemeClr val="tx1">
                    <a:lumMod val="65000"/>
                    <a:lumOff val="35000"/>
                  </a:schemeClr>
                </a:solidFill>
                <a:latin typeface="+mn-lt"/>
                <a:ea typeface="+mn-ea"/>
                <a:cs typeface="+mn-cs"/>
              </a:defRPr>
            </a:pPr>
            <a:endParaRPr lang="fr-FR"/>
          </a:p>
        </c:txPr>
      </c:legendEntry>
      <c:legendEntry>
        <c:idx val="3"/>
        <c:txPr>
          <a:bodyPr rot="0" spcFirstLastPara="1" vertOverflow="ellipsis" vert="horz" wrap="square" anchor="ctr" anchorCtr="1"/>
          <a:lstStyle/>
          <a:p>
            <a:pPr>
              <a:defRPr sz="1050" b="0" i="0" u="none" strike="noStrike" kern="1200" baseline="0">
                <a:solidFill>
                  <a:schemeClr val="tx1">
                    <a:lumMod val="65000"/>
                    <a:lumOff val="35000"/>
                  </a:schemeClr>
                </a:solidFill>
                <a:latin typeface="+mn-lt"/>
                <a:ea typeface="+mn-ea"/>
                <a:cs typeface="+mn-cs"/>
              </a:defRPr>
            </a:pPr>
            <a:endParaRPr lang="fr-FR"/>
          </a:p>
        </c:txPr>
      </c:legendEntry>
      <c:legendEntry>
        <c:idx val="4"/>
        <c:txPr>
          <a:bodyPr rot="0" spcFirstLastPara="1" vertOverflow="ellipsis" vert="horz" wrap="square" anchor="ctr" anchorCtr="1"/>
          <a:lstStyle/>
          <a:p>
            <a:pPr>
              <a:defRPr sz="1050" b="0" i="0" u="none" strike="noStrike" kern="1200" baseline="0">
                <a:solidFill>
                  <a:schemeClr val="tx1">
                    <a:lumMod val="65000"/>
                    <a:lumOff val="35000"/>
                  </a:schemeClr>
                </a:solidFill>
                <a:latin typeface="+mn-lt"/>
                <a:ea typeface="+mn-ea"/>
                <a:cs typeface="+mn-cs"/>
              </a:defRPr>
            </a:pPr>
            <a:endParaRPr lang="fr-FR"/>
          </a:p>
        </c:txPr>
      </c:legendEntry>
      <c:legendEntry>
        <c:idx val="5"/>
        <c:txPr>
          <a:bodyPr rot="0" spcFirstLastPara="1" vertOverflow="ellipsis" vert="horz" wrap="square" anchor="ctr" anchorCtr="1"/>
          <a:lstStyle/>
          <a:p>
            <a:pPr>
              <a:defRPr sz="1050" b="0" i="0" u="none" strike="noStrike" kern="1200" baseline="0">
                <a:solidFill>
                  <a:schemeClr val="tx1">
                    <a:lumMod val="65000"/>
                    <a:lumOff val="35000"/>
                  </a:schemeClr>
                </a:solidFill>
                <a:latin typeface="+mn-lt"/>
                <a:ea typeface="+mn-ea"/>
                <a:cs typeface="+mn-cs"/>
              </a:defRPr>
            </a:pPr>
            <a:endParaRPr lang="fr-FR"/>
          </a:p>
        </c:txPr>
      </c:legendEntry>
      <c:legendEntry>
        <c:idx val="6"/>
        <c:txPr>
          <a:bodyPr rot="0" spcFirstLastPara="1" vertOverflow="ellipsis" vert="horz" wrap="square" anchor="ctr" anchorCtr="1"/>
          <a:lstStyle/>
          <a:p>
            <a:pPr>
              <a:defRPr sz="1050" b="0" i="0" u="none" strike="noStrike" kern="1200" baseline="0">
                <a:solidFill>
                  <a:schemeClr val="tx1">
                    <a:lumMod val="65000"/>
                    <a:lumOff val="35000"/>
                  </a:schemeClr>
                </a:solidFill>
                <a:latin typeface="+mn-lt"/>
                <a:ea typeface="+mn-ea"/>
                <a:cs typeface="+mn-cs"/>
              </a:defRPr>
            </a:pPr>
            <a:endParaRPr lang="fr-FR"/>
          </a:p>
        </c:txPr>
      </c:legendEntry>
      <c:layout>
        <c:manualLayout>
          <c:xMode val="edge"/>
          <c:yMode val="edge"/>
          <c:x val="0.71305347676956599"/>
          <c:y val="0.21420556805399299"/>
          <c:w val="0.26714608668537598"/>
          <c:h val="0.72824029808773905"/>
        </c:manualLayout>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fr-FR"/>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fr-FR"/>
    </a:p>
  </c:txPr>
  <c:printSettings>
    <c:headerFooter/>
    <c:pageMargins b="0.75" l="0.7" r="0.7" t="0.75" header="0.3" footer="0.3"/>
    <c:pageSetup/>
  </c:printSettings>
</c:chartSpace>
</file>

<file path=xl/charts/chart2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fr-FR"/>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fr-FR" b="1">
                <a:latin typeface="+mj-lt"/>
              </a:rPr>
              <a:t>Convocations du week-end</a:t>
            </a: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fr-FR"/>
        </a:p>
      </c:txPr>
    </c:title>
    <c:autoTitleDeleted val="0"/>
    <c:plotArea>
      <c:layout/>
      <c:pieChart>
        <c:varyColors val="1"/>
        <c:ser>
          <c:idx val="0"/>
          <c:order val="0"/>
          <c:dPt>
            <c:idx val="0"/>
            <c:bubble3D val="0"/>
            <c:spPr>
              <a:solidFill>
                <a:schemeClr val="accent1"/>
              </a:solidFill>
              <a:ln w="19050">
                <a:solidFill>
                  <a:schemeClr val="lt1"/>
                </a:solidFill>
              </a:ln>
              <a:effectLst/>
            </c:spPr>
            <c:extLst>
              <c:ext xmlns:c16="http://schemas.microsoft.com/office/drawing/2014/chart" uri="{C3380CC4-5D6E-409C-BE32-E72D297353CC}">
                <c16:uniqueId val="{00000001-B990-449C-BCCB-E5882BF2DC6C}"/>
              </c:ext>
            </c:extLst>
          </c:dPt>
          <c:dPt>
            <c:idx val="1"/>
            <c:bubble3D val="0"/>
            <c:spPr>
              <a:solidFill>
                <a:schemeClr val="accent2"/>
              </a:solidFill>
              <a:ln w="19050">
                <a:solidFill>
                  <a:schemeClr val="lt1"/>
                </a:solidFill>
              </a:ln>
              <a:effectLst/>
            </c:spPr>
            <c:extLst>
              <c:ext xmlns:c16="http://schemas.microsoft.com/office/drawing/2014/chart" uri="{C3380CC4-5D6E-409C-BE32-E72D297353CC}">
                <c16:uniqueId val="{00000003-B990-449C-BCCB-E5882BF2DC6C}"/>
              </c:ext>
            </c:extLst>
          </c:dPt>
          <c:dPt>
            <c:idx val="2"/>
            <c:bubble3D val="0"/>
            <c:spPr>
              <a:solidFill>
                <a:schemeClr val="accent3"/>
              </a:solidFill>
              <a:ln w="19050">
                <a:solidFill>
                  <a:schemeClr val="lt1"/>
                </a:solidFill>
              </a:ln>
              <a:effectLst/>
            </c:spPr>
            <c:extLst>
              <c:ext xmlns:c16="http://schemas.microsoft.com/office/drawing/2014/chart" uri="{C3380CC4-5D6E-409C-BE32-E72D297353CC}">
                <c16:uniqueId val="{00000005-B990-449C-BCCB-E5882BF2DC6C}"/>
              </c:ext>
            </c:extLst>
          </c:dPt>
          <c:dPt>
            <c:idx val="3"/>
            <c:bubble3D val="0"/>
            <c:spPr>
              <a:solidFill>
                <a:schemeClr val="accent4"/>
              </a:solidFill>
              <a:ln w="19050">
                <a:solidFill>
                  <a:schemeClr val="lt1"/>
                </a:solidFill>
              </a:ln>
              <a:effectLst/>
            </c:spPr>
            <c:extLst>
              <c:ext xmlns:c16="http://schemas.microsoft.com/office/drawing/2014/chart" uri="{C3380CC4-5D6E-409C-BE32-E72D297353CC}">
                <c16:uniqueId val="{00000007-B990-449C-BCCB-E5882BF2DC6C}"/>
              </c:ext>
            </c:extLst>
          </c:dPt>
          <c:dPt>
            <c:idx val="4"/>
            <c:bubble3D val="0"/>
            <c:spPr>
              <a:solidFill>
                <a:schemeClr val="accent5"/>
              </a:solidFill>
              <a:ln w="19050">
                <a:solidFill>
                  <a:schemeClr val="lt1"/>
                </a:solidFill>
              </a:ln>
              <a:effectLst/>
            </c:spPr>
            <c:extLst>
              <c:ext xmlns:c16="http://schemas.microsoft.com/office/drawing/2014/chart" uri="{C3380CC4-5D6E-409C-BE32-E72D297353CC}">
                <c16:uniqueId val="{00000009-B990-449C-BCCB-E5882BF2DC6C}"/>
              </c:ext>
            </c:extLst>
          </c:dPt>
          <c:dPt>
            <c:idx val="5"/>
            <c:bubble3D val="0"/>
            <c:spPr>
              <a:solidFill>
                <a:schemeClr val="accent6"/>
              </a:solidFill>
              <a:ln w="19050">
                <a:solidFill>
                  <a:schemeClr val="lt1"/>
                </a:solidFill>
              </a:ln>
              <a:effectLst/>
            </c:spPr>
            <c:extLst>
              <c:ext xmlns:c16="http://schemas.microsoft.com/office/drawing/2014/chart" uri="{C3380CC4-5D6E-409C-BE32-E72D297353CC}">
                <c16:uniqueId val="{0000000B-B990-449C-BCCB-E5882BF2DC6C}"/>
              </c:ext>
            </c:extLst>
          </c:dPt>
          <c:dPt>
            <c:idx val="6"/>
            <c:bubble3D val="0"/>
            <c:spPr>
              <a:solidFill>
                <a:schemeClr val="accent1">
                  <a:lumMod val="60000"/>
                </a:schemeClr>
              </a:solidFill>
              <a:ln w="19050">
                <a:solidFill>
                  <a:schemeClr val="lt1"/>
                </a:solidFill>
              </a:ln>
              <a:effectLst/>
            </c:spPr>
            <c:extLst>
              <c:ext xmlns:c16="http://schemas.microsoft.com/office/drawing/2014/chart" uri="{C3380CC4-5D6E-409C-BE32-E72D297353CC}">
                <c16:uniqueId val="{0000000D-B990-449C-BCCB-E5882BF2DC6C}"/>
              </c:ext>
            </c:extLst>
          </c:dPt>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fr-FR"/>
              </a:p>
            </c:txPr>
            <c:showLegendKey val="0"/>
            <c:showVal val="0"/>
            <c:showCatName val="0"/>
            <c:showSerName val="0"/>
            <c:showPercent val="1"/>
            <c:showBubbleSize val="0"/>
            <c:showLeaderLines val="1"/>
            <c:leaderLines>
              <c:spPr>
                <a:ln w="9525" cap="flat" cmpd="sng" algn="ctr">
                  <a:solidFill>
                    <a:schemeClr val="tx1">
                      <a:lumMod val="35000"/>
                      <a:lumOff val="65000"/>
                    </a:schemeClr>
                  </a:solidFill>
                  <a:round/>
                </a:ln>
                <a:effectLst/>
              </c:spPr>
            </c:leaderLines>
            <c:extLst>
              <c:ext xmlns:c15="http://schemas.microsoft.com/office/drawing/2012/chart" uri="{CE6537A1-D6FC-4f65-9D91-7224C49458BB}"/>
            </c:extLst>
          </c:dLbls>
          <c:cat>
            <c:strRef>
              <c:f>'Fiche joueur'!$I$163:$I$169</c:f>
              <c:strCache>
                <c:ptCount val="7"/>
                <c:pt idx="0">
                  <c:v>U16</c:v>
                </c:pt>
                <c:pt idx="1">
                  <c:v>U17</c:v>
                </c:pt>
                <c:pt idx="2">
                  <c:v>Absent</c:v>
                </c:pt>
                <c:pt idx="3">
                  <c:v>Blessé</c:v>
                </c:pt>
                <c:pt idx="4">
                  <c:v>Repos</c:v>
                </c:pt>
                <c:pt idx="5">
                  <c:v>Equipe Sup.</c:v>
                </c:pt>
                <c:pt idx="6">
                  <c:v>Non convoqué</c:v>
                </c:pt>
              </c:strCache>
            </c:strRef>
          </c:cat>
          <c:val>
            <c:numRef>
              <c:f>'Fiche joueur'!$J$163:$J$169</c:f>
              <c:numCache>
                <c:formatCode>General</c:formatCode>
                <c:ptCount val="7"/>
                <c:pt idx="0">
                  <c:v>5</c:v>
                </c:pt>
                <c:pt idx="1">
                  <c:v>0</c:v>
                </c:pt>
                <c:pt idx="2">
                  <c:v>0</c:v>
                </c:pt>
                <c:pt idx="3">
                  <c:v>0</c:v>
                </c:pt>
                <c:pt idx="4">
                  <c:v>0</c:v>
                </c:pt>
                <c:pt idx="5">
                  <c:v>0</c:v>
                </c:pt>
                <c:pt idx="6">
                  <c:v>0</c:v>
                </c:pt>
              </c:numCache>
            </c:numRef>
          </c:val>
          <c:extLst>
            <c:ext xmlns:c16="http://schemas.microsoft.com/office/drawing/2014/chart" uri="{C3380CC4-5D6E-409C-BE32-E72D297353CC}">
              <c16:uniqueId val="{0000000E-B990-449C-BCCB-E5882BF2DC6C}"/>
            </c:ext>
          </c:extLst>
        </c:ser>
        <c:dLbls>
          <c:showLegendKey val="0"/>
          <c:showVal val="0"/>
          <c:showCatName val="0"/>
          <c:showSerName val="0"/>
          <c:showPercent val="1"/>
          <c:showBubbleSize val="0"/>
          <c:showLeaderLines val="1"/>
        </c:dLbls>
        <c:firstSliceAng val="0"/>
      </c:pieChart>
      <c:spPr>
        <a:noFill/>
        <a:ln>
          <a:noFill/>
        </a:ln>
        <a:effectLst/>
      </c:spPr>
    </c:plotArea>
    <c:legend>
      <c:legendPos val="r"/>
      <c:overlay val="0"/>
      <c:spPr>
        <a:noFill/>
        <a:ln>
          <a:noFill/>
        </a:ln>
        <a:effectLst/>
      </c:spPr>
      <c:txPr>
        <a:bodyPr rot="0" spcFirstLastPara="1" vertOverflow="ellipsis" vert="horz" wrap="square" anchor="ctr" anchorCtr="1"/>
        <a:lstStyle/>
        <a:p>
          <a:pPr>
            <a:defRPr sz="1050" b="0" i="0" u="none" strike="noStrike" kern="1200" baseline="0">
              <a:solidFill>
                <a:schemeClr val="tx1">
                  <a:lumMod val="65000"/>
                  <a:lumOff val="35000"/>
                </a:schemeClr>
              </a:solidFill>
              <a:latin typeface="+mn-lt"/>
              <a:ea typeface="+mn-ea"/>
              <a:cs typeface="+mn-cs"/>
            </a:defRPr>
          </a:pPr>
          <a:endParaRPr lang="fr-FR"/>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fr-FR"/>
    </a:p>
  </c:txPr>
  <c:printSettings>
    <c:headerFooter/>
    <c:pageMargins b="0.75" l="0.7" r="0.7" t="0.75" header="0.3" footer="0.3"/>
    <c:pageSetup/>
  </c:printSettings>
</c:chartSpace>
</file>

<file path=xl/charts/chart2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fr-FR"/>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fr-FR" sz="1600" b="1">
                <a:latin typeface="+mj-lt"/>
              </a:rPr>
              <a:t>Bilan individuel</a:t>
            </a:r>
            <a:endParaRPr lang="fr-FR" b="1">
              <a:latin typeface="+mj-lt"/>
            </a:endParaRPr>
          </a:p>
        </c:rich>
      </c:tx>
      <c:overlay val="0"/>
      <c:spPr>
        <a:noFill/>
        <a:ln>
          <a:noFill/>
        </a:ln>
        <a:effectLst/>
      </c:spPr>
    </c:title>
    <c:autoTitleDeleted val="0"/>
    <c:plotArea>
      <c:layout/>
      <c:barChart>
        <c:barDir val="bar"/>
        <c:grouping val="clustered"/>
        <c:varyColors val="0"/>
        <c:ser>
          <c:idx val="4"/>
          <c:order val="0"/>
          <c:spPr>
            <a:solidFill>
              <a:schemeClr val="accent1"/>
            </a:solidFill>
          </c:spPr>
          <c:invertIfNegative val="0"/>
          <c:cat>
            <c:strRef>
              <c:f>'Fiche joueur'!$M$164:$M$167</c:f>
              <c:strCache>
                <c:ptCount val="4"/>
                <c:pt idx="0">
                  <c:v>But</c:v>
                </c:pt>
                <c:pt idx="1">
                  <c:v>Passe dés.</c:v>
                </c:pt>
                <c:pt idx="2">
                  <c:v>Carton jaune</c:v>
                </c:pt>
                <c:pt idx="3">
                  <c:v>Carton rouge</c:v>
                </c:pt>
              </c:strCache>
            </c:strRef>
          </c:cat>
          <c:val>
            <c:numRef>
              <c:f>'Fiche joueur'!$P$164:$P$167</c:f>
              <c:numCache>
                <c:formatCode>0</c:formatCode>
                <c:ptCount val="4"/>
                <c:pt idx="0">
                  <c:v>1</c:v>
                </c:pt>
                <c:pt idx="1">
                  <c:v>0</c:v>
                </c:pt>
                <c:pt idx="2">
                  <c:v>0</c:v>
                </c:pt>
                <c:pt idx="3">
                  <c:v>0</c:v>
                </c:pt>
              </c:numCache>
            </c:numRef>
          </c:val>
          <c:extLst>
            <c:ext xmlns:c16="http://schemas.microsoft.com/office/drawing/2014/chart" uri="{C3380CC4-5D6E-409C-BE32-E72D297353CC}">
              <c16:uniqueId val="{00000011-17A7-477A-9D36-8E7BB64EE2CE}"/>
            </c:ext>
          </c:extLst>
        </c:ser>
        <c:dLbls>
          <c:showLegendKey val="0"/>
          <c:showVal val="0"/>
          <c:showCatName val="0"/>
          <c:showSerName val="0"/>
          <c:showPercent val="0"/>
          <c:showBubbleSize val="0"/>
        </c:dLbls>
        <c:gapWidth val="150"/>
        <c:axId val="1113828768"/>
        <c:axId val="1113831520"/>
      </c:barChart>
      <c:catAx>
        <c:axId val="1113828768"/>
        <c:scaling>
          <c:orientation val="minMax"/>
        </c:scaling>
        <c:delete val="0"/>
        <c:axPos val="l"/>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fr-FR"/>
          </a:p>
        </c:txPr>
        <c:crossAx val="1113831520"/>
        <c:crosses val="autoZero"/>
        <c:auto val="1"/>
        <c:lblAlgn val="ctr"/>
        <c:lblOffset val="100"/>
        <c:noMultiLvlLbl val="0"/>
      </c:catAx>
      <c:valAx>
        <c:axId val="1113831520"/>
        <c:scaling>
          <c:orientation val="minMax"/>
        </c:scaling>
        <c:delete val="0"/>
        <c:axPos val="b"/>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fr-FR"/>
          </a:p>
        </c:txPr>
        <c:crossAx val="1113828768"/>
        <c:crosses val="autoZero"/>
        <c:crossBetween val="between"/>
      </c:valAx>
    </c:plotArea>
    <c:plotVisOnly val="1"/>
    <c:dispBlanksAs val="gap"/>
    <c:showDLblsOverMax val="0"/>
  </c:chart>
  <c:txPr>
    <a:bodyPr/>
    <a:lstStyle/>
    <a:p>
      <a:pPr>
        <a:defRPr/>
      </a:pPr>
      <a:endParaRPr lang="fr-FR"/>
    </a:p>
  </c:txPr>
  <c:printSettings>
    <c:headerFooter/>
    <c:pageMargins b="0.75" l="0.7" r="0.7" t="0.75" header="0.3" footer="0.3"/>
    <c:pageSetup/>
  </c:printSettings>
</c:chartSpace>
</file>

<file path=xl/charts/chart29.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fr-FR"/>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US" sz="1400" b="1">
                <a:latin typeface="+mj-lt"/>
              </a:rPr>
              <a:t>Taille</a:t>
            </a:r>
            <a:endParaRPr lang="en-US" b="1">
              <a:latin typeface="+mj-lt"/>
            </a:endParaRP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fr-FR"/>
        </a:p>
      </c:txPr>
    </c:title>
    <c:autoTitleDeleted val="0"/>
    <c:plotArea>
      <c:layout/>
      <c:lineChart>
        <c:grouping val="standard"/>
        <c:varyColors val="0"/>
        <c:ser>
          <c:idx val="0"/>
          <c:order val="0"/>
          <c:tx>
            <c:strRef>
              <c:f>'Fiche joueur'!$J$80</c:f>
              <c:strCache>
                <c:ptCount val="1"/>
                <c:pt idx="0">
                  <c:v>Taille</c:v>
                </c:pt>
              </c:strCache>
            </c:strRef>
          </c:tx>
          <c:spPr>
            <a:ln w="28575" cap="rnd">
              <a:solidFill>
                <a:schemeClr val="accent1"/>
              </a:solidFill>
              <a:round/>
            </a:ln>
            <a:effectLst/>
          </c:spPr>
          <c:marker>
            <c:symbol val="none"/>
          </c:marker>
          <c:cat>
            <c:strRef>
              <c:f>'Fiche joueur'!$I$81:$I$90</c:f>
              <c:strCache>
                <c:ptCount val="10"/>
                <c:pt idx="0">
                  <c:v>Août</c:v>
                </c:pt>
                <c:pt idx="1">
                  <c:v>Septembre</c:v>
                </c:pt>
                <c:pt idx="2">
                  <c:v>Octobre</c:v>
                </c:pt>
                <c:pt idx="3">
                  <c:v>Novembre</c:v>
                </c:pt>
                <c:pt idx="4">
                  <c:v>Décembre</c:v>
                </c:pt>
                <c:pt idx="5">
                  <c:v>Janvier</c:v>
                </c:pt>
                <c:pt idx="6">
                  <c:v>Février</c:v>
                </c:pt>
                <c:pt idx="7">
                  <c:v>Mars</c:v>
                </c:pt>
                <c:pt idx="8">
                  <c:v>Avril</c:v>
                </c:pt>
                <c:pt idx="9">
                  <c:v>Mai</c:v>
                </c:pt>
              </c:strCache>
            </c:strRef>
          </c:cat>
          <c:val>
            <c:numRef>
              <c:f>'Fiche joueur'!$J$81:$J$90</c:f>
              <c:numCache>
                <c:formatCode>General</c:formatCode>
                <c:ptCount val="10"/>
                <c:pt idx="0">
                  <c:v>1.75</c:v>
                </c:pt>
                <c:pt idx="1">
                  <c:v>1.77</c:v>
                </c:pt>
                <c:pt idx="2">
                  <c:v>0</c:v>
                </c:pt>
                <c:pt idx="3">
                  <c:v>0</c:v>
                </c:pt>
                <c:pt idx="4">
                  <c:v>0</c:v>
                </c:pt>
                <c:pt idx="5">
                  <c:v>0</c:v>
                </c:pt>
                <c:pt idx="6">
                  <c:v>0</c:v>
                </c:pt>
                <c:pt idx="7">
                  <c:v>0</c:v>
                </c:pt>
                <c:pt idx="8">
                  <c:v>0</c:v>
                </c:pt>
                <c:pt idx="9">
                  <c:v>0</c:v>
                </c:pt>
              </c:numCache>
            </c:numRef>
          </c:val>
          <c:smooth val="0"/>
          <c:extLst>
            <c:ext xmlns:c16="http://schemas.microsoft.com/office/drawing/2014/chart" uri="{C3380CC4-5D6E-409C-BE32-E72D297353CC}">
              <c16:uniqueId val="{00000000-4F04-4E0D-8FC4-830123003C41}"/>
            </c:ext>
          </c:extLst>
        </c:ser>
        <c:dLbls>
          <c:showLegendKey val="0"/>
          <c:showVal val="0"/>
          <c:showCatName val="0"/>
          <c:showSerName val="0"/>
          <c:showPercent val="0"/>
          <c:showBubbleSize val="0"/>
        </c:dLbls>
        <c:smooth val="0"/>
        <c:axId val="1113851824"/>
        <c:axId val="1113854576"/>
      </c:lineChart>
      <c:catAx>
        <c:axId val="1113851824"/>
        <c:scaling>
          <c:orientation val="minMax"/>
        </c:scaling>
        <c:delete val="0"/>
        <c:axPos val="b"/>
        <c:numFmt formatCode="General" sourceLinked="1"/>
        <c:majorTickMark val="out"/>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fr-FR"/>
          </a:p>
        </c:txPr>
        <c:crossAx val="1113854576"/>
        <c:crosses val="autoZero"/>
        <c:auto val="1"/>
        <c:lblAlgn val="ctr"/>
        <c:lblOffset val="100"/>
        <c:noMultiLvlLbl val="1"/>
      </c:catAx>
      <c:valAx>
        <c:axId val="1113854576"/>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fr-FR"/>
          </a:p>
        </c:txPr>
        <c:crossAx val="1113851824"/>
        <c:crosses val="autoZero"/>
        <c:crossBetween val="between"/>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fr-FR"/>
    </a:p>
  </c:txPr>
  <c:printSettings>
    <c:headerFooter/>
    <c:pageMargins b="0.75" l="0.7" r="0.7" t="0.75" header="0.3" footer="0.3"/>
    <c:pageSetup/>
  </c:printSettings>
</c:chartSpace>
</file>

<file path=xl/charts/chart30.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fr-FR"/>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US" b="1">
                <a:latin typeface="+mj-lt"/>
              </a:rPr>
              <a:t>Poid</a:t>
            </a: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fr-FR"/>
        </a:p>
      </c:txPr>
    </c:title>
    <c:autoTitleDeleted val="0"/>
    <c:plotArea>
      <c:layout/>
      <c:lineChart>
        <c:grouping val="standard"/>
        <c:varyColors val="0"/>
        <c:ser>
          <c:idx val="0"/>
          <c:order val="0"/>
          <c:tx>
            <c:strRef>
              <c:f>'Fiche joueur'!$K$80</c:f>
              <c:strCache>
                <c:ptCount val="1"/>
                <c:pt idx="0">
                  <c:v>Poid</c:v>
                </c:pt>
              </c:strCache>
            </c:strRef>
          </c:tx>
          <c:spPr>
            <a:ln w="28575" cap="rnd">
              <a:solidFill>
                <a:schemeClr val="accent1"/>
              </a:solidFill>
              <a:round/>
            </a:ln>
            <a:effectLst/>
          </c:spPr>
          <c:marker>
            <c:symbol val="none"/>
          </c:marker>
          <c:cat>
            <c:strRef>
              <c:f>'Fiche joueur'!$I$81:$I$90</c:f>
              <c:strCache>
                <c:ptCount val="10"/>
                <c:pt idx="0">
                  <c:v>Août</c:v>
                </c:pt>
                <c:pt idx="1">
                  <c:v>Septembre</c:v>
                </c:pt>
                <c:pt idx="2">
                  <c:v>Octobre</c:v>
                </c:pt>
                <c:pt idx="3">
                  <c:v>Novembre</c:v>
                </c:pt>
                <c:pt idx="4">
                  <c:v>Décembre</c:v>
                </c:pt>
                <c:pt idx="5">
                  <c:v>Janvier</c:v>
                </c:pt>
                <c:pt idx="6">
                  <c:v>Février</c:v>
                </c:pt>
                <c:pt idx="7">
                  <c:v>Mars</c:v>
                </c:pt>
                <c:pt idx="8">
                  <c:v>Avril</c:v>
                </c:pt>
                <c:pt idx="9">
                  <c:v>Mai</c:v>
                </c:pt>
              </c:strCache>
            </c:strRef>
          </c:cat>
          <c:val>
            <c:numRef>
              <c:f>'Fiche joueur'!$K$81:$K$90</c:f>
              <c:numCache>
                <c:formatCode>General</c:formatCode>
                <c:ptCount val="10"/>
                <c:pt idx="0">
                  <c:v>53</c:v>
                </c:pt>
                <c:pt idx="1">
                  <c:v>54</c:v>
                </c:pt>
                <c:pt idx="2">
                  <c:v>0</c:v>
                </c:pt>
                <c:pt idx="3">
                  <c:v>0</c:v>
                </c:pt>
                <c:pt idx="4">
                  <c:v>0</c:v>
                </c:pt>
                <c:pt idx="5">
                  <c:v>0</c:v>
                </c:pt>
                <c:pt idx="6">
                  <c:v>0</c:v>
                </c:pt>
                <c:pt idx="7">
                  <c:v>0</c:v>
                </c:pt>
                <c:pt idx="8">
                  <c:v>0</c:v>
                </c:pt>
                <c:pt idx="9">
                  <c:v>0</c:v>
                </c:pt>
              </c:numCache>
            </c:numRef>
          </c:val>
          <c:smooth val="0"/>
          <c:extLst>
            <c:ext xmlns:c16="http://schemas.microsoft.com/office/drawing/2014/chart" uri="{C3380CC4-5D6E-409C-BE32-E72D297353CC}">
              <c16:uniqueId val="{00000000-BE4A-45DC-B232-44FA7E16C295}"/>
            </c:ext>
          </c:extLst>
        </c:ser>
        <c:dLbls>
          <c:showLegendKey val="0"/>
          <c:showVal val="0"/>
          <c:showCatName val="0"/>
          <c:showSerName val="0"/>
          <c:showPercent val="0"/>
          <c:showBubbleSize val="0"/>
        </c:dLbls>
        <c:smooth val="0"/>
        <c:axId val="1113863904"/>
        <c:axId val="1113866656"/>
      </c:lineChart>
      <c:catAx>
        <c:axId val="1113863904"/>
        <c:scaling>
          <c:orientation val="minMax"/>
        </c:scaling>
        <c:delete val="0"/>
        <c:axPos val="b"/>
        <c:numFmt formatCode="General" sourceLinked="1"/>
        <c:majorTickMark val="out"/>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fr-FR"/>
          </a:p>
        </c:txPr>
        <c:crossAx val="1113866656"/>
        <c:crosses val="autoZero"/>
        <c:auto val="1"/>
        <c:lblAlgn val="ctr"/>
        <c:lblOffset val="100"/>
        <c:noMultiLvlLbl val="1"/>
      </c:catAx>
      <c:valAx>
        <c:axId val="1113866656"/>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fr-FR"/>
          </a:p>
        </c:txPr>
        <c:crossAx val="1113863904"/>
        <c:crosses val="autoZero"/>
        <c:crossBetween val="between"/>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fr-FR"/>
    </a:p>
  </c:txPr>
  <c:printSettings>
    <c:headerFooter/>
    <c:pageMargins b="0.75" l="0.7" r="0.7" t="0.75" header="0.3" footer="0.3"/>
    <c:pageSetup/>
  </c:printSettings>
</c:chartSpace>
</file>

<file path=xl/charts/chart3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fr-FR"/>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j-lt"/>
                <a:ea typeface="+mn-ea"/>
                <a:cs typeface="+mn-cs"/>
              </a:defRPr>
            </a:pPr>
            <a:r>
              <a:rPr lang="fr-FR" b="1">
                <a:latin typeface="+mj-lt"/>
              </a:rPr>
              <a:t>Accompagnement</a:t>
            </a:r>
            <a:r>
              <a:rPr lang="fr-FR" b="1" baseline="0">
                <a:latin typeface="+mj-lt"/>
              </a:rPr>
              <a:t> mental</a:t>
            </a:r>
            <a:endParaRPr lang="fr-FR" b="1">
              <a:latin typeface="+mj-lt"/>
            </a:endParaRP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j-lt"/>
              <a:ea typeface="+mn-ea"/>
              <a:cs typeface="+mn-cs"/>
            </a:defRPr>
          </a:pPr>
          <a:endParaRPr lang="fr-FR"/>
        </a:p>
      </c:txPr>
    </c:title>
    <c:autoTitleDeleted val="0"/>
    <c:plotArea>
      <c:layout/>
      <c:barChart>
        <c:barDir val="col"/>
        <c:grouping val="clustered"/>
        <c:varyColors val="0"/>
        <c:ser>
          <c:idx val="0"/>
          <c:order val="0"/>
          <c:tx>
            <c:strRef>
              <c:f>'Fiche joueur'!$J$123</c:f>
              <c:strCache>
                <c:ptCount val="1"/>
                <c:pt idx="0">
                  <c:v>Motivation</c:v>
                </c:pt>
              </c:strCache>
            </c:strRef>
          </c:tx>
          <c:spPr>
            <a:solidFill>
              <a:schemeClr val="accent1"/>
            </a:solidFill>
            <a:ln>
              <a:noFill/>
            </a:ln>
            <a:effectLst/>
          </c:spPr>
          <c:invertIfNegative val="0"/>
          <c:val>
            <c:numRef>
              <c:f>'Fiche joueur'!$J$124</c:f>
              <c:numCache>
                <c:formatCode>0%</c:formatCode>
                <c:ptCount val="1"/>
                <c:pt idx="0">
                  <c:v>0</c:v>
                </c:pt>
              </c:numCache>
            </c:numRef>
          </c:val>
          <c:extLst>
            <c:ext xmlns:c16="http://schemas.microsoft.com/office/drawing/2014/chart" uri="{C3380CC4-5D6E-409C-BE32-E72D297353CC}">
              <c16:uniqueId val="{00000000-F631-4074-A2D1-089E5230EF8B}"/>
            </c:ext>
          </c:extLst>
        </c:ser>
        <c:ser>
          <c:idx val="1"/>
          <c:order val="1"/>
          <c:tx>
            <c:strRef>
              <c:f>'Fiche joueur'!$K$123</c:f>
              <c:strCache>
                <c:ptCount val="1"/>
                <c:pt idx="0">
                  <c:v>Concentration</c:v>
                </c:pt>
              </c:strCache>
            </c:strRef>
          </c:tx>
          <c:spPr>
            <a:solidFill>
              <a:schemeClr val="accent2"/>
            </a:solidFill>
            <a:ln>
              <a:noFill/>
            </a:ln>
            <a:effectLst/>
          </c:spPr>
          <c:invertIfNegative val="0"/>
          <c:val>
            <c:numRef>
              <c:f>'Fiche joueur'!$K$124</c:f>
              <c:numCache>
                <c:formatCode>0%</c:formatCode>
                <c:ptCount val="1"/>
                <c:pt idx="0">
                  <c:v>0</c:v>
                </c:pt>
              </c:numCache>
            </c:numRef>
          </c:val>
          <c:extLst>
            <c:ext xmlns:c16="http://schemas.microsoft.com/office/drawing/2014/chart" uri="{C3380CC4-5D6E-409C-BE32-E72D297353CC}">
              <c16:uniqueId val="{00000001-F631-4074-A2D1-089E5230EF8B}"/>
            </c:ext>
          </c:extLst>
        </c:ser>
        <c:ser>
          <c:idx val="2"/>
          <c:order val="2"/>
          <c:tx>
            <c:strRef>
              <c:f>'Fiche joueur'!$L$123</c:f>
              <c:strCache>
                <c:ptCount val="1"/>
                <c:pt idx="0">
                  <c:v>Maitrise de soi</c:v>
                </c:pt>
              </c:strCache>
            </c:strRef>
          </c:tx>
          <c:spPr>
            <a:solidFill>
              <a:schemeClr val="accent3"/>
            </a:solidFill>
            <a:ln>
              <a:noFill/>
            </a:ln>
            <a:effectLst/>
          </c:spPr>
          <c:invertIfNegative val="0"/>
          <c:val>
            <c:numRef>
              <c:f>'Fiche joueur'!$L$124</c:f>
              <c:numCache>
                <c:formatCode>0%</c:formatCode>
                <c:ptCount val="1"/>
                <c:pt idx="0">
                  <c:v>0</c:v>
                </c:pt>
              </c:numCache>
            </c:numRef>
          </c:val>
          <c:extLst>
            <c:ext xmlns:c16="http://schemas.microsoft.com/office/drawing/2014/chart" uri="{C3380CC4-5D6E-409C-BE32-E72D297353CC}">
              <c16:uniqueId val="{00000002-F631-4074-A2D1-089E5230EF8B}"/>
            </c:ext>
          </c:extLst>
        </c:ser>
        <c:ser>
          <c:idx val="3"/>
          <c:order val="3"/>
          <c:tx>
            <c:strRef>
              <c:f>'Fiche joueur'!$M$123</c:f>
              <c:strCache>
                <c:ptCount val="1"/>
                <c:pt idx="0">
                  <c:v>Confiance en soi</c:v>
                </c:pt>
              </c:strCache>
            </c:strRef>
          </c:tx>
          <c:spPr>
            <a:solidFill>
              <a:schemeClr val="accent4"/>
            </a:solidFill>
            <a:ln>
              <a:noFill/>
            </a:ln>
            <a:effectLst/>
          </c:spPr>
          <c:invertIfNegative val="0"/>
          <c:val>
            <c:numRef>
              <c:f>'Fiche joueur'!$M$124</c:f>
              <c:numCache>
                <c:formatCode>0%</c:formatCode>
                <c:ptCount val="1"/>
                <c:pt idx="0">
                  <c:v>0</c:v>
                </c:pt>
              </c:numCache>
            </c:numRef>
          </c:val>
          <c:extLst>
            <c:ext xmlns:c16="http://schemas.microsoft.com/office/drawing/2014/chart" uri="{C3380CC4-5D6E-409C-BE32-E72D297353CC}">
              <c16:uniqueId val="{00000003-F631-4074-A2D1-089E5230EF8B}"/>
            </c:ext>
          </c:extLst>
        </c:ser>
        <c:ser>
          <c:idx val="4"/>
          <c:order val="4"/>
          <c:tx>
            <c:strRef>
              <c:f>'Fiche joueur'!$N$123</c:f>
              <c:strCache>
                <c:ptCount val="1"/>
                <c:pt idx="0">
                  <c:v>Intégration sociale</c:v>
                </c:pt>
              </c:strCache>
            </c:strRef>
          </c:tx>
          <c:spPr>
            <a:solidFill>
              <a:schemeClr val="accent5"/>
            </a:solidFill>
            <a:ln>
              <a:noFill/>
            </a:ln>
            <a:effectLst/>
          </c:spPr>
          <c:invertIfNegative val="0"/>
          <c:val>
            <c:numRef>
              <c:f>'Fiche joueur'!$N$124</c:f>
              <c:numCache>
                <c:formatCode>0%</c:formatCode>
                <c:ptCount val="1"/>
                <c:pt idx="0">
                  <c:v>0</c:v>
                </c:pt>
              </c:numCache>
            </c:numRef>
          </c:val>
          <c:extLst>
            <c:ext xmlns:c16="http://schemas.microsoft.com/office/drawing/2014/chart" uri="{C3380CC4-5D6E-409C-BE32-E72D297353CC}">
              <c16:uniqueId val="{00000004-F631-4074-A2D1-089E5230EF8B}"/>
            </c:ext>
          </c:extLst>
        </c:ser>
        <c:ser>
          <c:idx val="5"/>
          <c:order val="5"/>
          <c:tx>
            <c:strRef>
              <c:f>'Fiche joueur'!$O$123</c:f>
              <c:strCache>
                <c:ptCount val="1"/>
                <c:pt idx="0">
                  <c:v>Autonomie</c:v>
                </c:pt>
              </c:strCache>
            </c:strRef>
          </c:tx>
          <c:spPr>
            <a:solidFill>
              <a:schemeClr val="accent6"/>
            </a:solidFill>
            <a:ln>
              <a:noFill/>
            </a:ln>
            <a:effectLst/>
          </c:spPr>
          <c:invertIfNegative val="0"/>
          <c:val>
            <c:numRef>
              <c:f>'Fiche joueur'!$O$124</c:f>
              <c:numCache>
                <c:formatCode>0%</c:formatCode>
                <c:ptCount val="1"/>
                <c:pt idx="0">
                  <c:v>0</c:v>
                </c:pt>
              </c:numCache>
            </c:numRef>
          </c:val>
          <c:extLst>
            <c:ext xmlns:c16="http://schemas.microsoft.com/office/drawing/2014/chart" uri="{C3380CC4-5D6E-409C-BE32-E72D297353CC}">
              <c16:uniqueId val="{00000005-F631-4074-A2D1-089E5230EF8B}"/>
            </c:ext>
          </c:extLst>
        </c:ser>
        <c:dLbls>
          <c:showLegendKey val="0"/>
          <c:showVal val="0"/>
          <c:showCatName val="0"/>
          <c:showSerName val="0"/>
          <c:showPercent val="0"/>
          <c:showBubbleSize val="0"/>
        </c:dLbls>
        <c:gapWidth val="219"/>
        <c:overlap val="-27"/>
        <c:axId val="1113911824"/>
        <c:axId val="1113914576"/>
      </c:barChart>
      <c:catAx>
        <c:axId val="1113911824"/>
        <c:scaling>
          <c:orientation val="minMax"/>
        </c:scaling>
        <c:delete val="1"/>
        <c:axPos val="b"/>
        <c:majorTickMark val="none"/>
        <c:minorTickMark val="none"/>
        <c:tickLblPos val="nextTo"/>
        <c:crossAx val="1113914576"/>
        <c:crosses val="autoZero"/>
        <c:auto val="1"/>
        <c:lblAlgn val="ctr"/>
        <c:lblOffset val="100"/>
        <c:noMultiLvlLbl val="0"/>
      </c:catAx>
      <c:valAx>
        <c:axId val="1113914576"/>
        <c:scaling>
          <c:orientation val="minMax"/>
          <c:max val="1"/>
          <c:min val="0"/>
        </c:scaling>
        <c:delete val="0"/>
        <c:axPos val="l"/>
        <c:majorGridlines>
          <c:spPr>
            <a:ln w="9525" cap="flat" cmpd="sng" algn="ctr">
              <a:solidFill>
                <a:schemeClr val="tx1">
                  <a:lumMod val="15000"/>
                  <a:lumOff val="85000"/>
                </a:schemeClr>
              </a:solidFill>
              <a:round/>
            </a:ln>
            <a:effectLst/>
          </c:spPr>
        </c:majorGridlines>
        <c:minorGridlines>
          <c:spPr>
            <a:ln w="9525" cap="flat" cmpd="sng" algn="ctr">
              <a:solidFill>
                <a:schemeClr val="tx1">
                  <a:lumMod val="5000"/>
                  <a:lumOff val="95000"/>
                </a:schemeClr>
              </a:solidFill>
              <a:round/>
            </a:ln>
            <a:effectLst/>
          </c:spPr>
        </c:minorGridlines>
        <c:numFmt formatCode="0%" sourceLinked="1"/>
        <c:majorTickMark val="none"/>
        <c:minorTickMark val="none"/>
        <c:tickLblPos val="nextTo"/>
        <c:spPr>
          <a:noFill/>
          <a:ln>
            <a:solidFill>
              <a:schemeClr val="accent1"/>
            </a:solid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fr-FR"/>
          </a:p>
        </c:txPr>
        <c:crossAx val="1113911824"/>
        <c:crosses val="autoZero"/>
        <c:crossBetween val="between"/>
        <c:majorUnit val="0.1"/>
        <c:minorUnit val="0.05"/>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fr-FR"/>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fr-FR"/>
    </a:p>
  </c:txPr>
  <c:printSettings>
    <c:headerFooter/>
    <c:pageMargins b="0.75" l="0.7" r="0.7" t="0.75" header="0.3" footer="0.3"/>
    <c:pageSetup/>
  </c:printSettings>
</c:chartSpace>
</file>

<file path=xl/charts/chart3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fr-FR"/>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US" b="1">
                <a:latin typeface="+mj-lt"/>
              </a:rPr>
              <a:t>Temps de jeu en U16</a:t>
            </a: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fr-FR"/>
        </a:p>
      </c:txPr>
    </c:title>
    <c:autoTitleDeleted val="0"/>
    <c:plotArea>
      <c:layout/>
      <c:barChart>
        <c:barDir val="col"/>
        <c:grouping val="clustered"/>
        <c:varyColors val="0"/>
        <c:ser>
          <c:idx val="0"/>
          <c:order val="0"/>
          <c:tx>
            <c:strRef>
              <c:f>'Fiche joueur'!$M$170</c:f>
              <c:strCache>
                <c:ptCount val="1"/>
                <c:pt idx="0">
                  <c:v>Temps de jeu en U16</c:v>
                </c:pt>
              </c:strCache>
            </c:strRef>
          </c:tx>
          <c:spPr>
            <a:solidFill>
              <a:schemeClr val="accent2"/>
            </a:solidFill>
            <a:ln>
              <a:noFill/>
            </a:ln>
            <a:effectLst/>
          </c:spPr>
          <c:invertIfNegative val="0"/>
          <c:dLbls>
            <c:dLbl>
              <c:idx val="0"/>
              <c:layout>
                <c:manualLayout>
                  <c:x val="-3.8703434929850001E-3"/>
                  <c:y val="0.10297379829884901"/>
                </c:manualLayout>
              </c:layout>
              <c:tx>
                <c:rich>
                  <a:bodyPr/>
                  <a:lstStyle/>
                  <a:p>
                    <a:fld id="{5FFCD7CC-1144-4A55-87C0-E794B42983CF}" type="VALUE">
                      <a:rPr lang="en-US" sz="1050" b="1">
                        <a:latin typeface="+mj-lt"/>
                      </a:rPr>
                      <a:pPr/>
                      <a:t>[VALEUR]</a:t>
                    </a:fld>
                    <a:endParaRPr lang="fr-FR"/>
                  </a:p>
                </c:rich>
              </c:tx>
              <c:showLegendKey val="0"/>
              <c:showVal val="1"/>
              <c:showCatName val="0"/>
              <c:showSerName val="0"/>
              <c:showPercent val="0"/>
              <c:showBubbleSize val="0"/>
              <c:extLst>
                <c:ext xmlns:c15="http://schemas.microsoft.com/office/drawing/2012/chart" uri="{CE6537A1-D6FC-4f65-9D91-7224C49458BB}">
                  <c15:dlblFieldTable/>
                  <c15:showDataLabelsRange val="0"/>
                </c:ext>
                <c:ext xmlns:c16="http://schemas.microsoft.com/office/drawing/2014/chart" uri="{C3380CC4-5D6E-409C-BE32-E72D297353CC}">
                  <c16:uniqueId val="{00000001-3B4D-49CA-9B7A-AAA1F32CB10F}"/>
                </c:ext>
              </c:extLst>
            </c:dLbl>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fr-FR"/>
              </a:p>
            </c:txPr>
            <c:showLegendKey val="0"/>
            <c:showVal val="0"/>
            <c:showCatName val="0"/>
            <c:showSerName val="0"/>
            <c:showPercent val="0"/>
            <c:showBubbleSize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val>
            <c:numRef>
              <c:f>'Fiche joueur'!$Q$170</c:f>
              <c:numCache>
                <c:formatCode>0%</c:formatCode>
                <c:ptCount val="1"/>
                <c:pt idx="0">
                  <c:v>0.48</c:v>
                </c:pt>
              </c:numCache>
            </c:numRef>
          </c:val>
          <c:extLst>
            <c:ext xmlns:c16="http://schemas.microsoft.com/office/drawing/2014/chart" uri="{C3380CC4-5D6E-409C-BE32-E72D297353CC}">
              <c16:uniqueId val="{00000000-3B4D-49CA-9B7A-AAA1F32CB10F}"/>
            </c:ext>
          </c:extLst>
        </c:ser>
        <c:dLbls>
          <c:showLegendKey val="0"/>
          <c:showVal val="0"/>
          <c:showCatName val="0"/>
          <c:showSerName val="0"/>
          <c:showPercent val="0"/>
          <c:showBubbleSize val="0"/>
        </c:dLbls>
        <c:gapWidth val="219"/>
        <c:overlap val="-27"/>
        <c:axId val="1113927184"/>
        <c:axId val="1113929232"/>
      </c:barChart>
      <c:catAx>
        <c:axId val="1113927184"/>
        <c:scaling>
          <c:orientation val="minMax"/>
        </c:scaling>
        <c:delete val="1"/>
        <c:axPos val="b"/>
        <c:majorTickMark val="none"/>
        <c:minorTickMark val="none"/>
        <c:tickLblPos val="nextTo"/>
        <c:crossAx val="1113929232"/>
        <c:crosses val="autoZero"/>
        <c:auto val="1"/>
        <c:lblAlgn val="ctr"/>
        <c:lblOffset val="100"/>
        <c:noMultiLvlLbl val="0"/>
      </c:catAx>
      <c:valAx>
        <c:axId val="1113929232"/>
        <c:scaling>
          <c:orientation val="minMax"/>
          <c:max val="1"/>
          <c:min val="0"/>
        </c:scaling>
        <c:delete val="0"/>
        <c:axPos val="l"/>
        <c:majorGridlines>
          <c:spPr>
            <a:ln w="9525" cap="flat" cmpd="sng" algn="ctr">
              <a:solidFill>
                <a:schemeClr val="tx1">
                  <a:lumMod val="15000"/>
                  <a:lumOff val="85000"/>
                </a:schemeClr>
              </a:solidFill>
              <a:round/>
            </a:ln>
            <a:effectLst/>
          </c:spPr>
        </c:majorGridlines>
        <c:minorGridlines>
          <c:spPr>
            <a:ln w="9525" cap="flat" cmpd="sng" algn="ctr">
              <a:solidFill>
                <a:schemeClr val="tx1">
                  <a:lumMod val="5000"/>
                  <a:lumOff val="95000"/>
                </a:schemeClr>
              </a:solidFill>
              <a:round/>
            </a:ln>
            <a:effectLst/>
          </c:spPr>
        </c:min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fr-FR"/>
          </a:p>
        </c:txPr>
        <c:crossAx val="1113927184"/>
        <c:crosses val="autoZero"/>
        <c:crossBetween val="between"/>
        <c:minorUnit val="0.05"/>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fr-FR"/>
    </a:p>
  </c:txPr>
  <c:printSettings>
    <c:headerFooter/>
    <c:pageMargins b="0.75" l="0.7" r="0.7" t="0.75" header="0.3" footer="0.3"/>
    <c:pageSetup/>
  </c:printSettings>
</c:chartSpace>
</file>

<file path=xl/charts/chart3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fr-FR"/>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fr-FR" b="1">
                <a:latin typeface="+mj-lt"/>
              </a:rPr>
              <a:t>Ressenti des entrainements</a:t>
            </a: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fr-FR"/>
        </a:p>
      </c:txPr>
    </c:title>
    <c:autoTitleDeleted val="0"/>
    <c:plotArea>
      <c:layout/>
      <c:lineChart>
        <c:grouping val="standard"/>
        <c:varyColors val="0"/>
        <c:ser>
          <c:idx val="0"/>
          <c:order val="0"/>
          <c:tx>
            <c:strRef>
              <c:f>'Fiche joueur'!$D$11</c:f>
              <c:strCache>
                <c:ptCount val="1"/>
                <c:pt idx="0">
                  <c:v>Forme</c:v>
                </c:pt>
              </c:strCache>
            </c:strRef>
          </c:tx>
          <c:spPr>
            <a:ln w="28575" cap="rnd">
              <a:solidFill>
                <a:schemeClr val="accent1"/>
              </a:solidFill>
              <a:round/>
            </a:ln>
            <a:effectLst/>
          </c:spPr>
          <c:marker>
            <c:symbol val="none"/>
          </c:marker>
          <c:cat>
            <c:strRef>
              <c:f>'Fiche joueur'!$B$12:$B$142</c:f>
              <c:strCache>
                <c:ptCount val="24"/>
                <c:pt idx="0">
                  <c:v>06/08/2018</c:v>
                </c:pt>
                <c:pt idx="1">
                  <c:v>07/08/2018</c:v>
                </c:pt>
                <c:pt idx="2">
                  <c:v>09/08/2018</c:v>
                </c:pt>
                <c:pt idx="3">
                  <c:v>10/08/2018</c:v>
                </c:pt>
                <c:pt idx="4">
                  <c:v>13/08/2018</c:v>
                </c:pt>
                <c:pt idx="5">
                  <c:v>14/08/2018</c:v>
                </c:pt>
                <c:pt idx="6">
                  <c:v>15/08/2018</c:v>
                </c:pt>
                <c:pt idx="7">
                  <c:v>16/08/2018</c:v>
                </c:pt>
                <c:pt idx="8">
                  <c:v>17/08/2018</c:v>
                </c:pt>
                <c:pt idx="9">
                  <c:v>18/08/2018</c:v>
                </c:pt>
                <c:pt idx="10">
                  <c:v>20/08/2018</c:v>
                </c:pt>
                <c:pt idx="11">
                  <c:v>21/08/2018</c:v>
                </c:pt>
                <c:pt idx="12">
                  <c:v>23/08/2018</c:v>
                </c:pt>
                <c:pt idx="13">
                  <c:v>24/08/2018</c:v>
                </c:pt>
                <c:pt idx="14">
                  <c:v>27/08/2018</c:v>
                </c:pt>
                <c:pt idx="15">
                  <c:v>28/08/2018</c:v>
                </c:pt>
                <c:pt idx="16">
                  <c:v>30/08/2018</c:v>
                </c:pt>
                <c:pt idx="17">
                  <c:v>31/08/2018</c:v>
                </c:pt>
                <c:pt idx="18">
                  <c:v>04/09/2018</c:v>
                </c:pt>
                <c:pt idx="19">
                  <c:v>06/09/2018</c:v>
                </c:pt>
                <c:pt idx="20">
                  <c:v>07/09/2018</c:v>
                </c:pt>
                <c:pt idx="21">
                  <c:v>11/09/2018</c:v>
                </c:pt>
                <c:pt idx="22">
                  <c:v>14/09/2018</c:v>
                </c:pt>
                <c:pt idx="23">
                  <c:v>15/09/2018</c:v>
                </c:pt>
              </c:strCache>
            </c:strRef>
          </c:cat>
          <c:val>
            <c:numRef>
              <c:f>'Fiche joueur'!$D$12:$D$142</c:f>
              <c:numCache>
                <c:formatCode>0</c:formatCode>
                <c:ptCount val="131"/>
                <c:pt idx="0">
                  <c:v>0</c:v>
                </c:pt>
                <c:pt idx="1">
                  <c:v>0</c:v>
                </c:pt>
                <c:pt idx="2">
                  <c:v>0</c:v>
                </c:pt>
                <c:pt idx="3">
                  <c:v>0</c:v>
                </c:pt>
                <c:pt idx="4">
                  <c:v>0</c:v>
                </c:pt>
                <c:pt idx="5">
                  <c:v>2</c:v>
                </c:pt>
                <c:pt idx="6">
                  <c:v>4</c:v>
                </c:pt>
                <c:pt idx="7">
                  <c:v>4</c:v>
                </c:pt>
                <c:pt idx="8">
                  <c:v>3</c:v>
                </c:pt>
                <c:pt idx="9">
                  <c:v>2</c:v>
                </c:pt>
                <c:pt idx="10">
                  <c:v>2</c:v>
                </c:pt>
                <c:pt idx="11">
                  <c:v>0</c:v>
                </c:pt>
                <c:pt idx="12">
                  <c:v>5</c:v>
                </c:pt>
                <c:pt idx="13">
                  <c:v>4</c:v>
                </c:pt>
                <c:pt idx="14">
                  <c:v>4</c:v>
                </c:pt>
                <c:pt idx="15">
                  <c:v>3</c:v>
                </c:pt>
                <c:pt idx="16">
                  <c:v>4</c:v>
                </c:pt>
                <c:pt idx="17">
                  <c:v>4</c:v>
                </c:pt>
                <c:pt idx="18">
                  <c:v>4</c:v>
                </c:pt>
                <c:pt idx="19">
                  <c:v>4</c:v>
                </c:pt>
                <c:pt idx="20">
                  <c:v>0</c:v>
                </c:pt>
                <c:pt idx="21">
                  <c:v>5</c:v>
                </c:pt>
                <c:pt idx="22">
                  <c:v>5</c:v>
                </c:pt>
                <c:pt idx="23">
                  <c:v>4</c:v>
                </c:pt>
                <c:pt idx="24">
                  <c:v>0</c:v>
                </c:pt>
                <c:pt idx="25">
                  <c:v>0</c:v>
                </c:pt>
                <c:pt idx="26">
                  <c:v>0</c:v>
                </c:pt>
                <c:pt idx="27">
                  <c:v>0</c:v>
                </c:pt>
                <c:pt idx="28">
                  <c:v>0</c:v>
                </c:pt>
                <c:pt idx="29">
                  <c:v>0</c:v>
                </c:pt>
                <c:pt idx="30">
                  <c:v>0</c:v>
                </c:pt>
                <c:pt idx="31">
                  <c:v>0</c:v>
                </c:pt>
                <c:pt idx="32">
                  <c:v>0</c:v>
                </c:pt>
                <c:pt idx="33">
                  <c:v>0</c:v>
                </c:pt>
                <c:pt idx="34">
                  <c:v>0</c:v>
                </c:pt>
                <c:pt idx="35">
                  <c:v>0</c:v>
                </c:pt>
                <c:pt idx="36">
                  <c:v>0</c:v>
                </c:pt>
                <c:pt idx="37">
                  <c:v>0</c:v>
                </c:pt>
                <c:pt idx="38">
                  <c:v>0</c:v>
                </c:pt>
                <c:pt idx="39">
                  <c:v>0</c:v>
                </c:pt>
                <c:pt idx="40">
                  <c:v>0</c:v>
                </c:pt>
                <c:pt idx="41">
                  <c:v>0</c:v>
                </c:pt>
                <c:pt idx="42">
                  <c:v>0</c:v>
                </c:pt>
                <c:pt idx="43">
                  <c:v>0</c:v>
                </c:pt>
                <c:pt idx="44">
                  <c:v>0</c:v>
                </c:pt>
                <c:pt idx="45">
                  <c:v>0</c:v>
                </c:pt>
                <c:pt idx="46">
                  <c:v>0</c:v>
                </c:pt>
                <c:pt idx="47">
                  <c:v>0</c:v>
                </c:pt>
                <c:pt idx="48">
                  <c:v>0</c:v>
                </c:pt>
                <c:pt idx="49">
                  <c:v>0</c:v>
                </c:pt>
                <c:pt idx="50">
                  <c:v>0</c:v>
                </c:pt>
                <c:pt idx="51">
                  <c:v>0</c:v>
                </c:pt>
                <c:pt idx="52">
                  <c:v>0</c:v>
                </c:pt>
                <c:pt idx="53">
                  <c:v>0</c:v>
                </c:pt>
                <c:pt idx="54">
                  <c:v>0</c:v>
                </c:pt>
                <c:pt idx="55">
                  <c:v>0</c:v>
                </c:pt>
                <c:pt idx="56">
                  <c:v>0</c:v>
                </c:pt>
                <c:pt idx="57">
                  <c:v>0</c:v>
                </c:pt>
                <c:pt idx="58">
                  <c:v>0</c:v>
                </c:pt>
                <c:pt idx="59">
                  <c:v>0</c:v>
                </c:pt>
                <c:pt idx="60">
                  <c:v>0</c:v>
                </c:pt>
                <c:pt idx="61">
                  <c:v>0</c:v>
                </c:pt>
                <c:pt idx="62">
                  <c:v>0</c:v>
                </c:pt>
                <c:pt idx="63">
                  <c:v>0</c:v>
                </c:pt>
                <c:pt idx="64">
                  <c:v>0</c:v>
                </c:pt>
                <c:pt idx="65">
                  <c:v>0</c:v>
                </c:pt>
                <c:pt idx="66">
                  <c:v>0</c:v>
                </c:pt>
                <c:pt idx="67">
                  <c:v>0</c:v>
                </c:pt>
                <c:pt idx="68">
                  <c:v>0</c:v>
                </c:pt>
                <c:pt idx="69">
                  <c:v>0</c:v>
                </c:pt>
                <c:pt idx="70">
                  <c:v>0</c:v>
                </c:pt>
                <c:pt idx="71">
                  <c:v>0</c:v>
                </c:pt>
                <c:pt idx="72">
                  <c:v>0</c:v>
                </c:pt>
                <c:pt idx="73">
                  <c:v>0</c:v>
                </c:pt>
                <c:pt idx="74">
                  <c:v>0</c:v>
                </c:pt>
                <c:pt idx="75">
                  <c:v>0</c:v>
                </c:pt>
                <c:pt idx="76">
                  <c:v>0</c:v>
                </c:pt>
                <c:pt idx="77">
                  <c:v>0</c:v>
                </c:pt>
                <c:pt idx="78">
                  <c:v>0</c:v>
                </c:pt>
                <c:pt idx="79">
                  <c:v>0</c:v>
                </c:pt>
                <c:pt idx="80">
                  <c:v>0</c:v>
                </c:pt>
                <c:pt idx="81">
                  <c:v>0</c:v>
                </c:pt>
                <c:pt idx="82">
                  <c:v>0</c:v>
                </c:pt>
                <c:pt idx="83">
                  <c:v>0</c:v>
                </c:pt>
                <c:pt idx="84">
                  <c:v>0</c:v>
                </c:pt>
                <c:pt idx="85">
                  <c:v>0</c:v>
                </c:pt>
                <c:pt idx="86">
                  <c:v>0</c:v>
                </c:pt>
                <c:pt idx="87">
                  <c:v>0</c:v>
                </c:pt>
                <c:pt idx="88">
                  <c:v>0</c:v>
                </c:pt>
                <c:pt idx="89">
                  <c:v>0</c:v>
                </c:pt>
                <c:pt idx="90">
                  <c:v>0</c:v>
                </c:pt>
                <c:pt idx="91">
                  <c:v>0</c:v>
                </c:pt>
                <c:pt idx="92">
                  <c:v>0</c:v>
                </c:pt>
                <c:pt idx="93">
                  <c:v>0</c:v>
                </c:pt>
                <c:pt idx="94">
                  <c:v>0</c:v>
                </c:pt>
                <c:pt idx="95">
                  <c:v>0</c:v>
                </c:pt>
                <c:pt idx="96">
                  <c:v>0</c:v>
                </c:pt>
                <c:pt idx="97">
                  <c:v>0</c:v>
                </c:pt>
                <c:pt idx="98">
                  <c:v>0</c:v>
                </c:pt>
                <c:pt idx="99">
                  <c:v>0</c:v>
                </c:pt>
                <c:pt idx="100">
                  <c:v>0</c:v>
                </c:pt>
                <c:pt idx="101">
                  <c:v>0</c:v>
                </c:pt>
                <c:pt idx="102">
                  <c:v>0</c:v>
                </c:pt>
                <c:pt idx="103">
                  <c:v>0</c:v>
                </c:pt>
                <c:pt idx="104">
                  <c:v>0</c:v>
                </c:pt>
                <c:pt idx="105">
                  <c:v>0</c:v>
                </c:pt>
                <c:pt idx="106">
                  <c:v>0</c:v>
                </c:pt>
                <c:pt idx="107">
                  <c:v>0</c:v>
                </c:pt>
                <c:pt idx="108">
                  <c:v>0</c:v>
                </c:pt>
                <c:pt idx="109">
                  <c:v>0</c:v>
                </c:pt>
                <c:pt idx="110">
                  <c:v>0</c:v>
                </c:pt>
                <c:pt idx="111">
                  <c:v>0</c:v>
                </c:pt>
                <c:pt idx="112">
                  <c:v>0</c:v>
                </c:pt>
                <c:pt idx="113">
                  <c:v>0</c:v>
                </c:pt>
                <c:pt idx="114">
                  <c:v>0</c:v>
                </c:pt>
                <c:pt idx="115">
                  <c:v>0</c:v>
                </c:pt>
                <c:pt idx="116">
                  <c:v>0</c:v>
                </c:pt>
                <c:pt idx="117">
                  <c:v>0</c:v>
                </c:pt>
                <c:pt idx="118">
                  <c:v>0</c:v>
                </c:pt>
                <c:pt idx="119">
                  <c:v>0</c:v>
                </c:pt>
                <c:pt idx="120">
                  <c:v>0</c:v>
                </c:pt>
                <c:pt idx="121">
                  <c:v>0</c:v>
                </c:pt>
                <c:pt idx="122">
                  <c:v>0</c:v>
                </c:pt>
                <c:pt idx="123">
                  <c:v>0</c:v>
                </c:pt>
                <c:pt idx="124">
                  <c:v>0</c:v>
                </c:pt>
                <c:pt idx="125">
                  <c:v>0</c:v>
                </c:pt>
                <c:pt idx="126">
                  <c:v>0</c:v>
                </c:pt>
                <c:pt idx="127">
                  <c:v>0</c:v>
                </c:pt>
                <c:pt idx="128">
                  <c:v>0</c:v>
                </c:pt>
                <c:pt idx="129">
                  <c:v>0</c:v>
                </c:pt>
                <c:pt idx="130">
                  <c:v>0</c:v>
                </c:pt>
              </c:numCache>
            </c:numRef>
          </c:val>
          <c:smooth val="0"/>
          <c:extLst>
            <c:ext xmlns:c16="http://schemas.microsoft.com/office/drawing/2014/chart" uri="{C3380CC4-5D6E-409C-BE32-E72D297353CC}">
              <c16:uniqueId val="{00000000-5906-4F5D-B15E-B7669BC1DE71}"/>
            </c:ext>
          </c:extLst>
        </c:ser>
        <c:ser>
          <c:idx val="1"/>
          <c:order val="1"/>
          <c:tx>
            <c:strRef>
              <c:f>'Fiche joueur'!$E$11</c:f>
              <c:strCache>
                <c:ptCount val="1"/>
                <c:pt idx="0">
                  <c:v>RPE</c:v>
                </c:pt>
              </c:strCache>
            </c:strRef>
          </c:tx>
          <c:spPr>
            <a:ln w="28575" cap="rnd">
              <a:solidFill>
                <a:schemeClr val="accent2"/>
              </a:solidFill>
              <a:round/>
            </a:ln>
            <a:effectLst/>
          </c:spPr>
          <c:marker>
            <c:symbol val="none"/>
          </c:marker>
          <c:cat>
            <c:strRef>
              <c:f>'Fiche joueur'!$B$12:$B$142</c:f>
              <c:strCache>
                <c:ptCount val="24"/>
                <c:pt idx="0">
                  <c:v>06/08/2018</c:v>
                </c:pt>
                <c:pt idx="1">
                  <c:v>07/08/2018</c:v>
                </c:pt>
                <c:pt idx="2">
                  <c:v>09/08/2018</c:v>
                </c:pt>
                <c:pt idx="3">
                  <c:v>10/08/2018</c:v>
                </c:pt>
                <c:pt idx="4">
                  <c:v>13/08/2018</c:v>
                </c:pt>
                <c:pt idx="5">
                  <c:v>14/08/2018</c:v>
                </c:pt>
                <c:pt idx="6">
                  <c:v>15/08/2018</c:v>
                </c:pt>
                <c:pt idx="7">
                  <c:v>16/08/2018</c:v>
                </c:pt>
                <c:pt idx="8">
                  <c:v>17/08/2018</c:v>
                </c:pt>
                <c:pt idx="9">
                  <c:v>18/08/2018</c:v>
                </c:pt>
                <c:pt idx="10">
                  <c:v>20/08/2018</c:v>
                </c:pt>
                <c:pt idx="11">
                  <c:v>21/08/2018</c:v>
                </c:pt>
                <c:pt idx="12">
                  <c:v>23/08/2018</c:v>
                </c:pt>
                <c:pt idx="13">
                  <c:v>24/08/2018</c:v>
                </c:pt>
                <c:pt idx="14">
                  <c:v>27/08/2018</c:v>
                </c:pt>
                <c:pt idx="15">
                  <c:v>28/08/2018</c:v>
                </c:pt>
                <c:pt idx="16">
                  <c:v>30/08/2018</c:v>
                </c:pt>
                <c:pt idx="17">
                  <c:v>31/08/2018</c:v>
                </c:pt>
                <c:pt idx="18">
                  <c:v>04/09/2018</c:v>
                </c:pt>
                <c:pt idx="19">
                  <c:v>06/09/2018</c:v>
                </c:pt>
                <c:pt idx="20">
                  <c:v>07/09/2018</c:v>
                </c:pt>
                <c:pt idx="21">
                  <c:v>11/09/2018</c:v>
                </c:pt>
                <c:pt idx="22">
                  <c:v>14/09/2018</c:v>
                </c:pt>
                <c:pt idx="23">
                  <c:v>15/09/2018</c:v>
                </c:pt>
              </c:strCache>
            </c:strRef>
          </c:cat>
          <c:val>
            <c:numRef>
              <c:f>'Fiche joueur'!$E$12:$E$142</c:f>
              <c:numCache>
                <c:formatCode>0</c:formatCode>
                <c:ptCount val="131"/>
                <c:pt idx="0">
                  <c:v>0</c:v>
                </c:pt>
                <c:pt idx="1">
                  <c:v>0</c:v>
                </c:pt>
                <c:pt idx="2">
                  <c:v>0</c:v>
                </c:pt>
                <c:pt idx="3">
                  <c:v>0</c:v>
                </c:pt>
                <c:pt idx="4">
                  <c:v>0</c:v>
                </c:pt>
                <c:pt idx="5">
                  <c:v>7</c:v>
                </c:pt>
                <c:pt idx="6">
                  <c:v>5</c:v>
                </c:pt>
                <c:pt idx="7">
                  <c:v>5</c:v>
                </c:pt>
                <c:pt idx="8">
                  <c:v>8</c:v>
                </c:pt>
                <c:pt idx="9">
                  <c:v>5</c:v>
                </c:pt>
                <c:pt idx="10">
                  <c:v>9</c:v>
                </c:pt>
                <c:pt idx="11">
                  <c:v>0</c:v>
                </c:pt>
                <c:pt idx="12">
                  <c:v>2</c:v>
                </c:pt>
                <c:pt idx="13">
                  <c:v>5</c:v>
                </c:pt>
                <c:pt idx="14">
                  <c:v>6</c:v>
                </c:pt>
                <c:pt idx="15">
                  <c:v>5</c:v>
                </c:pt>
                <c:pt idx="16">
                  <c:v>6</c:v>
                </c:pt>
                <c:pt idx="17">
                  <c:v>5</c:v>
                </c:pt>
                <c:pt idx="18">
                  <c:v>5</c:v>
                </c:pt>
                <c:pt idx="19">
                  <c:v>5</c:v>
                </c:pt>
                <c:pt idx="20">
                  <c:v>0</c:v>
                </c:pt>
                <c:pt idx="21">
                  <c:v>5</c:v>
                </c:pt>
                <c:pt idx="22">
                  <c:v>6</c:v>
                </c:pt>
                <c:pt idx="23">
                  <c:v>4</c:v>
                </c:pt>
                <c:pt idx="24">
                  <c:v>0</c:v>
                </c:pt>
                <c:pt idx="25">
                  <c:v>0</c:v>
                </c:pt>
                <c:pt idx="26">
                  <c:v>0</c:v>
                </c:pt>
                <c:pt idx="27">
                  <c:v>0</c:v>
                </c:pt>
                <c:pt idx="28">
                  <c:v>0</c:v>
                </c:pt>
                <c:pt idx="29">
                  <c:v>0</c:v>
                </c:pt>
                <c:pt idx="30">
                  <c:v>0</c:v>
                </c:pt>
                <c:pt idx="31">
                  <c:v>0</c:v>
                </c:pt>
                <c:pt idx="32">
                  <c:v>0</c:v>
                </c:pt>
                <c:pt idx="33">
                  <c:v>0</c:v>
                </c:pt>
                <c:pt idx="34">
                  <c:v>0</c:v>
                </c:pt>
                <c:pt idx="35">
                  <c:v>0</c:v>
                </c:pt>
                <c:pt idx="36">
                  <c:v>0</c:v>
                </c:pt>
                <c:pt idx="37">
                  <c:v>0</c:v>
                </c:pt>
                <c:pt idx="38">
                  <c:v>0</c:v>
                </c:pt>
                <c:pt idx="39">
                  <c:v>0</c:v>
                </c:pt>
                <c:pt idx="40">
                  <c:v>0</c:v>
                </c:pt>
                <c:pt idx="41">
                  <c:v>0</c:v>
                </c:pt>
                <c:pt idx="42">
                  <c:v>0</c:v>
                </c:pt>
                <c:pt idx="43">
                  <c:v>0</c:v>
                </c:pt>
                <c:pt idx="44">
                  <c:v>0</c:v>
                </c:pt>
                <c:pt idx="45">
                  <c:v>0</c:v>
                </c:pt>
                <c:pt idx="46">
                  <c:v>0</c:v>
                </c:pt>
                <c:pt idx="47">
                  <c:v>0</c:v>
                </c:pt>
                <c:pt idx="48">
                  <c:v>0</c:v>
                </c:pt>
                <c:pt idx="49">
                  <c:v>0</c:v>
                </c:pt>
                <c:pt idx="50">
                  <c:v>0</c:v>
                </c:pt>
                <c:pt idx="51">
                  <c:v>0</c:v>
                </c:pt>
                <c:pt idx="52">
                  <c:v>0</c:v>
                </c:pt>
                <c:pt idx="53">
                  <c:v>0</c:v>
                </c:pt>
                <c:pt idx="54">
                  <c:v>0</c:v>
                </c:pt>
                <c:pt idx="55">
                  <c:v>0</c:v>
                </c:pt>
                <c:pt idx="56">
                  <c:v>0</c:v>
                </c:pt>
                <c:pt idx="57">
                  <c:v>0</c:v>
                </c:pt>
                <c:pt idx="58">
                  <c:v>0</c:v>
                </c:pt>
                <c:pt idx="59">
                  <c:v>0</c:v>
                </c:pt>
                <c:pt idx="60">
                  <c:v>0</c:v>
                </c:pt>
                <c:pt idx="61">
                  <c:v>0</c:v>
                </c:pt>
                <c:pt idx="62">
                  <c:v>0</c:v>
                </c:pt>
                <c:pt idx="63">
                  <c:v>0</c:v>
                </c:pt>
                <c:pt idx="64">
                  <c:v>0</c:v>
                </c:pt>
                <c:pt idx="65">
                  <c:v>0</c:v>
                </c:pt>
                <c:pt idx="66">
                  <c:v>0</c:v>
                </c:pt>
                <c:pt idx="67">
                  <c:v>0</c:v>
                </c:pt>
                <c:pt idx="68">
                  <c:v>0</c:v>
                </c:pt>
                <c:pt idx="69">
                  <c:v>0</c:v>
                </c:pt>
                <c:pt idx="70">
                  <c:v>0</c:v>
                </c:pt>
                <c:pt idx="71">
                  <c:v>0</c:v>
                </c:pt>
                <c:pt idx="72">
                  <c:v>0</c:v>
                </c:pt>
                <c:pt idx="73">
                  <c:v>0</c:v>
                </c:pt>
                <c:pt idx="74">
                  <c:v>0</c:v>
                </c:pt>
                <c:pt idx="75">
                  <c:v>0</c:v>
                </c:pt>
                <c:pt idx="76">
                  <c:v>0</c:v>
                </c:pt>
                <c:pt idx="77">
                  <c:v>0</c:v>
                </c:pt>
                <c:pt idx="78">
                  <c:v>0</c:v>
                </c:pt>
                <c:pt idx="79">
                  <c:v>0</c:v>
                </c:pt>
                <c:pt idx="80">
                  <c:v>0</c:v>
                </c:pt>
                <c:pt idx="81">
                  <c:v>0</c:v>
                </c:pt>
                <c:pt idx="82">
                  <c:v>0</c:v>
                </c:pt>
                <c:pt idx="83">
                  <c:v>0</c:v>
                </c:pt>
                <c:pt idx="84">
                  <c:v>0</c:v>
                </c:pt>
                <c:pt idx="85">
                  <c:v>0</c:v>
                </c:pt>
                <c:pt idx="86">
                  <c:v>0</c:v>
                </c:pt>
                <c:pt idx="87">
                  <c:v>0</c:v>
                </c:pt>
                <c:pt idx="88">
                  <c:v>0</c:v>
                </c:pt>
                <c:pt idx="89">
                  <c:v>0</c:v>
                </c:pt>
                <c:pt idx="90">
                  <c:v>0</c:v>
                </c:pt>
                <c:pt idx="91">
                  <c:v>0</c:v>
                </c:pt>
                <c:pt idx="92">
                  <c:v>0</c:v>
                </c:pt>
                <c:pt idx="93">
                  <c:v>0</c:v>
                </c:pt>
                <c:pt idx="94">
                  <c:v>0</c:v>
                </c:pt>
                <c:pt idx="95">
                  <c:v>0</c:v>
                </c:pt>
                <c:pt idx="96">
                  <c:v>0</c:v>
                </c:pt>
                <c:pt idx="97">
                  <c:v>0</c:v>
                </c:pt>
                <c:pt idx="98">
                  <c:v>0</c:v>
                </c:pt>
                <c:pt idx="99">
                  <c:v>0</c:v>
                </c:pt>
                <c:pt idx="100">
                  <c:v>0</c:v>
                </c:pt>
                <c:pt idx="101">
                  <c:v>0</c:v>
                </c:pt>
                <c:pt idx="102">
                  <c:v>0</c:v>
                </c:pt>
                <c:pt idx="103">
                  <c:v>0</c:v>
                </c:pt>
                <c:pt idx="104">
                  <c:v>0</c:v>
                </c:pt>
                <c:pt idx="105">
                  <c:v>0</c:v>
                </c:pt>
                <c:pt idx="106">
                  <c:v>0</c:v>
                </c:pt>
                <c:pt idx="107">
                  <c:v>0</c:v>
                </c:pt>
                <c:pt idx="108">
                  <c:v>0</c:v>
                </c:pt>
                <c:pt idx="109">
                  <c:v>0</c:v>
                </c:pt>
                <c:pt idx="110">
                  <c:v>0</c:v>
                </c:pt>
                <c:pt idx="111">
                  <c:v>0</c:v>
                </c:pt>
                <c:pt idx="112">
                  <c:v>0</c:v>
                </c:pt>
                <c:pt idx="113">
                  <c:v>0</c:v>
                </c:pt>
                <c:pt idx="114">
                  <c:v>0</c:v>
                </c:pt>
                <c:pt idx="115">
                  <c:v>0</c:v>
                </c:pt>
                <c:pt idx="116">
                  <c:v>0</c:v>
                </c:pt>
                <c:pt idx="117">
                  <c:v>0</c:v>
                </c:pt>
                <c:pt idx="118">
                  <c:v>0</c:v>
                </c:pt>
                <c:pt idx="119">
                  <c:v>0</c:v>
                </c:pt>
                <c:pt idx="120">
                  <c:v>0</c:v>
                </c:pt>
                <c:pt idx="121">
                  <c:v>0</c:v>
                </c:pt>
                <c:pt idx="122">
                  <c:v>0</c:v>
                </c:pt>
                <c:pt idx="123">
                  <c:v>0</c:v>
                </c:pt>
                <c:pt idx="124">
                  <c:v>0</c:v>
                </c:pt>
                <c:pt idx="125">
                  <c:v>0</c:v>
                </c:pt>
                <c:pt idx="126">
                  <c:v>0</c:v>
                </c:pt>
                <c:pt idx="127">
                  <c:v>0</c:v>
                </c:pt>
                <c:pt idx="128">
                  <c:v>0</c:v>
                </c:pt>
                <c:pt idx="129">
                  <c:v>0</c:v>
                </c:pt>
                <c:pt idx="130">
                  <c:v>0</c:v>
                </c:pt>
              </c:numCache>
            </c:numRef>
          </c:val>
          <c:smooth val="0"/>
          <c:extLst>
            <c:ext xmlns:c16="http://schemas.microsoft.com/office/drawing/2014/chart" uri="{C3380CC4-5D6E-409C-BE32-E72D297353CC}">
              <c16:uniqueId val="{00000001-5906-4F5D-B15E-B7669BC1DE71}"/>
            </c:ext>
          </c:extLst>
        </c:ser>
        <c:dLbls>
          <c:showLegendKey val="0"/>
          <c:showVal val="0"/>
          <c:showCatName val="0"/>
          <c:showSerName val="0"/>
          <c:showPercent val="0"/>
          <c:showBubbleSize val="0"/>
        </c:dLbls>
        <c:smooth val="0"/>
        <c:axId val="1112725920"/>
        <c:axId val="1112728672"/>
      </c:lineChart>
      <c:dateAx>
        <c:axId val="1112725920"/>
        <c:scaling>
          <c:orientation val="minMax"/>
        </c:scaling>
        <c:delete val="0"/>
        <c:axPos val="b"/>
        <c:numFmt formatCode="m/d/yyyy" sourceLinked="1"/>
        <c:majorTickMark val="out"/>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fr-FR"/>
          </a:p>
        </c:txPr>
        <c:crossAx val="1112728672"/>
        <c:crosses val="autoZero"/>
        <c:auto val="1"/>
        <c:lblOffset val="100"/>
        <c:baseTimeUnit val="days"/>
      </c:dateAx>
      <c:valAx>
        <c:axId val="1112728672"/>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fr-FR"/>
          </a:p>
        </c:txPr>
        <c:crossAx val="1112725920"/>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fr-FR"/>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fr-FR"/>
    </a:p>
  </c:txPr>
  <c:printSettings>
    <c:headerFooter/>
    <c:pageMargins b="0.75" l="0.7" r="0.7" t="0.75" header="0.3" footer="0.3"/>
    <c:pageSetup/>
  </c:printSettings>
</c:chartSpace>
</file>

<file path=xl/charts/chart3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fr-FR"/>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fr-FR" b="1">
                <a:latin typeface="+mj-lt"/>
              </a:rPr>
              <a:t>Charges</a:t>
            </a:r>
            <a:r>
              <a:rPr lang="fr-FR" b="1" baseline="0">
                <a:latin typeface="+mj-lt"/>
              </a:rPr>
              <a:t> d'entrainement</a:t>
            </a:r>
            <a:endParaRPr lang="fr-FR" b="1">
              <a:latin typeface="+mj-lt"/>
            </a:endParaRP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fr-FR"/>
        </a:p>
      </c:txPr>
    </c:title>
    <c:autoTitleDeleted val="0"/>
    <c:plotArea>
      <c:layout/>
      <c:lineChart>
        <c:grouping val="standard"/>
        <c:varyColors val="0"/>
        <c:ser>
          <c:idx val="0"/>
          <c:order val="0"/>
          <c:tx>
            <c:strRef>
              <c:f>'Fiche joueur'!$F$11</c:f>
              <c:strCache>
                <c:ptCount val="1"/>
                <c:pt idx="0">
                  <c:v>Charge</c:v>
                </c:pt>
              </c:strCache>
            </c:strRef>
          </c:tx>
          <c:spPr>
            <a:ln w="28575" cap="rnd">
              <a:solidFill>
                <a:schemeClr val="accent1"/>
              </a:solidFill>
              <a:round/>
            </a:ln>
            <a:effectLst/>
          </c:spPr>
          <c:marker>
            <c:symbol val="none"/>
          </c:marker>
          <c:cat>
            <c:strRef>
              <c:f>'Fiche joueur'!$B$12:$B$142</c:f>
              <c:strCache>
                <c:ptCount val="24"/>
                <c:pt idx="0">
                  <c:v>06/08/2018</c:v>
                </c:pt>
                <c:pt idx="1">
                  <c:v>07/08/2018</c:v>
                </c:pt>
                <c:pt idx="2">
                  <c:v>09/08/2018</c:v>
                </c:pt>
                <c:pt idx="3">
                  <c:v>10/08/2018</c:v>
                </c:pt>
                <c:pt idx="4">
                  <c:v>13/08/2018</c:v>
                </c:pt>
                <c:pt idx="5">
                  <c:v>14/08/2018</c:v>
                </c:pt>
                <c:pt idx="6">
                  <c:v>15/08/2018</c:v>
                </c:pt>
                <c:pt idx="7">
                  <c:v>16/08/2018</c:v>
                </c:pt>
                <c:pt idx="8">
                  <c:v>17/08/2018</c:v>
                </c:pt>
                <c:pt idx="9">
                  <c:v>18/08/2018</c:v>
                </c:pt>
                <c:pt idx="10">
                  <c:v>20/08/2018</c:v>
                </c:pt>
                <c:pt idx="11">
                  <c:v>21/08/2018</c:v>
                </c:pt>
                <c:pt idx="12">
                  <c:v>23/08/2018</c:v>
                </c:pt>
                <c:pt idx="13">
                  <c:v>24/08/2018</c:v>
                </c:pt>
                <c:pt idx="14">
                  <c:v>27/08/2018</c:v>
                </c:pt>
                <c:pt idx="15">
                  <c:v>28/08/2018</c:v>
                </c:pt>
                <c:pt idx="16">
                  <c:v>30/08/2018</c:v>
                </c:pt>
                <c:pt idx="17">
                  <c:v>31/08/2018</c:v>
                </c:pt>
                <c:pt idx="18">
                  <c:v>04/09/2018</c:v>
                </c:pt>
                <c:pt idx="19">
                  <c:v>06/09/2018</c:v>
                </c:pt>
                <c:pt idx="20">
                  <c:v>07/09/2018</c:v>
                </c:pt>
                <c:pt idx="21">
                  <c:v>11/09/2018</c:v>
                </c:pt>
                <c:pt idx="22">
                  <c:v>14/09/2018</c:v>
                </c:pt>
                <c:pt idx="23">
                  <c:v>15/09/2018</c:v>
                </c:pt>
              </c:strCache>
            </c:strRef>
          </c:cat>
          <c:val>
            <c:numRef>
              <c:f>'Fiche joueur'!$F$12:$F$142</c:f>
              <c:numCache>
                <c:formatCode>0</c:formatCode>
                <c:ptCount val="131"/>
                <c:pt idx="0">
                  <c:v>0</c:v>
                </c:pt>
                <c:pt idx="1">
                  <c:v>0</c:v>
                </c:pt>
                <c:pt idx="2">
                  <c:v>0</c:v>
                </c:pt>
                <c:pt idx="3">
                  <c:v>0</c:v>
                </c:pt>
                <c:pt idx="4">
                  <c:v>0</c:v>
                </c:pt>
                <c:pt idx="5">
                  <c:v>497</c:v>
                </c:pt>
                <c:pt idx="6">
                  <c:v>275</c:v>
                </c:pt>
                <c:pt idx="7">
                  <c:v>335</c:v>
                </c:pt>
                <c:pt idx="8">
                  <c:v>488</c:v>
                </c:pt>
                <c:pt idx="9">
                  <c:v>350</c:v>
                </c:pt>
                <c:pt idx="10">
                  <c:v>621</c:v>
                </c:pt>
                <c:pt idx="11">
                  <c:v>0</c:v>
                </c:pt>
                <c:pt idx="12">
                  <c:v>110</c:v>
                </c:pt>
                <c:pt idx="13">
                  <c:v>350</c:v>
                </c:pt>
                <c:pt idx="14">
                  <c:v>384</c:v>
                </c:pt>
                <c:pt idx="15">
                  <c:v>300</c:v>
                </c:pt>
                <c:pt idx="16">
                  <c:v>342</c:v>
                </c:pt>
                <c:pt idx="17">
                  <c:v>250</c:v>
                </c:pt>
                <c:pt idx="18">
                  <c:v>325</c:v>
                </c:pt>
                <c:pt idx="19">
                  <c:v>350</c:v>
                </c:pt>
                <c:pt idx="20">
                  <c:v>0</c:v>
                </c:pt>
                <c:pt idx="21">
                  <c:v>300</c:v>
                </c:pt>
                <c:pt idx="22">
                  <c:v>444</c:v>
                </c:pt>
                <c:pt idx="23">
                  <c:v>144</c:v>
                </c:pt>
                <c:pt idx="24">
                  <c:v>0</c:v>
                </c:pt>
                <c:pt idx="25">
                  <c:v>0</c:v>
                </c:pt>
                <c:pt idx="26">
                  <c:v>0</c:v>
                </c:pt>
                <c:pt idx="27">
                  <c:v>0</c:v>
                </c:pt>
                <c:pt idx="28">
                  <c:v>0</c:v>
                </c:pt>
                <c:pt idx="29">
                  <c:v>0</c:v>
                </c:pt>
                <c:pt idx="30">
                  <c:v>0</c:v>
                </c:pt>
                <c:pt idx="31">
                  <c:v>0</c:v>
                </c:pt>
                <c:pt idx="32">
                  <c:v>0</c:v>
                </c:pt>
                <c:pt idx="33">
                  <c:v>0</c:v>
                </c:pt>
                <c:pt idx="34">
                  <c:v>0</c:v>
                </c:pt>
                <c:pt idx="35">
                  <c:v>0</c:v>
                </c:pt>
                <c:pt idx="36">
                  <c:v>0</c:v>
                </c:pt>
                <c:pt idx="37">
                  <c:v>0</c:v>
                </c:pt>
                <c:pt idx="38">
                  <c:v>0</c:v>
                </c:pt>
                <c:pt idx="39">
                  <c:v>0</c:v>
                </c:pt>
                <c:pt idx="40">
                  <c:v>0</c:v>
                </c:pt>
                <c:pt idx="41">
                  <c:v>0</c:v>
                </c:pt>
                <c:pt idx="42">
                  <c:v>0</c:v>
                </c:pt>
                <c:pt idx="43">
                  <c:v>0</c:v>
                </c:pt>
                <c:pt idx="44">
                  <c:v>0</c:v>
                </c:pt>
                <c:pt idx="45">
                  <c:v>0</c:v>
                </c:pt>
                <c:pt idx="46">
                  <c:v>0</c:v>
                </c:pt>
                <c:pt idx="47">
                  <c:v>0</c:v>
                </c:pt>
                <c:pt idx="48">
                  <c:v>0</c:v>
                </c:pt>
                <c:pt idx="49">
                  <c:v>0</c:v>
                </c:pt>
                <c:pt idx="50">
                  <c:v>0</c:v>
                </c:pt>
                <c:pt idx="51">
                  <c:v>0</c:v>
                </c:pt>
                <c:pt idx="52">
                  <c:v>0</c:v>
                </c:pt>
                <c:pt idx="53">
                  <c:v>0</c:v>
                </c:pt>
                <c:pt idx="54">
                  <c:v>0</c:v>
                </c:pt>
                <c:pt idx="55">
                  <c:v>0</c:v>
                </c:pt>
                <c:pt idx="56">
                  <c:v>0</c:v>
                </c:pt>
                <c:pt idx="57">
                  <c:v>0</c:v>
                </c:pt>
                <c:pt idx="58">
                  <c:v>0</c:v>
                </c:pt>
                <c:pt idx="59">
                  <c:v>0</c:v>
                </c:pt>
                <c:pt idx="60">
                  <c:v>0</c:v>
                </c:pt>
                <c:pt idx="61">
                  <c:v>0</c:v>
                </c:pt>
                <c:pt idx="62">
                  <c:v>0</c:v>
                </c:pt>
                <c:pt idx="63">
                  <c:v>0</c:v>
                </c:pt>
                <c:pt idx="64">
                  <c:v>0</c:v>
                </c:pt>
                <c:pt idx="65">
                  <c:v>0</c:v>
                </c:pt>
                <c:pt idx="66">
                  <c:v>0</c:v>
                </c:pt>
                <c:pt idx="67">
                  <c:v>0</c:v>
                </c:pt>
                <c:pt idx="68">
                  <c:v>0</c:v>
                </c:pt>
                <c:pt idx="69">
                  <c:v>0</c:v>
                </c:pt>
                <c:pt idx="70">
                  <c:v>0</c:v>
                </c:pt>
                <c:pt idx="71">
                  <c:v>0</c:v>
                </c:pt>
                <c:pt idx="72">
                  <c:v>0</c:v>
                </c:pt>
                <c:pt idx="73">
                  <c:v>0</c:v>
                </c:pt>
                <c:pt idx="74">
                  <c:v>0</c:v>
                </c:pt>
                <c:pt idx="75">
                  <c:v>0</c:v>
                </c:pt>
                <c:pt idx="76">
                  <c:v>0</c:v>
                </c:pt>
                <c:pt idx="77">
                  <c:v>0</c:v>
                </c:pt>
                <c:pt idx="78">
                  <c:v>0</c:v>
                </c:pt>
                <c:pt idx="79">
                  <c:v>0</c:v>
                </c:pt>
                <c:pt idx="80">
                  <c:v>0</c:v>
                </c:pt>
                <c:pt idx="81">
                  <c:v>0</c:v>
                </c:pt>
                <c:pt idx="82">
                  <c:v>0</c:v>
                </c:pt>
                <c:pt idx="83">
                  <c:v>0</c:v>
                </c:pt>
                <c:pt idx="84">
                  <c:v>0</c:v>
                </c:pt>
                <c:pt idx="85">
                  <c:v>0</c:v>
                </c:pt>
                <c:pt idx="86">
                  <c:v>0</c:v>
                </c:pt>
                <c:pt idx="87">
                  <c:v>0</c:v>
                </c:pt>
                <c:pt idx="88">
                  <c:v>0</c:v>
                </c:pt>
                <c:pt idx="89">
                  <c:v>0</c:v>
                </c:pt>
                <c:pt idx="90">
                  <c:v>0</c:v>
                </c:pt>
                <c:pt idx="91">
                  <c:v>0</c:v>
                </c:pt>
                <c:pt idx="92">
                  <c:v>0</c:v>
                </c:pt>
                <c:pt idx="93">
                  <c:v>0</c:v>
                </c:pt>
                <c:pt idx="94">
                  <c:v>0</c:v>
                </c:pt>
                <c:pt idx="95">
                  <c:v>0</c:v>
                </c:pt>
                <c:pt idx="96">
                  <c:v>0</c:v>
                </c:pt>
                <c:pt idx="97">
                  <c:v>0</c:v>
                </c:pt>
                <c:pt idx="98">
                  <c:v>0</c:v>
                </c:pt>
                <c:pt idx="99">
                  <c:v>0</c:v>
                </c:pt>
                <c:pt idx="100">
                  <c:v>0</c:v>
                </c:pt>
                <c:pt idx="101">
                  <c:v>0</c:v>
                </c:pt>
                <c:pt idx="102">
                  <c:v>0</c:v>
                </c:pt>
                <c:pt idx="103">
                  <c:v>0</c:v>
                </c:pt>
                <c:pt idx="104">
                  <c:v>0</c:v>
                </c:pt>
                <c:pt idx="105">
                  <c:v>0</c:v>
                </c:pt>
                <c:pt idx="106">
                  <c:v>0</c:v>
                </c:pt>
                <c:pt idx="107">
                  <c:v>0</c:v>
                </c:pt>
                <c:pt idx="108">
                  <c:v>0</c:v>
                </c:pt>
                <c:pt idx="109">
                  <c:v>0</c:v>
                </c:pt>
                <c:pt idx="110">
                  <c:v>0</c:v>
                </c:pt>
                <c:pt idx="111">
                  <c:v>0</c:v>
                </c:pt>
                <c:pt idx="112">
                  <c:v>0</c:v>
                </c:pt>
                <c:pt idx="113">
                  <c:v>0</c:v>
                </c:pt>
                <c:pt idx="114">
                  <c:v>0</c:v>
                </c:pt>
                <c:pt idx="115">
                  <c:v>0</c:v>
                </c:pt>
                <c:pt idx="116">
                  <c:v>0</c:v>
                </c:pt>
                <c:pt idx="117">
                  <c:v>0</c:v>
                </c:pt>
                <c:pt idx="118">
                  <c:v>0</c:v>
                </c:pt>
                <c:pt idx="119">
                  <c:v>0</c:v>
                </c:pt>
                <c:pt idx="120">
                  <c:v>0</c:v>
                </c:pt>
                <c:pt idx="121">
                  <c:v>0</c:v>
                </c:pt>
                <c:pt idx="122">
                  <c:v>0</c:v>
                </c:pt>
                <c:pt idx="123">
                  <c:v>0</c:v>
                </c:pt>
                <c:pt idx="124">
                  <c:v>0</c:v>
                </c:pt>
                <c:pt idx="125">
                  <c:v>0</c:v>
                </c:pt>
                <c:pt idx="126">
                  <c:v>0</c:v>
                </c:pt>
                <c:pt idx="127">
                  <c:v>0</c:v>
                </c:pt>
                <c:pt idx="128">
                  <c:v>0</c:v>
                </c:pt>
                <c:pt idx="129">
                  <c:v>0</c:v>
                </c:pt>
                <c:pt idx="130">
                  <c:v>0</c:v>
                </c:pt>
              </c:numCache>
            </c:numRef>
          </c:val>
          <c:smooth val="0"/>
          <c:extLst>
            <c:ext xmlns:c16="http://schemas.microsoft.com/office/drawing/2014/chart" uri="{C3380CC4-5D6E-409C-BE32-E72D297353CC}">
              <c16:uniqueId val="{00000000-5906-4F5D-B15E-B7669BC1DE71}"/>
            </c:ext>
          </c:extLst>
        </c:ser>
        <c:ser>
          <c:idx val="1"/>
          <c:order val="1"/>
          <c:tx>
            <c:strRef>
              <c:f>'Fiche joueur'!$G$11</c:f>
              <c:strCache>
                <c:ptCount val="1"/>
                <c:pt idx="0">
                  <c:v>Groupe</c:v>
                </c:pt>
              </c:strCache>
            </c:strRef>
          </c:tx>
          <c:spPr>
            <a:ln w="28575" cap="rnd">
              <a:solidFill>
                <a:schemeClr val="accent2"/>
              </a:solidFill>
              <a:round/>
            </a:ln>
            <a:effectLst/>
          </c:spPr>
          <c:marker>
            <c:symbol val="none"/>
          </c:marker>
          <c:cat>
            <c:strRef>
              <c:f>'Fiche joueur'!$B$12:$B$142</c:f>
              <c:strCache>
                <c:ptCount val="24"/>
                <c:pt idx="0">
                  <c:v>06/08/2018</c:v>
                </c:pt>
                <c:pt idx="1">
                  <c:v>07/08/2018</c:v>
                </c:pt>
                <c:pt idx="2">
                  <c:v>09/08/2018</c:v>
                </c:pt>
                <c:pt idx="3">
                  <c:v>10/08/2018</c:v>
                </c:pt>
                <c:pt idx="4">
                  <c:v>13/08/2018</c:v>
                </c:pt>
                <c:pt idx="5">
                  <c:v>14/08/2018</c:v>
                </c:pt>
                <c:pt idx="6">
                  <c:v>15/08/2018</c:v>
                </c:pt>
                <c:pt idx="7">
                  <c:v>16/08/2018</c:v>
                </c:pt>
                <c:pt idx="8">
                  <c:v>17/08/2018</c:v>
                </c:pt>
                <c:pt idx="9">
                  <c:v>18/08/2018</c:v>
                </c:pt>
                <c:pt idx="10">
                  <c:v>20/08/2018</c:v>
                </c:pt>
                <c:pt idx="11">
                  <c:v>21/08/2018</c:v>
                </c:pt>
                <c:pt idx="12">
                  <c:v>23/08/2018</c:v>
                </c:pt>
                <c:pt idx="13">
                  <c:v>24/08/2018</c:v>
                </c:pt>
                <c:pt idx="14">
                  <c:v>27/08/2018</c:v>
                </c:pt>
                <c:pt idx="15">
                  <c:v>28/08/2018</c:v>
                </c:pt>
                <c:pt idx="16">
                  <c:v>30/08/2018</c:v>
                </c:pt>
                <c:pt idx="17">
                  <c:v>31/08/2018</c:v>
                </c:pt>
                <c:pt idx="18">
                  <c:v>04/09/2018</c:v>
                </c:pt>
                <c:pt idx="19">
                  <c:v>06/09/2018</c:v>
                </c:pt>
                <c:pt idx="20">
                  <c:v>07/09/2018</c:v>
                </c:pt>
                <c:pt idx="21">
                  <c:v>11/09/2018</c:v>
                </c:pt>
                <c:pt idx="22">
                  <c:v>14/09/2018</c:v>
                </c:pt>
                <c:pt idx="23">
                  <c:v>15/09/2018</c:v>
                </c:pt>
              </c:strCache>
            </c:strRef>
          </c:cat>
          <c:val>
            <c:numRef>
              <c:f>'Fiche joueur'!$G$12:$G$142</c:f>
              <c:numCache>
                <c:formatCode>0</c:formatCode>
                <c:ptCount val="131"/>
                <c:pt idx="0">
                  <c:v>357.33333333333331</c:v>
                </c:pt>
                <c:pt idx="1">
                  <c:v>296.22222222222223</c:v>
                </c:pt>
                <c:pt idx="2">
                  <c:v>240</c:v>
                </c:pt>
                <c:pt idx="3">
                  <c:v>387.5</c:v>
                </c:pt>
                <c:pt idx="4">
                  <c:v>349.36363636363637</c:v>
                </c:pt>
                <c:pt idx="5">
                  <c:v>331.33333333333337</c:v>
                </c:pt>
                <c:pt idx="6">
                  <c:v>188.57142857142856</c:v>
                </c:pt>
                <c:pt idx="7">
                  <c:v>278.30769230769232</c:v>
                </c:pt>
                <c:pt idx="8">
                  <c:v>341.59999999999997</c:v>
                </c:pt>
                <c:pt idx="9">
                  <c:v>274.16666666666663</c:v>
                </c:pt>
                <c:pt idx="10">
                  <c:v>507.64285714285711</c:v>
                </c:pt>
                <c:pt idx="11">
                  <c:v>273.07692307692309</c:v>
                </c:pt>
                <c:pt idx="12">
                  <c:v>145.35714285714286</c:v>
                </c:pt>
                <c:pt idx="13">
                  <c:v>242.94117647058823</c:v>
                </c:pt>
                <c:pt idx="14">
                  <c:v>328.53333333333336</c:v>
                </c:pt>
                <c:pt idx="15">
                  <c:v>275.29411764705878</c:v>
                </c:pt>
                <c:pt idx="16">
                  <c:v>262.2</c:v>
                </c:pt>
                <c:pt idx="17">
                  <c:v>184.375</c:v>
                </c:pt>
                <c:pt idx="18">
                  <c:v>278.57142857142856</c:v>
                </c:pt>
                <c:pt idx="19">
                  <c:v>291.66666666666669</c:v>
                </c:pt>
                <c:pt idx="20">
                  <c:v>150</c:v>
                </c:pt>
                <c:pt idx="21">
                  <c:v>275</c:v>
                </c:pt>
                <c:pt idx="22">
                  <c:v>340.4</c:v>
                </c:pt>
                <c:pt idx="23">
                  <c:v>121.09090909090909</c:v>
                </c:pt>
                <c:pt idx="24">
                  <c:v>0</c:v>
                </c:pt>
                <c:pt idx="25">
                  <c:v>0</c:v>
                </c:pt>
                <c:pt idx="26">
                  <c:v>0</c:v>
                </c:pt>
                <c:pt idx="27">
                  <c:v>0</c:v>
                </c:pt>
                <c:pt idx="28">
                  <c:v>0</c:v>
                </c:pt>
                <c:pt idx="29">
                  <c:v>0</c:v>
                </c:pt>
                <c:pt idx="30">
                  <c:v>0</c:v>
                </c:pt>
                <c:pt idx="31">
                  <c:v>0</c:v>
                </c:pt>
                <c:pt idx="32">
                  <c:v>0</c:v>
                </c:pt>
                <c:pt idx="33">
                  <c:v>0</c:v>
                </c:pt>
                <c:pt idx="34">
                  <c:v>0</c:v>
                </c:pt>
                <c:pt idx="35">
                  <c:v>0</c:v>
                </c:pt>
                <c:pt idx="36">
                  <c:v>0</c:v>
                </c:pt>
                <c:pt idx="37">
                  <c:v>0</c:v>
                </c:pt>
                <c:pt idx="38">
                  <c:v>0</c:v>
                </c:pt>
                <c:pt idx="39">
                  <c:v>0</c:v>
                </c:pt>
                <c:pt idx="40">
                  <c:v>0</c:v>
                </c:pt>
                <c:pt idx="41">
                  <c:v>0</c:v>
                </c:pt>
                <c:pt idx="42">
                  <c:v>0</c:v>
                </c:pt>
                <c:pt idx="43">
                  <c:v>0</c:v>
                </c:pt>
                <c:pt idx="44">
                  <c:v>0</c:v>
                </c:pt>
                <c:pt idx="45">
                  <c:v>0</c:v>
                </c:pt>
                <c:pt idx="46">
                  <c:v>0</c:v>
                </c:pt>
                <c:pt idx="47">
                  <c:v>0</c:v>
                </c:pt>
                <c:pt idx="48">
                  <c:v>0</c:v>
                </c:pt>
                <c:pt idx="49">
                  <c:v>0</c:v>
                </c:pt>
                <c:pt idx="50">
                  <c:v>0</c:v>
                </c:pt>
                <c:pt idx="51">
                  <c:v>0</c:v>
                </c:pt>
                <c:pt idx="52">
                  <c:v>0</c:v>
                </c:pt>
                <c:pt idx="53">
                  <c:v>0</c:v>
                </c:pt>
                <c:pt idx="54">
                  <c:v>0</c:v>
                </c:pt>
                <c:pt idx="55">
                  <c:v>0</c:v>
                </c:pt>
                <c:pt idx="56">
                  <c:v>0</c:v>
                </c:pt>
                <c:pt idx="57">
                  <c:v>0</c:v>
                </c:pt>
                <c:pt idx="58">
                  <c:v>0</c:v>
                </c:pt>
                <c:pt idx="59">
                  <c:v>0</c:v>
                </c:pt>
                <c:pt idx="60">
                  <c:v>0</c:v>
                </c:pt>
                <c:pt idx="61">
                  <c:v>0</c:v>
                </c:pt>
                <c:pt idx="62">
                  <c:v>0</c:v>
                </c:pt>
                <c:pt idx="63">
                  <c:v>0</c:v>
                </c:pt>
                <c:pt idx="64">
                  <c:v>0</c:v>
                </c:pt>
                <c:pt idx="65">
                  <c:v>0</c:v>
                </c:pt>
                <c:pt idx="66">
                  <c:v>0</c:v>
                </c:pt>
                <c:pt idx="67">
                  <c:v>0</c:v>
                </c:pt>
                <c:pt idx="68">
                  <c:v>0</c:v>
                </c:pt>
                <c:pt idx="69">
                  <c:v>0</c:v>
                </c:pt>
                <c:pt idx="70">
                  <c:v>0</c:v>
                </c:pt>
                <c:pt idx="71">
                  <c:v>0</c:v>
                </c:pt>
                <c:pt idx="72">
                  <c:v>0</c:v>
                </c:pt>
                <c:pt idx="73">
                  <c:v>0</c:v>
                </c:pt>
                <c:pt idx="74">
                  <c:v>0</c:v>
                </c:pt>
                <c:pt idx="75">
                  <c:v>0</c:v>
                </c:pt>
                <c:pt idx="76">
                  <c:v>0</c:v>
                </c:pt>
                <c:pt idx="77">
                  <c:v>0</c:v>
                </c:pt>
                <c:pt idx="78">
                  <c:v>0</c:v>
                </c:pt>
                <c:pt idx="79">
                  <c:v>0</c:v>
                </c:pt>
                <c:pt idx="80">
                  <c:v>0</c:v>
                </c:pt>
                <c:pt idx="81">
                  <c:v>0</c:v>
                </c:pt>
                <c:pt idx="82">
                  <c:v>0</c:v>
                </c:pt>
                <c:pt idx="83">
                  <c:v>0</c:v>
                </c:pt>
                <c:pt idx="84">
                  <c:v>0</c:v>
                </c:pt>
                <c:pt idx="85">
                  <c:v>0</c:v>
                </c:pt>
                <c:pt idx="86">
                  <c:v>0</c:v>
                </c:pt>
                <c:pt idx="87">
                  <c:v>0</c:v>
                </c:pt>
                <c:pt idx="88">
                  <c:v>0</c:v>
                </c:pt>
                <c:pt idx="89">
                  <c:v>0</c:v>
                </c:pt>
                <c:pt idx="90">
                  <c:v>0</c:v>
                </c:pt>
                <c:pt idx="91">
                  <c:v>0</c:v>
                </c:pt>
                <c:pt idx="92">
                  <c:v>0</c:v>
                </c:pt>
                <c:pt idx="93">
                  <c:v>0</c:v>
                </c:pt>
                <c:pt idx="94">
                  <c:v>0</c:v>
                </c:pt>
                <c:pt idx="95">
                  <c:v>0</c:v>
                </c:pt>
                <c:pt idx="96">
                  <c:v>0</c:v>
                </c:pt>
                <c:pt idx="97">
                  <c:v>0</c:v>
                </c:pt>
                <c:pt idx="98">
                  <c:v>0</c:v>
                </c:pt>
                <c:pt idx="99">
                  <c:v>0</c:v>
                </c:pt>
                <c:pt idx="100">
                  <c:v>0</c:v>
                </c:pt>
                <c:pt idx="101">
                  <c:v>0</c:v>
                </c:pt>
                <c:pt idx="102">
                  <c:v>0</c:v>
                </c:pt>
                <c:pt idx="103">
                  <c:v>0</c:v>
                </c:pt>
                <c:pt idx="104">
                  <c:v>0</c:v>
                </c:pt>
                <c:pt idx="105">
                  <c:v>0</c:v>
                </c:pt>
                <c:pt idx="106">
                  <c:v>0</c:v>
                </c:pt>
                <c:pt idx="107">
                  <c:v>0</c:v>
                </c:pt>
                <c:pt idx="108">
                  <c:v>0</c:v>
                </c:pt>
                <c:pt idx="109">
                  <c:v>0</c:v>
                </c:pt>
                <c:pt idx="110">
                  <c:v>0</c:v>
                </c:pt>
                <c:pt idx="111">
                  <c:v>0</c:v>
                </c:pt>
                <c:pt idx="112">
                  <c:v>0</c:v>
                </c:pt>
                <c:pt idx="113">
                  <c:v>0</c:v>
                </c:pt>
                <c:pt idx="114">
                  <c:v>0</c:v>
                </c:pt>
                <c:pt idx="115">
                  <c:v>0</c:v>
                </c:pt>
                <c:pt idx="116">
                  <c:v>0</c:v>
                </c:pt>
                <c:pt idx="117">
                  <c:v>0</c:v>
                </c:pt>
                <c:pt idx="118">
                  <c:v>0</c:v>
                </c:pt>
                <c:pt idx="119">
                  <c:v>0</c:v>
                </c:pt>
                <c:pt idx="120">
                  <c:v>0</c:v>
                </c:pt>
                <c:pt idx="121">
                  <c:v>0</c:v>
                </c:pt>
                <c:pt idx="122">
                  <c:v>0</c:v>
                </c:pt>
                <c:pt idx="123">
                  <c:v>0</c:v>
                </c:pt>
                <c:pt idx="124">
                  <c:v>0</c:v>
                </c:pt>
                <c:pt idx="125">
                  <c:v>0</c:v>
                </c:pt>
                <c:pt idx="126">
                  <c:v>0</c:v>
                </c:pt>
                <c:pt idx="127">
                  <c:v>0</c:v>
                </c:pt>
                <c:pt idx="128">
                  <c:v>0</c:v>
                </c:pt>
                <c:pt idx="129">
                  <c:v>0</c:v>
                </c:pt>
                <c:pt idx="130">
                  <c:v>0</c:v>
                </c:pt>
              </c:numCache>
            </c:numRef>
          </c:val>
          <c:smooth val="0"/>
          <c:extLst>
            <c:ext xmlns:c16="http://schemas.microsoft.com/office/drawing/2014/chart" uri="{C3380CC4-5D6E-409C-BE32-E72D297353CC}">
              <c16:uniqueId val="{00000001-5906-4F5D-B15E-B7669BC1DE71}"/>
            </c:ext>
          </c:extLst>
        </c:ser>
        <c:dLbls>
          <c:showLegendKey val="0"/>
          <c:showVal val="0"/>
          <c:showCatName val="0"/>
          <c:showSerName val="0"/>
          <c:showPercent val="0"/>
          <c:showBubbleSize val="0"/>
        </c:dLbls>
        <c:smooth val="0"/>
        <c:axId val="1113957104"/>
        <c:axId val="1113959856"/>
      </c:lineChart>
      <c:dateAx>
        <c:axId val="1113957104"/>
        <c:scaling>
          <c:orientation val="minMax"/>
        </c:scaling>
        <c:delete val="0"/>
        <c:axPos val="b"/>
        <c:numFmt formatCode="m/d/yyyy" sourceLinked="1"/>
        <c:majorTickMark val="out"/>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fr-FR"/>
          </a:p>
        </c:txPr>
        <c:crossAx val="1113959856"/>
        <c:crosses val="autoZero"/>
        <c:auto val="1"/>
        <c:lblOffset val="100"/>
        <c:baseTimeUnit val="days"/>
      </c:dateAx>
      <c:valAx>
        <c:axId val="1113959856"/>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fr-FR"/>
          </a:p>
        </c:txPr>
        <c:crossAx val="1113957104"/>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fr-FR"/>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fr-FR"/>
    </a:p>
  </c:txPr>
  <c:printSettings>
    <c:headerFooter/>
    <c:pageMargins b="0.75" l="0.7" r="0.7" t="0.75" header="0.3" footer="0.3"/>
    <c:pageSetup/>
  </c:printSettings>
</c:chartSpace>
</file>

<file path=xl/charts/chart3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fr-FR"/>
  <c:roundedCorners val="0"/>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fr-FR" sz="1600" b="1">
                <a:latin typeface="+mj-lt"/>
              </a:rPr>
              <a:t>Bilan collectif</a:t>
            </a:r>
            <a:endParaRPr lang="fr-FR" b="1">
              <a:latin typeface="+mj-lt"/>
            </a:endParaRPr>
          </a:p>
        </c:rich>
      </c:tx>
      <c:overlay val="0"/>
      <c:spPr>
        <a:noFill/>
        <a:ln>
          <a:noFill/>
        </a:ln>
        <a:effectLst/>
      </c:spPr>
    </c:title>
    <c:autoTitleDeleted val="0"/>
    <c:plotArea>
      <c:layout/>
      <c:barChart>
        <c:barDir val="bar"/>
        <c:grouping val="clustered"/>
        <c:varyColors val="0"/>
        <c:ser>
          <c:idx val="4"/>
          <c:order val="0"/>
          <c:invertIfNegative val="0"/>
          <c:dPt>
            <c:idx val="0"/>
            <c:invertIfNegative val="0"/>
            <c:bubble3D val="0"/>
            <c:spPr>
              <a:solidFill>
                <a:srgbClr val="9AB294"/>
              </a:solidFill>
            </c:spPr>
            <c:extLst>
              <c:ext xmlns:c16="http://schemas.microsoft.com/office/drawing/2014/chart" uri="{C3380CC4-5D6E-409C-BE32-E72D297353CC}">
                <c16:uniqueId val="{00000022-2A7B-4DB0-B021-8453FB0FDC75}"/>
              </c:ext>
            </c:extLst>
          </c:dPt>
          <c:dPt>
            <c:idx val="4"/>
            <c:invertIfNegative val="0"/>
            <c:bubble3D val="0"/>
            <c:spPr>
              <a:solidFill>
                <a:srgbClr val="F15926"/>
              </a:solidFill>
            </c:spPr>
            <c:extLst>
              <c:ext xmlns:c16="http://schemas.microsoft.com/office/drawing/2014/chart" uri="{C3380CC4-5D6E-409C-BE32-E72D297353CC}">
                <c16:uniqueId val="{00000011-2A7B-4DB0-B021-8453FB0FDC75}"/>
              </c:ext>
            </c:extLst>
          </c:dPt>
          <c:dPt>
            <c:idx val="5"/>
            <c:invertIfNegative val="0"/>
            <c:bubble3D val="0"/>
            <c:spPr>
              <a:solidFill>
                <a:srgbClr val="F15926"/>
              </a:solidFill>
            </c:spPr>
            <c:extLst>
              <c:ext xmlns:c16="http://schemas.microsoft.com/office/drawing/2014/chart" uri="{C3380CC4-5D6E-409C-BE32-E72D297353CC}">
                <c16:uniqueId val="{00000012-2A7B-4DB0-B021-8453FB0FDC75}"/>
              </c:ext>
            </c:extLst>
          </c:dPt>
          <c:dPt>
            <c:idx val="6"/>
            <c:invertIfNegative val="0"/>
            <c:bubble3D val="0"/>
            <c:spPr>
              <a:solidFill>
                <a:srgbClr val="F15926"/>
              </a:solidFill>
            </c:spPr>
            <c:extLst>
              <c:ext xmlns:c16="http://schemas.microsoft.com/office/drawing/2014/chart" uri="{C3380CC4-5D6E-409C-BE32-E72D297353CC}">
                <c16:uniqueId val="{00000013-2A7B-4DB0-B021-8453FB0FDC75}"/>
              </c:ext>
            </c:extLst>
          </c:dPt>
          <c:cat>
            <c:strRef>
              <c:f>'Fiche joueur'!$C$198:$C$204</c:f>
              <c:strCache>
                <c:ptCount val="7"/>
                <c:pt idx="0">
                  <c:v>   Nombre de match</c:v>
                </c:pt>
                <c:pt idx="1">
                  <c:v>   Victoires</c:v>
                </c:pt>
                <c:pt idx="2">
                  <c:v>   Nuls</c:v>
                </c:pt>
                <c:pt idx="3">
                  <c:v>   Défaites</c:v>
                </c:pt>
                <c:pt idx="4">
                  <c:v>   Buts marqués</c:v>
                </c:pt>
                <c:pt idx="5">
                  <c:v>   Buts concédés</c:v>
                </c:pt>
                <c:pt idx="6">
                  <c:v>  Différence de buts</c:v>
                </c:pt>
              </c:strCache>
            </c:strRef>
          </c:cat>
          <c:val>
            <c:numRef>
              <c:f>'Fiche joueur'!$E$198:$E$204</c:f>
              <c:numCache>
                <c:formatCode>General</c:formatCode>
                <c:ptCount val="7"/>
                <c:pt idx="0">
                  <c:v>5</c:v>
                </c:pt>
                <c:pt idx="1">
                  <c:v>3</c:v>
                </c:pt>
                <c:pt idx="2">
                  <c:v>1</c:v>
                </c:pt>
                <c:pt idx="3">
                  <c:v>1</c:v>
                </c:pt>
                <c:pt idx="4">
                  <c:v>13</c:v>
                </c:pt>
                <c:pt idx="5">
                  <c:v>9</c:v>
                </c:pt>
                <c:pt idx="6">
                  <c:v>4</c:v>
                </c:pt>
              </c:numCache>
            </c:numRef>
          </c:val>
          <c:extLst>
            <c:ext xmlns:c16="http://schemas.microsoft.com/office/drawing/2014/chart" uri="{C3380CC4-5D6E-409C-BE32-E72D297353CC}">
              <c16:uniqueId val="{00000000-2A7B-4DB0-B021-8453FB0FDC75}"/>
            </c:ext>
          </c:extLst>
        </c:ser>
        <c:dLbls>
          <c:showLegendKey val="0"/>
          <c:showVal val="0"/>
          <c:showCatName val="0"/>
          <c:showSerName val="0"/>
          <c:showPercent val="0"/>
          <c:showBubbleSize val="0"/>
        </c:dLbls>
        <c:gapWidth val="150"/>
        <c:axId val="1113983600"/>
        <c:axId val="1113986352"/>
      </c:barChart>
      <c:catAx>
        <c:axId val="1113983600"/>
        <c:scaling>
          <c:orientation val="minMax"/>
        </c:scaling>
        <c:delete val="0"/>
        <c:axPos val="l"/>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fr-FR"/>
          </a:p>
        </c:txPr>
        <c:crossAx val="1113986352"/>
        <c:crosses val="autoZero"/>
        <c:auto val="1"/>
        <c:lblAlgn val="ctr"/>
        <c:lblOffset val="100"/>
        <c:noMultiLvlLbl val="0"/>
      </c:catAx>
      <c:valAx>
        <c:axId val="1113986352"/>
        <c:scaling>
          <c:orientation val="minMax"/>
        </c:scaling>
        <c:delete val="0"/>
        <c:axPos val="b"/>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fr-FR"/>
          </a:p>
        </c:txPr>
        <c:crossAx val="1113983600"/>
        <c:crosses val="autoZero"/>
        <c:crossBetween val="between"/>
      </c:valAx>
    </c:plotArea>
    <c:plotVisOnly val="1"/>
    <c:dispBlanksAs val="gap"/>
    <c:showDLblsOverMax val="0"/>
  </c:chart>
  <c:txPr>
    <a:bodyPr/>
    <a:lstStyle/>
    <a:p>
      <a:pPr>
        <a:defRPr/>
      </a:pPr>
      <a:endParaRPr lang="fr-FR"/>
    </a:p>
  </c:txPr>
  <c:printSettings>
    <c:headerFooter/>
    <c:pageMargins b="0.75" l="0.7" r="0.7" t="0.75" header="0.3" footer="0.3"/>
    <c:pageSetup/>
  </c:printSettings>
</c:chartSpace>
</file>

<file path=xl/charts/chart3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fr-FR"/>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US" sz="1600" b="1">
                <a:solidFill>
                  <a:schemeClr val="tx2">
                    <a:lumMod val="65000"/>
                    <a:lumOff val="35000"/>
                  </a:schemeClr>
                </a:solidFill>
                <a:latin typeface="+mj-lt"/>
              </a:rPr>
              <a:t>Match</a:t>
            </a:r>
            <a:endParaRPr lang="en-US" b="1">
              <a:solidFill>
                <a:schemeClr val="tx2">
                  <a:lumMod val="65000"/>
                  <a:lumOff val="35000"/>
                </a:schemeClr>
              </a:solidFill>
              <a:latin typeface="+mj-lt"/>
            </a:endParaRP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fr-FR"/>
        </a:p>
      </c:txPr>
    </c:title>
    <c:autoTitleDeleted val="0"/>
    <c:plotArea>
      <c:layout/>
      <c:barChart>
        <c:barDir val="col"/>
        <c:grouping val="clustered"/>
        <c:varyColors val="0"/>
        <c:ser>
          <c:idx val="1"/>
          <c:order val="1"/>
          <c:tx>
            <c:v>Charge groupe</c:v>
          </c:tx>
          <c:spPr>
            <a:solidFill>
              <a:schemeClr val="accent4"/>
            </a:solidFill>
            <a:ln>
              <a:noFill/>
            </a:ln>
            <a:effectLst/>
          </c:spPr>
          <c:invertIfNegative val="0"/>
          <c:cat>
            <c:strRef>
              <c:f>'Charges collective'!$S$11:$S$42</c:f>
              <c:strCache>
                <c:ptCount val="32"/>
                <c:pt idx="0">
                  <c:v>AFC - Choisy au Bac</c:v>
                </c:pt>
                <c:pt idx="1">
                  <c:v>Le Portel - AFC</c:v>
                </c:pt>
                <c:pt idx="2">
                  <c:v>Beauvais - AFC</c:v>
                </c:pt>
                <c:pt idx="3">
                  <c:v>AFC - Cambrai</c:v>
                </c:pt>
                <c:pt idx="4">
                  <c:v>Château T. - AFC</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pt idx="26">
                  <c:v>0</c:v>
                </c:pt>
                <c:pt idx="27">
                  <c:v>0</c:v>
                </c:pt>
                <c:pt idx="28">
                  <c:v>0</c:v>
                </c:pt>
                <c:pt idx="29">
                  <c:v>0</c:v>
                </c:pt>
                <c:pt idx="30">
                  <c:v>0</c:v>
                </c:pt>
                <c:pt idx="31">
                  <c:v>0</c:v>
                </c:pt>
              </c:strCache>
            </c:strRef>
          </c:cat>
          <c:val>
            <c:numRef>
              <c:f>'Charges collective'!$U$11:$U$42</c:f>
              <c:numCache>
                <c:formatCode>0</c:formatCode>
                <c:ptCount val="32"/>
                <c:pt idx="0">
                  <c:v>318.75</c:v>
                </c:pt>
                <c:pt idx="1">
                  <c:v>300.1875</c:v>
                </c:pt>
                <c:pt idx="2">
                  <c:v>411.625</c:v>
                </c:pt>
                <c:pt idx="3">
                  <c:v>415.5</c:v>
                </c:pt>
                <c:pt idx="4">
                  <c:v>558.5</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pt idx="26">
                  <c:v>0</c:v>
                </c:pt>
                <c:pt idx="27">
                  <c:v>0</c:v>
                </c:pt>
                <c:pt idx="28">
                  <c:v>0</c:v>
                </c:pt>
                <c:pt idx="29">
                  <c:v>0</c:v>
                </c:pt>
                <c:pt idx="30">
                  <c:v>0</c:v>
                </c:pt>
                <c:pt idx="31">
                  <c:v>0</c:v>
                </c:pt>
              </c:numCache>
            </c:numRef>
          </c:val>
          <c:extLst>
            <c:ext xmlns:c16="http://schemas.microsoft.com/office/drawing/2014/chart" uri="{C3380CC4-5D6E-409C-BE32-E72D297353CC}">
              <c16:uniqueId val="{00000001-90E2-4632-8CEF-5CCBE8C64355}"/>
            </c:ext>
          </c:extLst>
        </c:ser>
        <c:ser>
          <c:idx val="2"/>
          <c:order val="2"/>
          <c:tx>
            <c:v>Ma charge</c:v>
          </c:tx>
          <c:spPr>
            <a:solidFill>
              <a:schemeClr val="accent6"/>
            </a:solidFill>
            <a:ln>
              <a:noFill/>
            </a:ln>
            <a:effectLst/>
          </c:spPr>
          <c:invertIfNegative val="0"/>
          <c:val>
            <c:numRef>
              <c:f>'Fiche joueur'!$G$163:$G$194</c:f>
              <c:numCache>
                <c:formatCode>General</c:formatCode>
                <c:ptCount val="32"/>
                <c:pt idx="0">
                  <c:v>300</c:v>
                </c:pt>
                <c:pt idx="1">
                  <c:v>285</c:v>
                </c:pt>
                <c:pt idx="2">
                  <c:v>360</c:v>
                </c:pt>
                <c:pt idx="3">
                  <c:v>315</c:v>
                </c:pt>
                <c:pt idx="4">
                  <c:v>81</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pt idx="26">
                  <c:v>0</c:v>
                </c:pt>
                <c:pt idx="27">
                  <c:v>0</c:v>
                </c:pt>
                <c:pt idx="28">
                  <c:v>0</c:v>
                </c:pt>
                <c:pt idx="29">
                  <c:v>0</c:v>
                </c:pt>
                <c:pt idx="30">
                  <c:v>0</c:v>
                </c:pt>
                <c:pt idx="31">
                  <c:v>0</c:v>
                </c:pt>
              </c:numCache>
            </c:numRef>
          </c:val>
          <c:extLst>
            <c:ext xmlns:c16="http://schemas.microsoft.com/office/drawing/2014/chart" uri="{C3380CC4-5D6E-409C-BE32-E72D297353CC}">
              <c16:uniqueId val="{00000002-90E2-4632-8CEF-5CCBE8C64355}"/>
            </c:ext>
          </c:extLst>
        </c:ser>
        <c:dLbls>
          <c:showLegendKey val="0"/>
          <c:showVal val="0"/>
          <c:showCatName val="0"/>
          <c:showSerName val="0"/>
          <c:showPercent val="0"/>
          <c:showBubbleSize val="0"/>
        </c:dLbls>
        <c:gapWidth val="219"/>
        <c:overlap val="-27"/>
        <c:axId val="1114020272"/>
        <c:axId val="1114023024"/>
        <c:extLst>
          <c:ext xmlns:c15="http://schemas.microsoft.com/office/drawing/2012/chart" uri="{02D57815-91ED-43cb-92C2-25804820EDAC}">
            <c15:filteredBarSeries>
              <c15:ser>
                <c:idx val="0"/>
                <c:order val="0"/>
                <c:spPr>
                  <a:solidFill>
                    <a:schemeClr val="accent2"/>
                  </a:solidFill>
                  <a:ln>
                    <a:noFill/>
                  </a:ln>
                  <a:effectLst/>
                </c:spPr>
                <c:invertIfNegative val="0"/>
                <c:cat>
                  <c:strRef>
                    <c:extLst>
                      <c:ext uri="{02D57815-91ED-43cb-92C2-25804820EDAC}">
                        <c15:formulaRef>
                          <c15:sqref>'Charges collective'!$S$11:$S$42</c15:sqref>
                        </c15:formulaRef>
                      </c:ext>
                    </c:extLst>
                    <c:strCache>
                      <c:ptCount val="32"/>
                      <c:pt idx="0">
                        <c:v>AFC - Choisy au Bac</c:v>
                      </c:pt>
                      <c:pt idx="1">
                        <c:v>Le Portel - AFC</c:v>
                      </c:pt>
                      <c:pt idx="2">
                        <c:v>Beauvais - AFC</c:v>
                      </c:pt>
                      <c:pt idx="3">
                        <c:v>AFC - Cambrai</c:v>
                      </c:pt>
                      <c:pt idx="4">
                        <c:v>Château T. - AFC</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pt idx="26">
                        <c:v>0</c:v>
                      </c:pt>
                      <c:pt idx="27">
                        <c:v>0</c:v>
                      </c:pt>
                      <c:pt idx="28">
                        <c:v>0</c:v>
                      </c:pt>
                      <c:pt idx="29">
                        <c:v>0</c:v>
                      </c:pt>
                      <c:pt idx="30">
                        <c:v>0</c:v>
                      </c:pt>
                      <c:pt idx="31">
                        <c:v>0</c:v>
                      </c:pt>
                    </c:strCache>
                  </c:strRef>
                </c:cat>
                <c:val>
                  <c:numRef>
                    <c:extLst>
                      <c:ext uri="{02D57815-91ED-43cb-92C2-25804820EDAC}">
                        <c15:formulaRef>
                          <c15:sqref>'Charges collective'!$S$11:$S$42</c15:sqref>
                        </c15:formulaRef>
                      </c:ext>
                    </c:extLst>
                    <c:numCache>
                      <c:formatCode>General</c:formatCode>
                      <c:ptCount val="32"/>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pt idx="26">
                        <c:v>0</c:v>
                      </c:pt>
                      <c:pt idx="27">
                        <c:v>0</c:v>
                      </c:pt>
                      <c:pt idx="28">
                        <c:v>0</c:v>
                      </c:pt>
                      <c:pt idx="29">
                        <c:v>0</c:v>
                      </c:pt>
                      <c:pt idx="30">
                        <c:v>0</c:v>
                      </c:pt>
                      <c:pt idx="31">
                        <c:v>0</c:v>
                      </c:pt>
                    </c:numCache>
                  </c:numRef>
                </c:val>
                <c:extLst>
                  <c:ext xmlns:c16="http://schemas.microsoft.com/office/drawing/2014/chart" uri="{C3380CC4-5D6E-409C-BE32-E72D297353CC}">
                    <c16:uniqueId val="{00000000-90E2-4632-8CEF-5CCBE8C64355}"/>
                  </c:ext>
                </c:extLst>
              </c15:ser>
            </c15:filteredBarSeries>
          </c:ext>
        </c:extLst>
      </c:barChart>
      <c:catAx>
        <c:axId val="1114020272"/>
        <c:scaling>
          <c:orientation val="minMax"/>
        </c:scaling>
        <c:delete val="0"/>
        <c:axPos val="b"/>
        <c:numFmt formatCode="General" sourceLinked="1"/>
        <c:majorTickMark val="none"/>
        <c:minorTickMark val="none"/>
        <c:tickLblPos val="low"/>
        <c:spPr>
          <a:noFill/>
          <a:ln w="9525" cap="flat" cmpd="sng" algn="ctr">
            <a:solidFill>
              <a:schemeClr val="tx1">
                <a:lumMod val="15000"/>
                <a:lumOff val="85000"/>
              </a:schemeClr>
            </a:solidFill>
            <a:round/>
          </a:ln>
          <a:effectLst/>
        </c:spPr>
        <c:txPr>
          <a:bodyPr rot="-2700000" spcFirstLastPara="1" vertOverflow="ellipsis" wrap="square" anchor="ctr" anchorCtr="1"/>
          <a:lstStyle/>
          <a:p>
            <a:pPr>
              <a:defRPr sz="900" b="0" i="0" u="none" strike="noStrike" kern="1200" baseline="0">
                <a:solidFill>
                  <a:schemeClr val="tx1">
                    <a:lumMod val="65000"/>
                    <a:lumOff val="35000"/>
                  </a:schemeClr>
                </a:solidFill>
                <a:latin typeface="+mn-lt"/>
                <a:ea typeface="+mn-ea"/>
                <a:cs typeface="+mn-cs"/>
              </a:defRPr>
            </a:pPr>
            <a:endParaRPr lang="fr-FR"/>
          </a:p>
        </c:txPr>
        <c:crossAx val="1114023024"/>
        <c:crosses val="autoZero"/>
        <c:auto val="1"/>
        <c:lblAlgn val="ctr"/>
        <c:lblOffset val="100"/>
        <c:noMultiLvlLbl val="0"/>
      </c:catAx>
      <c:valAx>
        <c:axId val="1114023024"/>
        <c:scaling>
          <c:orientation val="minMax"/>
        </c:scaling>
        <c:delete val="0"/>
        <c:axPos val="l"/>
        <c:majorGridlines>
          <c:spPr>
            <a:ln w="9525" cap="flat" cmpd="sng" algn="ctr">
              <a:solidFill>
                <a:schemeClr val="tx1">
                  <a:lumMod val="15000"/>
                  <a:lumOff val="85000"/>
                </a:schemeClr>
              </a:solidFill>
              <a:round/>
            </a:ln>
            <a:effectLst/>
          </c:spPr>
        </c:majorGridlines>
        <c:minorGridlines>
          <c:spPr>
            <a:ln w="9525" cap="flat" cmpd="sng" algn="ctr">
              <a:solidFill>
                <a:schemeClr val="tx1">
                  <a:lumMod val="5000"/>
                  <a:lumOff val="95000"/>
                </a:schemeClr>
              </a:solidFill>
              <a:round/>
            </a:ln>
            <a:effectLst/>
          </c:spPr>
        </c:min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fr-FR"/>
          </a:p>
        </c:txPr>
        <c:crossAx val="1114020272"/>
        <c:crosses val="autoZero"/>
        <c:crossBetween val="between"/>
      </c:valAx>
      <c:spPr>
        <a:noFill/>
        <a:ln w="25400">
          <a:noFill/>
        </a:ln>
        <a:effectLst/>
      </c:spPr>
    </c:plotArea>
    <c:legend>
      <c:legendPos val="r"/>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fr-FR"/>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fr-FR"/>
    </a:p>
  </c:txPr>
  <c:printSettings>
    <c:headerFooter/>
    <c:pageMargins b="0.75" l="0.7" r="0.7" t="0.75" header="0.3" footer="0.3"/>
    <c:pageSetup orientation="portrait"/>
  </c:printSettings>
</c:chartSpace>
</file>

<file path=xl/charts/chart3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fr-FR"/>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US" sz="1600" b="1">
                <a:latin typeface="+mj-lt"/>
              </a:rPr>
              <a:t>Classement</a:t>
            </a:r>
            <a:r>
              <a:rPr lang="en-US" sz="1600" b="1" baseline="0">
                <a:latin typeface="+mj-lt"/>
              </a:rPr>
              <a:t> des buteurs</a:t>
            </a:r>
            <a:endParaRPr lang="en-US" sz="1600" b="1">
              <a:latin typeface="+mj-lt"/>
            </a:endParaRP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fr-FR"/>
        </a:p>
      </c:txPr>
    </c:title>
    <c:autoTitleDeleted val="0"/>
    <c:plotArea>
      <c:layout/>
      <c:barChart>
        <c:barDir val="col"/>
        <c:grouping val="clustered"/>
        <c:varyColors val="0"/>
        <c:ser>
          <c:idx val="0"/>
          <c:order val="0"/>
          <c:tx>
            <c:strRef>
              <c:f>'Fiche collective'!$C$10</c:f>
              <c:strCache>
                <c:ptCount val="1"/>
                <c:pt idx="0">
                  <c:v>But</c:v>
                </c:pt>
              </c:strCache>
            </c:strRef>
          </c:tx>
          <c:spPr>
            <a:solidFill>
              <a:schemeClr val="accent2"/>
            </a:solidFill>
            <a:ln>
              <a:noFill/>
            </a:ln>
            <a:effectLst/>
          </c:spPr>
          <c:invertIfNegative val="0"/>
          <c:cat>
            <c:strRef>
              <c:f>'Fiche collective'!$B$11:$B$40</c:f>
              <c:strCache>
                <c:ptCount val="30"/>
                <c:pt idx="0">
                  <c:v>ADDA Matteo</c:v>
                </c:pt>
                <c:pt idx="1">
                  <c:v>CHEROD Alexis</c:v>
                </c:pt>
                <c:pt idx="2">
                  <c:v>PLANET Mathis</c:v>
                </c:pt>
                <c:pt idx="3">
                  <c:v>STIOUET Reda</c:v>
                </c:pt>
                <c:pt idx="4">
                  <c:v>KIPRE Jordan</c:v>
                </c:pt>
                <c:pt idx="5">
                  <c:v>MASSOUSSI Elie</c:v>
                </c:pt>
                <c:pt idx="6">
                  <c:v>BERDAH Matis</c:v>
                </c:pt>
                <c:pt idx="7">
                  <c:v>KONATE Mamadou</c:v>
                </c:pt>
                <c:pt idx="8">
                  <c:v>NGOUABI Yoann</c:v>
                </c:pt>
                <c:pt idx="9">
                  <c:v>OSSENI Farouk</c:v>
                </c:pt>
                <c:pt idx="10">
                  <c:v>PRONNIER Nicolas</c:v>
                </c:pt>
                <c:pt idx="11">
                  <c:v>DOSIERE Baptiste</c:v>
                </c:pt>
                <c:pt idx="12">
                  <c:v>ZERDEB Said</c:v>
                </c:pt>
                <c:pt idx="13">
                  <c:v>0</c:v>
                </c:pt>
                <c:pt idx="14">
                  <c:v>ALFONSO Joao</c:v>
                </c:pt>
                <c:pt idx="15">
                  <c:v>CAMARA Bandiougou</c:v>
                </c:pt>
                <c:pt idx="16">
                  <c:v>CAMARA Moussa</c:v>
                </c:pt>
                <c:pt idx="17">
                  <c:v>CARREAU Ethan</c:v>
                </c:pt>
                <c:pt idx="18">
                  <c:v>DJEHICHE Ramzi</c:v>
                </c:pt>
                <c:pt idx="19">
                  <c:v>DUQUENOY Thomas</c:v>
                </c:pt>
                <c:pt idx="20">
                  <c:v>0</c:v>
                </c:pt>
                <c:pt idx="21">
                  <c:v>0</c:v>
                </c:pt>
                <c:pt idx="22">
                  <c:v>0</c:v>
                </c:pt>
                <c:pt idx="23">
                  <c:v>0</c:v>
                </c:pt>
                <c:pt idx="24">
                  <c:v>0</c:v>
                </c:pt>
                <c:pt idx="25">
                  <c:v>0</c:v>
                </c:pt>
                <c:pt idx="26">
                  <c:v>0</c:v>
                </c:pt>
                <c:pt idx="27">
                  <c:v>LECOUFFE Hugo</c:v>
                </c:pt>
                <c:pt idx="28">
                  <c:v>LEFRANC Nathan</c:v>
                </c:pt>
                <c:pt idx="29">
                  <c:v>0</c:v>
                </c:pt>
              </c:strCache>
            </c:strRef>
          </c:cat>
          <c:val>
            <c:numRef>
              <c:f>'Fiche collective'!$C$11:$C$40</c:f>
              <c:numCache>
                <c:formatCode>General</c:formatCode>
                <c:ptCount val="30"/>
                <c:pt idx="0">
                  <c:v>4</c:v>
                </c:pt>
                <c:pt idx="1">
                  <c:v>0</c:v>
                </c:pt>
                <c:pt idx="2">
                  <c:v>0</c:v>
                </c:pt>
                <c:pt idx="3">
                  <c:v>1</c:v>
                </c:pt>
                <c:pt idx="4">
                  <c:v>0</c:v>
                </c:pt>
                <c:pt idx="5">
                  <c:v>0</c:v>
                </c:pt>
                <c:pt idx="6">
                  <c:v>0</c:v>
                </c:pt>
                <c:pt idx="7">
                  <c:v>1</c:v>
                </c:pt>
                <c:pt idx="8">
                  <c:v>0</c:v>
                </c:pt>
                <c:pt idx="9">
                  <c:v>0</c:v>
                </c:pt>
                <c:pt idx="10">
                  <c:v>0</c:v>
                </c:pt>
                <c:pt idx="11">
                  <c:v>0</c:v>
                </c:pt>
                <c:pt idx="12">
                  <c:v>0</c:v>
                </c:pt>
                <c:pt idx="13">
                  <c:v>0</c:v>
                </c:pt>
                <c:pt idx="14">
                  <c:v>5</c:v>
                </c:pt>
                <c:pt idx="15">
                  <c:v>0</c:v>
                </c:pt>
                <c:pt idx="16">
                  <c:v>0</c:v>
                </c:pt>
                <c:pt idx="17">
                  <c:v>0</c:v>
                </c:pt>
                <c:pt idx="18">
                  <c:v>0</c:v>
                </c:pt>
                <c:pt idx="19">
                  <c:v>0</c:v>
                </c:pt>
                <c:pt idx="20">
                  <c:v>0</c:v>
                </c:pt>
                <c:pt idx="21">
                  <c:v>0</c:v>
                </c:pt>
                <c:pt idx="22">
                  <c:v>0</c:v>
                </c:pt>
                <c:pt idx="23">
                  <c:v>0</c:v>
                </c:pt>
                <c:pt idx="24">
                  <c:v>0</c:v>
                </c:pt>
                <c:pt idx="25">
                  <c:v>0</c:v>
                </c:pt>
                <c:pt idx="26">
                  <c:v>0</c:v>
                </c:pt>
                <c:pt idx="27">
                  <c:v>2</c:v>
                </c:pt>
                <c:pt idx="28">
                  <c:v>0</c:v>
                </c:pt>
                <c:pt idx="29">
                  <c:v>0</c:v>
                </c:pt>
              </c:numCache>
            </c:numRef>
          </c:val>
          <c:extLst>
            <c:ext xmlns:c16="http://schemas.microsoft.com/office/drawing/2014/chart" uri="{C3380CC4-5D6E-409C-BE32-E72D297353CC}">
              <c16:uniqueId val="{00000000-3DB0-42FA-9491-A3CB1DC53E2A}"/>
            </c:ext>
          </c:extLst>
        </c:ser>
        <c:dLbls>
          <c:showLegendKey val="0"/>
          <c:showVal val="0"/>
          <c:showCatName val="0"/>
          <c:showSerName val="0"/>
          <c:showPercent val="0"/>
          <c:showBubbleSize val="0"/>
        </c:dLbls>
        <c:gapWidth val="219"/>
        <c:overlap val="-27"/>
        <c:axId val="1114064208"/>
        <c:axId val="1114066960"/>
      </c:barChart>
      <c:catAx>
        <c:axId val="1114064208"/>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fr-FR"/>
          </a:p>
        </c:txPr>
        <c:crossAx val="1114066960"/>
        <c:crosses val="autoZero"/>
        <c:auto val="1"/>
        <c:lblAlgn val="ctr"/>
        <c:lblOffset val="100"/>
        <c:noMultiLvlLbl val="0"/>
      </c:catAx>
      <c:valAx>
        <c:axId val="1114066960"/>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fr-FR"/>
          </a:p>
        </c:txPr>
        <c:crossAx val="1114064208"/>
        <c:crosses val="autoZero"/>
        <c:crossBetween val="between"/>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fr-FR"/>
    </a:p>
  </c:txPr>
  <c:printSettings>
    <c:headerFooter/>
    <c:pageMargins b="0.75" l="0.7" r="0.7" t="0.75" header="0.3" footer="0.3"/>
    <c:pageSetup/>
  </c:printSettings>
</c:chartSpace>
</file>

<file path=xl/charts/chart3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fr-FR"/>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US" sz="1600" b="1">
                <a:latin typeface="+mj-lt"/>
              </a:rPr>
              <a:t>Classement des passeurs</a:t>
            </a:r>
            <a:endParaRPr lang="en-US" b="1">
              <a:latin typeface="+mj-lt"/>
            </a:endParaRP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fr-FR"/>
        </a:p>
      </c:txPr>
    </c:title>
    <c:autoTitleDeleted val="0"/>
    <c:plotArea>
      <c:layout/>
      <c:barChart>
        <c:barDir val="col"/>
        <c:grouping val="clustered"/>
        <c:varyColors val="0"/>
        <c:ser>
          <c:idx val="0"/>
          <c:order val="0"/>
          <c:tx>
            <c:strRef>
              <c:f>'Fiche collective'!$C$45</c:f>
              <c:strCache>
                <c:ptCount val="1"/>
                <c:pt idx="0">
                  <c:v>Passe</c:v>
                </c:pt>
              </c:strCache>
            </c:strRef>
          </c:tx>
          <c:spPr>
            <a:solidFill>
              <a:schemeClr val="accent2"/>
            </a:solidFill>
            <a:ln>
              <a:noFill/>
            </a:ln>
            <a:effectLst/>
          </c:spPr>
          <c:invertIfNegative val="0"/>
          <c:cat>
            <c:strRef>
              <c:f>'Fiche collective'!$B$46:$B$75</c:f>
              <c:strCache>
                <c:ptCount val="30"/>
                <c:pt idx="0">
                  <c:v>CHEROD Alexis</c:v>
                </c:pt>
                <c:pt idx="1">
                  <c:v>ADDA Matteo</c:v>
                </c:pt>
                <c:pt idx="2">
                  <c:v>KIPRE Jordan</c:v>
                </c:pt>
                <c:pt idx="3">
                  <c:v>STIOUET Reda</c:v>
                </c:pt>
                <c:pt idx="4">
                  <c:v>LECOUFFE Hugo</c:v>
                </c:pt>
                <c:pt idx="5">
                  <c:v>BERDAH Matis</c:v>
                </c:pt>
                <c:pt idx="6">
                  <c:v>CAMARA Bandiougou</c:v>
                </c:pt>
                <c:pt idx="7">
                  <c:v>KONATE Mamadou</c:v>
                </c:pt>
                <c:pt idx="8">
                  <c:v>PRONNIER Nicolas</c:v>
                </c:pt>
                <c:pt idx="9">
                  <c:v>ZERDEB Said</c:v>
                </c:pt>
                <c:pt idx="10">
                  <c:v>OSSENI Farouk</c:v>
                </c:pt>
                <c:pt idx="11">
                  <c:v>PLANET Mathis</c:v>
                </c:pt>
                <c:pt idx="12">
                  <c:v>DOSIERE Baptiste</c:v>
                </c:pt>
                <c:pt idx="13">
                  <c:v>0</c:v>
                </c:pt>
                <c:pt idx="14">
                  <c:v>0</c:v>
                </c:pt>
                <c:pt idx="15">
                  <c:v>0</c:v>
                </c:pt>
                <c:pt idx="16">
                  <c:v>MASSOUSSI Elie</c:v>
                </c:pt>
                <c:pt idx="17">
                  <c:v>0</c:v>
                </c:pt>
                <c:pt idx="18">
                  <c:v>CAMARA Moussa</c:v>
                </c:pt>
                <c:pt idx="19">
                  <c:v>ALFONSO Joao</c:v>
                </c:pt>
                <c:pt idx="20">
                  <c:v>CARREAU Ethan</c:v>
                </c:pt>
                <c:pt idx="21">
                  <c:v>DJEHICHE Ramzi</c:v>
                </c:pt>
                <c:pt idx="22">
                  <c:v>DUQUENOY Thomas</c:v>
                </c:pt>
                <c:pt idx="23">
                  <c:v>LEFRANC Nathan</c:v>
                </c:pt>
                <c:pt idx="24">
                  <c:v>NGOUABI Yoann</c:v>
                </c:pt>
                <c:pt idx="25">
                  <c:v>0</c:v>
                </c:pt>
                <c:pt idx="26">
                  <c:v>0</c:v>
                </c:pt>
                <c:pt idx="27">
                  <c:v>0</c:v>
                </c:pt>
                <c:pt idx="28">
                  <c:v>0</c:v>
                </c:pt>
                <c:pt idx="29">
                  <c:v>0</c:v>
                </c:pt>
              </c:strCache>
            </c:strRef>
          </c:cat>
          <c:val>
            <c:numRef>
              <c:f>'Fiche collective'!$C$46:$C$75</c:f>
              <c:numCache>
                <c:formatCode>General</c:formatCode>
                <c:ptCount val="30"/>
                <c:pt idx="0">
                  <c:v>0</c:v>
                </c:pt>
                <c:pt idx="1">
                  <c:v>1</c:v>
                </c:pt>
                <c:pt idx="2">
                  <c:v>0</c:v>
                </c:pt>
                <c:pt idx="3">
                  <c:v>1</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1</c:v>
                </c:pt>
                <c:pt idx="20">
                  <c:v>0</c:v>
                </c:pt>
                <c:pt idx="21">
                  <c:v>0</c:v>
                </c:pt>
                <c:pt idx="22">
                  <c:v>0</c:v>
                </c:pt>
                <c:pt idx="23">
                  <c:v>0</c:v>
                </c:pt>
                <c:pt idx="24">
                  <c:v>0</c:v>
                </c:pt>
                <c:pt idx="25">
                  <c:v>0</c:v>
                </c:pt>
                <c:pt idx="26">
                  <c:v>0</c:v>
                </c:pt>
                <c:pt idx="27">
                  <c:v>0</c:v>
                </c:pt>
                <c:pt idx="28">
                  <c:v>0</c:v>
                </c:pt>
                <c:pt idx="29">
                  <c:v>0</c:v>
                </c:pt>
              </c:numCache>
            </c:numRef>
          </c:val>
          <c:extLst>
            <c:ext xmlns:c16="http://schemas.microsoft.com/office/drawing/2014/chart" uri="{C3380CC4-5D6E-409C-BE32-E72D297353CC}">
              <c16:uniqueId val="{00000000-E315-446F-9FCD-C5A72D488126}"/>
            </c:ext>
          </c:extLst>
        </c:ser>
        <c:dLbls>
          <c:showLegendKey val="0"/>
          <c:showVal val="0"/>
          <c:showCatName val="0"/>
          <c:showSerName val="0"/>
          <c:showPercent val="0"/>
          <c:showBubbleSize val="0"/>
        </c:dLbls>
        <c:gapWidth val="219"/>
        <c:overlap val="-27"/>
        <c:axId val="1114087840"/>
        <c:axId val="1114090592"/>
      </c:barChart>
      <c:catAx>
        <c:axId val="1114087840"/>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fr-FR"/>
          </a:p>
        </c:txPr>
        <c:crossAx val="1114090592"/>
        <c:crosses val="autoZero"/>
        <c:auto val="1"/>
        <c:lblAlgn val="ctr"/>
        <c:lblOffset val="100"/>
        <c:noMultiLvlLbl val="0"/>
      </c:catAx>
      <c:valAx>
        <c:axId val="1114090592"/>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fr-FR"/>
          </a:p>
        </c:txPr>
        <c:crossAx val="1114087840"/>
        <c:crosses val="autoZero"/>
        <c:crossBetween val="between"/>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fr-FR"/>
    </a:p>
  </c:txPr>
  <c:printSettings>
    <c:headerFooter/>
    <c:pageMargins b="0.75" l="0.7" r="0.7" t="0.75" header="0.3" footer="0.3"/>
    <c:pageSetup/>
  </c:printSettings>
</c:chartSpace>
</file>

<file path=xl/charts/chart39.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fr-FR"/>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US" sz="1600" b="1">
                <a:latin typeface="+mj-lt"/>
              </a:rPr>
              <a:t>Temps de jeu en U16</a:t>
            </a:r>
            <a:endParaRPr lang="en-US" b="1">
              <a:latin typeface="+mj-lt"/>
            </a:endParaRP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fr-FR"/>
        </a:p>
      </c:txPr>
    </c:title>
    <c:autoTitleDeleted val="0"/>
    <c:plotArea>
      <c:layout/>
      <c:barChart>
        <c:barDir val="col"/>
        <c:grouping val="clustered"/>
        <c:varyColors val="0"/>
        <c:ser>
          <c:idx val="0"/>
          <c:order val="0"/>
          <c:tx>
            <c:strRef>
              <c:f>'Fiche collective'!$C$115</c:f>
              <c:strCache>
                <c:ptCount val="1"/>
                <c:pt idx="0">
                  <c:v>T. jeu</c:v>
                </c:pt>
              </c:strCache>
            </c:strRef>
          </c:tx>
          <c:spPr>
            <a:solidFill>
              <a:schemeClr val="accent2"/>
            </a:solidFill>
            <a:ln>
              <a:noFill/>
            </a:ln>
            <a:effectLst/>
          </c:spPr>
          <c:invertIfNegative val="0"/>
          <c:cat>
            <c:strRef>
              <c:f>'Fiche collective'!$B$116:$B$146</c:f>
              <c:strCache>
                <c:ptCount val="31"/>
                <c:pt idx="0">
                  <c:v>DJEHICHE Ramzi</c:v>
                </c:pt>
                <c:pt idx="1">
                  <c:v>ZERDEB Said</c:v>
                </c:pt>
                <c:pt idx="2">
                  <c:v>0</c:v>
                </c:pt>
                <c:pt idx="3">
                  <c:v>ADDA Matteo</c:v>
                </c:pt>
                <c:pt idx="4">
                  <c:v>CAMARA Bandiougou</c:v>
                </c:pt>
                <c:pt idx="5">
                  <c:v>PRONNIER Nicolas</c:v>
                </c:pt>
                <c:pt idx="6">
                  <c:v>CHEROD Alexis</c:v>
                </c:pt>
                <c:pt idx="7">
                  <c:v>MASSOUSSI Elie</c:v>
                </c:pt>
                <c:pt idx="8">
                  <c:v>BERDAH Matis</c:v>
                </c:pt>
                <c:pt idx="9">
                  <c:v>PLANET Mathis</c:v>
                </c:pt>
                <c:pt idx="10">
                  <c:v>CARREAU Ethan</c:v>
                </c:pt>
                <c:pt idx="11">
                  <c:v>KIPRE Jordan</c:v>
                </c:pt>
                <c:pt idx="12">
                  <c:v>LEFRANC Nathan</c:v>
                </c:pt>
                <c:pt idx="13">
                  <c:v>NGOUABI Yoann</c:v>
                </c:pt>
                <c:pt idx="14">
                  <c:v>LECOUFFE Hugo</c:v>
                </c:pt>
                <c:pt idx="15">
                  <c:v>STIOUET Reda</c:v>
                </c:pt>
                <c:pt idx="16">
                  <c:v>CAMARA Moussa</c:v>
                </c:pt>
                <c:pt idx="17">
                  <c:v>DUQUENOY Thomas</c:v>
                </c:pt>
                <c:pt idx="18">
                  <c:v>DOSIERE Baptiste</c:v>
                </c:pt>
                <c:pt idx="19">
                  <c:v>KONATE Mamadou</c:v>
                </c:pt>
                <c:pt idx="20">
                  <c:v>ALFONSO Joao</c:v>
                </c:pt>
                <c:pt idx="21">
                  <c:v>OSSENI Farouk</c:v>
                </c:pt>
                <c:pt idx="22">
                  <c:v>0</c:v>
                </c:pt>
                <c:pt idx="23">
                  <c:v>0</c:v>
                </c:pt>
                <c:pt idx="24">
                  <c:v>TOTAL</c:v>
                </c:pt>
                <c:pt idx="25">
                  <c:v>0</c:v>
                </c:pt>
                <c:pt idx="26">
                  <c:v>0</c:v>
                </c:pt>
                <c:pt idx="27">
                  <c:v>0</c:v>
                </c:pt>
                <c:pt idx="28">
                  <c:v>0</c:v>
                </c:pt>
                <c:pt idx="29">
                  <c:v>0</c:v>
                </c:pt>
                <c:pt idx="30">
                  <c:v>0</c:v>
                </c:pt>
              </c:strCache>
            </c:strRef>
          </c:cat>
          <c:val>
            <c:numRef>
              <c:f>'Fiche collective'!$C$116:$C$146</c:f>
              <c:numCache>
                <c:formatCode>General</c:formatCode>
                <c:ptCount val="31"/>
                <c:pt idx="0">
                  <c:v>117</c:v>
                </c:pt>
                <c:pt idx="1">
                  <c:v>81</c:v>
                </c:pt>
                <c:pt idx="2">
                  <c:v>0</c:v>
                </c:pt>
                <c:pt idx="3">
                  <c:v>450</c:v>
                </c:pt>
                <c:pt idx="4">
                  <c:v>180</c:v>
                </c:pt>
                <c:pt idx="5">
                  <c:v>375</c:v>
                </c:pt>
                <c:pt idx="6">
                  <c:v>182</c:v>
                </c:pt>
                <c:pt idx="7">
                  <c:v>430</c:v>
                </c:pt>
                <c:pt idx="8">
                  <c:v>357</c:v>
                </c:pt>
                <c:pt idx="9">
                  <c:v>213</c:v>
                </c:pt>
                <c:pt idx="10">
                  <c:v>425</c:v>
                </c:pt>
                <c:pt idx="11">
                  <c:v>80</c:v>
                </c:pt>
                <c:pt idx="12">
                  <c:v>105</c:v>
                </c:pt>
                <c:pt idx="13">
                  <c:v>420</c:v>
                </c:pt>
                <c:pt idx="14">
                  <c:v>269</c:v>
                </c:pt>
                <c:pt idx="15">
                  <c:v>219</c:v>
                </c:pt>
                <c:pt idx="16">
                  <c:v>67</c:v>
                </c:pt>
                <c:pt idx="17">
                  <c:v>195</c:v>
                </c:pt>
                <c:pt idx="18">
                  <c:v>261</c:v>
                </c:pt>
                <c:pt idx="19">
                  <c:v>216</c:v>
                </c:pt>
                <c:pt idx="20">
                  <c:v>273</c:v>
                </c:pt>
                <c:pt idx="21">
                  <c:v>110</c:v>
                </c:pt>
                <c:pt idx="22">
                  <c:v>0</c:v>
                </c:pt>
                <c:pt idx="23">
                  <c:v>0</c:v>
                </c:pt>
                <c:pt idx="24">
                  <c:v>6</c:v>
                </c:pt>
                <c:pt idx="25">
                  <c:v>0</c:v>
                </c:pt>
                <c:pt idx="26">
                  <c:v>0</c:v>
                </c:pt>
                <c:pt idx="27">
                  <c:v>0</c:v>
                </c:pt>
                <c:pt idx="28">
                  <c:v>0</c:v>
                </c:pt>
                <c:pt idx="29">
                  <c:v>0</c:v>
                </c:pt>
                <c:pt idx="30">
                  <c:v>0</c:v>
                </c:pt>
              </c:numCache>
            </c:numRef>
          </c:val>
          <c:extLst>
            <c:ext xmlns:c16="http://schemas.microsoft.com/office/drawing/2014/chart" uri="{C3380CC4-5D6E-409C-BE32-E72D297353CC}">
              <c16:uniqueId val="{00000000-4C03-4763-B45F-0F208157E601}"/>
            </c:ext>
          </c:extLst>
        </c:ser>
        <c:dLbls>
          <c:showLegendKey val="0"/>
          <c:showVal val="0"/>
          <c:showCatName val="0"/>
          <c:showSerName val="0"/>
          <c:showPercent val="0"/>
          <c:showBubbleSize val="0"/>
        </c:dLbls>
        <c:gapWidth val="219"/>
        <c:overlap val="-27"/>
        <c:axId val="1114111616"/>
        <c:axId val="1114114368"/>
      </c:barChart>
      <c:catAx>
        <c:axId val="1114111616"/>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fr-FR"/>
          </a:p>
        </c:txPr>
        <c:crossAx val="1114114368"/>
        <c:crosses val="autoZero"/>
        <c:auto val="1"/>
        <c:lblAlgn val="ctr"/>
        <c:lblOffset val="100"/>
        <c:noMultiLvlLbl val="0"/>
      </c:catAx>
      <c:valAx>
        <c:axId val="1114114368"/>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fr-FR"/>
          </a:p>
        </c:txPr>
        <c:crossAx val="1114111616"/>
        <c:crosses val="autoZero"/>
        <c:crossBetween val="between"/>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fr-FR"/>
    </a:p>
  </c:txPr>
  <c:printSettings>
    <c:headerFooter/>
    <c:pageMargins b="0.75" l="0.7" r="0.7" t="0.75" header="0.3" footer="0.3"/>
    <c:pageSetup/>
  </c:printSettings>
</c:chartSpace>
</file>

<file path=xl/charts/chart40.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fr-FR"/>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fr-FR" sz="1600" b="1">
                <a:latin typeface="+mj-lt"/>
              </a:rPr>
              <a:t>Convocations</a:t>
            </a:r>
            <a:r>
              <a:rPr lang="fr-FR" sz="1600" b="1" baseline="0">
                <a:latin typeface="+mj-lt"/>
              </a:rPr>
              <a:t> par équipe</a:t>
            </a:r>
            <a:endParaRPr lang="fr-FR" sz="1600" b="1">
              <a:latin typeface="+mj-lt"/>
            </a:endParaRP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fr-FR"/>
        </a:p>
      </c:txPr>
    </c:title>
    <c:autoTitleDeleted val="0"/>
    <c:plotArea>
      <c:layout/>
      <c:barChart>
        <c:barDir val="col"/>
        <c:grouping val="stacked"/>
        <c:varyColors val="0"/>
        <c:ser>
          <c:idx val="0"/>
          <c:order val="0"/>
          <c:tx>
            <c:strRef>
              <c:f>'Fiche collective'!$C$80</c:f>
              <c:strCache>
                <c:ptCount val="1"/>
                <c:pt idx="0">
                  <c:v>U16</c:v>
                </c:pt>
              </c:strCache>
            </c:strRef>
          </c:tx>
          <c:spPr>
            <a:solidFill>
              <a:schemeClr val="accent2"/>
            </a:solidFill>
            <a:ln>
              <a:noFill/>
            </a:ln>
            <a:effectLst/>
          </c:spPr>
          <c:invertIfNegative val="0"/>
          <c:cat>
            <c:strRef>
              <c:f>'Fiche collective'!$B$81:$B$110</c:f>
              <c:strCache>
                <c:ptCount val="30"/>
                <c:pt idx="0">
                  <c:v>ADDA Matteo</c:v>
                </c:pt>
                <c:pt idx="1">
                  <c:v>ALFONSO Joao</c:v>
                </c:pt>
                <c:pt idx="2">
                  <c:v>BERDAH Matis</c:v>
                </c:pt>
                <c:pt idx="3">
                  <c:v>CAMARA Bandiougou</c:v>
                </c:pt>
                <c:pt idx="4">
                  <c:v>CAMARA Moussa</c:v>
                </c:pt>
                <c:pt idx="5">
                  <c:v>CARREAU Ethan</c:v>
                </c:pt>
                <c:pt idx="6">
                  <c:v>CHEROD Alexis</c:v>
                </c:pt>
                <c:pt idx="7">
                  <c:v>DJEHICHE Ramzi</c:v>
                </c:pt>
                <c:pt idx="8">
                  <c:v>DOSIERE Baptiste</c:v>
                </c:pt>
                <c:pt idx="9">
                  <c:v>DUQUENOY Thomas</c:v>
                </c:pt>
                <c:pt idx="10">
                  <c:v>KIPRE Jordan</c:v>
                </c:pt>
                <c:pt idx="11">
                  <c:v>KONATE Mamadou</c:v>
                </c:pt>
                <c:pt idx="12">
                  <c:v>LECOUFFE Hugo</c:v>
                </c:pt>
                <c:pt idx="13">
                  <c:v>LEFRANC Nathan</c:v>
                </c:pt>
                <c:pt idx="14">
                  <c:v>MASSOUSSI Elie</c:v>
                </c:pt>
                <c:pt idx="15">
                  <c:v>NGOUABI Yoann</c:v>
                </c:pt>
                <c:pt idx="16">
                  <c:v>PLANET Mathis</c:v>
                </c:pt>
                <c:pt idx="17">
                  <c:v>PRONNIER Nicolas</c:v>
                </c:pt>
                <c:pt idx="18">
                  <c:v>STIOUET Reda</c:v>
                </c:pt>
                <c:pt idx="19">
                  <c:v>ZERDEB Said</c:v>
                </c:pt>
                <c:pt idx="20">
                  <c:v>OSSENI Farouk</c:v>
                </c:pt>
                <c:pt idx="21">
                  <c:v>0</c:v>
                </c:pt>
                <c:pt idx="22">
                  <c:v>0</c:v>
                </c:pt>
                <c:pt idx="23">
                  <c:v>0</c:v>
                </c:pt>
                <c:pt idx="24">
                  <c:v>0</c:v>
                </c:pt>
                <c:pt idx="25">
                  <c:v>0</c:v>
                </c:pt>
                <c:pt idx="26">
                  <c:v>0</c:v>
                </c:pt>
                <c:pt idx="27">
                  <c:v>0</c:v>
                </c:pt>
                <c:pt idx="28">
                  <c:v>0</c:v>
                </c:pt>
                <c:pt idx="29">
                  <c:v>0</c:v>
                </c:pt>
              </c:strCache>
            </c:strRef>
          </c:cat>
          <c:val>
            <c:numRef>
              <c:f>'Fiche collective'!$C$81:$C$110</c:f>
              <c:numCache>
                <c:formatCode>General</c:formatCode>
                <c:ptCount val="30"/>
                <c:pt idx="0">
                  <c:v>5</c:v>
                </c:pt>
                <c:pt idx="1">
                  <c:v>4</c:v>
                </c:pt>
                <c:pt idx="2">
                  <c:v>5</c:v>
                </c:pt>
                <c:pt idx="3">
                  <c:v>3</c:v>
                </c:pt>
                <c:pt idx="4">
                  <c:v>1</c:v>
                </c:pt>
                <c:pt idx="5">
                  <c:v>5</c:v>
                </c:pt>
                <c:pt idx="6">
                  <c:v>4</c:v>
                </c:pt>
                <c:pt idx="7">
                  <c:v>2</c:v>
                </c:pt>
                <c:pt idx="8">
                  <c:v>4</c:v>
                </c:pt>
                <c:pt idx="9">
                  <c:v>4</c:v>
                </c:pt>
                <c:pt idx="10">
                  <c:v>3</c:v>
                </c:pt>
                <c:pt idx="11">
                  <c:v>5</c:v>
                </c:pt>
                <c:pt idx="12">
                  <c:v>4</c:v>
                </c:pt>
                <c:pt idx="13">
                  <c:v>2</c:v>
                </c:pt>
                <c:pt idx="14">
                  <c:v>5</c:v>
                </c:pt>
                <c:pt idx="15">
                  <c:v>5</c:v>
                </c:pt>
                <c:pt idx="16">
                  <c:v>5</c:v>
                </c:pt>
                <c:pt idx="17">
                  <c:v>5</c:v>
                </c:pt>
                <c:pt idx="18">
                  <c:v>3</c:v>
                </c:pt>
                <c:pt idx="19">
                  <c:v>1</c:v>
                </c:pt>
                <c:pt idx="20">
                  <c:v>2</c:v>
                </c:pt>
                <c:pt idx="21">
                  <c:v>0</c:v>
                </c:pt>
                <c:pt idx="22">
                  <c:v>0</c:v>
                </c:pt>
                <c:pt idx="23">
                  <c:v>0</c:v>
                </c:pt>
                <c:pt idx="24">
                  <c:v>0</c:v>
                </c:pt>
                <c:pt idx="25">
                  <c:v>0</c:v>
                </c:pt>
                <c:pt idx="26">
                  <c:v>0</c:v>
                </c:pt>
                <c:pt idx="27">
                  <c:v>0</c:v>
                </c:pt>
                <c:pt idx="28">
                  <c:v>0</c:v>
                </c:pt>
                <c:pt idx="29">
                  <c:v>0</c:v>
                </c:pt>
              </c:numCache>
            </c:numRef>
          </c:val>
          <c:extLst>
            <c:ext xmlns:c16="http://schemas.microsoft.com/office/drawing/2014/chart" uri="{C3380CC4-5D6E-409C-BE32-E72D297353CC}">
              <c16:uniqueId val="{00000000-27CC-453E-9D2E-14C3B5468EC2}"/>
            </c:ext>
          </c:extLst>
        </c:ser>
        <c:ser>
          <c:idx val="1"/>
          <c:order val="1"/>
          <c:tx>
            <c:strRef>
              <c:f>'Fiche collective'!$D$80</c:f>
              <c:strCache>
                <c:ptCount val="1"/>
                <c:pt idx="0">
                  <c:v>U17</c:v>
                </c:pt>
              </c:strCache>
            </c:strRef>
          </c:tx>
          <c:spPr>
            <a:solidFill>
              <a:schemeClr val="accent4"/>
            </a:solidFill>
            <a:ln>
              <a:noFill/>
            </a:ln>
            <a:effectLst/>
          </c:spPr>
          <c:invertIfNegative val="0"/>
          <c:cat>
            <c:strRef>
              <c:f>'Fiche collective'!$B$81:$B$110</c:f>
              <c:strCache>
                <c:ptCount val="30"/>
                <c:pt idx="0">
                  <c:v>ADDA Matteo</c:v>
                </c:pt>
                <c:pt idx="1">
                  <c:v>ALFONSO Joao</c:v>
                </c:pt>
                <c:pt idx="2">
                  <c:v>BERDAH Matis</c:v>
                </c:pt>
                <c:pt idx="3">
                  <c:v>CAMARA Bandiougou</c:v>
                </c:pt>
                <c:pt idx="4">
                  <c:v>CAMARA Moussa</c:v>
                </c:pt>
                <c:pt idx="5">
                  <c:v>CARREAU Ethan</c:v>
                </c:pt>
                <c:pt idx="6">
                  <c:v>CHEROD Alexis</c:v>
                </c:pt>
                <c:pt idx="7">
                  <c:v>DJEHICHE Ramzi</c:v>
                </c:pt>
                <c:pt idx="8">
                  <c:v>DOSIERE Baptiste</c:v>
                </c:pt>
                <c:pt idx="9">
                  <c:v>DUQUENOY Thomas</c:v>
                </c:pt>
                <c:pt idx="10">
                  <c:v>KIPRE Jordan</c:v>
                </c:pt>
                <c:pt idx="11">
                  <c:v>KONATE Mamadou</c:v>
                </c:pt>
                <c:pt idx="12">
                  <c:v>LECOUFFE Hugo</c:v>
                </c:pt>
                <c:pt idx="13">
                  <c:v>LEFRANC Nathan</c:v>
                </c:pt>
                <c:pt idx="14">
                  <c:v>MASSOUSSI Elie</c:v>
                </c:pt>
                <c:pt idx="15">
                  <c:v>NGOUABI Yoann</c:v>
                </c:pt>
                <c:pt idx="16">
                  <c:v>PLANET Mathis</c:v>
                </c:pt>
                <c:pt idx="17">
                  <c:v>PRONNIER Nicolas</c:v>
                </c:pt>
                <c:pt idx="18">
                  <c:v>STIOUET Reda</c:v>
                </c:pt>
                <c:pt idx="19">
                  <c:v>ZERDEB Said</c:v>
                </c:pt>
                <c:pt idx="20">
                  <c:v>OSSENI Farouk</c:v>
                </c:pt>
                <c:pt idx="21">
                  <c:v>0</c:v>
                </c:pt>
                <c:pt idx="22">
                  <c:v>0</c:v>
                </c:pt>
                <c:pt idx="23">
                  <c:v>0</c:v>
                </c:pt>
                <c:pt idx="24">
                  <c:v>0</c:v>
                </c:pt>
                <c:pt idx="25">
                  <c:v>0</c:v>
                </c:pt>
                <c:pt idx="26">
                  <c:v>0</c:v>
                </c:pt>
                <c:pt idx="27">
                  <c:v>0</c:v>
                </c:pt>
                <c:pt idx="28">
                  <c:v>0</c:v>
                </c:pt>
                <c:pt idx="29">
                  <c:v>0</c:v>
                </c:pt>
              </c:strCache>
            </c:strRef>
          </c:cat>
          <c:val>
            <c:numRef>
              <c:f>'Fiche collective'!$D$81:$D$110</c:f>
              <c:numCache>
                <c:formatCode>General</c:formatCode>
                <c:ptCount val="30"/>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pt idx="26">
                  <c:v>0</c:v>
                </c:pt>
                <c:pt idx="27">
                  <c:v>0</c:v>
                </c:pt>
                <c:pt idx="28">
                  <c:v>0</c:v>
                </c:pt>
                <c:pt idx="29">
                  <c:v>0</c:v>
                </c:pt>
              </c:numCache>
            </c:numRef>
          </c:val>
          <c:extLst>
            <c:ext xmlns:c16="http://schemas.microsoft.com/office/drawing/2014/chart" uri="{C3380CC4-5D6E-409C-BE32-E72D297353CC}">
              <c16:uniqueId val="{00000001-27CC-453E-9D2E-14C3B5468EC2}"/>
            </c:ext>
          </c:extLst>
        </c:ser>
        <c:ser>
          <c:idx val="2"/>
          <c:order val="2"/>
          <c:tx>
            <c:strRef>
              <c:f>'Fiche collective'!$E$80</c:f>
              <c:strCache>
                <c:ptCount val="1"/>
                <c:pt idx="0">
                  <c:v>Non joué</c:v>
                </c:pt>
              </c:strCache>
            </c:strRef>
          </c:tx>
          <c:spPr>
            <a:solidFill>
              <a:schemeClr val="accent6"/>
            </a:solidFill>
            <a:ln>
              <a:noFill/>
            </a:ln>
            <a:effectLst/>
          </c:spPr>
          <c:invertIfNegative val="0"/>
          <c:cat>
            <c:strRef>
              <c:f>'Fiche collective'!$B$81:$B$110</c:f>
              <c:strCache>
                <c:ptCount val="30"/>
                <c:pt idx="0">
                  <c:v>ADDA Matteo</c:v>
                </c:pt>
                <c:pt idx="1">
                  <c:v>ALFONSO Joao</c:v>
                </c:pt>
                <c:pt idx="2">
                  <c:v>BERDAH Matis</c:v>
                </c:pt>
                <c:pt idx="3">
                  <c:v>CAMARA Bandiougou</c:v>
                </c:pt>
                <c:pt idx="4">
                  <c:v>CAMARA Moussa</c:v>
                </c:pt>
                <c:pt idx="5">
                  <c:v>CARREAU Ethan</c:v>
                </c:pt>
                <c:pt idx="6">
                  <c:v>CHEROD Alexis</c:v>
                </c:pt>
                <c:pt idx="7">
                  <c:v>DJEHICHE Ramzi</c:v>
                </c:pt>
                <c:pt idx="8">
                  <c:v>DOSIERE Baptiste</c:v>
                </c:pt>
                <c:pt idx="9">
                  <c:v>DUQUENOY Thomas</c:v>
                </c:pt>
                <c:pt idx="10">
                  <c:v>KIPRE Jordan</c:v>
                </c:pt>
                <c:pt idx="11">
                  <c:v>KONATE Mamadou</c:v>
                </c:pt>
                <c:pt idx="12">
                  <c:v>LECOUFFE Hugo</c:v>
                </c:pt>
                <c:pt idx="13">
                  <c:v>LEFRANC Nathan</c:v>
                </c:pt>
                <c:pt idx="14">
                  <c:v>MASSOUSSI Elie</c:v>
                </c:pt>
                <c:pt idx="15">
                  <c:v>NGOUABI Yoann</c:v>
                </c:pt>
                <c:pt idx="16">
                  <c:v>PLANET Mathis</c:v>
                </c:pt>
                <c:pt idx="17">
                  <c:v>PRONNIER Nicolas</c:v>
                </c:pt>
                <c:pt idx="18">
                  <c:v>STIOUET Reda</c:v>
                </c:pt>
                <c:pt idx="19">
                  <c:v>ZERDEB Said</c:v>
                </c:pt>
                <c:pt idx="20">
                  <c:v>OSSENI Farouk</c:v>
                </c:pt>
                <c:pt idx="21">
                  <c:v>0</c:v>
                </c:pt>
                <c:pt idx="22">
                  <c:v>0</c:v>
                </c:pt>
                <c:pt idx="23">
                  <c:v>0</c:v>
                </c:pt>
                <c:pt idx="24">
                  <c:v>0</c:v>
                </c:pt>
                <c:pt idx="25">
                  <c:v>0</c:v>
                </c:pt>
                <c:pt idx="26">
                  <c:v>0</c:v>
                </c:pt>
                <c:pt idx="27">
                  <c:v>0</c:v>
                </c:pt>
                <c:pt idx="28">
                  <c:v>0</c:v>
                </c:pt>
                <c:pt idx="29">
                  <c:v>0</c:v>
                </c:pt>
              </c:strCache>
            </c:strRef>
          </c:cat>
          <c:val>
            <c:numRef>
              <c:f>'Fiche collective'!$E$81:$E$110</c:f>
              <c:numCache>
                <c:formatCode>General</c:formatCode>
                <c:ptCount val="30"/>
                <c:pt idx="0">
                  <c:v>0</c:v>
                </c:pt>
                <c:pt idx="1">
                  <c:v>0</c:v>
                </c:pt>
                <c:pt idx="2">
                  <c:v>0</c:v>
                </c:pt>
                <c:pt idx="3">
                  <c:v>0</c:v>
                </c:pt>
                <c:pt idx="4">
                  <c:v>1</c:v>
                </c:pt>
                <c:pt idx="5">
                  <c:v>0</c:v>
                </c:pt>
                <c:pt idx="6">
                  <c:v>0</c:v>
                </c:pt>
                <c:pt idx="7">
                  <c:v>0</c:v>
                </c:pt>
                <c:pt idx="8">
                  <c:v>0</c:v>
                </c:pt>
                <c:pt idx="9">
                  <c:v>0</c:v>
                </c:pt>
                <c:pt idx="10">
                  <c:v>0</c:v>
                </c:pt>
                <c:pt idx="11">
                  <c:v>0</c:v>
                </c:pt>
                <c:pt idx="12">
                  <c:v>1</c:v>
                </c:pt>
                <c:pt idx="13">
                  <c:v>0</c:v>
                </c:pt>
                <c:pt idx="14">
                  <c:v>0</c:v>
                </c:pt>
                <c:pt idx="15">
                  <c:v>0</c:v>
                </c:pt>
                <c:pt idx="16">
                  <c:v>0</c:v>
                </c:pt>
                <c:pt idx="17">
                  <c:v>0</c:v>
                </c:pt>
                <c:pt idx="18">
                  <c:v>2</c:v>
                </c:pt>
                <c:pt idx="19">
                  <c:v>3</c:v>
                </c:pt>
                <c:pt idx="20">
                  <c:v>0</c:v>
                </c:pt>
                <c:pt idx="21">
                  <c:v>0</c:v>
                </c:pt>
                <c:pt idx="22">
                  <c:v>0</c:v>
                </c:pt>
                <c:pt idx="23">
                  <c:v>0</c:v>
                </c:pt>
                <c:pt idx="24">
                  <c:v>0</c:v>
                </c:pt>
                <c:pt idx="25">
                  <c:v>0</c:v>
                </c:pt>
                <c:pt idx="26">
                  <c:v>0</c:v>
                </c:pt>
                <c:pt idx="27">
                  <c:v>0</c:v>
                </c:pt>
                <c:pt idx="28">
                  <c:v>0</c:v>
                </c:pt>
                <c:pt idx="29">
                  <c:v>0</c:v>
                </c:pt>
              </c:numCache>
            </c:numRef>
          </c:val>
          <c:extLst>
            <c:ext xmlns:c16="http://schemas.microsoft.com/office/drawing/2014/chart" uri="{C3380CC4-5D6E-409C-BE32-E72D297353CC}">
              <c16:uniqueId val="{00000002-27CC-453E-9D2E-14C3B5468EC2}"/>
            </c:ext>
          </c:extLst>
        </c:ser>
        <c:dLbls>
          <c:showLegendKey val="0"/>
          <c:showVal val="0"/>
          <c:showCatName val="0"/>
          <c:showSerName val="0"/>
          <c:showPercent val="0"/>
          <c:showBubbleSize val="0"/>
        </c:dLbls>
        <c:gapWidth val="150"/>
        <c:overlap val="100"/>
        <c:axId val="1114145888"/>
        <c:axId val="1114148640"/>
      </c:barChart>
      <c:catAx>
        <c:axId val="1114145888"/>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fr-FR"/>
          </a:p>
        </c:txPr>
        <c:crossAx val="1114148640"/>
        <c:crosses val="autoZero"/>
        <c:auto val="1"/>
        <c:lblAlgn val="ctr"/>
        <c:lblOffset val="100"/>
        <c:noMultiLvlLbl val="0"/>
      </c:catAx>
      <c:valAx>
        <c:axId val="1114148640"/>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fr-FR"/>
          </a:p>
        </c:txPr>
        <c:crossAx val="1114145888"/>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fr-FR"/>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fr-FR"/>
    </a:p>
  </c:txPr>
  <c:printSettings>
    <c:headerFooter/>
    <c:pageMargins b="0.75" l="0.7" r="0.7" t="0.75" header="0.3" footer="0.3"/>
    <c:pageSetup/>
  </c:printSettings>
</c:chartSpace>
</file>

<file path=xl/charts/chart4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fr-FR"/>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fr-FR"/>
        </a:p>
      </c:txPr>
    </c:title>
    <c:autoTitleDeleted val="0"/>
    <c:plotArea>
      <c:layout/>
      <c:barChart>
        <c:barDir val="col"/>
        <c:grouping val="clustered"/>
        <c:varyColors val="0"/>
        <c:ser>
          <c:idx val="0"/>
          <c:order val="0"/>
          <c:tx>
            <c:strRef>
              <c:f>'Fiche collective'!$C$150</c:f>
              <c:strCache>
                <c:ptCount val="1"/>
                <c:pt idx="0">
                  <c:v>T. jeu moyen</c:v>
                </c:pt>
              </c:strCache>
            </c:strRef>
          </c:tx>
          <c:spPr>
            <a:solidFill>
              <a:schemeClr val="accent2"/>
            </a:solidFill>
            <a:ln>
              <a:noFill/>
            </a:ln>
            <a:effectLst/>
          </c:spPr>
          <c:invertIfNegative val="0"/>
          <c:cat>
            <c:strRef>
              <c:f>'Fiche collective'!$B$151:$B$181</c:f>
              <c:strCache>
                <c:ptCount val="31"/>
                <c:pt idx="0">
                  <c:v>DJEHICHE Ramzi</c:v>
                </c:pt>
                <c:pt idx="1">
                  <c:v>MASSOUSSI Elie</c:v>
                </c:pt>
                <c:pt idx="2">
                  <c:v>CAMARA Bandiougou</c:v>
                </c:pt>
                <c:pt idx="3">
                  <c:v>ALFONSO Joao</c:v>
                </c:pt>
                <c:pt idx="4">
                  <c:v>LECOUFFE Hugo</c:v>
                </c:pt>
                <c:pt idx="5">
                  <c:v>ADDA Matteo</c:v>
                </c:pt>
                <c:pt idx="6">
                  <c:v>PRONNIER Nicolas</c:v>
                </c:pt>
                <c:pt idx="7">
                  <c:v>0</c:v>
                </c:pt>
                <c:pt idx="8">
                  <c:v>ZERDEB Said</c:v>
                </c:pt>
                <c:pt idx="9">
                  <c:v>CHEROD Alexis</c:v>
                </c:pt>
                <c:pt idx="10">
                  <c:v>CARREAU Ethan</c:v>
                </c:pt>
                <c:pt idx="11">
                  <c:v>NGOUABI Yoann</c:v>
                </c:pt>
                <c:pt idx="12">
                  <c:v>DOSIERE Baptiste</c:v>
                </c:pt>
                <c:pt idx="13">
                  <c:v>KONATE Mamadou</c:v>
                </c:pt>
                <c:pt idx="14">
                  <c:v>BERDAH Matis</c:v>
                </c:pt>
                <c:pt idx="15">
                  <c:v>KIPRE Jordan</c:v>
                </c:pt>
                <c:pt idx="16">
                  <c:v>PLANET Mathis</c:v>
                </c:pt>
                <c:pt idx="17">
                  <c:v>STIOUET Reda</c:v>
                </c:pt>
                <c:pt idx="18">
                  <c:v>DUQUENOY Thomas</c:v>
                </c:pt>
                <c:pt idx="19">
                  <c:v>CAMARA Moussa</c:v>
                </c:pt>
                <c:pt idx="20">
                  <c:v>0</c:v>
                </c:pt>
                <c:pt idx="21">
                  <c:v>OSSENI Farouk</c:v>
                </c:pt>
                <c:pt idx="22">
                  <c:v>LEFRANC Nathan</c:v>
                </c:pt>
                <c:pt idx="23">
                  <c:v>TOTAL</c:v>
                </c:pt>
                <c:pt idx="24">
                  <c:v>0</c:v>
                </c:pt>
                <c:pt idx="25">
                  <c:v>0</c:v>
                </c:pt>
                <c:pt idx="26">
                  <c:v>0</c:v>
                </c:pt>
                <c:pt idx="27">
                  <c:v>0</c:v>
                </c:pt>
                <c:pt idx="28">
                  <c:v>0</c:v>
                </c:pt>
                <c:pt idx="29">
                  <c:v>0</c:v>
                </c:pt>
                <c:pt idx="30">
                  <c:v>0</c:v>
                </c:pt>
              </c:strCache>
            </c:strRef>
          </c:cat>
          <c:val>
            <c:numRef>
              <c:f>'Fiche collective'!$C$151:$C$181</c:f>
              <c:numCache>
                <c:formatCode>0.00</c:formatCode>
                <c:ptCount val="31"/>
                <c:pt idx="0">
                  <c:v>58.5</c:v>
                </c:pt>
                <c:pt idx="1">
                  <c:v>86</c:v>
                </c:pt>
                <c:pt idx="2">
                  <c:v>60</c:v>
                </c:pt>
                <c:pt idx="3">
                  <c:v>68.25</c:v>
                </c:pt>
                <c:pt idx="4">
                  <c:v>67.25</c:v>
                </c:pt>
                <c:pt idx="5">
                  <c:v>90</c:v>
                </c:pt>
                <c:pt idx="6">
                  <c:v>75</c:v>
                </c:pt>
                <c:pt idx="7">
                  <c:v>0</c:v>
                </c:pt>
                <c:pt idx="8">
                  <c:v>81</c:v>
                </c:pt>
                <c:pt idx="9">
                  <c:v>45.5</c:v>
                </c:pt>
                <c:pt idx="10">
                  <c:v>85</c:v>
                </c:pt>
                <c:pt idx="11">
                  <c:v>84</c:v>
                </c:pt>
                <c:pt idx="12">
                  <c:v>65.25</c:v>
                </c:pt>
                <c:pt idx="13">
                  <c:v>43.2</c:v>
                </c:pt>
                <c:pt idx="14">
                  <c:v>71.400000000000006</c:v>
                </c:pt>
                <c:pt idx="15">
                  <c:v>26.666666666666668</c:v>
                </c:pt>
                <c:pt idx="16">
                  <c:v>42.6</c:v>
                </c:pt>
                <c:pt idx="17">
                  <c:v>73</c:v>
                </c:pt>
                <c:pt idx="18">
                  <c:v>48.75</c:v>
                </c:pt>
                <c:pt idx="19">
                  <c:v>67</c:v>
                </c:pt>
                <c:pt idx="20">
                  <c:v>0</c:v>
                </c:pt>
                <c:pt idx="21">
                  <c:v>55</c:v>
                </c:pt>
                <c:pt idx="22">
                  <c:v>52.5</c:v>
                </c:pt>
                <c:pt idx="23">
                  <c:v>7.792207792207792E-2</c:v>
                </c:pt>
                <c:pt idx="24">
                  <c:v>0</c:v>
                </c:pt>
                <c:pt idx="25">
                  <c:v>0</c:v>
                </c:pt>
                <c:pt idx="26">
                  <c:v>0</c:v>
                </c:pt>
                <c:pt idx="27">
                  <c:v>0</c:v>
                </c:pt>
                <c:pt idx="28">
                  <c:v>0</c:v>
                </c:pt>
                <c:pt idx="29">
                  <c:v>0</c:v>
                </c:pt>
                <c:pt idx="30">
                  <c:v>0</c:v>
                </c:pt>
              </c:numCache>
            </c:numRef>
          </c:val>
          <c:extLst>
            <c:ext xmlns:c16="http://schemas.microsoft.com/office/drawing/2014/chart" uri="{C3380CC4-5D6E-409C-BE32-E72D297353CC}">
              <c16:uniqueId val="{00000000-E64D-49F8-BA85-0B56C7ECC49E}"/>
            </c:ext>
          </c:extLst>
        </c:ser>
        <c:dLbls>
          <c:showLegendKey val="0"/>
          <c:showVal val="0"/>
          <c:showCatName val="0"/>
          <c:showSerName val="0"/>
          <c:showPercent val="0"/>
          <c:showBubbleSize val="0"/>
        </c:dLbls>
        <c:gapWidth val="182"/>
        <c:axId val="1114168912"/>
        <c:axId val="1114171664"/>
      </c:barChart>
      <c:catAx>
        <c:axId val="1114168912"/>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fr-FR"/>
          </a:p>
        </c:txPr>
        <c:crossAx val="1114171664"/>
        <c:crosses val="autoZero"/>
        <c:auto val="1"/>
        <c:lblAlgn val="ctr"/>
        <c:lblOffset val="100"/>
        <c:noMultiLvlLbl val="0"/>
      </c:catAx>
      <c:valAx>
        <c:axId val="1114171664"/>
        <c:scaling>
          <c:orientation val="minMax"/>
        </c:scaling>
        <c:delete val="0"/>
        <c:axPos val="l"/>
        <c:majorGridlines>
          <c:spPr>
            <a:ln w="9525" cap="flat" cmpd="sng" algn="ctr">
              <a:solidFill>
                <a:schemeClr val="tx1">
                  <a:lumMod val="15000"/>
                  <a:lumOff val="85000"/>
                </a:schemeClr>
              </a:solidFill>
              <a:round/>
            </a:ln>
            <a:effectLst/>
          </c:spPr>
        </c:majorGridlines>
        <c:numFmt formatCode="0.0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fr-FR"/>
          </a:p>
        </c:txPr>
        <c:crossAx val="1114168912"/>
        <c:crosses val="autoZero"/>
        <c:crossBetween val="between"/>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fr-FR"/>
    </a:p>
  </c:txPr>
  <c:printSettings>
    <c:headerFooter/>
    <c:pageMargins b="0.75" l="0.7" r="0.7" t="0.75" header="0.3" footer="0.3"/>
    <c:pageSetup/>
  </c:printSettings>
</c:chartSpace>
</file>

<file path=xl/charts/chart4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fr-FR"/>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fr-FR" sz="1600" b="1">
                <a:latin typeface="+mj-lt"/>
              </a:rPr>
              <a:t>Cartons</a:t>
            </a:r>
            <a:r>
              <a:rPr lang="fr-FR" sz="1600" b="1" baseline="0">
                <a:latin typeface="+mj-lt"/>
              </a:rPr>
              <a:t> par joueur</a:t>
            </a:r>
            <a:endParaRPr lang="fr-FR" b="1">
              <a:latin typeface="+mj-lt"/>
            </a:endParaRP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fr-FR"/>
        </a:p>
      </c:txPr>
    </c:title>
    <c:autoTitleDeleted val="0"/>
    <c:plotArea>
      <c:layout/>
      <c:barChart>
        <c:barDir val="col"/>
        <c:grouping val="clustered"/>
        <c:varyColors val="0"/>
        <c:ser>
          <c:idx val="0"/>
          <c:order val="0"/>
          <c:tx>
            <c:strRef>
              <c:f>'Fiche collective'!$C$185</c:f>
              <c:strCache>
                <c:ptCount val="1"/>
                <c:pt idx="0">
                  <c:v>Jaune</c:v>
                </c:pt>
              </c:strCache>
            </c:strRef>
          </c:tx>
          <c:spPr>
            <a:solidFill>
              <a:schemeClr val="accent2"/>
            </a:solidFill>
            <a:ln>
              <a:noFill/>
            </a:ln>
            <a:effectLst/>
          </c:spPr>
          <c:invertIfNegative val="0"/>
          <c:cat>
            <c:strRef>
              <c:f>'Fiche collective'!$B$186:$B$215</c:f>
              <c:strCache>
                <c:ptCount val="30"/>
                <c:pt idx="0">
                  <c:v>MASSOUSSI Elie</c:v>
                </c:pt>
                <c:pt idx="1">
                  <c:v>ADDA Matteo</c:v>
                </c:pt>
                <c:pt idx="2">
                  <c:v>LECOUFFE Hugo</c:v>
                </c:pt>
                <c:pt idx="3">
                  <c:v>STIOUET Reda</c:v>
                </c:pt>
                <c:pt idx="4">
                  <c:v>DUQUENOY Thomas</c:v>
                </c:pt>
                <c:pt idx="5">
                  <c:v>NGOUABI Yoann</c:v>
                </c:pt>
                <c:pt idx="6">
                  <c:v>ZERDEB Said</c:v>
                </c:pt>
                <c:pt idx="7">
                  <c:v>ALFONSO Joao</c:v>
                </c:pt>
                <c:pt idx="8">
                  <c:v>BERDAH Matis</c:v>
                </c:pt>
                <c:pt idx="9">
                  <c:v>CAMARA Bandiougou</c:v>
                </c:pt>
                <c:pt idx="10">
                  <c:v>CAMARA Moussa</c:v>
                </c:pt>
                <c:pt idx="11">
                  <c:v>CARREAU Ethan</c:v>
                </c:pt>
                <c:pt idx="12">
                  <c:v>CHEROD Alexis</c:v>
                </c:pt>
                <c:pt idx="13">
                  <c:v>DJEHICHE Ramzi</c:v>
                </c:pt>
                <c:pt idx="14">
                  <c:v>DOSIERE Baptiste</c:v>
                </c:pt>
                <c:pt idx="15">
                  <c:v>KIPRE Jordan</c:v>
                </c:pt>
                <c:pt idx="16">
                  <c:v>KONATE Mamadou</c:v>
                </c:pt>
                <c:pt idx="17">
                  <c:v>LEFRANC Nathan</c:v>
                </c:pt>
                <c:pt idx="18">
                  <c:v>PLANET Mathis</c:v>
                </c:pt>
                <c:pt idx="19">
                  <c:v>PRONNIER Nicolas</c:v>
                </c:pt>
                <c:pt idx="20">
                  <c:v>OSSENI Farouk</c:v>
                </c:pt>
                <c:pt idx="21">
                  <c:v>0</c:v>
                </c:pt>
                <c:pt idx="22">
                  <c:v>0</c:v>
                </c:pt>
                <c:pt idx="23">
                  <c:v>0</c:v>
                </c:pt>
                <c:pt idx="24">
                  <c:v>0</c:v>
                </c:pt>
                <c:pt idx="25">
                  <c:v>0</c:v>
                </c:pt>
                <c:pt idx="26">
                  <c:v>0</c:v>
                </c:pt>
                <c:pt idx="27">
                  <c:v>0</c:v>
                </c:pt>
                <c:pt idx="28">
                  <c:v>0</c:v>
                </c:pt>
                <c:pt idx="29">
                  <c:v>0</c:v>
                </c:pt>
              </c:strCache>
            </c:strRef>
          </c:cat>
          <c:val>
            <c:numRef>
              <c:f>'Fiche collective'!$C$186:$C$215</c:f>
              <c:numCache>
                <c:formatCode>General</c:formatCode>
                <c:ptCount val="30"/>
                <c:pt idx="0">
                  <c:v>0</c:v>
                </c:pt>
                <c:pt idx="1">
                  <c:v>0</c:v>
                </c:pt>
                <c:pt idx="2">
                  <c:v>0</c:v>
                </c:pt>
                <c:pt idx="3">
                  <c:v>0</c:v>
                </c:pt>
                <c:pt idx="4">
                  <c:v>0</c:v>
                </c:pt>
                <c:pt idx="5">
                  <c:v>0</c:v>
                </c:pt>
                <c:pt idx="6">
                  <c:v>0</c:v>
                </c:pt>
                <c:pt idx="7">
                  <c:v>0</c:v>
                </c:pt>
                <c:pt idx="8">
                  <c:v>0</c:v>
                </c:pt>
                <c:pt idx="9">
                  <c:v>0</c:v>
                </c:pt>
                <c:pt idx="10">
                  <c:v>0</c:v>
                </c:pt>
                <c:pt idx="11">
                  <c:v>1</c:v>
                </c:pt>
                <c:pt idx="12">
                  <c:v>0</c:v>
                </c:pt>
                <c:pt idx="13">
                  <c:v>0</c:v>
                </c:pt>
                <c:pt idx="14">
                  <c:v>1</c:v>
                </c:pt>
                <c:pt idx="15">
                  <c:v>0</c:v>
                </c:pt>
                <c:pt idx="16">
                  <c:v>0</c:v>
                </c:pt>
                <c:pt idx="17">
                  <c:v>0</c:v>
                </c:pt>
                <c:pt idx="18">
                  <c:v>0</c:v>
                </c:pt>
                <c:pt idx="19">
                  <c:v>0</c:v>
                </c:pt>
                <c:pt idx="20">
                  <c:v>0</c:v>
                </c:pt>
                <c:pt idx="21">
                  <c:v>0</c:v>
                </c:pt>
                <c:pt idx="22">
                  <c:v>0</c:v>
                </c:pt>
                <c:pt idx="23">
                  <c:v>0</c:v>
                </c:pt>
                <c:pt idx="24">
                  <c:v>0</c:v>
                </c:pt>
                <c:pt idx="25">
                  <c:v>0</c:v>
                </c:pt>
                <c:pt idx="26">
                  <c:v>0</c:v>
                </c:pt>
                <c:pt idx="27">
                  <c:v>0</c:v>
                </c:pt>
                <c:pt idx="28">
                  <c:v>0</c:v>
                </c:pt>
                <c:pt idx="29">
                  <c:v>0</c:v>
                </c:pt>
              </c:numCache>
            </c:numRef>
          </c:val>
          <c:extLst>
            <c:ext xmlns:c16="http://schemas.microsoft.com/office/drawing/2014/chart" uri="{C3380CC4-5D6E-409C-BE32-E72D297353CC}">
              <c16:uniqueId val="{00000000-20BB-41F7-9CB0-D9200A5D7FCB}"/>
            </c:ext>
          </c:extLst>
        </c:ser>
        <c:ser>
          <c:idx val="1"/>
          <c:order val="1"/>
          <c:tx>
            <c:strRef>
              <c:f>'Fiche collective'!$D$185</c:f>
              <c:strCache>
                <c:ptCount val="1"/>
                <c:pt idx="0">
                  <c:v>Rouge</c:v>
                </c:pt>
              </c:strCache>
            </c:strRef>
          </c:tx>
          <c:spPr>
            <a:solidFill>
              <a:schemeClr val="accent4"/>
            </a:solidFill>
            <a:ln>
              <a:noFill/>
            </a:ln>
            <a:effectLst/>
          </c:spPr>
          <c:invertIfNegative val="0"/>
          <c:cat>
            <c:strRef>
              <c:f>'Fiche collective'!$B$186:$B$215</c:f>
              <c:strCache>
                <c:ptCount val="30"/>
                <c:pt idx="0">
                  <c:v>MASSOUSSI Elie</c:v>
                </c:pt>
                <c:pt idx="1">
                  <c:v>ADDA Matteo</c:v>
                </c:pt>
                <c:pt idx="2">
                  <c:v>LECOUFFE Hugo</c:v>
                </c:pt>
                <c:pt idx="3">
                  <c:v>STIOUET Reda</c:v>
                </c:pt>
                <c:pt idx="4">
                  <c:v>DUQUENOY Thomas</c:v>
                </c:pt>
                <c:pt idx="5">
                  <c:v>NGOUABI Yoann</c:v>
                </c:pt>
                <c:pt idx="6">
                  <c:v>ZERDEB Said</c:v>
                </c:pt>
                <c:pt idx="7">
                  <c:v>ALFONSO Joao</c:v>
                </c:pt>
                <c:pt idx="8">
                  <c:v>BERDAH Matis</c:v>
                </c:pt>
                <c:pt idx="9">
                  <c:v>CAMARA Bandiougou</c:v>
                </c:pt>
                <c:pt idx="10">
                  <c:v>CAMARA Moussa</c:v>
                </c:pt>
                <c:pt idx="11">
                  <c:v>CARREAU Ethan</c:v>
                </c:pt>
                <c:pt idx="12">
                  <c:v>CHEROD Alexis</c:v>
                </c:pt>
                <c:pt idx="13">
                  <c:v>DJEHICHE Ramzi</c:v>
                </c:pt>
                <c:pt idx="14">
                  <c:v>DOSIERE Baptiste</c:v>
                </c:pt>
                <c:pt idx="15">
                  <c:v>KIPRE Jordan</c:v>
                </c:pt>
                <c:pt idx="16">
                  <c:v>KONATE Mamadou</c:v>
                </c:pt>
                <c:pt idx="17">
                  <c:v>LEFRANC Nathan</c:v>
                </c:pt>
                <c:pt idx="18">
                  <c:v>PLANET Mathis</c:v>
                </c:pt>
                <c:pt idx="19">
                  <c:v>PRONNIER Nicolas</c:v>
                </c:pt>
                <c:pt idx="20">
                  <c:v>OSSENI Farouk</c:v>
                </c:pt>
                <c:pt idx="21">
                  <c:v>0</c:v>
                </c:pt>
                <c:pt idx="22">
                  <c:v>0</c:v>
                </c:pt>
                <c:pt idx="23">
                  <c:v>0</c:v>
                </c:pt>
                <c:pt idx="24">
                  <c:v>0</c:v>
                </c:pt>
                <c:pt idx="25">
                  <c:v>0</c:v>
                </c:pt>
                <c:pt idx="26">
                  <c:v>0</c:v>
                </c:pt>
                <c:pt idx="27">
                  <c:v>0</c:v>
                </c:pt>
                <c:pt idx="28">
                  <c:v>0</c:v>
                </c:pt>
                <c:pt idx="29">
                  <c:v>0</c:v>
                </c:pt>
              </c:strCache>
            </c:strRef>
          </c:cat>
          <c:val>
            <c:numRef>
              <c:f>'Fiche collective'!$D$186:$D$215</c:f>
              <c:numCache>
                <c:formatCode>General</c:formatCode>
                <c:ptCount val="30"/>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pt idx="26">
                  <c:v>0</c:v>
                </c:pt>
                <c:pt idx="27">
                  <c:v>0</c:v>
                </c:pt>
                <c:pt idx="28">
                  <c:v>0</c:v>
                </c:pt>
                <c:pt idx="29">
                  <c:v>0</c:v>
                </c:pt>
              </c:numCache>
            </c:numRef>
          </c:val>
          <c:extLst>
            <c:ext xmlns:c16="http://schemas.microsoft.com/office/drawing/2014/chart" uri="{C3380CC4-5D6E-409C-BE32-E72D297353CC}">
              <c16:uniqueId val="{00000001-20BB-41F7-9CB0-D9200A5D7FCB}"/>
            </c:ext>
          </c:extLst>
        </c:ser>
        <c:dLbls>
          <c:showLegendKey val="0"/>
          <c:showVal val="0"/>
          <c:showCatName val="0"/>
          <c:showSerName val="0"/>
          <c:showPercent val="0"/>
          <c:showBubbleSize val="0"/>
        </c:dLbls>
        <c:gapWidth val="219"/>
        <c:overlap val="-27"/>
        <c:axId val="1112763824"/>
        <c:axId val="1112766576"/>
      </c:barChart>
      <c:catAx>
        <c:axId val="1112763824"/>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fr-FR"/>
          </a:p>
        </c:txPr>
        <c:crossAx val="1112766576"/>
        <c:crosses val="autoZero"/>
        <c:auto val="1"/>
        <c:lblAlgn val="ctr"/>
        <c:lblOffset val="100"/>
        <c:noMultiLvlLbl val="0"/>
      </c:catAx>
      <c:valAx>
        <c:axId val="1112766576"/>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fr-FR"/>
          </a:p>
        </c:txPr>
        <c:crossAx val="1112763824"/>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fr-FR"/>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fr-FR"/>
    </a:p>
  </c:txPr>
  <c:printSettings>
    <c:headerFooter/>
    <c:pageMargins b="0.75" l="0.7" r="0.7" t="0.75" header="0.3" footer="0.3"/>
    <c:pageSetup/>
  </c:printSettings>
</c:chartSpace>
</file>

<file path=xl/charts/chart4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fr-FR"/>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fr-FR" sz="1600" b="1">
                <a:latin typeface="+mj-lt"/>
              </a:rPr>
              <a:t>Présence aux entrainements</a:t>
            </a:r>
            <a:endParaRPr lang="fr-FR" b="1">
              <a:latin typeface="+mj-lt"/>
            </a:endParaRP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fr-FR"/>
        </a:p>
      </c:txPr>
    </c:title>
    <c:autoTitleDeleted val="0"/>
    <c:plotArea>
      <c:layout/>
      <c:barChart>
        <c:barDir val="col"/>
        <c:grouping val="percentStacked"/>
        <c:varyColors val="0"/>
        <c:ser>
          <c:idx val="0"/>
          <c:order val="0"/>
          <c:tx>
            <c:strRef>
              <c:f>'Fiche collective'!$C$220</c:f>
              <c:strCache>
                <c:ptCount val="1"/>
                <c:pt idx="0">
                  <c:v>Présent</c:v>
                </c:pt>
              </c:strCache>
            </c:strRef>
          </c:tx>
          <c:spPr>
            <a:solidFill>
              <a:schemeClr val="accent6"/>
            </a:solidFill>
            <a:ln>
              <a:noFill/>
            </a:ln>
            <a:effectLst/>
          </c:spPr>
          <c:invertIfNegative val="0"/>
          <c:cat>
            <c:strRef>
              <c:f>'Fiche collective'!$B$221:$B$250</c:f>
              <c:strCache>
                <c:ptCount val="30"/>
                <c:pt idx="0">
                  <c:v>ADDA Matteo</c:v>
                </c:pt>
                <c:pt idx="1">
                  <c:v>ALFONSO Joao</c:v>
                </c:pt>
                <c:pt idx="2">
                  <c:v>BERDAH Matis</c:v>
                </c:pt>
                <c:pt idx="3">
                  <c:v>CAMARA Bandiougou</c:v>
                </c:pt>
                <c:pt idx="4">
                  <c:v>CAMARA Moussa</c:v>
                </c:pt>
                <c:pt idx="5">
                  <c:v>CARREAU Ethan</c:v>
                </c:pt>
                <c:pt idx="6">
                  <c:v>CHEROD Alexis</c:v>
                </c:pt>
                <c:pt idx="7">
                  <c:v>DJEHICHE Ramzi</c:v>
                </c:pt>
                <c:pt idx="8">
                  <c:v>DOSIERE Baptiste</c:v>
                </c:pt>
                <c:pt idx="9">
                  <c:v>DUQUENOY Thomas</c:v>
                </c:pt>
                <c:pt idx="10">
                  <c:v>KIPRE Jordan</c:v>
                </c:pt>
                <c:pt idx="11">
                  <c:v>KONATE Mamadou</c:v>
                </c:pt>
                <c:pt idx="12">
                  <c:v>LECOUFFE Hugo</c:v>
                </c:pt>
                <c:pt idx="13">
                  <c:v>LEFRANC Nathan</c:v>
                </c:pt>
                <c:pt idx="14">
                  <c:v>MASSOUSSI Elie</c:v>
                </c:pt>
                <c:pt idx="15">
                  <c:v>NGOUABI Yoann</c:v>
                </c:pt>
                <c:pt idx="16">
                  <c:v>PLANET Mathis</c:v>
                </c:pt>
                <c:pt idx="17">
                  <c:v>PRONNIER Nicolas</c:v>
                </c:pt>
                <c:pt idx="18">
                  <c:v>STIOUET Reda</c:v>
                </c:pt>
                <c:pt idx="19">
                  <c:v>ZERDEB Said</c:v>
                </c:pt>
                <c:pt idx="20">
                  <c:v>OSSENI Farouk</c:v>
                </c:pt>
                <c:pt idx="21">
                  <c:v>0</c:v>
                </c:pt>
                <c:pt idx="22">
                  <c:v>0</c:v>
                </c:pt>
                <c:pt idx="23">
                  <c:v>0</c:v>
                </c:pt>
                <c:pt idx="24">
                  <c:v>0</c:v>
                </c:pt>
                <c:pt idx="25">
                  <c:v>0</c:v>
                </c:pt>
                <c:pt idx="26">
                  <c:v>0</c:v>
                </c:pt>
                <c:pt idx="27">
                  <c:v>0</c:v>
                </c:pt>
                <c:pt idx="28">
                  <c:v>0</c:v>
                </c:pt>
                <c:pt idx="29">
                  <c:v>0</c:v>
                </c:pt>
              </c:strCache>
            </c:strRef>
          </c:cat>
          <c:val>
            <c:numRef>
              <c:f>'Fiche collective'!$C$221:$C$250</c:f>
              <c:numCache>
                <c:formatCode>General</c:formatCode>
                <c:ptCount val="30"/>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pt idx="26">
                  <c:v>0</c:v>
                </c:pt>
                <c:pt idx="27">
                  <c:v>0</c:v>
                </c:pt>
                <c:pt idx="28">
                  <c:v>0</c:v>
                </c:pt>
                <c:pt idx="29">
                  <c:v>0</c:v>
                </c:pt>
              </c:numCache>
            </c:numRef>
          </c:val>
          <c:extLst>
            <c:ext xmlns:c16="http://schemas.microsoft.com/office/drawing/2014/chart" uri="{C3380CC4-5D6E-409C-BE32-E72D297353CC}">
              <c16:uniqueId val="{00000000-85EF-41F5-9497-2700092CE2DA}"/>
            </c:ext>
          </c:extLst>
        </c:ser>
        <c:ser>
          <c:idx val="1"/>
          <c:order val="1"/>
          <c:tx>
            <c:strRef>
              <c:f>'Fiche collective'!$D$220</c:f>
              <c:strCache>
                <c:ptCount val="1"/>
                <c:pt idx="0">
                  <c:v>Abs excusée</c:v>
                </c:pt>
              </c:strCache>
            </c:strRef>
          </c:tx>
          <c:spPr>
            <a:solidFill>
              <a:schemeClr val="accent5"/>
            </a:solidFill>
            <a:ln>
              <a:noFill/>
            </a:ln>
            <a:effectLst/>
          </c:spPr>
          <c:invertIfNegative val="0"/>
          <c:cat>
            <c:strRef>
              <c:f>'Fiche collective'!$B$221:$B$250</c:f>
              <c:strCache>
                <c:ptCount val="30"/>
                <c:pt idx="0">
                  <c:v>ADDA Matteo</c:v>
                </c:pt>
                <c:pt idx="1">
                  <c:v>ALFONSO Joao</c:v>
                </c:pt>
                <c:pt idx="2">
                  <c:v>BERDAH Matis</c:v>
                </c:pt>
                <c:pt idx="3">
                  <c:v>CAMARA Bandiougou</c:v>
                </c:pt>
                <c:pt idx="4">
                  <c:v>CAMARA Moussa</c:v>
                </c:pt>
                <c:pt idx="5">
                  <c:v>CARREAU Ethan</c:v>
                </c:pt>
                <c:pt idx="6">
                  <c:v>CHEROD Alexis</c:v>
                </c:pt>
                <c:pt idx="7">
                  <c:v>DJEHICHE Ramzi</c:v>
                </c:pt>
                <c:pt idx="8">
                  <c:v>DOSIERE Baptiste</c:v>
                </c:pt>
                <c:pt idx="9">
                  <c:v>DUQUENOY Thomas</c:v>
                </c:pt>
                <c:pt idx="10">
                  <c:v>KIPRE Jordan</c:v>
                </c:pt>
                <c:pt idx="11">
                  <c:v>KONATE Mamadou</c:v>
                </c:pt>
                <c:pt idx="12">
                  <c:v>LECOUFFE Hugo</c:v>
                </c:pt>
                <c:pt idx="13">
                  <c:v>LEFRANC Nathan</c:v>
                </c:pt>
                <c:pt idx="14">
                  <c:v>MASSOUSSI Elie</c:v>
                </c:pt>
                <c:pt idx="15">
                  <c:v>NGOUABI Yoann</c:v>
                </c:pt>
                <c:pt idx="16">
                  <c:v>PLANET Mathis</c:v>
                </c:pt>
                <c:pt idx="17">
                  <c:v>PRONNIER Nicolas</c:v>
                </c:pt>
                <c:pt idx="18">
                  <c:v>STIOUET Reda</c:v>
                </c:pt>
                <c:pt idx="19">
                  <c:v>ZERDEB Said</c:v>
                </c:pt>
                <c:pt idx="20">
                  <c:v>OSSENI Farouk</c:v>
                </c:pt>
                <c:pt idx="21">
                  <c:v>0</c:v>
                </c:pt>
                <c:pt idx="22">
                  <c:v>0</c:v>
                </c:pt>
                <c:pt idx="23">
                  <c:v>0</c:v>
                </c:pt>
                <c:pt idx="24">
                  <c:v>0</c:v>
                </c:pt>
                <c:pt idx="25">
                  <c:v>0</c:v>
                </c:pt>
                <c:pt idx="26">
                  <c:v>0</c:v>
                </c:pt>
                <c:pt idx="27">
                  <c:v>0</c:v>
                </c:pt>
                <c:pt idx="28">
                  <c:v>0</c:v>
                </c:pt>
                <c:pt idx="29">
                  <c:v>0</c:v>
                </c:pt>
              </c:strCache>
            </c:strRef>
          </c:cat>
          <c:val>
            <c:numRef>
              <c:f>'Fiche collective'!$D$221:$D$250</c:f>
              <c:numCache>
                <c:formatCode>General</c:formatCode>
                <c:ptCount val="30"/>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pt idx="26">
                  <c:v>0</c:v>
                </c:pt>
                <c:pt idx="27">
                  <c:v>0</c:v>
                </c:pt>
                <c:pt idx="28">
                  <c:v>0</c:v>
                </c:pt>
                <c:pt idx="29">
                  <c:v>0</c:v>
                </c:pt>
              </c:numCache>
            </c:numRef>
          </c:val>
          <c:extLst>
            <c:ext xmlns:c16="http://schemas.microsoft.com/office/drawing/2014/chart" uri="{C3380CC4-5D6E-409C-BE32-E72D297353CC}">
              <c16:uniqueId val="{00000001-85EF-41F5-9497-2700092CE2DA}"/>
            </c:ext>
          </c:extLst>
        </c:ser>
        <c:ser>
          <c:idx val="2"/>
          <c:order val="2"/>
          <c:tx>
            <c:strRef>
              <c:f>'Fiche collective'!$E$220</c:f>
              <c:strCache>
                <c:ptCount val="1"/>
                <c:pt idx="0">
                  <c:v>Absent</c:v>
                </c:pt>
              </c:strCache>
            </c:strRef>
          </c:tx>
          <c:spPr>
            <a:solidFill>
              <a:schemeClr val="accent4"/>
            </a:solidFill>
            <a:ln>
              <a:noFill/>
            </a:ln>
            <a:effectLst/>
          </c:spPr>
          <c:invertIfNegative val="0"/>
          <c:cat>
            <c:strRef>
              <c:f>'Fiche collective'!$B$221:$B$250</c:f>
              <c:strCache>
                <c:ptCount val="30"/>
                <c:pt idx="0">
                  <c:v>ADDA Matteo</c:v>
                </c:pt>
                <c:pt idx="1">
                  <c:v>ALFONSO Joao</c:v>
                </c:pt>
                <c:pt idx="2">
                  <c:v>BERDAH Matis</c:v>
                </c:pt>
                <c:pt idx="3">
                  <c:v>CAMARA Bandiougou</c:v>
                </c:pt>
                <c:pt idx="4">
                  <c:v>CAMARA Moussa</c:v>
                </c:pt>
                <c:pt idx="5">
                  <c:v>CARREAU Ethan</c:v>
                </c:pt>
                <c:pt idx="6">
                  <c:v>CHEROD Alexis</c:v>
                </c:pt>
                <c:pt idx="7">
                  <c:v>DJEHICHE Ramzi</c:v>
                </c:pt>
                <c:pt idx="8">
                  <c:v>DOSIERE Baptiste</c:v>
                </c:pt>
                <c:pt idx="9">
                  <c:v>DUQUENOY Thomas</c:v>
                </c:pt>
                <c:pt idx="10">
                  <c:v>KIPRE Jordan</c:v>
                </c:pt>
                <c:pt idx="11">
                  <c:v>KONATE Mamadou</c:v>
                </c:pt>
                <c:pt idx="12">
                  <c:v>LECOUFFE Hugo</c:v>
                </c:pt>
                <c:pt idx="13">
                  <c:v>LEFRANC Nathan</c:v>
                </c:pt>
                <c:pt idx="14">
                  <c:v>MASSOUSSI Elie</c:v>
                </c:pt>
                <c:pt idx="15">
                  <c:v>NGOUABI Yoann</c:v>
                </c:pt>
                <c:pt idx="16">
                  <c:v>PLANET Mathis</c:v>
                </c:pt>
                <c:pt idx="17">
                  <c:v>PRONNIER Nicolas</c:v>
                </c:pt>
                <c:pt idx="18">
                  <c:v>STIOUET Reda</c:v>
                </c:pt>
                <c:pt idx="19">
                  <c:v>ZERDEB Said</c:v>
                </c:pt>
                <c:pt idx="20">
                  <c:v>OSSENI Farouk</c:v>
                </c:pt>
                <c:pt idx="21">
                  <c:v>0</c:v>
                </c:pt>
                <c:pt idx="22">
                  <c:v>0</c:v>
                </c:pt>
                <c:pt idx="23">
                  <c:v>0</c:v>
                </c:pt>
                <c:pt idx="24">
                  <c:v>0</c:v>
                </c:pt>
                <c:pt idx="25">
                  <c:v>0</c:v>
                </c:pt>
                <c:pt idx="26">
                  <c:v>0</c:v>
                </c:pt>
                <c:pt idx="27">
                  <c:v>0</c:v>
                </c:pt>
                <c:pt idx="28">
                  <c:v>0</c:v>
                </c:pt>
                <c:pt idx="29">
                  <c:v>0</c:v>
                </c:pt>
              </c:strCache>
            </c:strRef>
          </c:cat>
          <c:val>
            <c:numRef>
              <c:f>'Fiche collective'!$E$221:$E$250</c:f>
              <c:numCache>
                <c:formatCode>General</c:formatCode>
                <c:ptCount val="30"/>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pt idx="26">
                  <c:v>0</c:v>
                </c:pt>
                <c:pt idx="27">
                  <c:v>0</c:v>
                </c:pt>
                <c:pt idx="28">
                  <c:v>0</c:v>
                </c:pt>
                <c:pt idx="29">
                  <c:v>0</c:v>
                </c:pt>
              </c:numCache>
            </c:numRef>
          </c:val>
          <c:extLst>
            <c:ext xmlns:c16="http://schemas.microsoft.com/office/drawing/2014/chart" uri="{C3380CC4-5D6E-409C-BE32-E72D297353CC}">
              <c16:uniqueId val="{00000002-85EF-41F5-9497-2700092CE2DA}"/>
            </c:ext>
          </c:extLst>
        </c:ser>
        <c:dLbls>
          <c:showLegendKey val="0"/>
          <c:showVal val="0"/>
          <c:showCatName val="0"/>
          <c:showSerName val="0"/>
          <c:showPercent val="0"/>
          <c:showBubbleSize val="0"/>
        </c:dLbls>
        <c:gapWidth val="219"/>
        <c:overlap val="100"/>
        <c:axId val="1112806368"/>
        <c:axId val="1112809120"/>
      </c:barChart>
      <c:catAx>
        <c:axId val="1112806368"/>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fr-FR"/>
          </a:p>
        </c:txPr>
        <c:crossAx val="1112809120"/>
        <c:crosses val="autoZero"/>
        <c:auto val="1"/>
        <c:lblAlgn val="ctr"/>
        <c:lblOffset val="100"/>
        <c:noMultiLvlLbl val="0"/>
      </c:catAx>
      <c:valAx>
        <c:axId val="1112809120"/>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fr-FR"/>
          </a:p>
        </c:txPr>
        <c:crossAx val="1112806368"/>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fr-FR"/>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fr-FR"/>
    </a:p>
  </c:txPr>
  <c:printSettings>
    <c:headerFooter/>
    <c:pageMargins b="0.75" l="0.7" r="0.7" t="0.75" header="0.3" footer="0.3"/>
    <c:pageSetup/>
  </c:printSettings>
</c:chartSpace>
</file>

<file path=xl/charts/chart4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fr-FR"/>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US" sz="1600" b="1">
                <a:latin typeface="+mj-lt"/>
              </a:rPr>
              <a:t>Effectif</a:t>
            </a:r>
            <a:r>
              <a:rPr lang="en-US" sz="1600" b="1" baseline="0">
                <a:latin typeface="+mj-lt"/>
              </a:rPr>
              <a:t> par séance d'entrainement</a:t>
            </a:r>
            <a:endParaRPr lang="en-US" sz="1600" b="1">
              <a:latin typeface="+mj-lt"/>
            </a:endParaRP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fr-FR"/>
        </a:p>
      </c:txPr>
    </c:title>
    <c:autoTitleDeleted val="0"/>
    <c:plotArea>
      <c:layout/>
      <c:barChart>
        <c:barDir val="col"/>
        <c:grouping val="clustered"/>
        <c:varyColors val="0"/>
        <c:ser>
          <c:idx val="0"/>
          <c:order val="0"/>
          <c:tx>
            <c:strRef>
              <c:f>Entrainement!$AH$6</c:f>
              <c:strCache>
                <c:ptCount val="1"/>
                <c:pt idx="0">
                  <c:v>Présent</c:v>
                </c:pt>
              </c:strCache>
            </c:strRef>
          </c:tx>
          <c:spPr>
            <a:solidFill>
              <a:schemeClr val="accent1"/>
            </a:solidFill>
            <a:ln>
              <a:noFill/>
            </a:ln>
            <a:effectLst/>
          </c:spPr>
          <c:invertIfNegative val="0"/>
          <c:cat>
            <c:strRef>
              <c:f>Entrainement!$B$7:$B$137</c:f>
              <c:strCache>
                <c:ptCount val="24"/>
                <c:pt idx="0">
                  <c:v>06/08/2018</c:v>
                </c:pt>
                <c:pt idx="1">
                  <c:v>07/08/2018</c:v>
                </c:pt>
                <c:pt idx="2">
                  <c:v>09/08/2018</c:v>
                </c:pt>
                <c:pt idx="3">
                  <c:v>10/08/2018</c:v>
                </c:pt>
                <c:pt idx="4">
                  <c:v>13/08/2018</c:v>
                </c:pt>
                <c:pt idx="5">
                  <c:v>14/08/2018</c:v>
                </c:pt>
                <c:pt idx="6">
                  <c:v>15/08/2018</c:v>
                </c:pt>
                <c:pt idx="7">
                  <c:v>16/08/2018</c:v>
                </c:pt>
                <c:pt idx="8">
                  <c:v>17/08/2018</c:v>
                </c:pt>
                <c:pt idx="9">
                  <c:v>18/08/2018</c:v>
                </c:pt>
                <c:pt idx="10">
                  <c:v>20/08/2018</c:v>
                </c:pt>
                <c:pt idx="11">
                  <c:v>21/08/2018</c:v>
                </c:pt>
                <c:pt idx="12">
                  <c:v>23/08/2018</c:v>
                </c:pt>
                <c:pt idx="13">
                  <c:v>24/08/2018</c:v>
                </c:pt>
                <c:pt idx="14">
                  <c:v>27/08/2018</c:v>
                </c:pt>
                <c:pt idx="15">
                  <c:v>28/08/2018</c:v>
                </c:pt>
                <c:pt idx="16">
                  <c:v>30/08/2018</c:v>
                </c:pt>
                <c:pt idx="17">
                  <c:v>31/08/2018</c:v>
                </c:pt>
                <c:pt idx="18">
                  <c:v>04/09/2018</c:v>
                </c:pt>
                <c:pt idx="19">
                  <c:v>06/09/2018</c:v>
                </c:pt>
                <c:pt idx="20">
                  <c:v>07/09/2018</c:v>
                </c:pt>
                <c:pt idx="21">
                  <c:v>11/09/2018</c:v>
                </c:pt>
                <c:pt idx="22">
                  <c:v>14/09/2018</c:v>
                </c:pt>
                <c:pt idx="23">
                  <c:v>15/09/2018</c:v>
                </c:pt>
              </c:strCache>
            </c:strRef>
          </c:cat>
          <c:val>
            <c:numRef>
              <c:f>Entrainement!$AH$7:$AH$137</c:f>
              <c:numCache>
                <c:formatCode>0</c:formatCode>
                <c:ptCount val="131"/>
                <c:pt idx="0">
                  <c:v>9</c:v>
                </c:pt>
                <c:pt idx="1">
                  <c:v>9</c:v>
                </c:pt>
                <c:pt idx="2">
                  <c:v>10</c:v>
                </c:pt>
                <c:pt idx="3">
                  <c:v>12</c:v>
                </c:pt>
                <c:pt idx="4">
                  <c:v>11</c:v>
                </c:pt>
                <c:pt idx="5">
                  <c:v>12</c:v>
                </c:pt>
                <c:pt idx="6">
                  <c:v>8</c:v>
                </c:pt>
                <c:pt idx="7">
                  <c:v>13</c:v>
                </c:pt>
                <c:pt idx="8">
                  <c:v>10</c:v>
                </c:pt>
                <c:pt idx="9">
                  <c:v>12</c:v>
                </c:pt>
                <c:pt idx="10">
                  <c:v>15</c:v>
                </c:pt>
                <c:pt idx="11">
                  <c:v>13</c:v>
                </c:pt>
                <c:pt idx="12">
                  <c:v>14</c:v>
                </c:pt>
                <c:pt idx="13">
                  <c:v>17</c:v>
                </c:pt>
                <c:pt idx="14">
                  <c:v>15</c:v>
                </c:pt>
                <c:pt idx="15">
                  <c:v>17</c:v>
                </c:pt>
                <c:pt idx="16">
                  <c:v>20</c:v>
                </c:pt>
                <c:pt idx="17">
                  <c:v>16</c:v>
                </c:pt>
                <c:pt idx="18">
                  <c:v>14</c:v>
                </c:pt>
                <c:pt idx="19">
                  <c:v>18</c:v>
                </c:pt>
                <c:pt idx="20">
                  <c:v>12</c:v>
                </c:pt>
                <c:pt idx="21">
                  <c:v>12</c:v>
                </c:pt>
                <c:pt idx="22">
                  <c:v>15</c:v>
                </c:pt>
                <c:pt idx="23">
                  <c:v>13</c:v>
                </c:pt>
                <c:pt idx="24">
                  <c:v>0</c:v>
                </c:pt>
                <c:pt idx="25">
                  <c:v>0</c:v>
                </c:pt>
                <c:pt idx="26">
                  <c:v>0</c:v>
                </c:pt>
                <c:pt idx="27">
                  <c:v>0</c:v>
                </c:pt>
                <c:pt idx="28">
                  <c:v>0</c:v>
                </c:pt>
                <c:pt idx="29">
                  <c:v>0</c:v>
                </c:pt>
                <c:pt idx="30">
                  <c:v>0</c:v>
                </c:pt>
                <c:pt idx="31">
                  <c:v>0</c:v>
                </c:pt>
                <c:pt idx="32">
                  <c:v>0</c:v>
                </c:pt>
                <c:pt idx="33">
                  <c:v>0</c:v>
                </c:pt>
                <c:pt idx="34">
                  <c:v>0</c:v>
                </c:pt>
                <c:pt idx="35">
                  <c:v>0</c:v>
                </c:pt>
                <c:pt idx="36">
                  <c:v>0</c:v>
                </c:pt>
                <c:pt idx="37">
                  <c:v>0</c:v>
                </c:pt>
                <c:pt idx="38">
                  <c:v>0</c:v>
                </c:pt>
                <c:pt idx="39">
                  <c:v>0</c:v>
                </c:pt>
                <c:pt idx="40">
                  <c:v>0</c:v>
                </c:pt>
                <c:pt idx="41">
                  <c:v>0</c:v>
                </c:pt>
                <c:pt idx="42">
                  <c:v>0</c:v>
                </c:pt>
                <c:pt idx="43">
                  <c:v>0</c:v>
                </c:pt>
                <c:pt idx="44">
                  <c:v>0</c:v>
                </c:pt>
                <c:pt idx="45">
                  <c:v>0</c:v>
                </c:pt>
                <c:pt idx="46">
                  <c:v>0</c:v>
                </c:pt>
                <c:pt idx="47">
                  <c:v>0</c:v>
                </c:pt>
                <c:pt idx="48">
                  <c:v>0</c:v>
                </c:pt>
                <c:pt idx="49">
                  <c:v>0</c:v>
                </c:pt>
                <c:pt idx="50">
                  <c:v>0</c:v>
                </c:pt>
                <c:pt idx="51">
                  <c:v>0</c:v>
                </c:pt>
                <c:pt idx="52">
                  <c:v>0</c:v>
                </c:pt>
                <c:pt idx="53">
                  <c:v>0</c:v>
                </c:pt>
                <c:pt idx="54">
                  <c:v>0</c:v>
                </c:pt>
                <c:pt idx="55">
                  <c:v>0</c:v>
                </c:pt>
                <c:pt idx="56">
                  <c:v>0</c:v>
                </c:pt>
                <c:pt idx="57">
                  <c:v>0</c:v>
                </c:pt>
                <c:pt idx="58">
                  <c:v>0</c:v>
                </c:pt>
                <c:pt idx="59">
                  <c:v>0</c:v>
                </c:pt>
                <c:pt idx="60">
                  <c:v>0</c:v>
                </c:pt>
                <c:pt idx="61">
                  <c:v>0</c:v>
                </c:pt>
                <c:pt idx="62">
                  <c:v>0</c:v>
                </c:pt>
                <c:pt idx="63">
                  <c:v>0</c:v>
                </c:pt>
                <c:pt idx="64">
                  <c:v>0</c:v>
                </c:pt>
                <c:pt idx="65">
                  <c:v>0</c:v>
                </c:pt>
                <c:pt idx="66">
                  <c:v>0</c:v>
                </c:pt>
                <c:pt idx="67">
                  <c:v>0</c:v>
                </c:pt>
                <c:pt idx="68">
                  <c:v>0</c:v>
                </c:pt>
                <c:pt idx="69">
                  <c:v>0</c:v>
                </c:pt>
                <c:pt idx="70">
                  <c:v>0</c:v>
                </c:pt>
                <c:pt idx="71">
                  <c:v>0</c:v>
                </c:pt>
                <c:pt idx="72">
                  <c:v>0</c:v>
                </c:pt>
                <c:pt idx="73">
                  <c:v>0</c:v>
                </c:pt>
                <c:pt idx="74">
                  <c:v>0</c:v>
                </c:pt>
                <c:pt idx="75">
                  <c:v>0</c:v>
                </c:pt>
                <c:pt idx="76">
                  <c:v>0</c:v>
                </c:pt>
                <c:pt idx="77">
                  <c:v>0</c:v>
                </c:pt>
                <c:pt idx="78">
                  <c:v>0</c:v>
                </c:pt>
                <c:pt idx="79">
                  <c:v>0</c:v>
                </c:pt>
                <c:pt idx="80">
                  <c:v>0</c:v>
                </c:pt>
                <c:pt idx="81">
                  <c:v>0</c:v>
                </c:pt>
                <c:pt idx="82">
                  <c:v>0</c:v>
                </c:pt>
                <c:pt idx="83">
                  <c:v>0</c:v>
                </c:pt>
                <c:pt idx="84">
                  <c:v>0</c:v>
                </c:pt>
                <c:pt idx="85">
                  <c:v>0</c:v>
                </c:pt>
                <c:pt idx="86">
                  <c:v>0</c:v>
                </c:pt>
                <c:pt idx="87">
                  <c:v>0</c:v>
                </c:pt>
                <c:pt idx="88">
                  <c:v>0</c:v>
                </c:pt>
                <c:pt idx="89">
                  <c:v>0</c:v>
                </c:pt>
                <c:pt idx="90">
                  <c:v>0</c:v>
                </c:pt>
                <c:pt idx="91">
                  <c:v>0</c:v>
                </c:pt>
                <c:pt idx="92">
                  <c:v>0</c:v>
                </c:pt>
                <c:pt idx="93">
                  <c:v>0</c:v>
                </c:pt>
                <c:pt idx="94">
                  <c:v>0</c:v>
                </c:pt>
                <c:pt idx="95">
                  <c:v>0</c:v>
                </c:pt>
                <c:pt idx="96">
                  <c:v>0</c:v>
                </c:pt>
                <c:pt idx="97">
                  <c:v>0</c:v>
                </c:pt>
                <c:pt idx="98">
                  <c:v>0</c:v>
                </c:pt>
                <c:pt idx="99">
                  <c:v>0</c:v>
                </c:pt>
                <c:pt idx="100">
                  <c:v>0</c:v>
                </c:pt>
                <c:pt idx="101">
                  <c:v>0</c:v>
                </c:pt>
                <c:pt idx="102">
                  <c:v>0</c:v>
                </c:pt>
                <c:pt idx="103">
                  <c:v>0</c:v>
                </c:pt>
                <c:pt idx="104">
                  <c:v>0</c:v>
                </c:pt>
                <c:pt idx="105">
                  <c:v>0</c:v>
                </c:pt>
                <c:pt idx="106">
                  <c:v>0</c:v>
                </c:pt>
                <c:pt idx="107">
                  <c:v>0</c:v>
                </c:pt>
                <c:pt idx="108">
                  <c:v>0</c:v>
                </c:pt>
                <c:pt idx="109">
                  <c:v>0</c:v>
                </c:pt>
                <c:pt idx="110">
                  <c:v>0</c:v>
                </c:pt>
                <c:pt idx="111">
                  <c:v>0</c:v>
                </c:pt>
                <c:pt idx="112">
                  <c:v>0</c:v>
                </c:pt>
                <c:pt idx="113">
                  <c:v>0</c:v>
                </c:pt>
                <c:pt idx="114">
                  <c:v>0</c:v>
                </c:pt>
                <c:pt idx="115">
                  <c:v>0</c:v>
                </c:pt>
                <c:pt idx="116">
                  <c:v>0</c:v>
                </c:pt>
                <c:pt idx="117">
                  <c:v>0</c:v>
                </c:pt>
                <c:pt idx="118">
                  <c:v>0</c:v>
                </c:pt>
                <c:pt idx="119">
                  <c:v>0</c:v>
                </c:pt>
                <c:pt idx="120">
                  <c:v>0</c:v>
                </c:pt>
                <c:pt idx="121">
                  <c:v>0</c:v>
                </c:pt>
                <c:pt idx="122">
                  <c:v>0</c:v>
                </c:pt>
                <c:pt idx="123">
                  <c:v>0</c:v>
                </c:pt>
                <c:pt idx="124">
                  <c:v>0</c:v>
                </c:pt>
                <c:pt idx="125">
                  <c:v>0</c:v>
                </c:pt>
                <c:pt idx="126">
                  <c:v>0</c:v>
                </c:pt>
                <c:pt idx="127">
                  <c:v>0</c:v>
                </c:pt>
                <c:pt idx="128">
                  <c:v>0</c:v>
                </c:pt>
                <c:pt idx="129">
                  <c:v>0</c:v>
                </c:pt>
                <c:pt idx="130">
                  <c:v>0</c:v>
                </c:pt>
              </c:numCache>
            </c:numRef>
          </c:val>
          <c:extLst>
            <c:ext xmlns:c16="http://schemas.microsoft.com/office/drawing/2014/chart" uri="{C3380CC4-5D6E-409C-BE32-E72D297353CC}">
              <c16:uniqueId val="{00000000-4A8B-4EB3-967A-AE8C1B24B605}"/>
            </c:ext>
          </c:extLst>
        </c:ser>
        <c:dLbls>
          <c:showLegendKey val="0"/>
          <c:showVal val="0"/>
          <c:showCatName val="0"/>
          <c:showSerName val="0"/>
          <c:showPercent val="0"/>
          <c:showBubbleSize val="0"/>
        </c:dLbls>
        <c:gapWidth val="219"/>
        <c:overlap val="-27"/>
        <c:axId val="1114190352"/>
        <c:axId val="1114192832"/>
      </c:barChart>
      <c:dateAx>
        <c:axId val="1114190352"/>
        <c:scaling>
          <c:orientation val="minMax"/>
        </c:scaling>
        <c:delete val="0"/>
        <c:axPos val="b"/>
        <c:numFmt formatCode="m/d/yyyy" sourceLinked="1"/>
        <c:majorTickMark val="out"/>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fr-FR"/>
          </a:p>
        </c:txPr>
        <c:crossAx val="1114192832"/>
        <c:crosses val="autoZero"/>
        <c:auto val="1"/>
        <c:lblOffset val="100"/>
        <c:baseTimeUnit val="days"/>
      </c:dateAx>
      <c:valAx>
        <c:axId val="1114192832"/>
        <c:scaling>
          <c:orientation val="minMax"/>
        </c:scaling>
        <c:delete val="0"/>
        <c:axPos val="l"/>
        <c:majorGridlines>
          <c:spPr>
            <a:ln w="9525" cap="flat" cmpd="sng" algn="ctr">
              <a:solidFill>
                <a:schemeClr val="tx1">
                  <a:lumMod val="15000"/>
                  <a:lumOff val="85000"/>
                </a:schemeClr>
              </a:solidFill>
              <a:round/>
            </a:ln>
            <a:effectLst/>
          </c:spPr>
        </c:majorGridlines>
        <c:minorGridlines>
          <c:spPr>
            <a:ln w="9525" cap="flat" cmpd="sng" algn="ctr">
              <a:solidFill>
                <a:schemeClr val="tx1">
                  <a:lumMod val="5000"/>
                  <a:lumOff val="95000"/>
                </a:schemeClr>
              </a:solidFill>
              <a:round/>
            </a:ln>
            <a:effectLst/>
          </c:spPr>
        </c:min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fr-FR"/>
          </a:p>
        </c:txPr>
        <c:crossAx val="1114190352"/>
        <c:crosses val="autoZero"/>
        <c:crossBetween val="between"/>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fr-FR"/>
    </a:p>
  </c:txPr>
  <c:printSettings>
    <c:headerFooter/>
    <c:pageMargins b="0.75" l="0.7" r="0.7" t="0.75" header="0.3" footer="0.3"/>
    <c:pageSetup/>
  </c:printSettings>
</c:chartSpace>
</file>

<file path=xl/charts/chart4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fr-FR"/>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US" sz="1800" b="1" i="0" baseline="0">
                <a:effectLst/>
              </a:rPr>
              <a:t>Charge d'entrainement par joueur</a:t>
            </a:r>
            <a:endParaRPr lang="fr-FR">
              <a:effectLst/>
            </a:endParaRP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fr-FR"/>
        </a:p>
      </c:txPr>
    </c:title>
    <c:autoTitleDeleted val="0"/>
    <c:plotArea>
      <c:layout/>
      <c:barChart>
        <c:barDir val="col"/>
        <c:grouping val="clustered"/>
        <c:varyColors val="0"/>
        <c:ser>
          <c:idx val="31"/>
          <c:order val="0"/>
          <c:tx>
            <c:strRef>
              <c:f>'Charges individuel'!$C$4</c:f>
              <c:strCache>
                <c:ptCount val="1"/>
                <c:pt idx="0">
                  <c:v>ADDA Matteo</c:v>
                </c:pt>
              </c:strCache>
            </c:strRef>
          </c:tx>
          <c:spPr>
            <a:solidFill>
              <a:schemeClr val="accent2">
                <a:lumMod val="50000"/>
              </a:schemeClr>
            </a:solidFill>
            <a:ln>
              <a:noFill/>
            </a:ln>
            <a:effectLst/>
          </c:spPr>
          <c:invertIfNegative val="0"/>
          <c:dLbls>
            <c:spPr>
              <a:noFill/>
              <a:ln>
                <a:noFill/>
              </a:ln>
              <a:effectLst/>
            </c:spPr>
            <c:txPr>
              <a:bodyPr rot="-5400000" spcFirstLastPara="1" vertOverflow="ellipsis" wrap="square" lIns="38100" tIns="19050" rIns="38100" bIns="19050" anchor="b" anchorCtr="0">
                <a:spAutoFit/>
              </a:bodyPr>
              <a:lstStyle/>
              <a:p>
                <a:pPr>
                  <a:defRPr sz="900" b="0" i="0" u="none" strike="noStrike" kern="1200" baseline="0">
                    <a:solidFill>
                      <a:schemeClr val="tx1"/>
                    </a:solidFill>
                    <a:latin typeface="+mn-lt"/>
                    <a:ea typeface="+mn-ea"/>
                    <a:cs typeface="+mn-cs"/>
                  </a:defRPr>
                </a:pPr>
                <a:endParaRPr lang="fr-FR"/>
              </a:p>
            </c:txPr>
            <c:dLblPos val="inBase"/>
            <c:showLegendKey val="0"/>
            <c:showVal val="1"/>
            <c:showCatName val="0"/>
            <c:showSerName val="1"/>
            <c:showPercent val="0"/>
            <c:showBubbleSize val="0"/>
            <c:separator>
</c:separator>
            <c:showLeaderLines val="0"/>
            <c:extLst>
              <c:ext xmlns:c15="http://schemas.microsoft.com/office/drawing/2012/chart" uri="{CE6537A1-D6FC-4f65-9D91-7224C49458BB}">
                <c15:showLeaderLines val="0"/>
              </c:ext>
            </c:extLst>
          </c:dLbls>
          <c:val>
            <c:numRef>
              <c:f>'Charges individuel'!$C$150</c:f>
              <c:numCache>
                <c:formatCode>#,##0</c:formatCode>
                <c:ptCount val="1"/>
                <c:pt idx="0">
                  <c:v>0</c:v>
                </c:pt>
              </c:numCache>
            </c:numRef>
          </c:val>
          <c:extLst>
            <c:ext xmlns:c16="http://schemas.microsoft.com/office/drawing/2014/chart" uri="{C3380CC4-5D6E-409C-BE32-E72D297353CC}">
              <c16:uniqueId val="{00000000-DEEB-4DEF-91D3-833A9B114D09}"/>
            </c:ext>
          </c:extLst>
        </c:ser>
        <c:ser>
          <c:idx val="32"/>
          <c:order val="1"/>
          <c:tx>
            <c:strRef>
              <c:f>'Charges individuel'!$D$4</c:f>
              <c:strCache>
                <c:ptCount val="1"/>
                <c:pt idx="0">
                  <c:v>ALFONSO Joao</c:v>
                </c:pt>
              </c:strCache>
            </c:strRef>
          </c:tx>
          <c:spPr>
            <a:solidFill>
              <a:schemeClr val="accent3">
                <a:lumMod val="50000"/>
              </a:schemeClr>
            </a:solidFill>
            <a:ln>
              <a:noFill/>
            </a:ln>
            <a:effectLst/>
          </c:spPr>
          <c:invertIfNegative val="0"/>
          <c:dLbls>
            <c:spPr>
              <a:noFill/>
              <a:ln>
                <a:noFill/>
              </a:ln>
              <a:effectLst/>
            </c:spPr>
            <c:txPr>
              <a:bodyPr rot="-5400000" spcFirstLastPara="1" vertOverflow="ellipsis" wrap="square" lIns="38100" tIns="19050" rIns="38100" bIns="19050" anchor="ctr" anchorCtr="1">
                <a:spAutoFit/>
              </a:bodyPr>
              <a:lstStyle/>
              <a:p>
                <a:pPr>
                  <a:defRPr sz="900" b="0" i="0" u="none" strike="noStrike" kern="1200" baseline="0">
                    <a:solidFill>
                      <a:schemeClr val="tx1"/>
                    </a:solidFill>
                    <a:latin typeface="+mn-lt"/>
                    <a:ea typeface="+mn-ea"/>
                    <a:cs typeface="+mn-cs"/>
                  </a:defRPr>
                </a:pPr>
                <a:endParaRPr lang="fr-FR"/>
              </a:p>
            </c:txPr>
            <c:dLblPos val="inBase"/>
            <c:showLegendKey val="0"/>
            <c:showVal val="1"/>
            <c:showCatName val="0"/>
            <c:showSerName val="1"/>
            <c:showPercent val="0"/>
            <c:showBubbleSize val="0"/>
            <c:separator>
</c:separator>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val>
            <c:numRef>
              <c:f>'Charges individuel'!$D$150</c:f>
              <c:numCache>
                <c:formatCode>#,##0</c:formatCode>
                <c:ptCount val="1"/>
                <c:pt idx="0">
                  <c:v>0</c:v>
                </c:pt>
              </c:numCache>
            </c:numRef>
          </c:val>
          <c:extLst>
            <c:ext xmlns:c16="http://schemas.microsoft.com/office/drawing/2014/chart" uri="{C3380CC4-5D6E-409C-BE32-E72D297353CC}">
              <c16:uniqueId val="{00000001-DEEB-4DEF-91D3-833A9B114D09}"/>
            </c:ext>
          </c:extLst>
        </c:ser>
        <c:ser>
          <c:idx val="33"/>
          <c:order val="2"/>
          <c:tx>
            <c:strRef>
              <c:f>'Charges individuel'!$E$4</c:f>
              <c:strCache>
                <c:ptCount val="1"/>
                <c:pt idx="0">
                  <c:v>BERDAH Matis</c:v>
                </c:pt>
              </c:strCache>
            </c:strRef>
          </c:tx>
          <c:spPr>
            <a:solidFill>
              <a:schemeClr val="accent4">
                <a:lumMod val="50000"/>
              </a:schemeClr>
            </a:solidFill>
            <a:ln>
              <a:noFill/>
            </a:ln>
            <a:effectLst/>
          </c:spPr>
          <c:invertIfNegative val="0"/>
          <c:dLbls>
            <c:spPr>
              <a:noFill/>
              <a:ln>
                <a:noFill/>
              </a:ln>
              <a:effectLst/>
            </c:spPr>
            <c:txPr>
              <a:bodyPr rot="-5400000" spcFirstLastPara="1" vertOverflow="ellipsis" wrap="square" lIns="38100" tIns="19050" rIns="38100" bIns="19050" anchor="ctr" anchorCtr="1">
                <a:spAutoFit/>
              </a:bodyPr>
              <a:lstStyle/>
              <a:p>
                <a:pPr>
                  <a:defRPr sz="900" b="0" i="0" u="none" strike="noStrike" kern="1200" baseline="0">
                    <a:solidFill>
                      <a:schemeClr val="tx1"/>
                    </a:solidFill>
                    <a:latin typeface="+mn-lt"/>
                    <a:ea typeface="+mn-ea"/>
                    <a:cs typeface="+mn-cs"/>
                  </a:defRPr>
                </a:pPr>
                <a:endParaRPr lang="fr-FR"/>
              </a:p>
            </c:txPr>
            <c:dLblPos val="inBase"/>
            <c:showLegendKey val="0"/>
            <c:showVal val="1"/>
            <c:showCatName val="0"/>
            <c:showSerName val="1"/>
            <c:showPercent val="0"/>
            <c:showBubbleSize val="0"/>
            <c:separator>
</c:separator>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val>
            <c:numRef>
              <c:f>'Charges individuel'!$E$150</c:f>
              <c:numCache>
                <c:formatCode>#,##0</c:formatCode>
                <c:ptCount val="1"/>
                <c:pt idx="0">
                  <c:v>0</c:v>
                </c:pt>
              </c:numCache>
            </c:numRef>
          </c:val>
          <c:extLst>
            <c:ext xmlns:c16="http://schemas.microsoft.com/office/drawing/2014/chart" uri="{C3380CC4-5D6E-409C-BE32-E72D297353CC}">
              <c16:uniqueId val="{00000002-DEEB-4DEF-91D3-833A9B114D09}"/>
            </c:ext>
          </c:extLst>
        </c:ser>
        <c:ser>
          <c:idx val="34"/>
          <c:order val="3"/>
          <c:tx>
            <c:strRef>
              <c:f>'Charges individuel'!$F$4</c:f>
              <c:strCache>
                <c:ptCount val="1"/>
                <c:pt idx="0">
                  <c:v>CAMARA Bandiougou</c:v>
                </c:pt>
              </c:strCache>
            </c:strRef>
          </c:tx>
          <c:spPr>
            <a:solidFill>
              <a:schemeClr val="accent5">
                <a:lumMod val="50000"/>
              </a:schemeClr>
            </a:solidFill>
            <a:ln>
              <a:noFill/>
            </a:ln>
            <a:effectLst/>
          </c:spPr>
          <c:invertIfNegative val="0"/>
          <c:dLbls>
            <c:spPr>
              <a:noFill/>
              <a:ln>
                <a:noFill/>
              </a:ln>
              <a:effectLst/>
            </c:spPr>
            <c:txPr>
              <a:bodyPr rot="-5400000" spcFirstLastPara="1" vertOverflow="ellipsis" wrap="square" lIns="38100" tIns="19050" rIns="38100" bIns="19050" anchor="ctr" anchorCtr="1">
                <a:spAutoFit/>
              </a:bodyPr>
              <a:lstStyle/>
              <a:p>
                <a:pPr>
                  <a:defRPr sz="900" b="0" i="0" u="none" strike="noStrike" kern="1200" baseline="0">
                    <a:solidFill>
                      <a:schemeClr val="tx1"/>
                    </a:solidFill>
                    <a:latin typeface="+mn-lt"/>
                    <a:ea typeface="+mn-ea"/>
                    <a:cs typeface="+mn-cs"/>
                  </a:defRPr>
                </a:pPr>
                <a:endParaRPr lang="fr-FR"/>
              </a:p>
            </c:txPr>
            <c:dLblPos val="inBase"/>
            <c:showLegendKey val="0"/>
            <c:showVal val="1"/>
            <c:showCatName val="0"/>
            <c:showSerName val="1"/>
            <c:showPercent val="0"/>
            <c:showBubbleSize val="0"/>
            <c:separator>
</c:separator>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val>
            <c:numRef>
              <c:f>'Charges individuel'!$F$150</c:f>
              <c:numCache>
                <c:formatCode>#,##0</c:formatCode>
                <c:ptCount val="1"/>
                <c:pt idx="0">
                  <c:v>0</c:v>
                </c:pt>
              </c:numCache>
            </c:numRef>
          </c:val>
          <c:extLst>
            <c:ext xmlns:c16="http://schemas.microsoft.com/office/drawing/2014/chart" uri="{C3380CC4-5D6E-409C-BE32-E72D297353CC}">
              <c16:uniqueId val="{00000003-DEEB-4DEF-91D3-833A9B114D09}"/>
            </c:ext>
          </c:extLst>
        </c:ser>
        <c:ser>
          <c:idx val="35"/>
          <c:order val="4"/>
          <c:tx>
            <c:strRef>
              <c:f>'Charges individuel'!$G$4</c:f>
              <c:strCache>
                <c:ptCount val="1"/>
                <c:pt idx="0">
                  <c:v>CAMARA Moussa</c:v>
                </c:pt>
              </c:strCache>
            </c:strRef>
          </c:tx>
          <c:spPr>
            <a:solidFill>
              <a:schemeClr val="accent6">
                <a:lumMod val="50000"/>
              </a:schemeClr>
            </a:solidFill>
            <a:ln>
              <a:noFill/>
            </a:ln>
            <a:effectLst/>
          </c:spPr>
          <c:invertIfNegative val="0"/>
          <c:dLbls>
            <c:spPr>
              <a:noFill/>
              <a:ln>
                <a:noFill/>
              </a:ln>
              <a:effectLst/>
            </c:spPr>
            <c:txPr>
              <a:bodyPr rot="-5400000" spcFirstLastPara="1" vertOverflow="ellipsis" wrap="square" lIns="38100" tIns="19050" rIns="38100" bIns="19050" anchor="ctr" anchorCtr="1">
                <a:spAutoFit/>
              </a:bodyPr>
              <a:lstStyle/>
              <a:p>
                <a:pPr>
                  <a:defRPr sz="900" b="0" i="0" u="none" strike="noStrike" kern="1200" baseline="0">
                    <a:solidFill>
                      <a:schemeClr val="tx1"/>
                    </a:solidFill>
                    <a:latin typeface="+mn-lt"/>
                    <a:ea typeface="+mn-ea"/>
                    <a:cs typeface="+mn-cs"/>
                  </a:defRPr>
                </a:pPr>
                <a:endParaRPr lang="fr-FR"/>
              </a:p>
            </c:txPr>
            <c:dLblPos val="inBase"/>
            <c:showLegendKey val="0"/>
            <c:showVal val="1"/>
            <c:showCatName val="0"/>
            <c:showSerName val="1"/>
            <c:showPercent val="0"/>
            <c:showBubbleSize val="0"/>
            <c:separator>
</c:separator>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val>
            <c:numRef>
              <c:f>'Charges individuel'!$G$150</c:f>
              <c:numCache>
                <c:formatCode>#,##0</c:formatCode>
                <c:ptCount val="1"/>
                <c:pt idx="0">
                  <c:v>0</c:v>
                </c:pt>
              </c:numCache>
            </c:numRef>
          </c:val>
          <c:extLst>
            <c:ext xmlns:c16="http://schemas.microsoft.com/office/drawing/2014/chart" uri="{C3380CC4-5D6E-409C-BE32-E72D297353CC}">
              <c16:uniqueId val="{00000004-DEEB-4DEF-91D3-833A9B114D09}"/>
            </c:ext>
          </c:extLst>
        </c:ser>
        <c:ser>
          <c:idx val="36"/>
          <c:order val="5"/>
          <c:tx>
            <c:strRef>
              <c:f>'Charges individuel'!$H$4</c:f>
              <c:strCache>
                <c:ptCount val="1"/>
                <c:pt idx="0">
                  <c:v>CARREAU Ethan</c:v>
                </c:pt>
              </c:strCache>
            </c:strRef>
          </c:tx>
          <c:spPr>
            <a:solidFill>
              <a:schemeClr val="accent1">
                <a:lumMod val="70000"/>
                <a:lumOff val="30000"/>
              </a:schemeClr>
            </a:solidFill>
            <a:ln>
              <a:noFill/>
            </a:ln>
            <a:effectLst/>
          </c:spPr>
          <c:invertIfNegative val="0"/>
          <c:dLbls>
            <c:dLbl>
              <c:idx val="0"/>
              <c:spPr>
                <a:noFill/>
                <a:ln>
                  <a:noFill/>
                </a:ln>
                <a:effectLst/>
              </c:spPr>
              <c:txPr>
                <a:bodyPr rot="-5400000" spcFirstLastPara="1" vertOverflow="ellipsis" wrap="square" lIns="38100" tIns="19050" rIns="38100" bIns="19050" anchor="ctr" anchorCtr="1">
                  <a:spAutoFit/>
                </a:bodyPr>
                <a:lstStyle/>
                <a:p>
                  <a:pPr>
                    <a:defRPr sz="900" b="0" i="0" u="none" strike="noStrike" kern="1200" baseline="0">
                      <a:solidFill>
                        <a:schemeClr val="tx1"/>
                      </a:solidFill>
                      <a:latin typeface="+mn-lt"/>
                      <a:ea typeface="+mn-ea"/>
                      <a:cs typeface="+mn-cs"/>
                    </a:defRPr>
                  </a:pPr>
                  <a:endParaRPr lang="fr-FR"/>
                </a:p>
              </c:txPr>
              <c:dLblPos val="inBase"/>
              <c:showLegendKey val="0"/>
              <c:showVal val="1"/>
              <c:showCatName val="0"/>
              <c:showSerName val="1"/>
              <c:showPercent val="0"/>
              <c:showBubbleSize val="0"/>
              <c:extLst>
                <c:ext xmlns:c15="http://schemas.microsoft.com/office/drawing/2012/chart" uri="{CE6537A1-D6FC-4f65-9D91-7224C49458BB}"/>
                <c:ext xmlns:c16="http://schemas.microsoft.com/office/drawing/2014/chart" uri="{C3380CC4-5D6E-409C-BE32-E72D297353CC}">
                  <c16:uniqueId val="{00000000-DF05-4F76-A37D-185062D906A8}"/>
                </c:ext>
              </c:extLst>
            </c:dLbl>
            <c:spPr>
              <a:noFill/>
              <a:ln>
                <a:noFill/>
              </a:ln>
              <a:effectLst/>
            </c:spPr>
            <c:txPr>
              <a:bodyPr rot="-5400000" spcFirstLastPara="1" vertOverflow="ellipsis"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fr-FR"/>
              </a:p>
            </c:txPr>
            <c:dLblPos val="inBase"/>
            <c:showLegendKey val="0"/>
            <c:showVal val="1"/>
            <c:showCatName val="0"/>
            <c:showSerName val="1"/>
            <c:showPercent val="0"/>
            <c:showBubbleSize val="0"/>
            <c:separator>
</c:separator>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val>
            <c:numRef>
              <c:f>'Charges individuel'!$H$150</c:f>
              <c:numCache>
                <c:formatCode>#,##0</c:formatCode>
                <c:ptCount val="1"/>
                <c:pt idx="0">
                  <c:v>0</c:v>
                </c:pt>
              </c:numCache>
            </c:numRef>
          </c:val>
          <c:extLst>
            <c:ext xmlns:c16="http://schemas.microsoft.com/office/drawing/2014/chart" uri="{C3380CC4-5D6E-409C-BE32-E72D297353CC}">
              <c16:uniqueId val="{00000005-DEEB-4DEF-91D3-833A9B114D09}"/>
            </c:ext>
          </c:extLst>
        </c:ser>
        <c:ser>
          <c:idx val="37"/>
          <c:order val="6"/>
          <c:tx>
            <c:strRef>
              <c:f>'Charges individuel'!$I$4</c:f>
              <c:strCache>
                <c:ptCount val="1"/>
                <c:pt idx="0">
                  <c:v>CHEROD Alexis</c:v>
                </c:pt>
              </c:strCache>
            </c:strRef>
          </c:tx>
          <c:spPr>
            <a:solidFill>
              <a:schemeClr val="accent2">
                <a:lumMod val="70000"/>
                <a:lumOff val="30000"/>
              </a:schemeClr>
            </a:solidFill>
            <a:ln>
              <a:noFill/>
            </a:ln>
            <a:effectLst/>
          </c:spPr>
          <c:invertIfNegative val="0"/>
          <c:dLbls>
            <c:dLbl>
              <c:idx val="0"/>
              <c:dLblPos val="inBase"/>
              <c:showLegendKey val="0"/>
              <c:showVal val="1"/>
              <c:showCatName val="0"/>
              <c:showSerName val="1"/>
              <c:showPercent val="0"/>
              <c:showBubbleSize val="0"/>
              <c:separator>
</c:separator>
              <c:extLst>
                <c:ext xmlns:c15="http://schemas.microsoft.com/office/drawing/2012/chart" uri="{CE6537A1-D6FC-4f65-9D91-7224C49458BB}"/>
                <c:ext xmlns:c16="http://schemas.microsoft.com/office/drawing/2014/chart" uri="{C3380CC4-5D6E-409C-BE32-E72D297353CC}">
                  <c16:uniqueId val="{00000045-DEEB-4DEF-91D3-833A9B114D09}"/>
                </c:ext>
              </c:extLst>
            </c:dLbl>
            <c:spPr>
              <a:noFill/>
              <a:ln>
                <a:noFill/>
              </a:ln>
              <a:effectLst/>
            </c:spPr>
            <c:txPr>
              <a:bodyPr rot="-5400000" spcFirstLastPara="1" vertOverflow="ellipsis" wrap="square" lIns="38100" tIns="19050" rIns="38100" bIns="19050" anchor="ctr" anchorCtr="1">
                <a:spAutoFit/>
              </a:bodyPr>
              <a:lstStyle/>
              <a:p>
                <a:pPr>
                  <a:defRPr sz="900" b="0" i="0" u="none" strike="noStrike" kern="1200" baseline="0">
                    <a:solidFill>
                      <a:schemeClr val="tx1"/>
                    </a:solidFill>
                    <a:latin typeface="+mn-lt"/>
                    <a:ea typeface="+mn-ea"/>
                    <a:cs typeface="+mn-cs"/>
                  </a:defRPr>
                </a:pPr>
                <a:endParaRPr lang="fr-FR"/>
              </a:p>
            </c:txPr>
            <c:dLblPos val="inBase"/>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val>
            <c:numRef>
              <c:f>'Charges individuel'!$I$150</c:f>
              <c:numCache>
                <c:formatCode>#,##0</c:formatCode>
                <c:ptCount val="1"/>
                <c:pt idx="0">
                  <c:v>0</c:v>
                </c:pt>
              </c:numCache>
            </c:numRef>
          </c:val>
          <c:extLst>
            <c:ext xmlns:c16="http://schemas.microsoft.com/office/drawing/2014/chart" uri="{C3380CC4-5D6E-409C-BE32-E72D297353CC}">
              <c16:uniqueId val="{00000006-DEEB-4DEF-91D3-833A9B114D09}"/>
            </c:ext>
          </c:extLst>
        </c:ser>
        <c:ser>
          <c:idx val="38"/>
          <c:order val="7"/>
          <c:tx>
            <c:strRef>
              <c:f>'Charges individuel'!$J$4</c:f>
              <c:strCache>
                <c:ptCount val="1"/>
                <c:pt idx="0">
                  <c:v>DJEHICHE Ramzi</c:v>
                </c:pt>
              </c:strCache>
            </c:strRef>
          </c:tx>
          <c:spPr>
            <a:solidFill>
              <a:schemeClr val="accent3">
                <a:lumMod val="70000"/>
                <a:lumOff val="30000"/>
              </a:schemeClr>
            </a:solidFill>
            <a:ln>
              <a:noFill/>
            </a:ln>
            <a:effectLst/>
          </c:spPr>
          <c:invertIfNegative val="0"/>
          <c:dLbls>
            <c:spPr>
              <a:noFill/>
              <a:ln>
                <a:noFill/>
              </a:ln>
              <a:effectLst/>
            </c:spPr>
            <c:txPr>
              <a:bodyPr rot="-5400000" spcFirstLastPara="1" vertOverflow="ellipsis" wrap="square" lIns="38100" tIns="19050" rIns="38100" bIns="19050" anchor="ctr" anchorCtr="1">
                <a:spAutoFit/>
              </a:bodyPr>
              <a:lstStyle/>
              <a:p>
                <a:pPr>
                  <a:defRPr sz="900" b="0" i="0" u="none" strike="noStrike" kern="1200" baseline="0">
                    <a:solidFill>
                      <a:schemeClr val="tx1"/>
                    </a:solidFill>
                    <a:latin typeface="+mn-lt"/>
                    <a:ea typeface="+mn-ea"/>
                    <a:cs typeface="+mn-cs"/>
                  </a:defRPr>
                </a:pPr>
                <a:endParaRPr lang="fr-FR"/>
              </a:p>
            </c:txPr>
            <c:dLblPos val="inBase"/>
            <c:showLegendKey val="0"/>
            <c:showVal val="1"/>
            <c:showCatName val="0"/>
            <c:showSerName val="1"/>
            <c:showPercent val="0"/>
            <c:showBubbleSize val="0"/>
            <c:separator>
</c:separator>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val>
            <c:numRef>
              <c:f>'Charges individuel'!$J$150</c:f>
              <c:numCache>
                <c:formatCode>#,##0</c:formatCode>
                <c:ptCount val="1"/>
                <c:pt idx="0">
                  <c:v>0</c:v>
                </c:pt>
              </c:numCache>
            </c:numRef>
          </c:val>
          <c:extLst>
            <c:ext xmlns:c16="http://schemas.microsoft.com/office/drawing/2014/chart" uri="{C3380CC4-5D6E-409C-BE32-E72D297353CC}">
              <c16:uniqueId val="{00000007-DEEB-4DEF-91D3-833A9B114D09}"/>
            </c:ext>
          </c:extLst>
        </c:ser>
        <c:ser>
          <c:idx val="39"/>
          <c:order val="8"/>
          <c:tx>
            <c:strRef>
              <c:f>'Charges individuel'!$K$4</c:f>
              <c:strCache>
                <c:ptCount val="1"/>
                <c:pt idx="0">
                  <c:v>DOSIERE Baptiste</c:v>
                </c:pt>
              </c:strCache>
            </c:strRef>
          </c:tx>
          <c:spPr>
            <a:solidFill>
              <a:schemeClr val="accent4">
                <a:lumMod val="70000"/>
                <a:lumOff val="30000"/>
              </a:schemeClr>
            </a:solidFill>
            <a:ln>
              <a:noFill/>
            </a:ln>
            <a:effectLst/>
          </c:spPr>
          <c:invertIfNegative val="0"/>
          <c:dLbls>
            <c:spPr>
              <a:noFill/>
              <a:ln>
                <a:noFill/>
              </a:ln>
              <a:effectLst/>
            </c:spPr>
            <c:txPr>
              <a:bodyPr rot="-5400000" spcFirstLastPara="1" vertOverflow="ellipsis" wrap="square" lIns="38100" tIns="19050" rIns="38100" bIns="19050" anchor="ctr" anchorCtr="1">
                <a:spAutoFit/>
              </a:bodyPr>
              <a:lstStyle/>
              <a:p>
                <a:pPr>
                  <a:defRPr sz="900" b="0" i="0" u="none" strike="noStrike" kern="1200" baseline="0">
                    <a:solidFill>
                      <a:schemeClr val="tx1"/>
                    </a:solidFill>
                    <a:latin typeface="+mn-lt"/>
                    <a:ea typeface="+mn-ea"/>
                    <a:cs typeface="+mn-cs"/>
                  </a:defRPr>
                </a:pPr>
                <a:endParaRPr lang="fr-FR"/>
              </a:p>
            </c:txPr>
            <c:dLblPos val="inBase"/>
            <c:showLegendKey val="0"/>
            <c:showVal val="1"/>
            <c:showCatName val="0"/>
            <c:showSerName val="1"/>
            <c:showPercent val="0"/>
            <c:showBubbleSize val="0"/>
            <c:separator>
</c:separator>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val>
            <c:numRef>
              <c:f>'Charges individuel'!$K$150</c:f>
              <c:numCache>
                <c:formatCode>#,##0</c:formatCode>
                <c:ptCount val="1"/>
                <c:pt idx="0">
                  <c:v>0</c:v>
                </c:pt>
              </c:numCache>
            </c:numRef>
          </c:val>
          <c:extLst>
            <c:ext xmlns:c16="http://schemas.microsoft.com/office/drawing/2014/chart" uri="{C3380CC4-5D6E-409C-BE32-E72D297353CC}">
              <c16:uniqueId val="{00000008-DEEB-4DEF-91D3-833A9B114D09}"/>
            </c:ext>
          </c:extLst>
        </c:ser>
        <c:ser>
          <c:idx val="40"/>
          <c:order val="9"/>
          <c:tx>
            <c:strRef>
              <c:f>'Charges individuel'!$L$4</c:f>
              <c:strCache>
                <c:ptCount val="1"/>
                <c:pt idx="0">
                  <c:v>DUQUENOY Thomas</c:v>
                </c:pt>
              </c:strCache>
            </c:strRef>
          </c:tx>
          <c:spPr>
            <a:solidFill>
              <a:schemeClr val="accent5">
                <a:lumMod val="70000"/>
                <a:lumOff val="30000"/>
              </a:schemeClr>
            </a:solidFill>
            <a:ln>
              <a:noFill/>
            </a:ln>
            <a:effectLst/>
          </c:spPr>
          <c:invertIfNegative val="0"/>
          <c:dLbls>
            <c:spPr>
              <a:noFill/>
              <a:ln>
                <a:noFill/>
              </a:ln>
              <a:effectLst/>
            </c:spPr>
            <c:txPr>
              <a:bodyPr rot="-5400000" spcFirstLastPara="1" vertOverflow="ellipsis" wrap="square" lIns="38100" tIns="19050" rIns="38100" bIns="19050" anchor="ctr" anchorCtr="1">
                <a:spAutoFit/>
              </a:bodyPr>
              <a:lstStyle/>
              <a:p>
                <a:pPr>
                  <a:defRPr sz="900" b="0" i="0" u="none" strike="noStrike" kern="1200" baseline="0">
                    <a:solidFill>
                      <a:schemeClr val="tx1"/>
                    </a:solidFill>
                    <a:latin typeface="+mn-lt"/>
                    <a:ea typeface="+mn-ea"/>
                    <a:cs typeface="+mn-cs"/>
                  </a:defRPr>
                </a:pPr>
                <a:endParaRPr lang="fr-FR"/>
              </a:p>
            </c:txPr>
            <c:dLblPos val="inBase"/>
            <c:showLegendKey val="0"/>
            <c:showVal val="1"/>
            <c:showCatName val="0"/>
            <c:showSerName val="1"/>
            <c:showPercent val="0"/>
            <c:showBubbleSize val="0"/>
            <c:separator>
</c:separator>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val>
            <c:numRef>
              <c:f>'Charges individuel'!$L$150</c:f>
              <c:numCache>
                <c:formatCode>#,##0</c:formatCode>
                <c:ptCount val="1"/>
                <c:pt idx="0">
                  <c:v>0</c:v>
                </c:pt>
              </c:numCache>
            </c:numRef>
          </c:val>
          <c:extLst>
            <c:ext xmlns:c16="http://schemas.microsoft.com/office/drawing/2014/chart" uri="{C3380CC4-5D6E-409C-BE32-E72D297353CC}">
              <c16:uniqueId val="{00000009-DEEB-4DEF-91D3-833A9B114D09}"/>
            </c:ext>
          </c:extLst>
        </c:ser>
        <c:ser>
          <c:idx val="41"/>
          <c:order val="10"/>
          <c:tx>
            <c:strRef>
              <c:f>'Charges individuel'!$M$4</c:f>
              <c:strCache>
                <c:ptCount val="1"/>
                <c:pt idx="0">
                  <c:v>KIPRE Jordan</c:v>
                </c:pt>
              </c:strCache>
            </c:strRef>
          </c:tx>
          <c:spPr>
            <a:solidFill>
              <a:schemeClr val="accent6">
                <a:lumMod val="70000"/>
                <a:lumOff val="30000"/>
              </a:schemeClr>
            </a:solidFill>
            <a:ln>
              <a:noFill/>
            </a:ln>
            <a:effectLst/>
          </c:spPr>
          <c:invertIfNegative val="0"/>
          <c:dLbls>
            <c:spPr>
              <a:noFill/>
              <a:ln>
                <a:noFill/>
              </a:ln>
              <a:effectLst/>
            </c:spPr>
            <c:txPr>
              <a:bodyPr rot="-5400000" spcFirstLastPara="1" vertOverflow="ellipsis" wrap="square" lIns="38100" tIns="19050" rIns="38100" bIns="19050" anchor="ctr" anchorCtr="1">
                <a:spAutoFit/>
              </a:bodyPr>
              <a:lstStyle/>
              <a:p>
                <a:pPr>
                  <a:defRPr sz="900" b="0" i="0" u="none" strike="noStrike" kern="1200" baseline="0">
                    <a:solidFill>
                      <a:schemeClr val="tx1"/>
                    </a:solidFill>
                    <a:latin typeface="+mn-lt"/>
                    <a:ea typeface="+mn-ea"/>
                    <a:cs typeface="+mn-cs"/>
                  </a:defRPr>
                </a:pPr>
                <a:endParaRPr lang="fr-FR"/>
              </a:p>
            </c:txPr>
            <c:dLblPos val="inBase"/>
            <c:showLegendKey val="0"/>
            <c:showVal val="1"/>
            <c:showCatName val="0"/>
            <c:showSerName val="1"/>
            <c:showPercent val="0"/>
            <c:showBubbleSize val="0"/>
            <c:separator>
</c:separator>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val>
            <c:numRef>
              <c:f>'Charges individuel'!$M$150</c:f>
              <c:numCache>
                <c:formatCode>#,##0</c:formatCode>
                <c:ptCount val="1"/>
                <c:pt idx="0">
                  <c:v>0</c:v>
                </c:pt>
              </c:numCache>
            </c:numRef>
          </c:val>
          <c:extLst>
            <c:ext xmlns:c16="http://schemas.microsoft.com/office/drawing/2014/chart" uri="{C3380CC4-5D6E-409C-BE32-E72D297353CC}">
              <c16:uniqueId val="{0000000A-DEEB-4DEF-91D3-833A9B114D09}"/>
            </c:ext>
          </c:extLst>
        </c:ser>
        <c:ser>
          <c:idx val="42"/>
          <c:order val="11"/>
          <c:tx>
            <c:strRef>
              <c:f>'Charges individuel'!$N$4</c:f>
              <c:strCache>
                <c:ptCount val="1"/>
                <c:pt idx="0">
                  <c:v>KONATE Mamadou</c:v>
                </c:pt>
              </c:strCache>
            </c:strRef>
          </c:tx>
          <c:spPr>
            <a:solidFill>
              <a:schemeClr val="accent1">
                <a:lumMod val="70000"/>
              </a:schemeClr>
            </a:solidFill>
            <a:ln>
              <a:noFill/>
            </a:ln>
            <a:effectLst/>
          </c:spPr>
          <c:invertIfNegative val="0"/>
          <c:dLbls>
            <c:spPr>
              <a:noFill/>
              <a:ln>
                <a:noFill/>
              </a:ln>
              <a:effectLst/>
            </c:spPr>
            <c:txPr>
              <a:bodyPr rot="-5400000" spcFirstLastPara="1" vertOverflow="ellipsis" wrap="square" lIns="38100" tIns="19050" rIns="38100" bIns="19050" anchor="ctr" anchorCtr="1">
                <a:spAutoFit/>
              </a:bodyPr>
              <a:lstStyle/>
              <a:p>
                <a:pPr>
                  <a:defRPr sz="900" b="0" i="0" u="none" strike="noStrike" kern="1200" baseline="0">
                    <a:solidFill>
                      <a:schemeClr val="tx1"/>
                    </a:solidFill>
                    <a:latin typeface="+mn-lt"/>
                    <a:ea typeface="+mn-ea"/>
                    <a:cs typeface="+mn-cs"/>
                  </a:defRPr>
                </a:pPr>
                <a:endParaRPr lang="fr-FR"/>
              </a:p>
            </c:txPr>
            <c:dLblPos val="inBase"/>
            <c:showLegendKey val="0"/>
            <c:showVal val="1"/>
            <c:showCatName val="0"/>
            <c:showSerName val="1"/>
            <c:showPercent val="0"/>
            <c:showBubbleSize val="0"/>
            <c:separator>
</c:separator>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val>
            <c:numRef>
              <c:f>'Charges individuel'!$N$150</c:f>
              <c:numCache>
                <c:formatCode>#,##0</c:formatCode>
                <c:ptCount val="1"/>
                <c:pt idx="0">
                  <c:v>0</c:v>
                </c:pt>
              </c:numCache>
            </c:numRef>
          </c:val>
          <c:extLst>
            <c:ext xmlns:c16="http://schemas.microsoft.com/office/drawing/2014/chart" uri="{C3380CC4-5D6E-409C-BE32-E72D297353CC}">
              <c16:uniqueId val="{0000000B-DEEB-4DEF-91D3-833A9B114D09}"/>
            </c:ext>
          </c:extLst>
        </c:ser>
        <c:ser>
          <c:idx val="43"/>
          <c:order val="12"/>
          <c:tx>
            <c:strRef>
              <c:f>'Charges individuel'!$O$4</c:f>
              <c:strCache>
                <c:ptCount val="1"/>
                <c:pt idx="0">
                  <c:v>LECOUFFE Hugo</c:v>
                </c:pt>
              </c:strCache>
            </c:strRef>
          </c:tx>
          <c:spPr>
            <a:solidFill>
              <a:schemeClr val="accent2">
                <a:lumMod val="70000"/>
              </a:schemeClr>
            </a:solidFill>
            <a:ln>
              <a:noFill/>
            </a:ln>
            <a:effectLst/>
          </c:spPr>
          <c:invertIfNegative val="0"/>
          <c:dLbls>
            <c:spPr>
              <a:noFill/>
              <a:ln>
                <a:noFill/>
              </a:ln>
              <a:effectLst/>
            </c:spPr>
            <c:txPr>
              <a:bodyPr rot="-5400000" spcFirstLastPara="1" vertOverflow="ellipsis" wrap="square" lIns="38100" tIns="19050" rIns="38100" bIns="19050" anchor="ctr" anchorCtr="1">
                <a:spAutoFit/>
              </a:bodyPr>
              <a:lstStyle/>
              <a:p>
                <a:pPr>
                  <a:defRPr sz="900" b="0" i="0" u="none" strike="noStrike" kern="1200" baseline="0">
                    <a:solidFill>
                      <a:schemeClr val="tx1"/>
                    </a:solidFill>
                    <a:latin typeface="+mn-lt"/>
                    <a:ea typeface="+mn-ea"/>
                    <a:cs typeface="+mn-cs"/>
                  </a:defRPr>
                </a:pPr>
                <a:endParaRPr lang="fr-FR"/>
              </a:p>
            </c:txPr>
            <c:dLblPos val="inBase"/>
            <c:showLegendKey val="0"/>
            <c:showVal val="1"/>
            <c:showCatName val="0"/>
            <c:showSerName val="1"/>
            <c:showPercent val="0"/>
            <c:showBubbleSize val="0"/>
            <c:separator>
</c:separator>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val>
            <c:numRef>
              <c:f>'Charges individuel'!$O$150</c:f>
              <c:numCache>
                <c:formatCode>#,##0</c:formatCode>
                <c:ptCount val="1"/>
                <c:pt idx="0">
                  <c:v>0</c:v>
                </c:pt>
              </c:numCache>
            </c:numRef>
          </c:val>
          <c:extLst>
            <c:ext xmlns:c16="http://schemas.microsoft.com/office/drawing/2014/chart" uri="{C3380CC4-5D6E-409C-BE32-E72D297353CC}">
              <c16:uniqueId val="{0000000C-DEEB-4DEF-91D3-833A9B114D09}"/>
            </c:ext>
          </c:extLst>
        </c:ser>
        <c:ser>
          <c:idx val="44"/>
          <c:order val="13"/>
          <c:tx>
            <c:strRef>
              <c:f>'Charges individuel'!$P$4</c:f>
              <c:strCache>
                <c:ptCount val="1"/>
                <c:pt idx="0">
                  <c:v>LEFRANC Nathan</c:v>
                </c:pt>
              </c:strCache>
            </c:strRef>
          </c:tx>
          <c:spPr>
            <a:solidFill>
              <a:schemeClr val="accent3">
                <a:lumMod val="70000"/>
              </a:schemeClr>
            </a:solidFill>
            <a:ln>
              <a:noFill/>
            </a:ln>
            <a:effectLst/>
          </c:spPr>
          <c:invertIfNegative val="0"/>
          <c:dLbls>
            <c:spPr>
              <a:noFill/>
              <a:ln>
                <a:noFill/>
              </a:ln>
              <a:effectLst/>
            </c:spPr>
            <c:txPr>
              <a:bodyPr rot="-5400000" spcFirstLastPara="1" vertOverflow="ellipsis" wrap="square" lIns="38100" tIns="19050" rIns="38100" bIns="19050" anchor="ctr" anchorCtr="1">
                <a:spAutoFit/>
              </a:bodyPr>
              <a:lstStyle/>
              <a:p>
                <a:pPr>
                  <a:defRPr sz="900" b="0" i="0" u="none" strike="noStrike" kern="1200" baseline="0">
                    <a:solidFill>
                      <a:schemeClr val="tx1"/>
                    </a:solidFill>
                    <a:latin typeface="+mn-lt"/>
                    <a:ea typeface="+mn-ea"/>
                    <a:cs typeface="+mn-cs"/>
                  </a:defRPr>
                </a:pPr>
                <a:endParaRPr lang="fr-FR"/>
              </a:p>
            </c:txPr>
            <c:dLblPos val="inBase"/>
            <c:showLegendKey val="0"/>
            <c:showVal val="1"/>
            <c:showCatName val="0"/>
            <c:showSerName val="1"/>
            <c:showPercent val="0"/>
            <c:showBubbleSize val="0"/>
            <c:separator>
</c:separator>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val>
            <c:numRef>
              <c:f>'Charges individuel'!$P$150</c:f>
              <c:numCache>
                <c:formatCode>#,##0</c:formatCode>
                <c:ptCount val="1"/>
                <c:pt idx="0">
                  <c:v>0</c:v>
                </c:pt>
              </c:numCache>
            </c:numRef>
          </c:val>
          <c:extLst>
            <c:ext xmlns:c16="http://schemas.microsoft.com/office/drawing/2014/chart" uri="{C3380CC4-5D6E-409C-BE32-E72D297353CC}">
              <c16:uniqueId val="{0000000D-DEEB-4DEF-91D3-833A9B114D09}"/>
            </c:ext>
          </c:extLst>
        </c:ser>
        <c:ser>
          <c:idx val="45"/>
          <c:order val="14"/>
          <c:tx>
            <c:strRef>
              <c:f>'Charges individuel'!$Q$4</c:f>
              <c:strCache>
                <c:ptCount val="1"/>
                <c:pt idx="0">
                  <c:v>MASSOUSSI Elie</c:v>
                </c:pt>
              </c:strCache>
            </c:strRef>
          </c:tx>
          <c:spPr>
            <a:solidFill>
              <a:schemeClr val="accent4">
                <a:lumMod val="70000"/>
              </a:schemeClr>
            </a:solidFill>
            <a:ln>
              <a:noFill/>
            </a:ln>
            <a:effectLst/>
          </c:spPr>
          <c:invertIfNegative val="0"/>
          <c:dLbls>
            <c:spPr>
              <a:noFill/>
              <a:ln>
                <a:noFill/>
              </a:ln>
              <a:effectLst/>
            </c:spPr>
            <c:txPr>
              <a:bodyPr rot="-5400000" spcFirstLastPara="1" vertOverflow="ellipsis" wrap="square" lIns="38100" tIns="19050" rIns="38100" bIns="19050" anchor="ctr" anchorCtr="1">
                <a:spAutoFit/>
              </a:bodyPr>
              <a:lstStyle/>
              <a:p>
                <a:pPr>
                  <a:defRPr sz="900" b="0" i="0" u="none" strike="noStrike" kern="1200" baseline="0">
                    <a:solidFill>
                      <a:schemeClr val="tx1"/>
                    </a:solidFill>
                    <a:latin typeface="+mn-lt"/>
                    <a:ea typeface="+mn-ea"/>
                    <a:cs typeface="+mn-cs"/>
                  </a:defRPr>
                </a:pPr>
                <a:endParaRPr lang="fr-FR"/>
              </a:p>
            </c:txPr>
            <c:dLblPos val="inBase"/>
            <c:showLegendKey val="0"/>
            <c:showVal val="1"/>
            <c:showCatName val="0"/>
            <c:showSerName val="1"/>
            <c:showPercent val="0"/>
            <c:showBubbleSize val="0"/>
            <c:separator>
</c:separator>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val>
            <c:numRef>
              <c:f>'Charges individuel'!$Q$150</c:f>
              <c:numCache>
                <c:formatCode>#,##0</c:formatCode>
                <c:ptCount val="1"/>
                <c:pt idx="0">
                  <c:v>0</c:v>
                </c:pt>
              </c:numCache>
            </c:numRef>
          </c:val>
          <c:extLst>
            <c:ext xmlns:c16="http://schemas.microsoft.com/office/drawing/2014/chart" uri="{C3380CC4-5D6E-409C-BE32-E72D297353CC}">
              <c16:uniqueId val="{0000000E-DEEB-4DEF-91D3-833A9B114D09}"/>
            </c:ext>
          </c:extLst>
        </c:ser>
        <c:ser>
          <c:idx val="46"/>
          <c:order val="15"/>
          <c:tx>
            <c:strRef>
              <c:f>'Charges individuel'!$R$4</c:f>
              <c:strCache>
                <c:ptCount val="1"/>
                <c:pt idx="0">
                  <c:v>NGOUABI Yoann</c:v>
                </c:pt>
              </c:strCache>
            </c:strRef>
          </c:tx>
          <c:spPr>
            <a:solidFill>
              <a:schemeClr val="accent5">
                <a:lumMod val="70000"/>
              </a:schemeClr>
            </a:solidFill>
            <a:ln>
              <a:noFill/>
            </a:ln>
            <a:effectLst/>
          </c:spPr>
          <c:invertIfNegative val="0"/>
          <c:dLbls>
            <c:spPr>
              <a:noFill/>
              <a:ln>
                <a:noFill/>
              </a:ln>
              <a:effectLst/>
            </c:spPr>
            <c:txPr>
              <a:bodyPr rot="-5400000" spcFirstLastPara="1" vertOverflow="ellipsis" wrap="square" lIns="38100" tIns="19050" rIns="38100" bIns="19050" anchor="ctr" anchorCtr="1">
                <a:spAutoFit/>
              </a:bodyPr>
              <a:lstStyle/>
              <a:p>
                <a:pPr>
                  <a:defRPr sz="900" b="0" i="0" u="none" strike="noStrike" kern="1200" baseline="0">
                    <a:solidFill>
                      <a:schemeClr val="tx1"/>
                    </a:solidFill>
                    <a:latin typeface="+mn-lt"/>
                    <a:ea typeface="+mn-ea"/>
                    <a:cs typeface="+mn-cs"/>
                  </a:defRPr>
                </a:pPr>
                <a:endParaRPr lang="fr-FR"/>
              </a:p>
            </c:txPr>
            <c:dLblPos val="inBase"/>
            <c:showLegendKey val="0"/>
            <c:showVal val="1"/>
            <c:showCatName val="0"/>
            <c:showSerName val="1"/>
            <c:showPercent val="0"/>
            <c:showBubbleSize val="0"/>
            <c:separator>
</c:separator>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val>
            <c:numRef>
              <c:f>'Charges individuel'!$R$150</c:f>
              <c:numCache>
                <c:formatCode>#,##0</c:formatCode>
                <c:ptCount val="1"/>
                <c:pt idx="0">
                  <c:v>0</c:v>
                </c:pt>
              </c:numCache>
            </c:numRef>
          </c:val>
          <c:extLst>
            <c:ext xmlns:c16="http://schemas.microsoft.com/office/drawing/2014/chart" uri="{C3380CC4-5D6E-409C-BE32-E72D297353CC}">
              <c16:uniqueId val="{0000000F-DEEB-4DEF-91D3-833A9B114D09}"/>
            </c:ext>
          </c:extLst>
        </c:ser>
        <c:ser>
          <c:idx val="47"/>
          <c:order val="16"/>
          <c:tx>
            <c:strRef>
              <c:f>'Charges individuel'!$S$4</c:f>
              <c:strCache>
                <c:ptCount val="1"/>
                <c:pt idx="0">
                  <c:v>PLANET Mathis</c:v>
                </c:pt>
              </c:strCache>
            </c:strRef>
          </c:tx>
          <c:spPr>
            <a:solidFill>
              <a:schemeClr val="accent6">
                <a:lumMod val="70000"/>
              </a:schemeClr>
            </a:solidFill>
            <a:ln>
              <a:noFill/>
            </a:ln>
            <a:effectLst/>
          </c:spPr>
          <c:invertIfNegative val="0"/>
          <c:dLbls>
            <c:spPr>
              <a:noFill/>
              <a:ln>
                <a:noFill/>
              </a:ln>
              <a:effectLst/>
            </c:spPr>
            <c:txPr>
              <a:bodyPr rot="-5400000" spcFirstLastPara="1" vertOverflow="ellipsis" wrap="square" lIns="38100" tIns="19050" rIns="38100" bIns="19050" anchor="ctr" anchorCtr="1">
                <a:spAutoFit/>
              </a:bodyPr>
              <a:lstStyle/>
              <a:p>
                <a:pPr>
                  <a:defRPr sz="900" b="0" i="0" u="none" strike="noStrike" kern="1200" baseline="0">
                    <a:solidFill>
                      <a:schemeClr val="tx1"/>
                    </a:solidFill>
                    <a:latin typeface="+mn-lt"/>
                    <a:ea typeface="+mn-ea"/>
                    <a:cs typeface="+mn-cs"/>
                  </a:defRPr>
                </a:pPr>
                <a:endParaRPr lang="fr-FR"/>
              </a:p>
            </c:txPr>
            <c:dLblPos val="inBase"/>
            <c:showLegendKey val="0"/>
            <c:showVal val="1"/>
            <c:showCatName val="0"/>
            <c:showSerName val="1"/>
            <c:showPercent val="0"/>
            <c:showBubbleSize val="0"/>
            <c:separator>
</c:separator>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val>
            <c:numRef>
              <c:f>'Charges individuel'!$S$150</c:f>
              <c:numCache>
                <c:formatCode>#,##0</c:formatCode>
                <c:ptCount val="1"/>
                <c:pt idx="0">
                  <c:v>0</c:v>
                </c:pt>
              </c:numCache>
            </c:numRef>
          </c:val>
          <c:extLst>
            <c:ext xmlns:c16="http://schemas.microsoft.com/office/drawing/2014/chart" uri="{C3380CC4-5D6E-409C-BE32-E72D297353CC}">
              <c16:uniqueId val="{00000010-DEEB-4DEF-91D3-833A9B114D09}"/>
            </c:ext>
          </c:extLst>
        </c:ser>
        <c:ser>
          <c:idx val="48"/>
          <c:order val="17"/>
          <c:tx>
            <c:strRef>
              <c:f>'Charges individuel'!$T$4</c:f>
              <c:strCache>
                <c:ptCount val="1"/>
                <c:pt idx="0">
                  <c:v>PRONNIER Nicolas</c:v>
                </c:pt>
              </c:strCache>
            </c:strRef>
          </c:tx>
          <c:spPr>
            <a:solidFill>
              <a:schemeClr val="accent1">
                <a:lumMod val="50000"/>
                <a:lumOff val="50000"/>
              </a:schemeClr>
            </a:solidFill>
            <a:ln>
              <a:noFill/>
            </a:ln>
            <a:effectLst/>
          </c:spPr>
          <c:invertIfNegative val="0"/>
          <c:dLbls>
            <c:spPr>
              <a:noFill/>
              <a:ln>
                <a:noFill/>
              </a:ln>
              <a:effectLst/>
            </c:spPr>
            <c:txPr>
              <a:bodyPr rot="-5400000" spcFirstLastPara="1" vertOverflow="ellipsis" wrap="square" lIns="38100" tIns="19050" rIns="38100" bIns="19050" anchor="ctr" anchorCtr="1">
                <a:spAutoFit/>
              </a:bodyPr>
              <a:lstStyle/>
              <a:p>
                <a:pPr>
                  <a:defRPr sz="900" b="0" i="0" u="none" strike="noStrike" kern="1200" baseline="0">
                    <a:solidFill>
                      <a:schemeClr val="tx1"/>
                    </a:solidFill>
                    <a:latin typeface="+mn-lt"/>
                    <a:ea typeface="+mn-ea"/>
                    <a:cs typeface="+mn-cs"/>
                  </a:defRPr>
                </a:pPr>
                <a:endParaRPr lang="fr-FR"/>
              </a:p>
            </c:txPr>
            <c:dLblPos val="inBase"/>
            <c:showLegendKey val="0"/>
            <c:showVal val="1"/>
            <c:showCatName val="0"/>
            <c:showSerName val="1"/>
            <c:showPercent val="0"/>
            <c:showBubbleSize val="0"/>
            <c:separator>
</c:separator>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val>
            <c:numRef>
              <c:f>'Charges individuel'!$T$150</c:f>
              <c:numCache>
                <c:formatCode>#,##0</c:formatCode>
                <c:ptCount val="1"/>
                <c:pt idx="0">
                  <c:v>0</c:v>
                </c:pt>
              </c:numCache>
            </c:numRef>
          </c:val>
          <c:extLst>
            <c:ext xmlns:c16="http://schemas.microsoft.com/office/drawing/2014/chart" uri="{C3380CC4-5D6E-409C-BE32-E72D297353CC}">
              <c16:uniqueId val="{00000011-DEEB-4DEF-91D3-833A9B114D09}"/>
            </c:ext>
          </c:extLst>
        </c:ser>
        <c:ser>
          <c:idx val="49"/>
          <c:order val="18"/>
          <c:tx>
            <c:strRef>
              <c:f>'Charges individuel'!$U$4</c:f>
              <c:strCache>
                <c:ptCount val="1"/>
                <c:pt idx="0">
                  <c:v>STIOUET Reda</c:v>
                </c:pt>
              </c:strCache>
            </c:strRef>
          </c:tx>
          <c:spPr>
            <a:solidFill>
              <a:schemeClr val="accent2">
                <a:lumMod val="50000"/>
                <a:lumOff val="50000"/>
              </a:schemeClr>
            </a:solidFill>
            <a:ln>
              <a:noFill/>
            </a:ln>
            <a:effectLst/>
          </c:spPr>
          <c:invertIfNegative val="0"/>
          <c:dLbls>
            <c:spPr>
              <a:noFill/>
              <a:ln>
                <a:noFill/>
              </a:ln>
              <a:effectLst/>
            </c:spPr>
            <c:txPr>
              <a:bodyPr rot="-5400000" spcFirstLastPara="1" vertOverflow="ellipsis" wrap="square" lIns="38100" tIns="19050" rIns="38100" bIns="19050" anchor="ctr" anchorCtr="1">
                <a:spAutoFit/>
              </a:bodyPr>
              <a:lstStyle/>
              <a:p>
                <a:pPr>
                  <a:defRPr sz="900" b="0" i="0" u="none" strike="noStrike" kern="1200" baseline="0">
                    <a:solidFill>
                      <a:schemeClr val="tx1"/>
                    </a:solidFill>
                    <a:latin typeface="+mn-lt"/>
                    <a:ea typeface="+mn-ea"/>
                    <a:cs typeface="+mn-cs"/>
                  </a:defRPr>
                </a:pPr>
                <a:endParaRPr lang="fr-FR"/>
              </a:p>
            </c:txPr>
            <c:dLblPos val="inBase"/>
            <c:showLegendKey val="0"/>
            <c:showVal val="1"/>
            <c:showCatName val="0"/>
            <c:showSerName val="1"/>
            <c:showPercent val="0"/>
            <c:showBubbleSize val="0"/>
            <c:separator>
</c:separator>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val>
            <c:numRef>
              <c:f>'Charges individuel'!$U$150</c:f>
              <c:numCache>
                <c:formatCode>#,##0</c:formatCode>
                <c:ptCount val="1"/>
                <c:pt idx="0">
                  <c:v>0</c:v>
                </c:pt>
              </c:numCache>
            </c:numRef>
          </c:val>
          <c:extLst>
            <c:ext xmlns:c16="http://schemas.microsoft.com/office/drawing/2014/chart" uri="{C3380CC4-5D6E-409C-BE32-E72D297353CC}">
              <c16:uniqueId val="{00000012-DEEB-4DEF-91D3-833A9B114D09}"/>
            </c:ext>
          </c:extLst>
        </c:ser>
        <c:ser>
          <c:idx val="50"/>
          <c:order val="19"/>
          <c:tx>
            <c:strRef>
              <c:f>'Charges individuel'!$V$4</c:f>
              <c:strCache>
                <c:ptCount val="1"/>
                <c:pt idx="0">
                  <c:v>ZERDEB Said</c:v>
                </c:pt>
              </c:strCache>
            </c:strRef>
          </c:tx>
          <c:spPr>
            <a:solidFill>
              <a:schemeClr val="accent3">
                <a:lumMod val="50000"/>
                <a:lumOff val="50000"/>
              </a:schemeClr>
            </a:solidFill>
            <a:ln>
              <a:noFill/>
            </a:ln>
            <a:effectLst/>
          </c:spPr>
          <c:invertIfNegative val="0"/>
          <c:dLbls>
            <c:spPr>
              <a:noFill/>
              <a:ln>
                <a:noFill/>
              </a:ln>
              <a:effectLst/>
            </c:spPr>
            <c:txPr>
              <a:bodyPr rot="-5400000" spcFirstLastPara="1" vertOverflow="ellipsis" wrap="square" lIns="38100" tIns="19050" rIns="38100" bIns="19050" anchor="ctr" anchorCtr="1">
                <a:spAutoFit/>
              </a:bodyPr>
              <a:lstStyle/>
              <a:p>
                <a:pPr>
                  <a:defRPr sz="900" b="0" i="0" u="none" strike="noStrike" kern="1200" baseline="0">
                    <a:solidFill>
                      <a:schemeClr val="tx1"/>
                    </a:solidFill>
                    <a:latin typeface="+mn-lt"/>
                    <a:ea typeface="+mn-ea"/>
                    <a:cs typeface="+mn-cs"/>
                  </a:defRPr>
                </a:pPr>
                <a:endParaRPr lang="fr-FR"/>
              </a:p>
            </c:txPr>
            <c:dLblPos val="inBase"/>
            <c:showLegendKey val="0"/>
            <c:showVal val="1"/>
            <c:showCatName val="0"/>
            <c:showSerName val="1"/>
            <c:showPercent val="0"/>
            <c:showBubbleSize val="0"/>
            <c:separator>
</c:separator>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val>
            <c:numRef>
              <c:f>'Charges individuel'!$V$150</c:f>
              <c:numCache>
                <c:formatCode>#,##0</c:formatCode>
                <c:ptCount val="1"/>
                <c:pt idx="0">
                  <c:v>0</c:v>
                </c:pt>
              </c:numCache>
            </c:numRef>
          </c:val>
          <c:extLst>
            <c:ext xmlns:c16="http://schemas.microsoft.com/office/drawing/2014/chart" uri="{C3380CC4-5D6E-409C-BE32-E72D297353CC}">
              <c16:uniqueId val="{00000013-DEEB-4DEF-91D3-833A9B114D09}"/>
            </c:ext>
          </c:extLst>
        </c:ser>
        <c:ser>
          <c:idx val="51"/>
          <c:order val="20"/>
          <c:tx>
            <c:strRef>
              <c:f>'Charges individuel'!$W$4</c:f>
              <c:strCache>
                <c:ptCount val="1"/>
                <c:pt idx="0">
                  <c:v>OSSENI Farouk</c:v>
                </c:pt>
              </c:strCache>
            </c:strRef>
          </c:tx>
          <c:spPr>
            <a:solidFill>
              <a:schemeClr val="accent4">
                <a:lumMod val="50000"/>
                <a:lumOff val="50000"/>
              </a:schemeClr>
            </a:solidFill>
            <a:ln>
              <a:noFill/>
            </a:ln>
            <a:effectLst/>
          </c:spPr>
          <c:invertIfNegative val="0"/>
          <c:dLbls>
            <c:spPr>
              <a:noFill/>
              <a:ln>
                <a:noFill/>
              </a:ln>
              <a:effectLst/>
            </c:spPr>
            <c:txPr>
              <a:bodyPr rot="-5400000" spcFirstLastPara="1" vertOverflow="ellipsis" wrap="square" lIns="38100" tIns="19050" rIns="38100" bIns="19050" anchor="ctr" anchorCtr="1">
                <a:spAutoFit/>
              </a:bodyPr>
              <a:lstStyle/>
              <a:p>
                <a:pPr>
                  <a:defRPr sz="900" b="0" i="0" u="none" strike="noStrike" kern="1200" baseline="0">
                    <a:solidFill>
                      <a:schemeClr val="tx1"/>
                    </a:solidFill>
                    <a:latin typeface="+mn-lt"/>
                    <a:ea typeface="+mn-ea"/>
                    <a:cs typeface="+mn-cs"/>
                  </a:defRPr>
                </a:pPr>
                <a:endParaRPr lang="fr-FR"/>
              </a:p>
            </c:txPr>
            <c:dLblPos val="inBase"/>
            <c:showLegendKey val="0"/>
            <c:showVal val="1"/>
            <c:showCatName val="0"/>
            <c:showSerName val="1"/>
            <c:showPercent val="0"/>
            <c:showBubbleSize val="0"/>
            <c:separator>
</c:separator>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val>
            <c:numRef>
              <c:f>'Charges individuel'!$W$150</c:f>
              <c:numCache>
                <c:formatCode>#,##0</c:formatCode>
                <c:ptCount val="1"/>
                <c:pt idx="0">
                  <c:v>0</c:v>
                </c:pt>
              </c:numCache>
            </c:numRef>
          </c:val>
          <c:extLst>
            <c:ext xmlns:c16="http://schemas.microsoft.com/office/drawing/2014/chart" uri="{C3380CC4-5D6E-409C-BE32-E72D297353CC}">
              <c16:uniqueId val="{00000014-DEEB-4DEF-91D3-833A9B114D09}"/>
            </c:ext>
          </c:extLst>
        </c:ser>
        <c:ser>
          <c:idx val="52"/>
          <c:order val="21"/>
          <c:tx>
            <c:strRef>
              <c:f>'Charges individuel'!$X$4</c:f>
              <c:strCache>
                <c:ptCount val="1"/>
                <c:pt idx="0">
                  <c:v>0</c:v>
                </c:pt>
              </c:strCache>
            </c:strRef>
          </c:tx>
          <c:spPr>
            <a:solidFill>
              <a:schemeClr val="accent5">
                <a:lumMod val="50000"/>
                <a:lumOff val="50000"/>
              </a:schemeClr>
            </a:solidFill>
            <a:ln>
              <a:noFill/>
            </a:ln>
            <a:effectLst/>
          </c:spPr>
          <c:invertIfNegative val="0"/>
          <c:dLbls>
            <c:spPr>
              <a:noFill/>
              <a:ln>
                <a:noFill/>
              </a:ln>
              <a:effectLst/>
            </c:spPr>
            <c:txPr>
              <a:bodyPr rot="-5400000" spcFirstLastPara="1" vertOverflow="ellipsis" wrap="square" lIns="38100" tIns="19050" rIns="38100" bIns="19050" anchor="ctr" anchorCtr="1">
                <a:spAutoFit/>
              </a:bodyPr>
              <a:lstStyle/>
              <a:p>
                <a:pPr>
                  <a:defRPr sz="900" b="0" i="0" u="none" strike="noStrike" kern="1200" baseline="0">
                    <a:solidFill>
                      <a:schemeClr val="tx1"/>
                    </a:solidFill>
                    <a:latin typeface="+mn-lt"/>
                    <a:ea typeface="+mn-ea"/>
                    <a:cs typeface="+mn-cs"/>
                  </a:defRPr>
                </a:pPr>
                <a:endParaRPr lang="fr-FR"/>
              </a:p>
            </c:txPr>
            <c:dLblPos val="inBase"/>
            <c:showLegendKey val="0"/>
            <c:showVal val="1"/>
            <c:showCatName val="0"/>
            <c:showSerName val="1"/>
            <c:showPercent val="0"/>
            <c:showBubbleSize val="0"/>
            <c:separator>
</c:separator>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val>
            <c:numRef>
              <c:f>'Charges individuel'!$X$150</c:f>
              <c:numCache>
                <c:formatCode>#,##0</c:formatCode>
                <c:ptCount val="1"/>
                <c:pt idx="0">
                  <c:v>0</c:v>
                </c:pt>
              </c:numCache>
            </c:numRef>
          </c:val>
          <c:extLst>
            <c:ext xmlns:c16="http://schemas.microsoft.com/office/drawing/2014/chart" uri="{C3380CC4-5D6E-409C-BE32-E72D297353CC}">
              <c16:uniqueId val="{00000015-DEEB-4DEF-91D3-833A9B114D09}"/>
            </c:ext>
          </c:extLst>
        </c:ser>
        <c:ser>
          <c:idx val="53"/>
          <c:order val="22"/>
          <c:tx>
            <c:strRef>
              <c:f>'Charges individuel'!$Y$4</c:f>
              <c:strCache>
                <c:ptCount val="1"/>
                <c:pt idx="0">
                  <c:v>0</c:v>
                </c:pt>
              </c:strCache>
            </c:strRef>
          </c:tx>
          <c:spPr>
            <a:solidFill>
              <a:schemeClr val="accent6">
                <a:lumMod val="50000"/>
                <a:lumOff val="50000"/>
              </a:schemeClr>
            </a:solidFill>
            <a:ln>
              <a:noFill/>
            </a:ln>
            <a:effectLst/>
          </c:spPr>
          <c:invertIfNegative val="0"/>
          <c:dLbls>
            <c:spPr>
              <a:noFill/>
              <a:ln>
                <a:noFill/>
              </a:ln>
              <a:effectLst/>
            </c:spPr>
            <c:txPr>
              <a:bodyPr rot="-5400000" spcFirstLastPara="1" vertOverflow="ellipsis" wrap="square" lIns="38100" tIns="19050" rIns="38100" bIns="19050" anchor="ctr" anchorCtr="1">
                <a:spAutoFit/>
              </a:bodyPr>
              <a:lstStyle/>
              <a:p>
                <a:pPr>
                  <a:defRPr sz="900" b="0" i="0" u="none" strike="noStrike" kern="1200" baseline="0">
                    <a:solidFill>
                      <a:schemeClr val="tx1"/>
                    </a:solidFill>
                    <a:latin typeface="+mn-lt"/>
                    <a:ea typeface="+mn-ea"/>
                    <a:cs typeface="+mn-cs"/>
                  </a:defRPr>
                </a:pPr>
                <a:endParaRPr lang="fr-FR"/>
              </a:p>
            </c:txPr>
            <c:dLblPos val="inBase"/>
            <c:showLegendKey val="0"/>
            <c:showVal val="1"/>
            <c:showCatName val="0"/>
            <c:showSerName val="1"/>
            <c:showPercent val="0"/>
            <c:showBubbleSize val="0"/>
            <c:separator>
</c:separator>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val>
            <c:numRef>
              <c:f>'Charges individuel'!$Y$150</c:f>
              <c:numCache>
                <c:formatCode>#,##0</c:formatCode>
                <c:ptCount val="1"/>
                <c:pt idx="0">
                  <c:v>0</c:v>
                </c:pt>
              </c:numCache>
            </c:numRef>
          </c:val>
          <c:extLst>
            <c:ext xmlns:c16="http://schemas.microsoft.com/office/drawing/2014/chart" uri="{C3380CC4-5D6E-409C-BE32-E72D297353CC}">
              <c16:uniqueId val="{00000016-DEEB-4DEF-91D3-833A9B114D09}"/>
            </c:ext>
          </c:extLst>
        </c:ser>
        <c:ser>
          <c:idx val="54"/>
          <c:order val="23"/>
          <c:tx>
            <c:strRef>
              <c:f>'Charges individuel'!$Z$4</c:f>
              <c:strCache>
                <c:ptCount val="1"/>
                <c:pt idx="0">
                  <c:v>0</c:v>
                </c:pt>
              </c:strCache>
            </c:strRef>
          </c:tx>
          <c:spPr>
            <a:solidFill>
              <a:schemeClr val="accent1"/>
            </a:solidFill>
            <a:ln>
              <a:noFill/>
            </a:ln>
            <a:effectLst/>
          </c:spPr>
          <c:invertIfNegative val="0"/>
          <c:dLbls>
            <c:spPr>
              <a:noFill/>
              <a:ln>
                <a:noFill/>
              </a:ln>
              <a:effectLst/>
            </c:spPr>
            <c:txPr>
              <a:bodyPr rot="-5400000" spcFirstLastPara="1" vertOverflow="ellipsis" wrap="square" lIns="38100" tIns="19050" rIns="38100" bIns="19050" anchor="ctr" anchorCtr="1">
                <a:spAutoFit/>
              </a:bodyPr>
              <a:lstStyle/>
              <a:p>
                <a:pPr>
                  <a:defRPr sz="900" b="0" i="0" u="none" strike="noStrike" kern="1200" baseline="0">
                    <a:solidFill>
                      <a:schemeClr val="tx1"/>
                    </a:solidFill>
                    <a:latin typeface="+mn-lt"/>
                    <a:ea typeface="+mn-ea"/>
                    <a:cs typeface="+mn-cs"/>
                  </a:defRPr>
                </a:pPr>
                <a:endParaRPr lang="fr-FR"/>
              </a:p>
            </c:txPr>
            <c:dLblPos val="inBase"/>
            <c:showLegendKey val="0"/>
            <c:showVal val="1"/>
            <c:showCatName val="0"/>
            <c:showSerName val="1"/>
            <c:showPercent val="0"/>
            <c:showBubbleSize val="0"/>
            <c:separator>
</c:separator>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val>
            <c:numRef>
              <c:f>'Charges individuel'!$Z$150</c:f>
              <c:numCache>
                <c:formatCode>#,##0</c:formatCode>
                <c:ptCount val="1"/>
                <c:pt idx="0">
                  <c:v>0</c:v>
                </c:pt>
              </c:numCache>
            </c:numRef>
          </c:val>
          <c:extLst>
            <c:ext xmlns:c16="http://schemas.microsoft.com/office/drawing/2014/chart" uri="{C3380CC4-5D6E-409C-BE32-E72D297353CC}">
              <c16:uniqueId val="{00000017-DEEB-4DEF-91D3-833A9B114D09}"/>
            </c:ext>
          </c:extLst>
        </c:ser>
        <c:ser>
          <c:idx val="55"/>
          <c:order val="24"/>
          <c:tx>
            <c:strRef>
              <c:f>'Charges individuel'!$AA$4</c:f>
              <c:strCache>
                <c:ptCount val="1"/>
                <c:pt idx="0">
                  <c:v>0</c:v>
                </c:pt>
              </c:strCache>
            </c:strRef>
          </c:tx>
          <c:spPr>
            <a:solidFill>
              <a:schemeClr val="accent2"/>
            </a:solidFill>
            <a:ln>
              <a:noFill/>
            </a:ln>
            <a:effectLst/>
          </c:spPr>
          <c:invertIfNegative val="0"/>
          <c:dLbls>
            <c:spPr>
              <a:noFill/>
              <a:ln>
                <a:noFill/>
              </a:ln>
              <a:effectLst/>
            </c:spPr>
            <c:txPr>
              <a:bodyPr rot="-5400000" spcFirstLastPara="1" vertOverflow="ellipsis" wrap="square" lIns="38100" tIns="19050" rIns="38100" bIns="19050" anchor="ctr" anchorCtr="1">
                <a:spAutoFit/>
              </a:bodyPr>
              <a:lstStyle/>
              <a:p>
                <a:pPr>
                  <a:defRPr sz="900" b="0" i="0" u="none" strike="noStrike" kern="1200" baseline="0">
                    <a:solidFill>
                      <a:schemeClr val="tx1"/>
                    </a:solidFill>
                    <a:latin typeface="+mn-lt"/>
                    <a:ea typeface="+mn-ea"/>
                    <a:cs typeface="+mn-cs"/>
                  </a:defRPr>
                </a:pPr>
                <a:endParaRPr lang="fr-FR"/>
              </a:p>
            </c:txPr>
            <c:dLblPos val="inBase"/>
            <c:showLegendKey val="0"/>
            <c:showVal val="1"/>
            <c:showCatName val="0"/>
            <c:showSerName val="1"/>
            <c:showPercent val="0"/>
            <c:showBubbleSize val="0"/>
            <c:separator>
</c:separator>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val>
            <c:numRef>
              <c:f>'Charges individuel'!$AA$150</c:f>
              <c:numCache>
                <c:formatCode>#,##0</c:formatCode>
                <c:ptCount val="1"/>
                <c:pt idx="0">
                  <c:v>0</c:v>
                </c:pt>
              </c:numCache>
            </c:numRef>
          </c:val>
          <c:extLst>
            <c:ext xmlns:c16="http://schemas.microsoft.com/office/drawing/2014/chart" uri="{C3380CC4-5D6E-409C-BE32-E72D297353CC}">
              <c16:uniqueId val="{00000018-DEEB-4DEF-91D3-833A9B114D09}"/>
            </c:ext>
          </c:extLst>
        </c:ser>
        <c:ser>
          <c:idx val="56"/>
          <c:order val="25"/>
          <c:tx>
            <c:strRef>
              <c:f>'Charges individuel'!$AB$4</c:f>
              <c:strCache>
                <c:ptCount val="1"/>
                <c:pt idx="0">
                  <c:v>0</c:v>
                </c:pt>
              </c:strCache>
            </c:strRef>
          </c:tx>
          <c:spPr>
            <a:solidFill>
              <a:schemeClr val="accent3"/>
            </a:solidFill>
            <a:ln>
              <a:noFill/>
            </a:ln>
            <a:effectLst/>
          </c:spPr>
          <c:invertIfNegative val="0"/>
          <c:dLbls>
            <c:spPr>
              <a:noFill/>
              <a:ln>
                <a:noFill/>
              </a:ln>
              <a:effectLst/>
            </c:spPr>
            <c:txPr>
              <a:bodyPr rot="-5400000" spcFirstLastPara="1" vertOverflow="ellipsis" wrap="square" lIns="38100" tIns="19050" rIns="38100" bIns="19050" anchor="ctr" anchorCtr="1">
                <a:spAutoFit/>
              </a:bodyPr>
              <a:lstStyle/>
              <a:p>
                <a:pPr>
                  <a:defRPr sz="900" b="0" i="0" u="none" strike="noStrike" kern="1200" baseline="0">
                    <a:solidFill>
                      <a:schemeClr val="tx1"/>
                    </a:solidFill>
                    <a:latin typeface="+mn-lt"/>
                    <a:ea typeface="+mn-ea"/>
                    <a:cs typeface="+mn-cs"/>
                  </a:defRPr>
                </a:pPr>
                <a:endParaRPr lang="fr-FR"/>
              </a:p>
            </c:txPr>
            <c:dLblPos val="inBase"/>
            <c:showLegendKey val="0"/>
            <c:showVal val="1"/>
            <c:showCatName val="0"/>
            <c:showSerName val="1"/>
            <c:showPercent val="0"/>
            <c:showBubbleSize val="0"/>
            <c:separator>
</c:separator>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val>
            <c:numRef>
              <c:f>'Charges individuel'!$AB$150</c:f>
              <c:numCache>
                <c:formatCode>#,##0</c:formatCode>
                <c:ptCount val="1"/>
                <c:pt idx="0">
                  <c:v>0</c:v>
                </c:pt>
              </c:numCache>
            </c:numRef>
          </c:val>
          <c:extLst>
            <c:ext xmlns:c16="http://schemas.microsoft.com/office/drawing/2014/chart" uri="{C3380CC4-5D6E-409C-BE32-E72D297353CC}">
              <c16:uniqueId val="{00000019-DEEB-4DEF-91D3-833A9B114D09}"/>
            </c:ext>
          </c:extLst>
        </c:ser>
        <c:ser>
          <c:idx val="57"/>
          <c:order val="26"/>
          <c:tx>
            <c:strRef>
              <c:f>'Charges individuel'!$AC$4</c:f>
              <c:strCache>
                <c:ptCount val="1"/>
                <c:pt idx="0">
                  <c:v>0</c:v>
                </c:pt>
              </c:strCache>
            </c:strRef>
          </c:tx>
          <c:spPr>
            <a:solidFill>
              <a:schemeClr val="accent4"/>
            </a:solidFill>
            <a:ln>
              <a:noFill/>
            </a:ln>
            <a:effectLst/>
          </c:spPr>
          <c:invertIfNegative val="0"/>
          <c:dLbls>
            <c:spPr>
              <a:noFill/>
              <a:ln>
                <a:noFill/>
              </a:ln>
              <a:effectLst/>
            </c:spPr>
            <c:txPr>
              <a:bodyPr rot="-5400000" spcFirstLastPara="1" vertOverflow="ellipsis" wrap="square" lIns="38100" tIns="19050" rIns="38100" bIns="19050" anchor="ctr" anchorCtr="1">
                <a:spAutoFit/>
              </a:bodyPr>
              <a:lstStyle/>
              <a:p>
                <a:pPr>
                  <a:defRPr sz="900" b="0" i="0" u="none" strike="noStrike" kern="1200" baseline="0">
                    <a:solidFill>
                      <a:schemeClr val="tx1"/>
                    </a:solidFill>
                    <a:latin typeface="+mn-lt"/>
                    <a:ea typeface="+mn-ea"/>
                    <a:cs typeface="+mn-cs"/>
                  </a:defRPr>
                </a:pPr>
                <a:endParaRPr lang="fr-FR"/>
              </a:p>
            </c:txPr>
            <c:dLblPos val="inBase"/>
            <c:showLegendKey val="0"/>
            <c:showVal val="1"/>
            <c:showCatName val="0"/>
            <c:showSerName val="1"/>
            <c:showPercent val="0"/>
            <c:showBubbleSize val="0"/>
            <c:separator>
</c:separator>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val>
            <c:numRef>
              <c:f>'Charges individuel'!$AC$150</c:f>
              <c:numCache>
                <c:formatCode>#,##0</c:formatCode>
                <c:ptCount val="1"/>
                <c:pt idx="0">
                  <c:v>0</c:v>
                </c:pt>
              </c:numCache>
            </c:numRef>
          </c:val>
          <c:extLst>
            <c:ext xmlns:c16="http://schemas.microsoft.com/office/drawing/2014/chart" uri="{C3380CC4-5D6E-409C-BE32-E72D297353CC}">
              <c16:uniqueId val="{0000001A-DEEB-4DEF-91D3-833A9B114D09}"/>
            </c:ext>
          </c:extLst>
        </c:ser>
        <c:ser>
          <c:idx val="58"/>
          <c:order val="27"/>
          <c:tx>
            <c:strRef>
              <c:f>'Charges individuel'!$AD$4</c:f>
              <c:strCache>
                <c:ptCount val="1"/>
                <c:pt idx="0">
                  <c:v>0</c:v>
                </c:pt>
              </c:strCache>
            </c:strRef>
          </c:tx>
          <c:spPr>
            <a:solidFill>
              <a:schemeClr val="accent5"/>
            </a:solidFill>
            <a:ln>
              <a:noFill/>
            </a:ln>
            <a:effectLst/>
          </c:spPr>
          <c:invertIfNegative val="0"/>
          <c:dLbls>
            <c:spPr>
              <a:noFill/>
              <a:ln>
                <a:noFill/>
              </a:ln>
              <a:effectLst/>
            </c:spPr>
            <c:txPr>
              <a:bodyPr rot="-5400000" spcFirstLastPara="1" vertOverflow="ellipsis" wrap="square" lIns="38100" tIns="19050" rIns="38100" bIns="19050" anchor="ctr" anchorCtr="1">
                <a:spAutoFit/>
              </a:bodyPr>
              <a:lstStyle/>
              <a:p>
                <a:pPr>
                  <a:defRPr sz="900" b="0" i="0" u="none" strike="noStrike" kern="1200" baseline="0">
                    <a:solidFill>
                      <a:schemeClr val="tx1"/>
                    </a:solidFill>
                    <a:latin typeface="+mn-lt"/>
                    <a:ea typeface="+mn-ea"/>
                    <a:cs typeface="+mn-cs"/>
                  </a:defRPr>
                </a:pPr>
                <a:endParaRPr lang="fr-FR"/>
              </a:p>
            </c:txPr>
            <c:dLblPos val="inBase"/>
            <c:showLegendKey val="0"/>
            <c:showVal val="1"/>
            <c:showCatName val="0"/>
            <c:showSerName val="1"/>
            <c:showPercent val="0"/>
            <c:showBubbleSize val="0"/>
            <c:separator>
</c:separator>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val>
            <c:numRef>
              <c:f>'Charges individuel'!$AD$150</c:f>
              <c:numCache>
                <c:formatCode>#,##0</c:formatCode>
                <c:ptCount val="1"/>
                <c:pt idx="0">
                  <c:v>0</c:v>
                </c:pt>
              </c:numCache>
            </c:numRef>
          </c:val>
          <c:extLst>
            <c:ext xmlns:c16="http://schemas.microsoft.com/office/drawing/2014/chart" uri="{C3380CC4-5D6E-409C-BE32-E72D297353CC}">
              <c16:uniqueId val="{0000001B-DEEB-4DEF-91D3-833A9B114D09}"/>
            </c:ext>
          </c:extLst>
        </c:ser>
        <c:ser>
          <c:idx val="59"/>
          <c:order val="28"/>
          <c:tx>
            <c:strRef>
              <c:f>'Charges individuel'!$AE$4</c:f>
              <c:strCache>
                <c:ptCount val="1"/>
                <c:pt idx="0">
                  <c:v>0</c:v>
                </c:pt>
              </c:strCache>
            </c:strRef>
          </c:tx>
          <c:spPr>
            <a:solidFill>
              <a:schemeClr val="accent6"/>
            </a:solidFill>
            <a:ln>
              <a:noFill/>
            </a:ln>
            <a:effectLst/>
          </c:spPr>
          <c:invertIfNegative val="0"/>
          <c:dLbls>
            <c:spPr>
              <a:noFill/>
              <a:ln>
                <a:noFill/>
              </a:ln>
              <a:effectLst/>
            </c:spPr>
            <c:txPr>
              <a:bodyPr rot="-5400000" spcFirstLastPara="1" vertOverflow="ellipsis" wrap="square" lIns="38100" tIns="19050" rIns="38100" bIns="19050" anchor="ctr" anchorCtr="1">
                <a:spAutoFit/>
              </a:bodyPr>
              <a:lstStyle/>
              <a:p>
                <a:pPr>
                  <a:defRPr sz="900" b="0" i="0" u="none" strike="noStrike" kern="1200" baseline="0">
                    <a:solidFill>
                      <a:schemeClr val="tx1"/>
                    </a:solidFill>
                    <a:latin typeface="+mn-lt"/>
                    <a:ea typeface="+mn-ea"/>
                    <a:cs typeface="+mn-cs"/>
                  </a:defRPr>
                </a:pPr>
                <a:endParaRPr lang="fr-FR"/>
              </a:p>
            </c:txPr>
            <c:dLblPos val="inBase"/>
            <c:showLegendKey val="0"/>
            <c:showVal val="1"/>
            <c:showCatName val="0"/>
            <c:showSerName val="1"/>
            <c:showPercent val="0"/>
            <c:showBubbleSize val="0"/>
            <c:separator>
</c:separator>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val>
            <c:numRef>
              <c:f>'Charges individuel'!$AE$150</c:f>
              <c:numCache>
                <c:formatCode>#,##0</c:formatCode>
                <c:ptCount val="1"/>
                <c:pt idx="0">
                  <c:v>0</c:v>
                </c:pt>
              </c:numCache>
            </c:numRef>
          </c:val>
          <c:extLst>
            <c:ext xmlns:c16="http://schemas.microsoft.com/office/drawing/2014/chart" uri="{C3380CC4-5D6E-409C-BE32-E72D297353CC}">
              <c16:uniqueId val="{0000001C-DEEB-4DEF-91D3-833A9B114D09}"/>
            </c:ext>
          </c:extLst>
        </c:ser>
        <c:ser>
          <c:idx val="60"/>
          <c:order val="29"/>
          <c:tx>
            <c:strRef>
              <c:f>'Charges individuel'!$AF$4</c:f>
              <c:strCache>
                <c:ptCount val="1"/>
                <c:pt idx="0">
                  <c:v>0</c:v>
                </c:pt>
              </c:strCache>
            </c:strRef>
          </c:tx>
          <c:spPr>
            <a:solidFill>
              <a:schemeClr val="accent1">
                <a:lumMod val="60000"/>
              </a:schemeClr>
            </a:solidFill>
            <a:ln>
              <a:noFill/>
            </a:ln>
            <a:effectLst/>
          </c:spPr>
          <c:invertIfNegative val="0"/>
          <c:dLbls>
            <c:spPr>
              <a:noFill/>
              <a:ln>
                <a:noFill/>
              </a:ln>
              <a:effectLst/>
            </c:spPr>
            <c:txPr>
              <a:bodyPr rot="-5400000" spcFirstLastPara="1" vertOverflow="ellipsis" wrap="square" lIns="38100" tIns="19050" rIns="38100" bIns="19050" anchor="ctr" anchorCtr="1">
                <a:spAutoFit/>
              </a:bodyPr>
              <a:lstStyle/>
              <a:p>
                <a:pPr>
                  <a:defRPr sz="900" b="0" i="0" u="none" strike="noStrike" kern="1200" baseline="0">
                    <a:solidFill>
                      <a:schemeClr val="tx1"/>
                    </a:solidFill>
                    <a:latin typeface="+mn-lt"/>
                    <a:ea typeface="+mn-ea"/>
                    <a:cs typeface="+mn-cs"/>
                  </a:defRPr>
                </a:pPr>
                <a:endParaRPr lang="fr-FR"/>
              </a:p>
            </c:txPr>
            <c:dLblPos val="inBase"/>
            <c:showLegendKey val="0"/>
            <c:showVal val="1"/>
            <c:showCatName val="0"/>
            <c:showSerName val="1"/>
            <c:showPercent val="0"/>
            <c:showBubbleSize val="0"/>
            <c:separator>
</c:separator>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val>
            <c:numRef>
              <c:f>'Charges individuel'!$AF$150</c:f>
              <c:numCache>
                <c:formatCode>#,##0</c:formatCode>
                <c:ptCount val="1"/>
                <c:pt idx="0">
                  <c:v>0</c:v>
                </c:pt>
              </c:numCache>
            </c:numRef>
          </c:val>
          <c:extLst>
            <c:ext xmlns:c16="http://schemas.microsoft.com/office/drawing/2014/chart" uri="{C3380CC4-5D6E-409C-BE32-E72D297353CC}">
              <c16:uniqueId val="{0000001D-DEEB-4DEF-91D3-833A9B114D09}"/>
            </c:ext>
          </c:extLst>
        </c:ser>
        <c:ser>
          <c:idx val="0"/>
          <c:order val="30"/>
          <c:tx>
            <c:strRef>
              <c:f>'Charges individuel'!$AG$4</c:f>
              <c:strCache>
                <c:ptCount val="1"/>
                <c:pt idx="0">
                  <c:v>TOTAL</c:v>
                </c:pt>
              </c:strCache>
            </c:strRef>
          </c:tx>
          <c:spPr>
            <a:solidFill>
              <a:srgbClr val="002060"/>
            </a:solidFill>
            <a:ln>
              <a:noFill/>
            </a:ln>
            <a:effectLst/>
          </c:spPr>
          <c:invertIfNegative val="0"/>
          <c:dLbls>
            <c:spPr>
              <a:noFill/>
              <a:ln>
                <a:noFill/>
              </a:ln>
              <a:effectLst/>
            </c:spPr>
            <c:txPr>
              <a:bodyPr rot="-5400000" spcFirstLastPara="1" vertOverflow="ellipsis" wrap="square" lIns="38100" tIns="19050" rIns="38100" bIns="19050" anchor="ctr" anchorCtr="1">
                <a:spAutoFit/>
              </a:bodyPr>
              <a:lstStyle/>
              <a:p>
                <a:pPr>
                  <a:defRPr sz="900" b="1" i="0" u="none" strike="noStrike" kern="1200" baseline="0">
                    <a:solidFill>
                      <a:schemeClr val="bg1"/>
                    </a:solidFill>
                    <a:latin typeface="+mn-lt"/>
                    <a:ea typeface="+mn-ea"/>
                    <a:cs typeface="+mn-cs"/>
                  </a:defRPr>
                </a:pPr>
                <a:endParaRPr lang="fr-FR"/>
              </a:p>
            </c:txPr>
            <c:dLblPos val="inBase"/>
            <c:showLegendKey val="0"/>
            <c:showVal val="1"/>
            <c:showCatName val="0"/>
            <c:showSerName val="1"/>
            <c:showPercent val="0"/>
            <c:showBubbleSize val="0"/>
            <c:separator>
</c:separator>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trendline>
            <c:spPr>
              <a:ln w="19050" cap="rnd">
                <a:solidFill>
                  <a:schemeClr val="accent1"/>
                </a:solidFill>
                <a:prstDash val="sysDot"/>
              </a:ln>
              <a:effectLst/>
            </c:spPr>
            <c:trendlineType val="linear"/>
            <c:dispRSqr val="0"/>
            <c:dispEq val="0"/>
          </c:trendline>
          <c:trendline>
            <c:spPr>
              <a:ln w="19050" cap="rnd">
                <a:solidFill>
                  <a:schemeClr val="accent1"/>
                </a:solidFill>
                <a:prstDash val="sysDot"/>
              </a:ln>
              <a:effectLst/>
            </c:spPr>
            <c:trendlineType val="linear"/>
            <c:dispRSqr val="0"/>
            <c:dispEq val="0"/>
          </c:trendline>
          <c:val>
            <c:numRef>
              <c:f>'Charges individuel'!$AG$150</c:f>
              <c:numCache>
                <c:formatCode>0</c:formatCode>
                <c:ptCount val="1"/>
                <c:pt idx="0">
                  <c:v>6720.5478676552193</c:v>
                </c:pt>
              </c:numCache>
            </c:numRef>
          </c:val>
          <c:extLst>
            <c:ext xmlns:c16="http://schemas.microsoft.com/office/drawing/2014/chart" uri="{C3380CC4-5D6E-409C-BE32-E72D297353CC}">
              <c16:uniqueId val="{00000002-DF05-4F76-A37D-185062D906A8}"/>
            </c:ext>
          </c:extLst>
        </c:ser>
        <c:dLbls>
          <c:dLblPos val="outEnd"/>
          <c:showLegendKey val="0"/>
          <c:showVal val="1"/>
          <c:showCatName val="0"/>
          <c:showSerName val="0"/>
          <c:showPercent val="0"/>
          <c:showBubbleSize val="0"/>
        </c:dLbls>
        <c:gapWidth val="219"/>
        <c:overlap val="-27"/>
        <c:axId val="1114240160"/>
        <c:axId val="1114242640"/>
      </c:barChart>
      <c:catAx>
        <c:axId val="1114240160"/>
        <c:scaling>
          <c:orientation val="minMax"/>
        </c:scaling>
        <c:delete val="1"/>
        <c:axPos val="b"/>
        <c:majorTickMark val="none"/>
        <c:minorTickMark val="none"/>
        <c:tickLblPos val="nextTo"/>
        <c:crossAx val="1114242640"/>
        <c:crosses val="autoZero"/>
        <c:auto val="1"/>
        <c:lblAlgn val="ctr"/>
        <c:lblOffset val="100"/>
        <c:noMultiLvlLbl val="0"/>
      </c:catAx>
      <c:valAx>
        <c:axId val="1114242640"/>
        <c:scaling>
          <c:orientation val="minMax"/>
        </c:scaling>
        <c:delete val="0"/>
        <c:axPos val="l"/>
        <c:majorGridlines>
          <c:spPr>
            <a:ln w="9525" cap="flat" cmpd="sng" algn="ctr">
              <a:solidFill>
                <a:schemeClr val="tx1">
                  <a:lumMod val="15000"/>
                  <a:lumOff val="85000"/>
                </a:schemeClr>
              </a:solidFill>
              <a:round/>
            </a:ln>
            <a:effectLst/>
          </c:spPr>
        </c:majorGridlines>
        <c:minorGridlines>
          <c:spPr>
            <a:ln w="9525" cap="flat" cmpd="sng" algn="ctr">
              <a:solidFill>
                <a:schemeClr val="tx1">
                  <a:lumMod val="5000"/>
                  <a:lumOff val="95000"/>
                </a:schemeClr>
              </a:solidFill>
              <a:round/>
            </a:ln>
            <a:effectLst/>
          </c:spPr>
        </c:min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fr-FR"/>
          </a:p>
        </c:txPr>
        <c:crossAx val="1114240160"/>
        <c:crosses val="autoZero"/>
        <c:crossBetween val="between"/>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fr-FR"/>
    </a:p>
  </c:txPr>
  <c:printSettings>
    <c:headerFooter/>
    <c:pageMargins b="0.75" l="0.7" r="0.7" t="0.75" header="0.3" footer="0.3"/>
    <c:pageSetup/>
  </c:printSettings>
</c:chartSpace>
</file>

<file path=xl/charts/colors1.xml><?xml version="1.0" encoding="utf-8"?>
<cs:colorStyle xmlns:cs="http://schemas.microsoft.com/office/drawing/2012/chartStyle" xmlns:a="http://schemas.openxmlformats.org/drawingml/2006/main" meth="withinLinear" id="18">
  <a:schemeClr val="accent5"/>
</cs:colorStyle>
</file>

<file path=xl/charts/colors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4.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5.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6.xml><?xml version="1.0" encoding="utf-8"?>
<cs:colorStyle xmlns:cs="http://schemas.microsoft.com/office/drawing/2012/chartStyle" xmlns:a="http://schemas.openxmlformats.org/drawingml/2006/main" meth="cycle" id="12">
  <a:schemeClr val="accent2"/>
  <a:schemeClr val="accent4"/>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7.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8.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9.xml><?xml version="1.0" encoding="utf-8"?>
<cs:colorStyle xmlns:cs="http://schemas.microsoft.com/office/drawing/2012/chartStyle" xmlns:a="http://schemas.openxmlformats.org/drawingml/2006/main" meth="withinLinear" id="16">
  <a:schemeClr val="accent3"/>
</cs:colorStyle>
</file>

<file path=xl/charts/colors10.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1.xml><?xml version="1.0" encoding="utf-8"?>
<cs:colorStyle xmlns:cs="http://schemas.microsoft.com/office/drawing/2012/chartStyle" xmlns:a="http://schemas.openxmlformats.org/drawingml/2006/main" meth="cycle" id="13">
  <a:schemeClr val="accent6"/>
  <a:schemeClr val="accent5"/>
  <a:schemeClr val="accent4"/>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2.xml><?xml version="1.0" encoding="utf-8"?>
<cs:colorStyle xmlns:cs="http://schemas.microsoft.com/office/drawing/2012/chartStyle" xmlns:a="http://schemas.openxmlformats.org/drawingml/2006/main" meth="cycle" id="13">
  <a:schemeClr val="accent6"/>
  <a:schemeClr val="accent5"/>
  <a:schemeClr val="accent4"/>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3.xml><?xml version="1.0" encoding="utf-8"?>
<cs:colorStyle xmlns:cs="http://schemas.microsoft.com/office/drawing/2012/chartStyle" xmlns:a="http://schemas.openxmlformats.org/drawingml/2006/main" meth="withinLinear" id="15">
  <a:schemeClr val="accent2"/>
</cs:colorStyle>
</file>

<file path=xl/charts/colors14.xml><?xml version="1.0" encoding="utf-8"?>
<cs:colorStyle xmlns:cs="http://schemas.microsoft.com/office/drawing/2012/chartStyle" xmlns:a="http://schemas.openxmlformats.org/drawingml/2006/main" meth="withinLinear" id="17">
  <a:schemeClr val="accent4"/>
</cs:colorStyle>
</file>

<file path=xl/charts/colors15.xml><?xml version="1.0" encoding="utf-8"?>
<cs:colorStyle xmlns:cs="http://schemas.microsoft.com/office/drawing/2012/chartStyle" xmlns:a="http://schemas.openxmlformats.org/drawingml/2006/main" meth="withinLinear" id="16">
  <a:schemeClr val="accent3"/>
</cs:colorStyle>
</file>

<file path=xl/charts/colors16.xml><?xml version="1.0" encoding="utf-8"?>
<cs:colorStyle xmlns:cs="http://schemas.microsoft.com/office/drawing/2012/chartStyle" xmlns:a="http://schemas.openxmlformats.org/drawingml/2006/main" meth="withinLinear" id="14">
  <a:schemeClr val="accent1"/>
</cs:colorStyle>
</file>

<file path=xl/charts/colors17.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8.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9.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0.xml><?xml version="1.0" encoding="utf-8"?>
<cs:colorStyle xmlns:cs="http://schemas.microsoft.com/office/drawing/2012/chartStyle" xmlns:a="http://schemas.openxmlformats.org/drawingml/2006/main" meth="cycle" id="20">
  <a:schemeClr val="dk1"/>
  <cs:variation>
    <a:tint val="88500"/>
  </cs:variation>
  <cs:variation>
    <a:tint val="55000"/>
  </cs:variation>
  <cs:variation>
    <a:tint val="75000"/>
  </cs:variation>
  <cs:variation>
    <a:tint val="98500"/>
  </cs:variation>
  <cs:variation>
    <a:tint val="30000"/>
  </cs:variation>
  <cs:variation>
    <a:tint val="60000"/>
  </cs:variation>
  <cs:variation>
    <a:tint val="80000"/>
  </cs:variation>
</cs:colorStyle>
</file>

<file path=xl/charts/colors2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2.xml><?xml version="1.0" encoding="utf-8"?>
<cs:colorStyle xmlns:cs="http://schemas.microsoft.com/office/drawing/2012/chartStyle" xmlns:a="http://schemas.openxmlformats.org/drawingml/2006/main" meth="cycle" id="20">
  <a:schemeClr val="dk1"/>
  <cs:variation>
    <a:tint val="88500"/>
  </cs:variation>
  <cs:variation>
    <a:tint val="55000"/>
  </cs:variation>
  <cs:variation>
    <a:tint val="75000"/>
  </cs:variation>
  <cs:variation>
    <a:tint val="98500"/>
  </cs:variation>
  <cs:variation>
    <a:tint val="30000"/>
  </cs:variation>
  <cs:variation>
    <a:tint val="60000"/>
  </cs:variation>
  <cs:variation>
    <a:tint val="80000"/>
  </cs:variation>
</cs:colorStyle>
</file>

<file path=xl/charts/colors23.xml><?xml version="1.0" encoding="utf-8"?>
<cs:colorStyle xmlns:cs="http://schemas.microsoft.com/office/drawing/2012/chartStyle" xmlns:a="http://schemas.openxmlformats.org/drawingml/2006/main" meth="cycle" id="20">
  <a:schemeClr val="dk1"/>
  <cs:variation>
    <a:tint val="88500"/>
  </cs:variation>
  <cs:variation>
    <a:tint val="55000"/>
  </cs:variation>
  <cs:variation>
    <a:tint val="75000"/>
  </cs:variation>
  <cs:variation>
    <a:tint val="98500"/>
  </cs:variation>
  <cs:variation>
    <a:tint val="30000"/>
  </cs:variation>
  <cs:variation>
    <a:tint val="60000"/>
  </cs:variation>
  <cs:variation>
    <a:tint val="80000"/>
  </cs:variation>
</cs:colorStyle>
</file>

<file path=xl/charts/colors24.xml><?xml version="1.0" encoding="utf-8"?>
<cs:colorStyle xmlns:cs="http://schemas.microsoft.com/office/drawing/2012/chartStyle" xmlns:a="http://schemas.openxmlformats.org/drawingml/2006/main" meth="cycle" id="20">
  <a:schemeClr val="dk1"/>
  <cs:variation>
    <a:tint val="88500"/>
  </cs:variation>
  <cs:variation>
    <a:tint val="55000"/>
  </cs:variation>
  <cs:variation>
    <a:tint val="75000"/>
  </cs:variation>
  <cs:variation>
    <a:tint val="98500"/>
  </cs:variation>
  <cs:variation>
    <a:tint val="30000"/>
  </cs:variation>
  <cs:variation>
    <a:tint val="60000"/>
  </cs:variation>
  <cs:variation>
    <a:tint val="80000"/>
  </cs:variation>
</cs:colorStyle>
</file>

<file path=xl/charts/colors25.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6.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7.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8.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9.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0.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1.xml><?xml version="1.0" encoding="utf-8"?>
<cs:colorStyle xmlns:cs="http://schemas.microsoft.com/office/drawing/2012/chartStyle" xmlns:a="http://schemas.openxmlformats.org/drawingml/2006/main" meth="cycle" id="12">
  <a:schemeClr val="accent2"/>
  <a:schemeClr val="accent4"/>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3.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4.xml><?xml version="1.0" encoding="utf-8"?>
<cs:colorStyle xmlns:cs="http://schemas.microsoft.com/office/drawing/2012/chartStyle" xmlns:a="http://schemas.openxmlformats.org/drawingml/2006/main" meth="cycle" id="12">
  <a:schemeClr val="accent2"/>
  <a:schemeClr val="accent4"/>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5.xml><?xml version="1.0" encoding="utf-8"?>
<cs:colorStyle xmlns:cs="http://schemas.microsoft.com/office/drawing/2012/chartStyle" xmlns:a="http://schemas.openxmlformats.org/drawingml/2006/main" meth="cycle" id="12">
  <a:schemeClr val="accent2"/>
  <a:schemeClr val="accent4"/>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6.xml><?xml version="1.0" encoding="utf-8"?>
<cs:colorStyle xmlns:cs="http://schemas.microsoft.com/office/drawing/2012/chartStyle" xmlns:a="http://schemas.openxmlformats.org/drawingml/2006/main" meth="cycle" id="12">
  <a:schemeClr val="accent2"/>
  <a:schemeClr val="accent4"/>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7.xml><?xml version="1.0" encoding="utf-8"?>
<cs:colorStyle xmlns:cs="http://schemas.microsoft.com/office/drawing/2012/chartStyle" xmlns:a="http://schemas.openxmlformats.org/drawingml/2006/main" meth="cycle" id="12">
  <a:schemeClr val="accent2"/>
  <a:schemeClr val="accent4"/>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8.xml><?xml version="1.0" encoding="utf-8"?>
<cs:colorStyle xmlns:cs="http://schemas.microsoft.com/office/drawing/2012/chartStyle" xmlns:a="http://schemas.openxmlformats.org/drawingml/2006/main" meth="cycle" id="12">
  <a:schemeClr val="accent2"/>
  <a:schemeClr val="accent4"/>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9.xml><?xml version="1.0" encoding="utf-8"?>
<cs:colorStyle xmlns:cs="http://schemas.microsoft.com/office/drawing/2012/chartStyle" xmlns:a="http://schemas.openxmlformats.org/drawingml/2006/main" meth="cycle" id="12">
  <a:schemeClr val="accent2"/>
  <a:schemeClr val="accent4"/>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40.xml><?xml version="1.0" encoding="utf-8"?>
<cs:colorStyle xmlns:cs="http://schemas.microsoft.com/office/drawing/2012/chartStyle" xmlns:a="http://schemas.openxmlformats.org/drawingml/2006/main" meth="cycle" id="12">
  <a:schemeClr val="accent2"/>
  <a:schemeClr val="accent4"/>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41.xml><?xml version="1.0" encoding="utf-8"?>
<cs:colorStyle xmlns:cs="http://schemas.microsoft.com/office/drawing/2012/chartStyle" xmlns:a="http://schemas.openxmlformats.org/drawingml/2006/main" meth="cycle" id="13">
  <a:schemeClr val="accent6"/>
  <a:schemeClr val="accent5"/>
  <a:schemeClr val="accent4"/>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4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43.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2.xml><?xml version="1.0" encoding="utf-8"?>
<cs:chartStyle xmlns:cs="http://schemas.microsoft.com/office/drawing/2012/chartStyle" xmlns:a="http://schemas.openxmlformats.org/drawingml/2006/main" id="25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9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ln w="19050">
        <a:solidFill>
          <a:schemeClr val="lt1"/>
        </a:solidFill>
      </a:ln>
    </cs:spPr>
  </cs:dataPoint>
  <cs:dataPoint3D>
    <cs:lnRef idx="0"/>
    <cs:fillRef idx="1">
      <cs:styleClr val="auto"/>
    </cs:fillRef>
    <cs:effectRef idx="0"/>
    <cs:fontRef idx="minor">
      <a:schemeClr val="tx1"/>
    </cs:fontRef>
    <cs:spPr>
      <a:ln w="25400">
        <a:solidFill>
          <a:schemeClr val="lt1"/>
        </a:solidFill>
      </a:ln>
    </cs:spPr>
  </cs:dataPoint3D>
  <cs:dataPointLine>
    <cs:lnRef idx="0">
      <cs:styleClr val="auto"/>
    </cs:lnRef>
    <cs:fillRef idx="0"/>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3.xml><?xml version="1.0" encoding="utf-8"?>
<cs:chartStyle xmlns:cs="http://schemas.microsoft.com/office/drawing/2012/chartStyle" xmlns:a="http://schemas.openxmlformats.org/drawingml/2006/main" id="25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9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ln w="19050">
        <a:solidFill>
          <a:schemeClr val="lt1"/>
        </a:solidFill>
      </a:ln>
    </cs:spPr>
  </cs:dataPoint>
  <cs:dataPoint3D>
    <cs:lnRef idx="0"/>
    <cs:fillRef idx="1">
      <cs:styleClr val="auto"/>
    </cs:fillRef>
    <cs:effectRef idx="0"/>
    <cs:fontRef idx="minor">
      <a:schemeClr val="tx1"/>
    </cs:fontRef>
    <cs:spPr>
      <a:ln w="25400">
        <a:solidFill>
          <a:schemeClr val="lt1"/>
        </a:solidFill>
      </a:ln>
    </cs:spPr>
  </cs:dataPoint3D>
  <cs:dataPointLine>
    <cs:lnRef idx="0">
      <cs:styleClr val="auto"/>
    </cs:lnRef>
    <cs:fillRef idx="0"/>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4.xml><?xml version="1.0" encoding="utf-8"?>
<cs:chartStyle xmlns:cs="http://schemas.microsoft.com/office/drawing/2012/chartStyle" xmlns:a="http://schemas.openxmlformats.org/drawingml/2006/main" id="25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9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ln w="19050">
        <a:solidFill>
          <a:schemeClr val="lt1"/>
        </a:solidFill>
      </a:ln>
    </cs:spPr>
  </cs:dataPoint>
  <cs:dataPoint3D>
    <cs:lnRef idx="0"/>
    <cs:fillRef idx="1">
      <cs:styleClr val="auto"/>
    </cs:fillRef>
    <cs:effectRef idx="0"/>
    <cs:fontRef idx="minor">
      <a:schemeClr val="tx1"/>
    </cs:fontRef>
    <cs:spPr>
      <a:ln w="25400">
        <a:solidFill>
          <a:schemeClr val="lt1"/>
        </a:solidFill>
      </a:ln>
    </cs:spPr>
  </cs:dataPoint3D>
  <cs:dataPointLine>
    <cs:lnRef idx="0">
      <cs:styleClr val="auto"/>
    </cs:lnRef>
    <cs:fillRef idx="0"/>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5.xml><?xml version="1.0" encoding="utf-8"?>
<cs:chartStyle xmlns:cs="http://schemas.microsoft.com/office/drawing/2012/chartStyle" xmlns:a="http://schemas.openxmlformats.org/drawingml/2006/main" id="25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9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ln w="19050">
        <a:solidFill>
          <a:schemeClr val="lt1"/>
        </a:solidFill>
      </a:ln>
    </cs:spPr>
  </cs:dataPoint>
  <cs:dataPoint3D>
    <cs:lnRef idx="0"/>
    <cs:fillRef idx="1">
      <cs:styleClr val="auto"/>
    </cs:fillRef>
    <cs:effectRef idx="0"/>
    <cs:fontRef idx="minor">
      <a:schemeClr val="tx1"/>
    </cs:fontRef>
    <cs:spPr>
      <a:ln w="25400">
        <a:solidFill>
          <a:schemeClr val="lt1"/>
        </a:solidFill>
      </a:ln>
    </cs:spPr>
  </cs:dataPoint3D>
  <cs:dataPointLine>
    <cs:lnRef idx="0">
      <cs:styleClr val="auto"/>
    </cs:lnRef>
    <cs:fillRef idx="0"/>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6.xml><?xml version="1.0" encoding="utf-8"?>
<cs:chartStyle xmlns:cs="http://schemas.microsoft.com/office/drawing/2012/chartStyle" xmlns:a="http://schemas.openxmlformats.org/drawingml/2006/main" id="25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9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ln w="19050">
        <a:solidFill>
          <a:schemeClr val="lt1"/>
        </a:solidFill>
      </a:ln>
    </cs:spPr>
  </cs:dataPoint>
  <cs:dataPoint3D>
    <cs:lnRef idx="0"/>
    <cs:fillRef idx="1">
      <cs:styleClr val="auto"/>
    </cs:fillRef>
    <cs:effectRef idx="0"/>
    <cs:fontRef idx="minor">
      <a:schemeClr val="tx1"/>
    </cs:fontRef>
    <cs:spPr>
      <a:ln w="25400">
        <a:solidFill>
          <a:schemeClr val="lt1"/>
        </a:solidFill>
      </a:ln>
    </cs:spPr>
  </cs:dataPoint3D>
  <cs:dataPointLine>
    <cs:lnRef idx="0">
      <cs:styleClr val="auto"/>
    </cs:lnRef>
    <cs:fillRef idx="0"/>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7.xml><?xml version="1.0" encoding="utf-8"?>
<cs:chartStyle xmlns:cs="http://schemas.microsoft.com/office/drawing/2012/chartStyle" xmlns:a="http://schemas.openxmlformats.org/drawingml/2006/main" id="25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9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ln w="19050">
        <a:solidFill>
          <a:schemeClr val="lt1"/>
        </a:solidFill>
      </a:ln>
    </cs:spPr>
  </cs:dataPoint>
  <cs:dataPoint3D>
    <cs:lnRef idx="0"/>
    <cs:fillRef idx="1">
      <cs:styleClr val="auto"/>
    </cs:fillRef>
    <cs:effectRef idx="0"/>
    <cs:fontRef idx="minor">
      <a:schemeClr val="tx1"/>
    </cs:fontRef>
    <cs:spPr>
      <a:ln w="25400">
        <a:solidFill>
          <a:schemeClr val="lt1"/>
        </a:solidFill>
      </a:ln>
    </cs:spPr>
  </cs:dataPoint3D>
  <cs:dataPointLine>
    <cs:lnRef idx="0">
      <cs:styleClr val="auto"/>
    </cs:lnRef>
    <cs:fillRef idx="0"/>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8.xml><?xml version="1.0" encoding="utf-8"?>
<cs:chartStyle xmlns:cs="http://schemas.microsoft.com/office/drawing/2012/chartStyle" xmlns:a="http://schemas.openxmlformats.org/drawingml/2006/main" id="25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9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ln w="19050">
        <a:solidFill>
          <a:schemeClr val="lt1"/>
        </a:solidFill>
      </a:ln>
    </cs:spPr>
  </cs:dataPoint>
  <cs:dataPoint3D>
    <cs:lnRef idx="0"/>
    <cs:fillRef idx="1">
      <cs:styleClr val="auto"/>
    </cs:fillRef>
    <cs:effectRef idx="0"/>
    <cs:fontRef idx="minor">
      <a:schemeClr val="tx1"/>
    </cs:fontRef>
    <cs:spPr>
      <a:ln w="25400">
        <a:solidFill>
          <a:schemeClr val="lt1"/>
        </a:solidFill>
      </a:ln>
    </cs:spPr>
  </cs:dataPoint3D>
  <cs:dataPointLine>
    <cs:lnRef idx="0">
      <cs:styleClr val="auto"/>
    </cs:lnRef>
    <cs:fillRef idx="0"/>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9.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10.xml><?xml version="1.0" encoding="utf-8"?>
<cs:chartStyle xmlns:cs="http://schemas.microsoft.com/office/drawing/2012/chartStyle" xmlns:a="http://schemas.openxmlformats.org/drawingml/2006/main" id="29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11.xml><?xml version="1.0" encoding="utf-8"?>
<cs:chartStyle xmlns:cs="http://schemas.microsoft.com/office/drawing/2012/chartStyle" xmlns:a="http://schemas.openxmlformats.org/drawingml/2006/main" id="29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12.xml><?xml version="1.0" encoding="utf-8"?>
<cs:chartStyle xmlns:cs="http://schemas.microsoft.com/office/drawing/2012/chartStyle" xmlns:a="http://schemas.openxmlformats.org/drawingml/2006/main" id="29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13.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14.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15.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16.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17.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18.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19.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20.xml><?xml version="1.0" encoding="utf-8"?>
<cs:chartStyle xmlns:cs="http://schemas.microsoft.com/office/drawing/2012/chartStyle" xmlns:a="http://schemas.openxmlformats.org/drawingml/2006/main" id="31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21.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22.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23.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24.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25.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26.xml><?xml version="1.0" encoding="utf-8"?>
<cs:chartStyle xmlns:cs="http://schemas.microsoft.com/office/drawing/2012/chartStyle" xmlns:a="http://schemas.openxmlformats.org/drawingml/2006/main" id="25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9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ln w="19050">
        <a:solidFill>
          <a:schemeClr val="lt1"/>
        </a:solidFill>
      </a:ln>
    </cs:spPr>
  </cs:dataPoint>
  <cs:dataPoint3D>
    <cs:lnRef idx="0"/>
    <cs:fillRef idx="1">
      <cs:styleClr val="auto"/>
    </cs:fillRef>
    <cs:effectRef idx="0"/>
    <cs:fontRef idx="minor">
      <a:schemeClr val="tx1"/>
    </cs:fontRef>
    <cs:spPr>
      <a:ln w="25400">
        <a:solidFill>
          <a:schemeClr val="lt1"/>
        </a:solidFill>
      </a:ln>
    </cs:spPr>
  </cs:dataPoint3D>
  <cs:dataPointLine>
    <cs:lnRef idx="0">
      <cs:styleClr val="auto"/>
    </cs:lnRef>
    <cs:fillRef idx="0"/>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27.xml><?xml version="1.0" encoding="utf-8"?>
<cs:chartStyle xmlns:cs="http://schemas.microsoft.com/office/drawing/2012/chartStyle" xmlns:a="http://schemas.openxmlformats.org/drawingml/2006/main" id="25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9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ln w="19050">
        <a:solidFill>
          <a:schemeClr val="lt1"/>
        </a:solidFill>
      </a:ln>
    </cs:spPr>
  </cs:dataPoint>
  <cs:dataPoint3D>
    <cs:lnRef idx="0"/>
    <cs:fillRef idx="1">
      <cs:styleClr val="auto"/>
    </cs:fillRef>
    <cs:effectRef idx="0"/>
    <cs:fontRef idx="minor">
      <a:schemeClr val="tx1"/>
    </cs:fontRef>
    <cs:spPr>
      <a:ln w="25400">
        <a:solidFill>
          <a:schemeClr val="lt1"/>
        </a:solidFill>
      </a:ln>
    </cs:spPr>
  </cs:dataPoint3D>
  <cs:dataPointLine>
    <cs:lnRef idx="0">
      <cs:styleClr val="auto"/>
    </cs:lnRef>
    <cs:fillRef idx="0"/>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28.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29.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30.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31.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32.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33.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34.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35.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36.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37.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38.xml><?xml version="1.0" encoding="utf-8"?>
<cs:chartStyle xmlns:cs="http://schemas.microsoft.com/office/drawing/2012/chartStyle" xmlns:a="http://schemas.openxmlformats.org/drawingml/2006/main" id="29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39.xml><?xml version="1.0" encoding="utf-8"?>
<cs:chartStyle xmlns:cs="http://schemas.microsoft.com/office/drawing/2012/chartStyle" xmlns:a="http://schemas.openxmlformats.org/drawingml/2006/main" id="216">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40.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41.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42.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43.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ctrlProps/ctrlProp3.xml><?xml version="1.0" encoding="utf-8"?>
<formControlPr xmlns="http://schemas.microsoft.com/office/spreadsheetml/2009/9/main" objectType="Button" lockText="1"/>
</file>

<file path=xl/ctrlProps/ctrlProp4.xml><?xml version="1.0" encoding="utf-8"?>
<formControlPr xmlns="http://schemas.microsoft.com/office/spreadsheetml/2009/9/main" objectType="Button" lockText="1"/>
</file>

<file path=xl/ctrlProps/ctrlProp5.xml><?xml version="1.0" encoding="utf-8"?>
<formControlPr xmlns="http://schemas.microsoft.com/office/spreadsheetml/2009/9/main" objectType="Button" lockText="1"/>
</file>

<file path=xl/ctrlProps/ctrlProp6.xml><?xml version="1.0" encoding="utf-8"?>
<formControlPr xmlns="http://schemas.microsoft.com/office/spreadsheetml/2009/9/main" objectType="Button" lockText="1"/>
</file>

<file path=xl/ctrlProps/ctrlProp7.xml><?xml version="1.0" encoding="utf-8"?>
<formControlPr xmlns="http://schemas.microsoft.com/office/spreadsheetml/2009/9/main" objectType="Button" lockText="1"/>
</file>

<file path=xl/ctrlProps/ctrlProp8.xml><?xml version="1.0" encoding="utf-8"?>
<formControlPr xmlns="http://schemas.microsoft.com/office/spreadsheetml/2009/9/main" objectType="Button" lockText="1"/>
</file>

<file path=xl/ctrlProps/ctrlProp9.xml><?xml version="1.0" encoding="utf-8"?>
<formControlPr xmlns="http://schemas.microsoft.com/office/spreadsheetml/2009/9/main" objectType="Button" lockText="1"/>
</file>

<file path=xl/ctrlProps/ctrlProp10.xml><?xml version="1.0" encoding="utf-8"?>
<formControlPr xmlns="http://schemas.microsoft.com/office/spreadsheetml/2009/9/main" objectType="Button" lockText="1"/>
</file>

<file path=xl/ctrlProps/ctrlProp11.xml><?xml version="1.0" encoding="utf-8"?>
<formControlPr xmlns="http://schemas.microsoft.com/office/spreadsheetml/2009/9/main" objectType="Button" lockText="1"/>
</file>

<file path=xl/ctrlProps/ctrlProp12.xml><?xml version="1.0" encoding="utf-8"?>
<formControlPr xmlns="http://schemas.microsoft.com/office/spreadsheetml/2009/9/main" objectType="Button" lockText="1"/>
</file>

<file path=xl/ctrlProps/ctrlProp13.xml><?xml version="1.0" encoding="utf-8"?>
<formControlPr xmlns="http://schemas.microsoft.com/office/spreadsheetml/2009/9/main" objectType="Button" lockText="1"/>
</file>

<file path=xl/ctrlProps/ctrlProp14.xml><?xml version="1.0" encoding="utf-8"?>
<formControlPr xmlns="http://schemas.microsoft.com/office/spreadsheetml/2009/9/main" objectType="Button" lockText="1"/>
</file>

<file path=xl/ctrlProps/ctrlProp15.xml><?xml version="1.0" encoding="utf-8"?>
<formControlPr xmlns="http://schemas.microsoft.com/office/spreadsheetml/2009/9/main" objectType="Button" lockText="1"/>
</file>

<file path=xl/ctrlProps/ctrlProp16.xml><?xml version="1.0" encoding="utf-8"?>
<formControlPr xmlns="http://schemas.microsoft.com/office/spreadsheetml/2009/9/main" objectType="Button" lockText="1"/>
</file>

<file path=xl/ctrlProps/ctrlProp17.xml><?xml version="1.0" encoding="utf-8"?>
<formControlPr xmlns="http://schemas.microsoft.com/office/spreadsheetml/2009/9/main" objectType="Button" lockText="1"/>
</file>

<file path=xl/ctrlProps/ctrlProp18.xml><?xml version="1.0" encoding="utf-8"?>
<formControlPr xmlns="http://schemas.microsoft.com/office/spreadsheetml/2009/9/main" objectType="Button" lockText="1"/>
</file>

<file path=xl/ctrlProps/ctrlProp19.xml><?xml version="1.0" encoding="utf-8"?>
<formControlPr xmlns="http://schemas.microsoft.com/office/spreadsheetml/2009/9/main" objectType="Button" lockText="1"/>
</file>

<file path=xl/ctrlProps/ctrlProp20.xml><?xml version="1.0" encoding="utf-8"?>
<formControlPr xmlns="http://schemas.microsoft.com/office/spreadsheetml/2009/9/main" objectType="Button" lockText="1"/>
</file>

<file path=xl/ctrlProps/ctrlProp21.xml><?xml version="1.0" encoding="utf-8"?>
<formControlPr xmlns="http://schemas.microsoft.com/office/spreadsheetml/2009/9/main" objectType="Button" lockText="1"/>
</file>

<file path=xl/ctrlProps/ctrlProp22.xml><?xml version="1.0" encoding="utf-8"?>
<formControlPr xmlns="http://schemas.microsoft.com/office/spreadsheetml/2009/9/main" objectType="Button" lockText="1"/>
</file>

<file path=xl/ctrlProps/ctrlProp23.xml><?xml version="1.0" encoding="utf-8"?>
<formControlPr xmlns="http://schemas.microsoft.com/office/spreadsheetml/2009/9/main" objectType="Button" lockText="1"/>
</file>

<file path=xl/ctrlProps/ctrlProp24.xml><?xml version="1.0" encoding="utf-8"?>
<formControlPr xmlns="http://schemas.microsoft.com/office/spreadsheetml/2009/9/main" objectType="Button" lockText="1"/>
</file>

<file path=xl/ctrlProps/ctrlProp25.xml><?xml version="1.0" encoding="utf-8"?>
<formControlPr xmlns="http://schemas.microsoft.com/office/spreadsheetml/2009/9/main" objectType="Button" lockText="1"/>
</file>

<file path=xl/ctrlProps/ctrlProp26.xml><?xml version="1.0" encoding="utf-8"?>
<formControlPr xmlns="http://schemas.microsoft.com/office/spreadsheetml/2009/9/main" objectType="Button" lockText="1"/>
</file>

<file path=xl/ctrlProps/ctrlProp27.xml><?xml version="1.0" encoding="utf-8"?>
<formControlPr xmlns="http://schemas.microsoft.com/office/spreadsheetml/2009/9/main" objectType="Button" lockText="1"/>
</file>

<file path=xl/ctrlProps/ctrlProp28.xml><?xml version="1.0" encoding="utf-8"?>
<formControlPr xmlns="http://schemas.microsoft.com/office/spreadsheetml/2009/9/main" objectType="Button" lockText="1"/>
</file>

<file path=xl/ctrlProps/ctrlProp29.xml><?xml version="1.0" encoding="utf-8"?>
<formControlPr xmlns="http://schemas.microsoft.com/office/spreadsheetml/2009/9/main" objectType="Button" lockText="1"/>
</file>

<file path=xl/ctrlProps/ctrlProp30.xml><?xml version="1.0" encoding="utf-8"?>
<formControlPr xmlns="http://schemas.microsoft.com/office/spreadsheetml/2009/9/main" objectType="Button" lockText="1"/>
</file>

<file path=xl/ctrlProps/ctrlProp31.xml><?xml version="1.0" encoding="utf-8"?>
<formControlPr xmlns="http://schemas.microsoft.com/office/spreadsheetml/2009/9/main" objectType="Button" lockText="1"/>
</file>

<file path=xl/ctrlProps/ctrlProp32.xml><?xml version="1.0" encoding="utf-8"?>
<formControlPr xmlns="http://schemas.microsoft.com/office/spreadsheetml/2009/9/main" objectType="Button" lockText="1"/>
</file>

<file path=xl/ctrlProps/ctrlProp33.xml><?xml version="1.0" encoding="utf-8"?>
<formControlPr xmlns="http://schemas.microsoft.com/office/spreadsheetml/2009/9/main" objectType="Button" lockText="1"/>
</file>

<file path=xl/ctrlProps/ctrlProp34.xml><?xml version="1.0" encoding="utf-8"?>
<formControlPr xmlns="http://schemas.microsoft.com/office/spreadsheetml/2009/9/main" objectType="Button" lockText="1"/>
</file>

<file path=xl/ctrlProps/ctrlProp35.xml><?xml version="1.0" encoding="utf-8"?>
<formControlPr xmlns="http://schemas.microsoft.com/office/spreadsheetml/2009/9/main" objectType="Button" lockText="1"/>
</file>

<file path=xl/ctrlProps/ctrlProp36.xml><?xml version="1.0" encoding="utf-8"?>
<formControlPr xmlns="http://schemas.microsoft.com/office/spreadsheetml/2009/9/main" objectType="Button" lockText="1"/>
</file>

<file path=xl/ctrlProps/ctrlProp37.xml><?xml version="1.0" encoding="utf-8"?>
<formControlPr xmlns="http://schemas.microsoft.com/office/spreadsheetml/2009/9/main" objectType="Button" lockText="1"/>
</file>

<file path=xl/ctrlProps/ctrlProp38.xml><?xml version="1.0" encoding="utf-8"?>
<formControlPr xmlns="http://schemas.microsoft.com/office/spreadsheetml/2009/9/main" objectType="Button" lockText="1"/>
</file>

<file path=xl/ctrlProps/ctrlProp39.xml><?xml version="1.0" encoding="utf-8"?>
<formControlPr xmlns="http://schemas.microsoft.com/office/spreadsheetml/2009/9/main" objectType="Button" lockText="1"/>
</file>

<file path=xl/ctrlProps/ctrlProp40.xml><?xml version="1.0" encoding="utf-8"?>
<formControlPr xmlns="http://schemas.microsoft.com/office/spreadsheetml/2009/9/main" objectType="Button" lockText="1"/>
</file>

<file path=xl/ctrlProps/ctrlProp41.xml><?xml version="1.0" encoding="utf-8"?>
<formControlPr xmlns="http://schemas.microsoft.com/office/spreadsheetml/2009/9/main" objectType="Button" lockText="1"/>
</file>

<file path=xl/ctrlProps/ctrlProp42.xml><?xml version="1.0" encoding="utf-8"?>
<formControlPr xmlns="http://schemas.microsoft.com/office/spreadsheetml/2009/9/main" objectType="Button" lockText="1"/>
</file>

<file path=xl/ctrlProps/ctrlProp43.xml><?xml version="1.0" encoding="utf-8"?>
<formControlPr xmlns="http://schemas.microsoft.com/office/spreadsheetml/2009/9/main" objectType="Button" lockText="1"/>
</file>

<file path=xl/ctrlProps/ctrlProp44.xml><?xml version="1.0" encoding="utf-8"?>
<formControlPr xmlns="http://schemas.microsoft.com/office/spreadsheetml/2009/9/main" objectType="Button" lockText="1"/>
</file>

<file path=xl/ctrlProps/ctrlProp45.xml><?xml version="1.0" encoding="utf-8"?>
<formControlPr xmlns="http://schemas.microsoft.com/office/spreadsheetml/2009/9/main" objectType="Button" lockText="1"/>
</file>

<file path=xl/ctrlProps/ctrlProp46.xml><?xml version="1.0" encoding="utf-8"?>
<formControlPr xmlns="http://schemas.microsoft.com/office/spreadsheetml/2009/9/main" objectType="Button" lockText="1"/>
</file>

<file path=xl/ctrlProps/ctrlProp47.xml><?xml version="1.0" encoding="utf-8"?>
<formControlPr xmlns="http://schemas.microsoft.com/office/spreadsheetml/2009/9/main" objectType="Button" lockText="1"/>
</file>

<file path=xl/ctrlProps/ctrlProp48.xml><?xml version="1.0" encoding="utf-8"?>
<formControlPr xmlns="http://schemas.microsoft.com/office/spreadsheetml/2009/9/main" objectType="Button" lockText="1"/>
</file>

<file path=xl/ctrlProps/ctrlProp49.xml><?xml version="1.0" encoding="utf-8"?>
<formControlPr xmlns="http://schemas.microsoft.com/office/spreadsheetml/2009/9/main" objectType="Button" lockText="1"/>
</file>

<file path=xl/ctrlProps/ctrlProp50.xml><?xml version="1.0" encoding="utf-8"?>
<formControlPr xmlns="http://schemas.microsoft.com/office/spreadsheetml/2009/9/main" objectType="Button" lockText="1"/>
</file>

<file path=xl/ctrlProps/ctrlProp51.xml><?xml version="1.0" encoding="utf-8"?>
<formControlPr xmlns="http://schemas.microsoft.com/office/spreadsheetml/2009/9/main" objectType="Button" lockText="1"/>
</file>

<file path=xl/ctrlProps/ctrlProp52.xml><?xml version="1.0" encoding="utf-8"?>
<formControlPr xmlns="http://schemas.microsoft.com/office/spreadsheetml/2009/9/main" objectType="Button" lockText="1"/>
</file>

<file path=xl/ctrlProps/ctrlProp53.xml><?xml version="1.0" encoding="utf-8"?>
<formControlPr xmlns="http://schemas.microsoft.com/office/spreadsheetml/2009/9/main" objectType="Button" lockText="1"/>
</file>

<file path=xl/ctrlProps/ctrlProp54.xml><?xml version="1.0" encoding="utf-8"?>
<formControlPr xmlns="http://schemas.microsoft.com/office/spreadsheetml/2009/9/main" objectType="Button" lockText="1"/>
</file>

<file path=xl/ctrlProps/ctrlProp55.xml><?xml version="1.0" encoding="utf-8"?>
<formControlPr xmlns="http://schemas.microsoft.com/office/spreadsheetml/2009/9/main" objectType="Button" lockText="1"/>
</file>

<file path=xl/drawings/_rels/drawing3.xml.rels><?xml version="1.0" encoding="UTF-8" standalone="yes"?>
<Relationships xmlns="http://schemas.openxmlformats.org/package/2006/relationships"><Relationship Id="rId8" Type="http://schemas.openxmlformats.org/officeDocument/2006/relationships/chart" Target="../charts/chart8.xml"/><Relationship Id="rId3" Type="http://schemas.openxmlformats.org/officeDocument/2006/relationships/chart" Target="../charts/chart3.xml"/><Relationship Id="rId7" Type="http://schemas.openxmlformats.org/officeDocument/2006/relationships/chart" Target="../charts/chart7.xml"/><Relationship Id="rId2" Type="http://schemas.openxmlformats.org/officeDocument/2006/relationships/chart" Target="../charts/chart2.xml"/><Relationship Id="rId1" Type="http://schemas.openxmlformats.org/officeDocument/2006/relationships/chart" Target="../charts/chart1.xml"/><Relationship Id="rId6" Type="http://schemas.openxmlformats.org/officeDocument/2006/relationships/chart" Target="../charts/chart6.xml"/><Relationship Id="rId5" Type="http://schemas.openxmlformats.org/officeDocument/2006/relationships/chart" Target="../charts/chart5.xml"/><Relationship Id="rId4" Type="http://schemas.openxmlformats.org/officeDocument/2006/relationships/chart" Target="../charts/chart4.xml"/><Relationship Id="rId9" Type="http://schemas.openxmlformats.org/officeDocument/2006/relationships/chart" Target="../charts/chart9.xml"/></Relationships>
</file>

<file path=xl/drawings/_rels/drawing7.xml.rels><?xml version="1.0" encoding="UTF-8" standalone="yes"?>
<Relationships xmlns="http://schemas.openxmlformats.org/package/2006/relationships"><Relationship Id="rId1" Type="http://schemas.openxmlformats.org/officeDocument/2006/relationships/chart" Target="../charts/chart10.xml"/></Relationships>
</file>

<file path=xl/drawings/_rels/drawing8.xml.rels><?xml version="1.0" encoding="UTF-8" standalone="yes"?>
<Relationships xmlns="http://schemas.openxmlformats.org/package/2006/relationships"><Relationship Id="rId3" Type="http://schemas.openxmlformats.org/officeDocument/2006/relationships/chart" Target="../charts/chart12.xml"/><Relationship Id="rId2" Type="http://schemas.openxmlformats.org/officeDocument/2006/relationships/chart" Target="../charts/chart11.xml"/><Relationship Id="rId1" Type="http://schemas.openxmlformats.org/officeDocument/2006/relationships/hyperlink" Target="#Accueil!A1"/></Relationships>
</file>

<file path=xl/drawings/_rels/drawing9.xml.rels><?xml version="1.0" encoding="UTF-8" standalone="yes"?>
<Relationships xmlns="http://schemas.openxmlformats.org/package/2006/relationships"><Relationship Id="rId1" Type="http://schemas.openxmlformats.org/officeDocument/2006/relationships/chart" Target="../charts/chart13.xml"/></Relationships>
</file>

<file path=xl/drawings/_rels/drawing10.xml.rels><?xml version="1.0" encoding="UTF-8" standalone="yes"?>
<Relationships xmlns="http://schemas.openxmlformats.org/package/2006/relationships"><Relationship Id="rId1" Type="http://schemas.openxmlformats.org/officeDocument/2006/relationships/chart" Target="../charts/chart14.xml"/></Relationships>
</file>

<file path=xl/drawings/_rels/drawing12.xml.rels><?xml version="1.0" encoding="UTF-8" standalone="yes"?>
<Relationships xmlns="http://schemas.openxmlformats.org/package/2006/relationships"><Relationship Id="rId1" Type="http://schemas.openxmlformats.org/officeDocument/2006/relationships/chart" Target="../charts/chart15.xml"/></Relationships>
</file>

<file path=xl/drawings/_rels/drawing13.xml.rels><?xml version="1.0" encoding="UTF-8" standalone="yes"?>
<Relationships xmlns="http://schemas.openxmlformats.org/package/2006/relationships"><Relationship Id="rId1" Type="http://schemas.openxmlformats.org/officeDocument/2006/relationships/chart" Target="../charts/chart16.xml"/></Relationships>
</file>

<file path=xl/drawings/_rels/drawing14.xml.rels><?xml version="1.0" encoding="UTF-8" standalone="yes"?>
<Relationships xmlns="http://schemas.openxmlformats.org/package/2006/relationships"><Relationship Id="rId2" Type="http://schemas.openxmlformats.org/officeDocument/2006/relationships/chart" Target="../charts/chart18.xml"/><Relationship Id="rId1" Type="http://schemas.openxmlformats.org/officeDocument/2006/relationships/chart" Target="../charts/chart17.xml"/></Relationships>
</file>

<file path=xl/drawings/_rels/drawing15.xml.rels><?xml version="1.0" encoding="UTF-8" standalone="yes"?>
<Relationships xmlns="http://schemas.openxmlformats.org/package/2006/relationships"><Relationship Id="rId2" Type="http://schemas.openxmlformats.org/officeDocument/2006/relationships/chart" Target="../charts/chart20.xml"/><Relationship Id="rId1" Type="http://schemas.openxmlformats.org/officeDocument/2006/relationships/chart" Target="../charts/chart19.xml"/></Relationships>
</file>

<file path=xl/drawings/_rels/drawing16.xml.rels><?xml version="1.0" encoding="UTF-8" standalone="yes"?>
<Relationships xmlns="http://schemas.openxmlformats.org/package/2006/relationships"><Relationship Id="rId1" Type="http://schemas.openxmlformats.org/officeDocument/2006/relationships/chart" Target="../charts/chart21.xml"/></Relationships>
</file>

<file path=xl/drawings/_rels/drawing17.xml.rels><?xml version="1.0" encoding="UTF-8" standalone="yes"?>
<Relationships xmlns="http://schemas.openxmlformats.org/package/2006/relationships"><Relationship Id="rId1" Type="http://schemas.openxmlformats.org/officeDocument/2006/relationships/chart" Target="../charts/chart22.xml"/></Relationships>
</file>

<file path=xl/drawings/_rels/drawing18.xml.rels><?xml version="1.0" encoding="UTF-8" standalone="yes"?>
<Relationships xmlns="http://schemas.openxmlformats.org/package/2006/relationships"><Relationship Id="rId3" Type="http://schemas.openxmlformats.org/officeDocument/2006/relationships/chart" Target="../charts/chart25.xml"/><Relationship Id="rId2" Type="http://schemas.openxmlformats.org/officeDocument/2006/relationships/chart" Target="../charts/chart24.xml"/><Relationship Id="rId1" Type="http://schemas.openxmlformats.org/officeDocument/2006/relationships/chart" Target="../charts/chart23.xml"/></Relationships>
</file>

<file path=xl/drawings/_rels/drawing21.xml.rels><?xml version="1.0" encoding="UTF-8" standalone="yes"?>
<Relationships xmlns="http://schemas.openxmlformats.org/package/2006/relationships"><Relationship Id="rId8" Type="http://schemas.openxmlformats.org/officeDocument/2006/relationships/chart" Target="../charts/chart32.xml"/><Relationship Id="rId3" Type="http://schemas.openxmlformats.org/officeDocument/2006/relationships/chart" Target="../charts/chart27.xml"/><Relationship Id="rId7" Type="http://schemas.openxmlformats.org/officeDocument/2006/relationships/chart" Target="../charts/chart31.xml"/><Relationship Id="rId12" Type="http://schemas.openxmlformats.org/officeDocument/2006/relationships/chart" Target="../charts/chart36.xml"/><Relationship Id="rId2" Type="http://schemas.openxmlformats.org/officeDocument/2006/relationships/chart" Target="../charts/chart26.xml"/><Relationship Id="rId1" Type="http://schemas.openxmlformats.org/officeDocument/2006/relationships/hyperlink" Target="#r&#233;sum&#233;!A1"/><Relationship Id="rId6" Type="http://schemas.openxmlformats.org/officeDocument/2006/relationships/chart" Target="../charts/chart30.xml"/><Relationship Id="rId11" Type="http://schemas.openxmlformats.org/officeDocument/2006/relationships/chart" Target="../charts/chart35.xml"/><Relationship Id="rId5" Type="http://schemas.openxmlformats.org/officeDocument/2006/relationships/chart" Target="../charts/chart29.xml"/><Relationship Id="rId10" Type="http://schemas.openxmlformats.org/officeDocument/2006/relationships/chart" Target="../charts/chart34.xml"/><Relationship Id="rId4" Type="http://schemas.openxmlformats.org/officeDocument/2006/relationships/chart" Target="../charts/chart28.xml"/><Relationship Id="rId9" Type="http://schemas.openxmlformats.org/officeDocument/2006/relationships/chart" Target="../charts/chart33.xml"/></Relationships>
</file>

<file path=xl/drawings/_rels/drawing22.xml.rels><?xml version="1.0" encoding="UTF-8" standalone="yes"?>
<Relationships xmlns="http://schemas.openxmlformats.org/package/2006/relationships"><Relationship Id="rId2" Type="http://schemas.openxmlformats.org/officeDocument/2006/relationships/image" Target="../media/image2.JPG"/><Relationship Id="rId1" Type="http://schemas.openxmlformats.org/officeDocument/2006/relationships/image" Target="../media/image1.JPG"/></Relationships>
</file>

<file path=xl/drawings/_rels/drawing25.xml.rels><?xml version="1.0" encoding="UTF-8" standalone="yes"?>
<Relationships xmlns="http://schemas.openxmlformats.org/package/2006/relationships"><Relationship Id="rId8" Type="http://schemas.openxmlformats.org/officeDocument/2006/relationships/chart" Target="../charts/chart44.xml"/><Relationship Id="rId3" Type="http://schemas.openxmlformats.org/officeDocument/2006/relationships/chart" Target="../charts/chart39.xml"/><Relationship Id="rId7" Type="http://schemas.openxmlformats.org/officeDocument/2006/relationships/chart" Target="../charts/chart43.xml"/><Relationship Id="rId2" Type="http://schemas.openxmlformats.org/officeDocument/2006/relationships/chart" Target="../charts/chart38.xml"/><Relationship Id="rId1" Type="http://schemas.openxmlformats.org/officeDocument/2006/relationships/chart" Target="../charts/chart37.xml"/><Relationship Id="rId6" Type="http://schemas.openxmlformats.org/officeDocument/2006/relationships/chart" Target="../charts/chart42.xml"/><Relationship Id="rId5" Type="http://schemas.openxmlformats.org/officeDocument/2006/relationships/chart" Target="../charts/chart41.xml"/><Relationship Id="rId4" Type="http://schemas.openxmlformats.org/officeDocument/2006/relationships/chart" Target="../charts/chart40.xml"/><Relationship Id="rId9" Type="http://schemas.openxmlformats.org/officeDocument/2006/relationships/chart" Target="../charts/chart45.xml"/></Relationships>
</file>

<file path=xl/drawings/_rels/drawing27.xml.rels><?xml version="1.0" encoding="UTF-8" standalone="yes"?>
<Relationships xmlns="http://schemas.openxmlformats.org/package/2006/relationships"><Relationship Id="rId1" Type="http://schemas.openxmlformats.org/officeDocument/2006/relationships/hyperlink" Target="#r&#233;sum&#233;!A1"/></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16</xdr:col>
          <xdr:colOff>257175</xdr:colOff>
          <xdr:row>1</xdr:row>
          <xdr:rowOff>28575</xdr:rowOff>
        </xdr:from>
        <xdr:to>
          <xdr:col>19</xdr:col>
          <xdr:colOff>342900</xdr:colOff>
          <xdr:row>1</xdr:row>
          <xdr:rowOff>409575</xdr:rowOff>
        </xdr:to>
        <xdr:sp macro="" textlink="">
          <xdr:nvSpPr>
            <xdr:cNvPr id="22530" name="Button 2" hidden="1">
              <a:extLst>
                <a:ext uri="{63B3BB69-23CF-44E3-9099-C40C66FF867C}">
                  <a14:compatExt spid="_x0000_s22530"/>
                </a:ext>
                <a:ext uri="{FF2B5EF4-FFF2-40B4-BE49-F238E27FC236}">
                  <a16:creationId xmlns:a16="http://schemas.microsoft.com/office/drawing/2014/main" id="{00000000-0008-0000-0000-00000258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fr-FR" sz="1000" b="0" i="0" u="none" strike="noStrike" baseline="0">
                  <a:solidFill>
                    <a:srgbClr val="000000"/>
                  </a:solidFill>
                  <a:latin typeface="Calibri"/>
                </a:rPr>
                <a:t>Retour</a:t>
              </a:r>
            </a:p>
          </xdr:txBody>
        </xdr:sp>
        <xdr:clientData fPrintsWithSheet="0"/>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9</xdr:col>
      <xdr:colOff>31750</xdr:colOff>
      <xdr:row>23</xdr:row>
      <xdr:rowOff>53974</xdr:rowOff>
    </xdr:from>
    <xdr:to>
      <xdr:col>11</xdr:col>
      <xdr:colOff>693209</xdr:colOff>
      <xdr:row>38</xdr:row>
      <xdr:rowOff>90617</xdr:rowOff>
    </xdr:to>
    <xdr:sp macro="" textlink="">
      <xdr:nvSpPr>
        <xdr:cNvPr id="41" name="Rectangle 40">
          <a:extLst>
            <a:ext uri="{FF2B5EF4-FFF2-40B4-BE49-F238E27FC236}">
              <a16:creationId xmlns:a16="http://schemas.microsoft.com/office/drawing/2014/main" id="{00000000-0008-0000-0100-000029000000}"/>
            </a:ext>
          </a:extLst>
        </xdr:cNvPr>
        <xdr:cNvSpPr/>
      </xdr:nvSpPr>
      <xdr:spPr>
        <a:xfrm>
          <a:off x="5958417" y="4453865"/>
          <a:ext cx="2063317" cy="2743200"/>
        </a:xfrm>
        <a:prstGeom prst="rect">
          <a:avLst/>
        </a:prstGeom>
        <a:solidFill>
          <a:schemeClr val="accent3">
            <a:lumMod val="50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9</xdr:col>
      <xdr:colOff>31750</xdr:colOff>
      <xdr:row>23</xdr:row>
      <xdr:rowOff>53975</xdr:rowOff>
    </xdr:from>
    <xdr:to>
      <xdr:col>11</xdr:col>
      <xdr:colOff>717550</xdr:colOff>
      <xdr:row>25</xdr:row>
      <xdr:rowOff>28575</xdr:rowOff>
    </xdr:to>
    <xdr:sp macro="" textlink="">
      <xdr:nvSpPr>
        <xdr:cNvPr id="42" name="Text Box 2">
          <a:extLst>
            <a:ext uri="{FF2B5EF4-FFF2-40B4-BE49-F238E27FC236}">
              <a16:creationId xmlns:a16="http://schemas.microsoft.com/office/drawing/2014/main" id="{00000000-0008-0000-0100-00002A000000}"/>
            </a:ext>
          </a:extLst>
        </xdr:cNvPr>
        <xdr:cNvSpPr txBox="1">
          <a:spLocks noChangeArrowheads="1"/>
        </xdr:cNvSpPr>
      </xdr:nvSpPr>
      <xdr:spPr bwMode="auto">
        <a:xfrm>
          <a:off x="6232525" y="4064000"/>
          <a:ext cx="2152650" cy="298450"/>
        </a:xfrm>
        <a:prstGeom prst="rect">
          <a:avLst/>
        </a:prstGeom>
        <a:noFill/>
        <a:ln w="9525">
          <a:noFill/>
          <a:miter lim="800000"/>
          <a:headEnd/>
          <a:tailEnd/>
        </a:ln>
      </xdr:spPr>
      <xdr:txBody>
        <a:bodyPr vertOverflow="clip" wrap="square" lIns="91440" tIns="91440" rIns="0" bIns="0" anchor="t" upright="1"/>
        <a:lstStyle/>
        <a:p>
          <a:pPr algn="l" rtl="0">
            <a:defRPr sz="1000"/>
          </a:pPr>
          <a:r>
            <a:rPr lang="fr-FR" sz="1200" b="1" i="0" u="none" strike="noStrike" baseline="0">
              <a:solidFill>
                <a:schemeClr val="bg1"/>
              </a:solidFill>
              <a:latin typeface="+mj-lt"/>
              <a:cs typeface="Calibri" pitchFamily="2" charset="0"/>
            </a:rPr>
            <a:t>Données mental</a:t>
          </a:r>
        </a:p>
      </xdr:txBody>
    </xdr:sp>
    <xdr:clientData/>
  </xdr:twoCellAnchor>
  <xdr:twoCellAnchor>
    <xdr:from>
      <xdr:col>1</xdr:col>
      <xdr:colOff>0</xdr:colOff>
      <xdr:row>2</xdr:row>
      <xdr:rowOff>124916</xdr:rowOff>
    </xdr:from>
    <xdr:to>
      <xdr:col>3</xdr:col>
      <xdr:colOff>686859</xdr:colOff>
      <xdr:row>38</xdr:row>
      <xdr:rowOff>88600</xdr:rowOff>
    </xdr:to>
    <xdr:sp macro="" textlink="">
      <xdr:nvSpPr>
        <xdr:cNvPr id="4" name="Rectangle 3">
          <a:extLst>
            <a:ext uri="{FF2B5EF4-FFF2-40B4-BE49-F238E27FC236}">
              <a16:creationId xmlns:a16="http://schemas.microsoft.com/office/drawing/2014/main" id="{00000000-0008-0000-0100-000004000000}"/>
            </a:ext>
          </a:extLst>
        </xdr:cNvPr>
        <xdr:cNvSpPr/>
      </xdr:nvSpPr>
      <xdr:spPr>
        <a:xfrm>
          <a:off x="316558" y="784412"/>
          <a:ext cx="2081221" cy="6291072"/>
        </a:xfrm>
        <a:prstGeom prst="rect">
          <a:avLst/>
        </a:prstGeom>
        <a:solidFill>
          <a:srgbClr val="0070C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1</xdr:col>
      <xdr:colOff>12700</xdr:colOff>
      <xdr:row>3</xdr:row>
      <xdr:rowOff>12700</xdr:rowOff>
    </xdr:from>
    <xdr:to>
      <xdr:col>3</xdr:col>
      <xdr:colOff>660400</xdr:colOff>
      <xdr:row>4</xdr:row>
      <xdr:rowOff>165100</xdr:rowOff>
    </xdr:to>
    <xdr:sp macro="" textlink="">
      <xdr:nvSpPr>
        <xdr:cNvPr id="21506" name="Text Box 2">
          <a:extLst>
            <a:ext uri="{FF2B5EF4-FFF2-40B4-BE49-F238E27FC236}">
              <a16:creationId xmlns:a16="http://schemas.microsoft.com/office/drawing/2014/main" id="{00000000-0008-0000-0100-000002540000}"/>
            </a:ext>
          </a:extLst>
        </xdr:cNvPr>
        <xdr:cNvSpPr txBox="1">
          <a:spLocks noChangeArrowheads="1"/>
        </xdr:cNvSpPr>
      </xdr:nvSpPr>
      <xdr:spPr bwMode="auto">
        <a:xfrm>
          <a:off x="711200" y="1079500"/>
          <a:ext cx="2044700" cy="330200"/>
        </a:xfrm>
        <a:prstGeom prst="rect">
          <a:avLst/>
        </a:prstGeom>
        <a:noFill/>
        <a:ln w="9525">
          <a:noFill/>
          <a:miter lim="800000"/>
          <a:headEnd/>
          <a:tailEnd/>
        </a:ln>
      </xdr:spPr>
      <xdr:txBody>
        <a:bodyPr vertOverflow="clip" wrap="square" lIns="91440" tIns="91440" rIns="0" bIns="0" anchor="t" upright="1"/>
        <a:lstStyle/>
        <a:p>
          <a:pPr algn="l" rtl="0">
            <a:defRPr sz="1000"/>
          </a:pPr>
          <a:r>
            <a:rPr lang="fr-FR" sz="1200" b="1" i="0" u="none" strike="noStrike" baseline="0">
              <a:solidFill>
                <a:schemeClr val="bg1"/>
              </a:solidFill>
              <a:latin typeface="+mj-lt"/>
              <a:cs typeface="Calibri" pitchFamily="2" charset="0"/>
            </a:rPr>
            <a:t>Entrainement</a:t>
          </a:r>
        </a:p>
      </xdr:txBody>
    </xdr:sp>
    <xdr:clientData/>
  </xdr:twoCellAnchor>
  <mc:AlternateContent xmlns:mc="http://schemas.openxmlformats.org/markup-compatibility/2006">
    <mc:Choice xmlns:a14="http://schemas.microsoft.com/office/drawing/2010/main" Requires="a14">
      <xdr:twoCellAnchor>
        <xdr:from>
          <xdr:col>1</xdr:col>
          <xdr:colOff>266700</xdr:colOff>
          <xdr:row>8</xdr:row>
          <xdr:rowOff>142875</xdr:rowOff>
        </xdr:from>
        <xdr:to>
          <xdr:col>3</xdr:col>
          <xdr:colOff>390525</xdr:colOff>
          <xdr:row>11</xdr:row>
          <xdr:rowOff>0</xdr:rowOff>
        </xdr:to>
        <xdr:sp macro="" textlink="">
          <xdr:nvSpPr>
            <xdr:cNvPr id="21507" name="Entrainement" descr="Entrainement" hidden="1">
              <a:extLst>
                <a:ext uri="{63B3BB69-23CF-44E3-9099-C40C66FF867C}">
                  <a14:compatExt spid="_x0000_s21507"/>
                </a:ext>
                <a:ext uri="{FF2B5EF4-FFF2-40B4-BE49-F238E27FC236}">
                  <a16:creationId xmlns:a16="http://schemas.microsoft.com/office/drawing/2014/main" id="{00000000-0008-0000-0100-00000354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fr-FR" sz="1000" b="0" i="0" u="none" strike="noStrike" baseline="0">
                  <a:solidFill>
                    <a:srgbClr val="000000"/>
                  </a:solidFill>
                  <a:latin typeface="Calibri"/>
                </a:rPr>
                <a:t>Saisir les présence</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xdr:col>
          <xdr:colOff>276225</xdr:colOff>
          <xdr:row>11</xdr:row>
          <xdr:rowOff>152400</xdr:rowOff>
        </xdr:from>
        <xdr:to>
          <xdr:col>3</xdr:col>
          <xdr:colOff>409575</xdr:colOff>
          <xdr:row>14</xdr:row>
          <xdr:rowOff>0</xdr:rowOff>
        </xdr:to>
        <xdr:sp macro="" textlink="">
          <xdr:nvSpPr>
            <xdr:cNvPr id="21511" name="Forme" hidden="1">
              <a:extLst>
                <a:ext uri="{63B3BB69-23CF-44E3-9099-C40C66FF867C}">
                  <a14:compatExt spid="_x0000_s21511"/>
                </a:ext>
                <a:ext uri="{FF2B5EF4-FFF2-40B4-BE49-F238E27FC236}">
                  <a16:creationId xmlns:a16="http://schemas.microsoft.com/office/drawing/2014/main" id="{00000000-0008-0000-0100-00000754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fr-FR" sz="1000" b="0" i="0" u="none" strike="noStrike" baseline="0">
                  <a:solidFill>
                    <a:srgbClr val="000000"/>
                  </a:solidFill>
                  <a:latin typeface="Calibri"/>
                </a:rPr>
                <a:t>Note de Forme</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xdr:col>
          <xdr:colOff>276225</xdr:colOff>
          <xdr:row>15</xdr:row>
          <xdr:rowOff>0</xdr:rowOff>
        </xdr:from>
        <xdr:to>
          <xdr:col>3</xdr:col>
          <xdr:colOff>409575</xdr:colOff>
          <xdr:row>17</xdr:row>
          <xdr:rowOff>28575</xdr:rowOff>
        </xdr:to>
        <xdr:sp macro="" textlink="">
          <xdr:nvSpPr>
            <xdr:cNvPr id="21512" name="RPE" descr="Note RPE" hidden="1">
              <a:extLst>
                <a:ext uri="{63B3BB69-23CF-44E3-9099-C40C66FF867C}">
                  <a14:compatExt spid="_x0000_s21512"/>
                </a:ext>
                <a:ext uri="{FF2B5EF4-FFF2-40B4-BE49-F238E27FC236}">
                  <a16:creationId xmlns:a16="http://schemas.microsoft.com/office/drawing/2014/main" id="{00000000-0008-0000-0100-00000854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fr-FR" sz="1000" b="0" i="0" u="none" strike="noStrike" baseline="0">
                  <a:solidFill>
                    <a:srgbClr val="000000"/>
                  </a:solidFill>
                  <a:latin typeface="Calibri"/>
                </a:rPr>
                <a:t>Note RPE</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xdr:col>
          <xdr:colOff>276225</xdr:colOff>
          <xdr:row>18</xdr:row>
          <xdr:rowOff>9525</xdr:rowOff>
        </xdr:from>
        <xdr:to>
          <xdr:col>3</xdr:col>
          <xdr:colOff>409575</xdr:colOff>
          <xdr:row>20</xdr:row>
          <xdr:rowOff>38100</xdr:rowOff>
        </xdr:to>
        <xdr:sp macro="" textlink="">
          <xdr:nvSpPr>
            <xdr:cNvPr id="21513" name="Bilan Entrainement - Annuel" hidden="1">
              <a:extLst>
                <a:ext uri="{63B3BB69-23CF-44E3-9099-C40C66FF867C}">
                  <a14:compatExt spid="_x0000_s21513"/>
                </a:ext>
                <a:ext uri="{FF2B5EF4-FFF2-40B4-BE49-F238E27FC236}">
                  <a16:creationId xmlns:a16="http://schemas.microsoft.com/office/drawing/2014/main" id="{00000000-0008-0000-0100-00000954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fr-FR" sz="1000" b="0" i="0" u="none" strike="noStrike" baseline="0">
                  <a:solidFill>
                    <a:srgbClr val="000000"/>
                  </a:solidFill>
                  <a:latin typeface="Calibri"/>
                </a:rPr>
                <a:t>Bilan annuel</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xdr:col>
          <xdr:colOff>276225</xdr:colOff>
          <xdr:row>21</xdr:row>
          <xdr:rowOff>9525</xdr:rowOff>
        </xdr:from>
        <xdr:to>
          <xdr:col>3</xdr:col>
          <xdr:colOff>409575</xdr:colOff>
          <xdr:row>23</xdr:row>
          <xdr:rowOff>38100</xdr:rowOff>
        </xdr:to>
        <xdr:sp macro="" textlink="">
          <xdr:nvSpPr>
            <xdr:cNvPr id="21514" name="Bilan Entrainement - Mensuel" hidden="1">
              <a:extLst>
                <a:ext uri="{63B3BB69-23CF-44E3-9099-C40C66FF867C}">
                  <a14:compatExt spid="_x0000_s21514"/>
                </a:ext>
                <a:ext uri="{FF2B5EF4-FFF2-40B4-BE49-F238E27FC236}">
                  <a16:creationId xmlns:a16="http://schemas.microsoft.com/office/drawing/2014/main" id="{00000000-0008-0000-0100-00000A54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fr-FR" sz="1000" b="0" i="0" u="none" strike="noStrike" baseline="0">
                  <a:solidFill>
                    <a:srgbClr val="000000"/>
                  </a:solidFill>
                  <a:latin typeface="Calibri"/>
                </a:rPr>
                <a:t>Bilan mensuel</a:t>
              </a:r>
            </a:p>
          </xdr:txBody>
        </xdr:sp>
        <xdr:clientData fPrintsWithSheet="0"/>
      </xdr:twoCellAnchor>
    </mc:Choice>
    <mc:Fallback/>
  </mc:AlternateContent>
  <xdr:twoCellAnchor>
    <xdr:from>
      <xdr:col>13</xdr:col>
      <xdr:colOff>14104</xdr:colOff>
      <xdr:row>3</xdr:row>
      <xdr:rowOff>0</xdr:rowOff>
    </xdr:from>
    <xdr:to>
      <xdr:col>16</xdr:col>
      <xdr:colOff>2463</xdr:colOff>
      <xdr:row>22</xdr:row>
      <xdr:rowOff>0</xdr:rowOff>
    </xdr:to>
    <xdr:sp macro="" textlink="">
      <xdr:nvSpPr>
        <xdr:cNvPr id="16" name="Rectangle 15">
          <a:extLst>
            <a:ext uri="{FF2B5EF4-FFF2-40B4-BE49-F238E27FC236}">
              <a16:creationId xmlns:a16="http://schemas.microsoft.com/office/drawing/2014/main" id="{00000000-0008-0000-0100-000010000000}"/>
            </a:ext>
          </a:extLst>
        </xdr:cNvPr>
        <xdr:cNvSpPr/>
      </xdr:nvSpPr>
      <xdr:spPr>
        <a:xfrm>
          <a:off x="8686238" y="786444"/>
          <a:ext cx="2076685" cy="3331757"/>
        </a:xfrm>
        <a:prstGeom prst="rect">
          <a:avLst/>
        </a:prstGeom>
        <a:solidFill>
          <a:schemeClr val="accent4"/>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13</xdr:col>
      <xdr:colOff>14104</xdr:colOff>
      <xdr:row>3</xdr:row>
      <xdr:rowOff>0</xdr:rowOff>
    </xdr:from>
    <xdr:to>
      <xdr:col>16</xdr:col>
      <xdr:colOff>1404</xdr:colOff>
      <xdr:row>4</xdr:row>
      <xdr:rowOff>152400</xdr:rowOff>
    </xdr:to>
    <xdr:sp macro="" textlink="">
      <xdr:nvSpPr>
        <xdr:cNvPr id="17" name="Text Box 2">
          <a:extLst>
            <a:ext uri="{FF2B5EF4-FFF2-40B4-BE49-F238E27FC236}">
              <a16:creationId xmlns:a16="http://schemas.microsoft.com/office/drawing/2014/main" id="{00000000-0008-0000-0100-000011000000}"/>
            </a:ext>
          </a:extLst>
        </xdr:cNvPr>
        <xdr:cNvSpPr txBox="1">
          <a:spLocks noChangeArrowheads="1"/>
        </xdr:cNvSpPr>
      </xdr:nvSpPr>
      <xdr:spPr bwMode="auto">
        <a:xfrm>
          <a:off x="8686238" y="786444"/>
          <a:ext cx="2075626" cy="327755"/>
        </a:xfrm>
        <a:prstGeom prst="rect">
          <a:avLst/>
        </a:prstGeom>
        <a:noFill/>
        <a:ln w="9525">
          <a:noFill/>
          <a:miter lim="800000"/>
          <a:headEnd/>
          <a:tailEnd/>
        </a:ln>
      </xdr:spPr>
      <xdr:txBody>
        <a:bodyPr vertOverflow="clip" wrap="square" lIns="91440" tIns="91440" rIns="0" bIns="0" anchor="t" upright="1"/>
        <a:lstStyle/>
        <a:p>
          <a:pPr algn="l" rtl="0">
            <a:defRPr sz="1000"/>
          </a:pPr>
          <a:r>
            <a:rPr lang="fr-FR" sz="1200" b="1" i="0" u="none" strike="noStrike" baseline="0">
              <a:solidFill>
                <a:schemeClr val="bg1"/>
              </a:solidFill>
              <a:latin typeface="+mj-lt"/>
              <a:cs typeface="Calibri" pitchFamily="2" charset="0"/>
            </a:rPr>
            <a:t>Contrôle des charges</a:t>
          </a:r>
        </a:p>
      </xdr:txBody>
    </xdr:sp>
    <xdr:clientData/>
  </xdr:twoCellAnchor>
  <mc:AlternateContent xmlns:mc="http://schemas.openxmlformats.org/markup-compatibility/2006">
    <mc:Choice xmlns:a14="http://schemas.microsoft.com/office/drawing/2010/main" Requires="a14">
      <xdr:twoCellAnchor>
        <xdr:from>
          <xdr:col>13</xdr:col>
          <xdr:colOff>304800</xdr:colOff>
          <xdr:row>5</xdr:row>
          <xdr:rowOff>142875</xdr:rowOff>
        </xdr:from>
        <xdr:to>
          <xdr:col>15</xdr:col>
          <xdr:colOff>428625</xdr:colOff>
          <xdr:row>7</xdr:row>
          <xdr:rowOff>161925</xdr:rowOff>
        </xdr:to>
        <xdr:sp macro="" textlink="">
          <xdr:nvSpPr>
            <xdr:cNvPr id="21515" name="Charges collective" hidden="1">
              <a:extLst>
                <a:ext uri="{63B3BB69-23CF-44E3-9099-C40C66FF867C}">
                  <a14:compatExt spid="_x0000_s21515"/>
                </a:ext>
                <a:ext uri="{FF2B5EF4-FFF2-40B4-BE49-F238E27FC236}">
                  <a16:creationId xmlns:a16="http://schemas.microsoft.com/office/drawing/2014/main" id="{00000000-0008-0000-0100-00000B54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fr-FR" sz="1000" b="0" i="0" u="none" strike="noStrike" baseline="0">
                  <a:solidFill>
                    <a:srgbClr val="000000"/>
                  </a:solidFill>
                  <a:latin typeface="Calibri"/>
                </a:rPr>
                <a:t>Charges collective</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13</xdr:col>
          <xdr:colOff>304800</xdr:colOff>
          <xdr:row>8</xdr:row>
          <xdr:rowOff>152400</xdr:rowOff>
        </xdr:from>
        <xdr:to>
          <xdr:col>15</xdr:col>
          <xdr:colOff>428625</xdr:colOff>
          <xdr:row>11</xdr:row>
          <xdr:rowOff>0</xdr:rowOff>
        </xdr:to>
        <xdr:sp macro="" textlink="">
          <xdr:nvSpPr>
            <xdr:cNvPr id="21516" name="Charges individuel" hidden="1">
              <a:extLst>
                <a:ext uri="{63B3BB69-23CF-44E3-9099-C40C66FF867C}">
                  <a14:compatExt spid="_x0000_s21516"/>
                </a:ext>
                <a:ext uri="{FF2B5EF4-FFF2-40B4-BE49-F238E27FC236}">
                  <a16:creationId xmlns:a16="http://schemas.microsoft.com/office/drawing/2014/main" id="{00000000-0008-0000-0100-00000C54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fr-FR" sz="1000" b="0" i="0" u="none" strike="noStrike" baseline="0">
                  <a:solidFill>
                    <a:srgbClr val="000000"/>
                  </a:solidFill>
                  <a:latin typeface="Calibri"/>
                </a:rPr>
                <a:t>Charges individuel</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13</xdr:col>
          <xdr:colOff>304800</xdr:colOff>
          <xdr:row>11</xdr:row>
          <xdr:rowOff>180975</xdr:rowOff>
        </xdr:from>
        <xdr:to>
          <xdr:col>15</xdr:col>
          <xdr:colOff>428625</xdr:colOff>
          <xdr:row>14</xdr:row>
          <xdr:rowOff>28575</xdr:rowOff>
        </xdr:to>
        <xdr:sp macro="" textlink="">
          <xdr:nvSpPr>
            <xdr:cNvPr id="21517" name="Graphique des charges" hidden="1">
              <a:extLst>
                <a:ext uri="{63B3BB69-23CF-44E3-9099-C40C66FF867C}">
                  <a14:compatExt spid="_x0000_s21517"/>
                </a:ext>
                <a:ext uri="{FF2B5EF4-FFF2-40B4-BE49-F238E27FC236}">
                  <a16:creationId xmlns:a16="http://schemas.microsoft.com/office/drawing/2014/main" id="{00000000-0008-0000-0100-00000D54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fr-FR" sz="1000" b="0" i="0" u="none" strike="noStrike" baseline="0">
                  <a:solidFill>
                    <a:srgbClr val="000000"/>
                  </a:solidFill>
                  <a:latin typeface="Calibri"/>
                </a:rPr>
                <a:t>Graphique des charges</a:t>
              </a:r>
            </a:p>
          </xdr:txBody>
        </xdr:sp>
        <xdr:clientData fPrintsWithSheet="0"/>
      </xdr:twoCellAnchor>
    </mc:Choice>
    <mc:Fallback/>
  </mc:AlternateContent>
  <xdr:twoCellAnchor>
    <xdr:from>
      <xdr:col>9</xdr:col>
      <xdr:colOff>12700</xdr:colOff>
      <xdr:row>3</xdr:row>
      <xdr:rowOff>0</xdr:rowOff>
    </xdr:from>
    <xdr:to>
      <xdr:col>12</xdr:col>
      <xdr:colOff>1059</xdr:colOff>
      <xdr:row>22</xdr:row>
      <xdr:rowOff>0</xdr:rowOff>
    </xdr:to>
    <xdr:sp macro="" textlink="">
      <xdr:nvSpPr>
        <xdr:cNvPr id="22" name="Rectangle 21">
          <a:extLst>
            <a:ext uri="{FF2B5EF4-FFF2-40B4-BE49-F238E27FC236}">
              <a16:creationId xmlns:a16="http://schemas.microsoft.com/office/drawing/2014/main" id="{00000000-0008-0000-0100-000016000000}"/>
            </a:ext>
          </a:extLst>
        </xdr:cNvPr>
        <xdr:cNvSpPr/>
      </xdr:nvSpPr>
      <xdr:spPr>
        <a:xfrm>
          <a:off x="6299200" y="1066800"/>
          <a:ext cx="2083859" cy="3378200"/>
        </a:xfrm>
        <a:prstGeom prst="rect">
          <a:avLst/>
        </a:prstGeom>
        <a:solidFill>
          <a:schemeClr val="accent3">
            <a:lumMod val="75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9</xdr:col>
      <xdr:colOff>12700</xdr:colOff>
      <xdr:row>3</xdr:row>
      <xdr:rowOff>0</xdr:rowOff>
    </xdr:from>
    <xdr:to>
      <xdr:col>12</xdr:col>
      <xdr:colOff>0</xdr:colOff>
      <xdr:row>4</xdr:row>
      <xdr:rowOff>152400</xdr:rowOff>
    </xdr:to>
    <xdr:sp macro="" textlink="">
      <xdr:nvSpPr>
        <xdr:cNvPr id="23" name="Text Box 2">
          <a:extLst>
            <a:ext uri="{FF2B5EF4-FFF2-40B4-BE49-F238E27FC236}">
              <a16:creationId xmlns:a16="http://schemas.microsoft.com/office/drawing/2014/main" id="{00000000-0008-0000-0100-000017000000}"/>
            </a:ext>
          </a:extLst>
        </xdr:cNvPr>
        <xdr:cNvSpPr txBox="1">
          <a:spLocks noChangeArrowheads="1"/>
        </xdr:cNvSpPr>
      </xdr:nvSpPr>
      <xdr:spPr bwMode="auto">
        <a:xfrm>
          <a:off x="6299200" y="1066800"/>
          <a:ext cx="2082800" cy="330200"/>
        </a:xfrm>
        <a:prstGeom prst="rect">
          <a:avLst/>
        </a:prstGeom>
        <a:noFill/>
        <a:ln w="9525">
          <a:noFill/>
          <a:miter lim="800000"/>
          <a:headEnd/>
          <a:tailEnd/>
        </a:ln>
      </xdr:spPr>
      <xdr:txBody>
        <a:bodyPr vertOverflow="clip" wrap="square" lIns="91440" tIns="91440" rIns="0" bIns="0" anchor="t" upright="1"/>
        <a:lstStyle/>
        <a:p>
          <a:pPr algn="l" rtl="0">
            <a:defRPr sz="1000"/>
          </a:pPr>
          <a:r>
            <a:rPr lang="fr-FR" sz="1200" b="1" i="0" u="none" strike="noStrike" baseline="0">
              <a:solidFill>
                <a:schemeClr val="bg1"/>
              </a:solidFill>
              <a:latin typeface="+mj-lt"/>
              <a:cs typeface="Calibri" pitchFamily="2" charset="0"/>
            </a:rPr>
            <a:t>Mental</a:t>
          </a:r>
        </a:p>
      </xdr:txBody>
    </xdr:sp>
    <xdr:clientData/>
  </xdr:twoCellAnchor>
  <mc:AlternateContent xmlns:mc="http://schemas.openxmlformats.org/markup-compatibility/2006">
    <mc:Choice xmlns:a14="http://schemas.microsoft.com/office/drawing/2010/main" Requires="a14">
      <xdr:twoCellAnchor>
        <xdr:from>
          <xdr:col>9</xdr:col>
          <xdr:colOff>314325</xdr:colOff>
          <xdr:row>5</xdr:row>
          <xdr:rowOff>142875</xdr:rowOff>
        </xdr:from>
        <xdr:to>
          <xdr:col>11</xdr:col>
          <xdr:colOff>447675</xdr:colOff>
          <xdr:row>7</xdr:row>
          <xdr:rowOff>161925</xdr:rowOff>
        </xdr:to>
        <xdr:sp macro="" textlink="">
          <xdr:nvSpPr>
            <xdr:cNvPr id="21518" name="Victoire" hidden="1">
              <a:extLst>
                <a:ext uri="{63B3BB69-23CF-44E3-9099-C40C66FF867C}">
                  <a14:compatExt spid="_x0000_s21518"/>
                </a:ext>
                <a:ext uri="{FF2B5EF4-FFF2-40B4-BE49-F238E27FC236}">
                  <a16:creationId xmlns:a16="http://schemas.microsoft.com/office/drawing/2014/main" id="{00000000-0008-0000-0100-00000E54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fr-FR" sz="1000" b="0" i="0" u="none" strike="noStrike" baseline="0">
                  <a:solidFill>
                    <a:srgbClr val="000000"/>
                  </a:solidFill>
                  <a:latin typeface="Calibri"/>
                </a:rPr>
                <a:t>Saisir les victoires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9</xdr:col>
          <xdr:colOff>314325</xdr:colOff>
          <xdr:row>12</xdr:row>
          <xdr:rowOff>28575</xdr:rowOff>
        </xdr:from>
        <xdr:to>
          <xdr:col>11</xdr:col>
          <xdr:colOff>447675</xdr:colOff>
          <xdr:row>14</xdr:row>
          <xdr:rowOff>38100</xdr:rowOff>
        </xdr:to>
        <xdr:sp macro="" textlink="">
          <xdr:nvSpPr>
            <xdr:cNvPr id="21519" name="Plaisir" hidden="1">
              <a:extLst>
                <a:ext uri="{63B3BB69-23CF-44E3-9099-C40C66FF867C}">
                  <a14:compatExt spid="_x0000_s21519"/>
                </a:ext>
                <a:ext uri="{FF2B5EF4-FFF2-40B4-BE49-F238E27FC236}">
                  <a16:creationId xmlns:a16="http://schemas.microsoft.com/office/drawing/2014/main" id="{00000000-0008-0000-0100-00000F54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fr-FR" sz="1000" b="0" i="0" u="none" strike="noStrike" baseline="0">
                  <a:solidFill>
                    <a:srgbClr val="000000"/>
                  </a:solidFill>
                  <a:latin typeface="Calibri"/>
                </a:rPr>
                <a:t>Note de Plaisir</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9</xdr:col>
          <xdr:colOff>314325</xdr:colOff>
          <xdr:row>15</xdr:row>
          <xdr:rowOff>38100</xdr:rowOff>
        </xdr:from>
        <xdr:to>
          <xdr:col>11</xdr:col>
          <xdr:colOff>447675</xdr:colOff>
          <xdr:row>17</xdr:row>
          <xdr:rowOff>66675</xdr:rowOff>
        </xdr:to>
        <xdr:sp macro="" textlink="">
          <xdr:nvSpPr>
            <xdr:cNvPr id="21520" name="Perfo." hidden="1">
              <a:extLst>
                <a:ext uri="{63B3BB69-23CF-44E3-9099-C40C66FF867C}">
                  <a14:compatExt spid="_x0000_s21520"/>
                </a:ext>
                <a:ext uri="{FF2B5EF4-FFF2-40B4-BE49-F238E27FC236}">
                  <a16:creationId xmlns:a16="http://schemas.microsoft.com/office/drawing/2014/main" id="{00000000-0008-0000-0100-00001054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fr-FR" sz="1000" b="0" i="0" u="none" strike="noStrike" baseline="0">
                  <a:solidFill>
                    <a:srgbClr val="000000"/>
                  </a:solidFill>
                  <a:latin typeface="Calibri"/>
                </a:rPr>
                <a:t>Note de Performance</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9</xdr:col>
          <xdr:colOff>333375</xdr:colOff>
          <xdr:row>26</xdr:row>
          <xdr:rowOff>9525</xdr:rowOff>
        </xdr:from>
        <xdr:to>
          <xdr:col>11</xdr:col>
          <xdr:colOff>457200</xdr:colOff>
          <xdr:row>28</xdr:row>
          <xdr:rowOff>38100</xdr:rowOff>
        </xdr:to>
        <xdr:sp macro="" textlink="">
          <xdr:nvSpPr>
            <xdr:cNvPr id="21521" name="VAK" hidden="1">
              <a:extLst>
                <a:ext uri="{63B3BB69-23CF-44E3-9099-C40C66FF867C}">
                  <a14:compatExt spid="_x0000_s21521"/>
                </a:ext>
                <a:ext uri="{FF2B5EF4-FFF2-40B4-BE49-F238E27FC236}">
                  <a16:creationId xmlns:a16="http://schemas.microsoft.com/office/drawing/2014/main" id="{00000000-0008-0000-0100-00001154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fr-FR" sz="1000" b="0" i="0" u="none" strike="noStrike" baseline="0">
                  <a:solidFill>
                    <a:srgbClr val="000000"/>
                  </a:solidFill>
                  <a:latin typeface="Calibri"/>
                </a:rPr>
                <a:t>Données VAK</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9</xdr:col>
          <xdr:colOff>333375</xdr:colOff>
          <xdr:row>29</xdr:row>
          <xdr:rowOff>9525</xdr:rowOff>
        </xdr:from>
        <xdr:to>
          <xdr:col>11</xdr:col>
          <xdr:colOff>457200</xdr:colOff>
          <xdr:row>31</xdr:row>
          <xdr:rowOff>38100</xdr:rowOff>
        </xdr:to>
        <xdr:sp macro="" textlink="">
          <xdr:nvSpPr>
            <xdr:cNvPr id="21522" name="Mentaux" hidden="1">
              <a:extLst>
                <a:ext uri="{63B3BB69-23CF-44E3-9099-C40C66FF867C}">
                  <a14:compatExt spid="_x0000_s21522"/>
                </a:ext>
                <a:ext uri="{FF2B5EF4-FFF2-40B4-BE49-F238E27FC236}">
                  <a16:creationId xmlns:a16="http://schemas.microsoft.com/office/drawing/2014/main" id="{00000000-0008-0000-0100-00001254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fr-FR" sz="1000" b="0" i="0" u="none" strike="noStrike" baseline="0">
                  <a:solidFill>
                    <a:srgbClr val="000000"/>
                  </a:solidFill>
                  <a:latin typeface="Calibri"/>
                </a:rPr>
                <a:t>Données QPF</a:t>
              </a:r>
            </a:p>
          </xdr:txBody>
        </xdr:sp>
        <xdr:clientData fPrintsWithSheet="0"/>
      </xdr:twoCellAnchor>
    </mc:Choice>
    <mc:Fallback/>
  </mc:AlternateContent>
  <xdr:twoCellAnchor>
    <xdr:from>
      <xdr:col>5</xdr:col>
      <xdr:colOff>21854</xdr:colOff>
      <xdr:row>3</xdr:row>
      <xdr:rowOff>0</xdr:rowOff>
    </xdr:from>
    <xdr:to>
      <xdr:col>8</xdr:col>
      <xdr:colOff>13808</xdr:colOff>
      <xdr:row>38</xdr:row>
      <xdr:rowOff>91814</xdr:rowOff>
    </xdr:to>
    <xdr:sp macro="" textlink="">
      <xdr:nvSpPr>
        <xdr:cNvPr id="29" name="Rectangle 28">
          <a:extLst>
            <a:ext uri="{FF2B5EF4-FFF2-40B4-BE49-F238E27FC236}">
              <a16:creationId xmlns:a16="http://schemas.microsoft.com/office/drawing/2014/main" id="{00000000-0008-0000-0100-00001D000000}"/>
            </a:ext>
          </a:extLst>
        </xdr:cNvPr>
        <xdr:cNvSpPr/>
      </xdr:nvSpPr>
      <xdr:spPr>
        <a:xfrm>
          <a:off x="3127136" y="787626"/>
          <a:ext cx="2083497" cy="6291072"/>
        </a:xfrm>
        <a:prstGeom prst="rect">
          <a:avLst/>
        </a:prstGeom>
        <a:solidFill>
          <a:schemeClr val="accent1">
            <a:lumMod val="75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5</xdr:col>
      <xdr:colOff>21854</xdr:colOff>
      <xdr:row>3</xdr:row>
      <xdr:rowOff>0</xdr:rowOff>
    </xdr:from>
    <xdr:to>
      <xdr:col>8</xdr:col>
      <xdr:colOff>12749</xdr:colOff>
      <xdr:row>4</xdr:row>
      <xdr:rowOff>152400</xdr:rowOff>
    </xdr:to>
    <xdr:sp macro="" textlink="">
      <xdr:nvSpPr>
        <xdr:cNvPr id="30" name="Text Box 2">
          <a:extLst>
            <a:ext uri="{FF2B5EF4-FFF2-40B4-BE49-F238E27FC236}">
              <a16:creationId xmlns:a16="http://schemas.microsoft.com/office/drawing/2014/main" id="{00000000-0008-0000-0100-00001E000000}"/>
            </a:ext>
          </a:extLst>
        </xdr:cNvPr>
        <xdr:cNvSpPr txBox="1">
          <a:spLocks noChangeArrowheads="1"/>
        </xdr:cNvSpPr>
      </xdr:nvSpPr>
      <xdr:spPr bwMode="auto">
        <a:xfrm>
          <a:off x="3140974" y="792480"/>
          <a:ext cx="2094015" cy="335280"/>
        </a:xfrm>
        <a:prstGeom prst="rect">
          <a:avLst/>
        </a:prstGeom>
        <a:noFill/>
        <a:ln w="9525">
          <a:noFill/>
          <a:miter lim="800000"/>
          <a:headEnd/>
          <a:tailEnd/>
        </a:ln>
      </xdr:spPr>
      <xdr:txBody>
        <a:bodyPr vertOverflow="clip" wrap="square" lIns="91440" tIns="91440" rIns="0" bIns="0" anchor="t" upright="1"/>
        <a:lstStyle/>
        <a:p>
          <a:pPr algn="l" rtl="0">
            <a:defRPr sz="1000"/>
          </a:pPr>
          <a:r>
            <a:rPr lang="fr-FR" sz="1200" b="1" i="0" u="none" strike="noStrike" baseline="0">
              <a:solidFill>
                <a:schemeClr val="bg1"/>
              </a:solidFill>
              <a:latin typeface="+mj-lt"/>
              <a:cs typeface="Calibri" pitchFamily="2" charset="0"/>
            </a:rPr>
            <a:t>Match</a:t>
          </a:r>
        </a:p>
      </xdr:txBody>
    </xdr:sp>
    <xdr:clientData/>
  </xdr:twoCellAnchor>
  <mc:AlternateContent xmlns:mc="http://schemas.openxmlformats.org/markup-compatibility/2006">
    <mc:Choice xmlns:a14="http://schemas.microsoft.com/office/drawing/2010/main" Requires="a14">
      <xdr:twoCellAnchor>
        <xdr:from>
          <xdr:col>5</xdr:col>
          <xdr:colOff>314325</xdr:colOff>
          <xdr:row>5</xdr:row>
          <xdr:rowOff>142875</xdr:rowOff>
        </xdr:from>
        <xdr:to>
          <xdr:col>7</xdr:col>
          <xdr:colOff>447675</xdr:colOff>
          <xdr:row>7</xdr:row>
          <xdr:rowOff>161925</xdr:rowOff>
        </xdr:to>
        <xdr:sp macro="" textlink="">
          <xdr:nvSpPr>
            <xdr:cNvPr id="21523" name="Match" hidden="1">
              <a:extLst>
                <a:ext uri="{63B3BB69-23CF-44E3-9099-C40C66FF867C}">
                  <a14:compatExt spid="_x0000_s21523"/>
                </a:ext>
                <a:ext uri="{FF2B5EF4-FFF2-40B4-BE49-F238E27FC236}">
                  <a16:creationId xmlns:a16="http://schemas.microsoft.com/office/drawing/2014/main" id="{00000000-0008-0000-0100-00001354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fr-FR" sz="1000" b="0" i="0" u="none" strike="noStrike" baseline="0">
                  <a:solidFill>
                    <a:srgbClr val="000000"/>
                  </a:solidFill>
                  <a:latin typeface="Calibri"/>
                </a:rPr>
                <a:t>Ajouter un match</a:t>
              </a:r>
            </a:p>
          </xdr:txBody>
        </xdr:sp>
        <xdr:clientData fPrintsWithSheet="0"/>
      </xdr:twoCellAnchor>
    </mc:Choice>
    <mc:Fallback/>
  </mc:AlternateContent>
  <xdr:twoCellAnchor>
    <xdr:from>
      <xdr:col>17</xdr:col>
      <xdr:colOff>12700</xdr:colOff>
      <xdr:row>3</xdr:row>
      <xdr:rowOff>0</xdr:rowOff>
    </xdr:from>
    <xdr:to>
      <xdr:col>20</xdr:col>
      <xdr:colOff>1059</xdr:colOff>
      <xdr:row>22</xdr:row>
      <xdr:rowOff>0</xdr:rowOff>
    </xdr:to>
    <xdr:sp macro="" textlink="">
      <xdr:nvSpPr>
        <xdr:cNvPr id="35" name="Rectangle 34">
          <a:extLst>
            <a:ext uri="{FF2B5EF4-FFF2-40B4-BE49-F238E27FC236}">
              <a16:creationId xmlns:a16="http://schemas.microsoft.com/office/drawing/2014/main" id="{00000000-0008-0000-0100-000023000000}"/>
            </a:ext>
          </a:extLst>
        </xdr:cNvPr>
        <xdr:cNvSpPr/>
      </xdr:nvSpPr>
      <xdr:spPr>
        <a:xfrm>
          <a:off x="11887200" y="1066800"/>
          <a:ext cx="2083859" cy="3378200"/>
        </a:xfrm>
        <a:prstGeom prst="rect">
          <a:avLst/>
        </a:prstGeom>
        <a:solidFill>
          <a:schemeClr val="accent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17</xdr:col>
      <xdr:colOff>12700</xdr:colOff>
      <xdr:row>3</xdr:row>
      <xdr:rowOff>0</xdr:rowOff>
    </xdr:from>
    <xdr:to>
      <xdr:col>20</xdr:col>
      <xdr:colOff>0</xdr:colOff>
      <xdr:row>4</xdr:row>
      <xdr:rowOff>152400</xdr:rowOff>
    </xdr:to>
    <xdr:sp macro="" textlink="">
      <xdr:nvSpPr>
        <xdr:cNvPr id="36" name="Text Box 2">
          <a:extLst>
            <a:ext uri="{FF2B5EF4-FFF2-40B4-BE49-F238E27FC236}">
              <a16:creationId xmlns:a16="http://schemas.microsoft.com/office/drawing/2014/main" id="{00000000-0008-0000-0100-000024000000}"/>
            </a:ext>
          </a:extLst>
        </xdr:cNvPr>
        <xdr:cNvSpPr txBox="1">
          <a:spLocks noChangeArrowheads="1"/>
        </xdr:cNvSpPr>
      </xdr:nvSpPr>
      <xdr:spPr bwMode="auto">
        <a:xfrm>
          <a:off x="11887200" y="1066800"/>
          <a:ext cx="2082800" cy="330200"/>
        </a:xfrm>
        <a:prstGeom prst="rect">
          <a:avLst/>
        </a:prstGeom>
        <a:noFill/>
        <a:ln w="9525">
          <a:noFill/>
          <a:miter lim="800000"/>
          <a:headEnd/>
          <a:tailEnd/>
        </a:ln>
      </xdr:spPr>
      <xdr:txBody>
        <a:bodyPr vertOverflow="clip" wrap="square" lIns="91440" tIns="91440" rIns="0" bIns="0" anchor="t" upright="1"/>
        <a:lstStyle/>
        <a:p>
          <a:pPr algn="l" rtl="0">
            <a:defRPr sz="1000"/>
          </a:pPr>
          <a:r>
            <a:rPr lang="fr-FR" sz="1200" b="1" i="0" u="none" strike="noStrike" baseline="0">
              <a:solidFill>
                <a:schemeClr val="bg1"/>
              </a:solidFill>
              <a:latin typeface="+mj-lt"/>
              <a:cs typeface="Calibri" pitchFamily="2" charset="0"/>
            </a:rPr>
            <a:t>Statistiques</a:t>
          </a:r>
        </a:p>
      </xdr:txBody>
    </xdr:sp>
    <xdr:clientData/>
  </xdr:twoCellAnchor>
  <xdr:twoCellAnchor>
    <xdr:from>
      <xdr:col>17</xdr:col>
      <xdr:colOff>25400</xdr:colOff>
      <xdr:row>23</xdr:row>
      <xdr:rowOff>25400</xdr:rowOff>
    </xdr:from>
    <xdr:to>
      <xdr:col>20</xdr:col>
      <xdr:colOff>13759</xdr:colOff>
      <xdr:row>38</xdr:row>
      <xdr:rowOff>62043</xdr:rowOff>
    </xdr:to>
    <xdr:sp macro="" textlink="">
      <xdr:nvSpPr>
        <xdr:cNvPr id="39" name="Rectangle 38">
          <a:extLst>
            <a:ext uri="{FF2B5EF4-FFF2-40B4-BE49-F238E27FC236}">
              <a16:creationId xmlns:a16="http://schemas.microsoft.com/office/drawing/2014/main" id="{00000000-0008-0000-0100-000027000000}"/>
            </a:ext>
          </a:extLst>
        </xdr:cNvPr>
        <xdr:cNvSpPr/>
      </xdr:nvSpPr>
      <xdr:spPr>
        <a:xfrm>
          <a:off x="11559498" y="4425291"/>
          <a:ext cx="2091146" cy="2743200"/>
        </a:xfrm>
        <a:prstGeom prst="rect">
          <a:avLst/>
        </a:prstGeom>
        <a:solidFill>
          <a:schemeClr val="tx2"/>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17</xdr:col>
      <xdr:colOff>25400</xdr:colOff>
      <xdr:row>23</xdr:row>
      <xdr:rowOff>25400</xdr:rowOff>
    </xdr:from>
    <xdr:to>
      <xdr:col>20</xdr:col>
      <xdr:colOff>12700</xdr:colOff>
      <xdr:row>25</xdr:row>
      <xdr:rowOff>0</xdr:rowOff>
    </xdr:to>
    <xdr:sp macro="" textlink="">
      <xdr:nvSpPr>
        <xdr:cNvPr id="40" name="Text Box 2">
          <a:extLst>
            <a:ext uri="{FF2B5EF4-FFF2-40B4-BE49-F238E27FC236}">
              <a16:creationId xmlns:a16="http://schemas.microsoft.com/office/drawing/2014/main" id="{00000000-0008-0000-0100-000028000000}"/>
            </a:ext>
          </a:extLst>
        </xdr:cNvPr>
        <xdr:cNvSpPr txBox="1">
          <a:spLocks noChangeArrowheads="1"/>
        </xdr:cNvSpPr>
      </xdr:nvSpPr>
      <xdr:spPr bwMode="auto">
        <a:xfrm>
          <a:off x="11518900" y="4826000"/>
          <a:ext cx="2082800" cy="330200"/>
        </a:xfrm>
        <a:prstGeom prst="rect">
          <a:avLst/>
        </a:prstGeom>
        <a:noFill/>
        <a:ln w="9525">
          <a:noFill/>
          <a:miter lim="800000"/>
          <a:headEnd/>
          <a:tailEnd/>
        </a:ln>
      </xdr:spPr>
      <xdr:txBody>
        <a:bodyPr vertOverflow="clip" wrap="square" lIns="91440" tIns="91440" rIns="0" bIns="0" anchor="t" upright="1"/>
        <a:lstStyle/>
        <a:p>
          <a:pPr algn="l" rtl="0">
            <a:defRPr sz="1000"/>
          </a:pPr>
          <a:r>
            <a:rPr lang="fr-FR" sz="1200" b="1" i="0" u="none" strike="noStrike" baseline="0">
              <a:solidFill>
                <a:schemeClr val="bg1"/>
              </a:solidFill>
              <a:latin typeface="+mj-lt"/>
              <a:cs typeface="Calibri" pitchFamily="2" charset="0"/>
            </a:rPr>
            <a:t>Paramétrage</a:t>
          </a:r>
        </a:p>
      </xdr:txBody>
    </xdr:sp>
    <xdr:clientData/>
  </xdr:twoCellAnchor>
  <mc:AlternateContent xmlns:mc="http://schemas.openxmlformats.org/markup-compatibility/2006">
    <mc:Choice xmlns:a14="http://schemas.microsoft.com/office/drawing/2010/main" Requires="a14">
      <xdr:twoCellAnchor>
        <xdr:from>
          <xdr:col>17</xdr:col>
          <xdr:colOff>314325</xdr:colOff>
          <xdr:row>26</xdr:row>
          <xdr:rowOff>0</xdr:rowOff>
        </xdr:from>
        <xdr:to>
          <xdr:col>19</xdr:col>
          <xdr:colOff>447675</xdr:colOff>
          <xdr:row>28</xdr:row>
          <xdr:rowOff>28575</xdr:rowOff>
        </xdr:to>
        <xdr:sp macro="" textlink="">
          <xdr:nvSpPr>
            <xdr:cNvPr id="21524" name="BDD - Joueurs" hidden="1">
              <a:extLst>
                <a:ext uri="{63B3BB69-23CF-44E3-9099-C40C66FF867C}">
                  <a14:compatExt spid="_x0000_s21524"/>
                </a:ext>
                <a:ext uri="{FF2B5EF4-FFF2-40B4-BE49-F238E27FC236}">
                  <a16:creationId xmlns:a16="http://schemas.microsoft.com/office/drawing/2014/main" id="{00000000-0008-0000-0100-00001454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fr-FR" sz="1000" b="0" i="0" u="none" strike="noStrike" baseline="0">
                  <a:solidFill>
                    <a:srgbClr val="000000"/>
                  </a:solidFill>
                  <a:latin typeface="Calibri"/>
                </a:rPr>
                <a:t>Données joueurs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17</xdr:col>
          <xdr:colOff>314325</xdr:colOff>
          <xdr:row>29</xdr:row>
          <xdr:rowOff>0</xdr:rowOff>
        </xdr:from>
        <xdr:to>
          <xdr:col>19</xdr:col>
          <xdr:colOff>447675</xdr:colOff>
          <xdr:row>31</xdr:row>
          <xdr:rowOff>28575</xdr:rowOff>
        </xdr:to>
        <xdr:sp macro="" textlink="">
          <xdr:nvSpPr>
            <xdr:cNvPr id="21525" name="Paramétres" hidden="1">
              <a:extLst>
                <a:ext uri="{63B3BB69-23CF-44E3-9099-C40C66FF867C}">
                  <a14:compatExt spid="_x0000_s21525"/>
                </a:ext>
                <a:ext uri="{FF2B5EF4-FFF2-40B4-BE49-F238E27FC236}">
                  <a16:creationId xmlns:a16="http://schemas.microsoft.com/office/drawing/2014/main" id="{00000000-0008-0000-0100-00001554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fr-FR" sz="1000" b="0" i="0" u="none" strike="noStrike" baseline="0">
                  <a:solidFill>
                    <a:srgbClr val="000000"/>
                  </a:solidFill>
                  <a:latin typeface="Calibri"/>
                </a:rPr>
                <a:t>Paramétres généraux</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17</xdr:col>
          <xdr:colOff>304800</xdr:colOff>
          <xdr:row>9</xdr:row>
          <xdr:rowOff>0</xdr:rowOff>
        </xdr:from>
        <xdr:to>
          <xdr:col>19</xdr:col>
          <xdr:colOff>447675</xdr:colOff>
          <xdr:row>11</xdr:row>
          <xdr:rowOff>28575</xdr:rowOff>
        </xdr:to>
        <xdr:sp macro="" textlink="">
          <xdr:nvSpPr>
            <xdr:cNvPr id="21526" name="Fiche joueur" hidden="1">
              <a:extLst>
                <a:ext uri="{63B3BB69-23CF-44E3-9099-C40C66FF867C}">
                  <a14:compatExt spid="_x0000_s21526"/>
                </a:ext>
                <a:ext uri="{FF2B5EF4-FFF2-40B4-BE49-F238E27FC236}">
                  <a16:creationId xmlns:a16="http://schemas.microsoft.com/office/drawing/2014/main" id="{00000000-0008-0000-0100-00001654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fr-FR" sz="1000" b="0" i="0" u="none" strike="noStrike" baseline="0">
                  <a:solidFill>
                    <a:srgbClr val="000000"/>
                  </a:solidFill>
                  <a:latin typeface="Calibri"/>
                </a:rPr>
                <a:t>Bilan individuel</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17</xdr:col>
          <xdr:colOff>314325</xdr:colOff>
          <xdr:row>5</xdr:row>
          <xdr:rowOff>142875</xdr:rowOff>
        </xdr:from>
        <xdr:to>
          <xdr:col>19</xdr:col>
          <xdr:colOff>447675</xdr:colOff>
          <xdr:row>7</xdr:row>
          <xdr:rowOff>161925</xdr:rowOff>
        </xdr:to>
        <xdr:sp macro="" textlink="">
          <xdr:nvSpPr>
            <xdr:cNvPr id="21527" name="Poid - Taille" hidden="1">
              <a:extLst>
                <a:ext uri="{63B3BB69-23CF-44E3-9099-C40C66FF867C}">
                  <a14:compatExt spid="_x0000_s21527"/>
                </a:ext>
                <a:ext uri="{FF2B5EF4-FFF2-40B4-BE49-F238E27FC236}">
                  <a16:creationId xmlns:a16="http://schemas.microsoft.com/office/drawing/2014/main" id="{00000000-0008-0000-0100-00001754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fr-FR" sz="1000" b="0" i="0" u="none" strike="noStrike" baseline="0">
                  <a:solidFill>
                    <a:srgbClr val="000000"/>
                  </a:solidFill>
                  <a:latin typeface="Calibri"/>
                </a:rPr>
                <a:t>Poid / Taille</a:t>
              </a:r>
            </a:p>
          </xdr:txBody>
        </xdr:sp>
        <xdr:clientData fPrintsWithSheet="0"/>
      </xdr:twoCellAnchor>
    </mc:Choice>
    <mc:Fallback/>
  </mc:AlternateContent>
  <xdr:twoCellAnchor>
    <xdr:from>
      <xdr:col>13</xdr:col>
      <xdr:colOff>15941</xdr:colOff>
      <xdr:row>23</xdr:row>
      <xdr:rowOff>25399</xdr:rowOff>
    </xdr:from>
    <xdr:to>
      <xdr:col>16</xdr:col>
      <xdr:colOff>6691</xdr:colOff>
      <xdr:row>38</xdr:row>
      <xdr:rowOff>62042</xdr:rowOff>
    </xdr:to>
    <xdr:sp macro="" textlink="">
      <xdr:nvSpPr>
        <xdr:cNvPr id="47" name="Rectangle 46">
          <a:extLst>
            <a:ext uri="{FF2B5EF4-FFF2-40B4-BE49-F238E27FC236}">
              <a16:creationId xmlns:a16="http://schemas.microsoft.com/office/drawing/2014/main" id="{00000000-0008-0000-0100-00002F000000}"/>
            </a:ext>
          </a:extLst>
        </xdr:cNvPr>
        <xdr:cNvSpPr/>
      </xdr:nvSpPr>
      <xdr:spPr>
        <a:xfrm>
          <a:off x="8688075" y="4318955"/>
          <a:ext cx="2079076" cy="2666978"/>
        </a:xfrm>
        <a:prstGeom prst="rect">
          <a:avLst/>
        </a:prstGeom>
        <a:solidFill>
          <a:schemeClr val="accent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13</xdr:col>
      <xdr:colOff>15941</xdr:colOff>
      <xdr:row>23</xdr:row>
      <xdr:rowOff>25400</xdr:rowOff>
    </xdr:from>
    <xdr:to>
      <xdr:col>16</xdr:col>
      <xdr:colOff>5632</xdr:colOff>
      <xdr:row>25</xdr:row>
      <xdr:rowOff>0</xdr:rowOff>
    </xdr:to>
    <xdr:sp macro="" textlink="">
      <xdr:nvSpPr>
        <xdr:cNvPr id="48" name="Text Box 2">
          <a:extLst>
            <a:ext uri="{FF2B5EF4-FFF2-40B4-BE49-F238E27FC236}">
              <a16:creationId xmlns:a16="http://schemas.microsoft.com/office/drawing/2014/main" id="{00000000-0008-0000-0100-000030000000}"/>
            </a:ext>
          </a:extLst>
        </xdr:cNvPr>
        <xdr:cNvSpPr txBox="1">
          <a:spLocks noChangeArrowheads="1"/>
        </xdr:cNvSpPr>
      </xdr:nvSpPr>
      <xdr:spPr bwMode="auto">
        <a:xfrm>
          <a:off x="8688075" y="4318956"/>
          <a:ext cx="2078017" cy="325312"/>
        </a:xfrm>
        <a:prstGeom prst="rect">
          <a:avLst/>
        </a:prstGeom>
        <a:noFill/>
        <a:ln w="9525">
          <a:noFill/>
          <a:miter lim="800000"/>
          <a:headEnd/>
          <a:tailEnd/>
        </a:ln>
      </xdr:spPr>
      <xdr:txBody>
        <a:bodyPr vertOverflow="clip" wrap="square" lIns="91440" tIns="91440" rIns="0" bIns="0" anchor="t" upright="1"/>
        <a:lstStyle/>
        <a:p>
          <a:pPr algn="l" rtl="0">
            <a:defRPr sz="1000"/>
          </a:pPr>
          <a:r>
            <a:rPr lang="fr-FR" sz="1200" b="1" i="0" u="none" strike="noStrike" baseline="0">
              <a:solidFill>
                <a:schemeClr val="bg1"/>
              </a:solidFill>
              <a:latin typeface="+mj-lt"/>
              <a:cs typeface="Calibri" pitchFamily="2" charset="0"/>
            </a:rPr>
            <a:t>Entretien</a:t>
          </a:r>
        </a:p>
      </xdr:txBody>
    </xdr:sp>
    <xdr:clientData/>
  </xdr:twoCellAnchor>
  <mc:AlternateContent xmlns:mc="http://schemas.openxmlformats.org/markup-compatibility/2006">
    <mc:Choice xmlns:a14="http://schemas.microsoft.com/office/drawing/2010/main" Requires="a14">
      <xdr:twoCellAnchor>
        <xdr:from>
          <xdr:col>17</xdr:col>
          <xdr:colOff>314325</xdr:colOff>
          <xdr:row>32</xdr:row>
          <xdr:rowOff>9525</xdr:rowOff>
        </xdr:from>
        <xdr:to>
          <xdr:col>19</xdr:col>
          <xdr:colOff>447675</xdr:colOff>
          <xdr:row>34</xdr:row>
          <xdr:rowOff>38100</xdr:rowOff>
        </xdr:to>
        <xdr:sp macro="" textlink="">
          <xdr:nvSpPr>
            <xdr:cNvPr id="21528" name="Parametre model de jeu" hidden="1">
              <a:extLst>
                <a:ext uri="{63B3BB69-23CF-44E3-9099-C40C66FF867C}">
                  <a14:compatExt spid="_x0000_s21528"/>
                </a:ext>
                <a:ext uri="{FF2B5EF4-FFF2-40B4-BE49-F238E27FC236}">
                  <a16:creationId xmlns:a16="http://schemas.microsoft.com/office/drawing/2014/main" id="{00000000-0008-0000-0100-00001854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fr-FR" sz="1000" b="0" i="0" u="none" strike="noStrike" baseline="0">
                  <a:solidFill>
                    <a:srgbClr val="000000"/>
                  </a:solidFill>
                  <a:latin typeface="Calibri"/>
                </a:rPr>
                <a:t>Paramétres model de jeu</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13</xdr:col>
          <xdr:colOff>304800</xdr:colOff>
          <xdr:row>25</xdr:row>
          <xdr:rowOff>180975</xdr:rowOff>
        </xdr:from>
        <xdr:to>
          <xdr:col>15</xdr:col>
          <xdr:colOff>428625</xdr:colOff>
          <xdr:row>28</xdr:row>
          <xdr:rowOff>28575</xdr:rowOff>
        </xdr:to>
        <xdr:sp macro="" textlink="">
          <xdr:nvSpPr>
            <xdr:cNvPr id="21530" name="Bilan entretiens" hidden="1">
              <a:extLst>
                <a:ext uri="{63B3BB69-23CF-44E3-9099-C40C66FF867C}">
                  <a14:compatExt spid="_x0000_s21530"/>
                </a:ext>
                <a:ext uri="{FF2B5EF4-FFF2-40B4-BE49-F238E27FC236}">
                  <a16:creationId xmlns:a16="http://schemas.microsoft.com/office/drawing/2014/main" id="{00000000-0008-0000-0100-00001A54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fr-FR" sz="1000" b="0" i="0" u="none" strike="noStrike" baseline="0">
                  <a:solidFill>
                    <a:srgbClr val="000000"/>
                  </a:solidFill>
                  <a:latin typeface="Calibri"/>
                </a:rPr>
                <a:t>Bilan entretien</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13</xdr:col>
          <xdr:colOff>314325</xdr:colOff>
          <xdr:row>28</xdr:row>
          <xdr:rowOff>180975</xdr:rowOff>
        </xdr:from>
        <xdr:to>
          <xdr:col>15</xdr:col>
          <xdr:colOff>447675</xdr:colOff>
          <xdr:row>31</xdr:row>
          <xdr:rowOff>28575</xdr:rowOff>
        </xdr:to>
        <xdr:sp macro="" textlink="">
          <xdr:nvSpPr>
            <xdr:cNvPr id="21531" name="Fiche entretien" hidden="1">
              <a:extLst>
                <a:ext uri="{63B3BB69-23CF-44E3-9099-C40C66FF867C}">
                  <a14:compatExt spid="_x0000_s21531"/>
                </a:ext>
                <a:ext uri="{FF2B5EF4-FFF2-40B4-BE49-F238E27FC236}">
                  <a16:creationId xmlns:a16="http://schemas.microsoft.com/office/drawing/2014/main" id="{00000000-0008-0000-0100-00001B54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fr-FR" sz="1000" b="0" i="0" u="none" strike="noStrike" baseline="0">
                  <a:solidFill>
                    <a:srgbClr val="000000"/>
                  </a:solidFill>
                  <a:latin typeface="Calibri"/>
                </a:rPr>
                <a:t>Fiche entretien</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17</xdr:col>
          <xdr:colOff>333375</xdr:colOff>
          <xdr:row>35</xdr:row>
          <xdr:rowOff>28575</xdr:rowOff>
        </xdr:from>
        <xdr:to>
          <xdr:col>19</xdr:col>
          <xdr:colOff>457200</xdr:colOff>
          <xdr:row>37</xdr:row>
          <xdr:rowOff>47625</xdr:rowOff>
        </xdr:to>
        <xdr:sp macro="" textlink="">
          <xdr:nvSpPr>
            <xdr:cNvPr id="21533" name="Guide" hidden="1">
              <a:extLst>
                <a:ext uri="{63B3BB69-23CF-44E3-9099-C40C66FF867C}">
                  <a14:compatExt spid="_x0000_s21533"/>
                </a:ext>
                <a:ext uri="{FF2B5EF4-FFF2-40B4-BE49-F238E27FC236}">
                  <a16:creationId xmlns:a16="http://schemas.microsoft.com/office/drawing/2014/main" id="{00000000-0008-0000-0100-00001D54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fr-FR" sz="1000" b="0" i="0" u="none" strike="noStrike" baseline="0">
                  <a:solidFill>
                    <a:srgbClr val="000000"/>
                  </a:solidFill>
                  <a:latin typeface="Calibri"/>
                </a:rPr>
                <a:t>Aide</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xdr:col>
          <xdr:colOff>266700</xdr:colOff>
          <xdr:row>5</xdr:row>
          <xdr:rowOff>142875</xdr:rowOff>
        </xdr:from>
        <xdr:to>
          <xdr:col>3</xdr:col>
          <xdr:colOff>390525</xdr:colOff>
          <xdr:row>7</xdr:row>
          <xdr:rowOff>152400</xdr:rowOff>
        </xdr:to>
        <xdr:sp macro="" textlink="">
          <xdr:nvSpPr>
            <xdr:cNvPr id="21534" name="Séance" descr="Entrainement" hidden="1">
              <a:extLst>
                <a:ext uri="{63B3BB69-23CF-44E3-9099-C40C66FF867C}">
                  <a14:compatExt spid="_x0000_s21534"/>
                </a:ext>
                <a:ext uri="{FF2B5EF4-FFF2-40B4-BE49-F238E27FC236}">
                  <a16:creationId xmlns:a16="http://schemas.microsoft.com/office/drawing/2014/main" id="{00000000-0008-0000-0100-00001E54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fr-FR" sz="1000" b="0" i="0" u="none" strike="noStrike" baseline="0">
                  <a:solidFill>
                    <a:srgbClr val="000000"/>
                  </a:solidFill>
                  <a:latin typeface="Calibri"/>
                </a:rPr>
                <a:t>Ajouter un entrainement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xdr:col>
          <xdr:colOff>266700</xdr:colOff>
          <xdr:row>24</xdr:row>
          <xdr:rowOff>9525</xdr:rowOff>
        </xdr:from>
        <xdr:to>
          <xdr:col>3</xdr:col>
          <xdr:colOff>409575</xdr:colOff>
          <xdr:row>26</xdr:row>
          <xdr:rowOff>38100</xdr:rowOff>
        </xdr:to>
        <xdr:sp macro="" textlink="">
          <xdr:nvSpPr>
            <xdr:cNvPr id="21535" name="Fiche pointage" hidden="1">
              <a:extLst>
                <a:ext uri="{63B3BB69-23CF-44E3-9099-C40C66FF867C}">
                  <a14:compatExt spid="_x0000_s21535"/>
                </a:ext>
                <a:ext uri="{FF2B5EF4-FFF2-40B4-BE49-F238E27FC236}">
                  <a16:creationId xmlns:a16="http://schemas.microsoft.com/office/drawing/2014/main" id="{00000000-0008-0000-0100-00001F54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fr-FR" sz="1000" b="0" i="0" u="none" strike="noStrike" baseline="0">
                  <a:solidFill>
                    <a:srgbClr val="000000"/>
                  </a:solidFill>
                  <a:latin typeface="Calibri"/>
                </a:rPr>
                <a:t>Fiche pointage</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9</xdr:col>
          <xdr:colOff>314325</xdr:colOff>
          <xdr:row>8</xdr:row>
          <xdr:rowOff>152400</xdr:rowOff>
        </xdr:from>
        <xdr:to>
          <xdr:col>11</xdr:col>
          <xdr:colOff>447675</xdr:colOff>
          <xdr:row>11</xdr:row>
          <xdr:rowOff>28575</xdr:rowOff>
        </xdr:to>
        <xdr:sp macro="" textlink="">
          <xdr:nvSpPr>
            <xdr:cNvPr id="21536" name="Bilan Victoire - Mensuel" hidden="1">
              <a:extLst>
                <a:ext uri="{63B3BB69-23CF-44E3-9099-C40C66FF867C}">
                  <a14:compatExt spid="_x0000_s21536"/>
                </a:ext>
                <a:ext uri="{FF2B5EF4-FFF2-40B4-BE49-F238E27FC236}">
                  <a16:creationId xmlns:a16="http://schemas.microsoft.com/office/drawing/2014/main" id="{00000000-0008-0000-0100-00002054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fr-FR" sz="1000" b="0" i="0" u="none" strike="noStrike" baseline="0">
                  <a:solidFill>
                    <a:srgbClr val="000000"/>
                  </a:solidFill>
                  <a:latin typeface="Calibri"/>
                </a:rPr>
                <a:t>Bilan victoires</a:t>
              </a:r>
            </a:p>
          </xdr:txBody>
        </xdr:sp>
        <xdr:clientData fPrintsWithSheet="0"/>
      </xdr:twoCellAnchor>
    </mc:Choice>
    <mc:Fallback/>
  </mc:AlternateContent>
</xdr:wsDr>
</file>

<file path=xl/drawings/drawing3.xml><?xml version="1.0" encoding="utf-8"?>
<xdr:wsDr xmlns:xdr="http://schemas.openxmlformats.org/drawingml/2006/spreadsheetDrawing" xmlns:a="http://schemas.openxmlformats.org/drawingml/2006/main">
  <xdr:twoCellAnchor>
    <xdr:from>
      <xdr:col>10</xdr:col>
      <xdr:colOff>9525</xdr:colOff>
      <xdr:row>58</xdr:row>
      <xdr:rowOff>328612</xdr:rowOff>
    </xdr:from>
    <xdr:to>
      <xdr:col>13</xdr:col>
      <xdr:colOff>28575</xdr:colOff>
      <xdr:row>67</xdr:row>
      <xdr:rowOff>295275</xdr:rowOff>
    </xdr:to>
    <xdr:graphicFrame macro="">
      <xdr:nvGraphicFramePr>
        <xdr:cNvPr id="2" name="Graphique 1">
          <a:extLst>
            <a:ext uri="{FF2B5EF4-FFF2-40B4-BE49-F238E27FC236}">
              <a16:creationId xmlns:a16="http://schemas.microsoft.com/office/drawing/2014/main" id="{00000000-0008-0000-0200-000002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6</xdr:col>
      <xdr:colOff>1</xdr:colOff>
      <xdr:row>11</xdr:row>
      <xdr:rowOff>142875</xdr:rowOff>
    </xdr:from>
    <xdr:to>
      <xdr:col>8</xdr:col>
      <xdr:colOff>752475</xdr:colOff>
      <xdr:row>23</xdr:row>
      <xdr:rowOff>0</xdr:rowOff>
    </xdr:to>
    <xdr:graphicFrame macro="">
      <xdr:nvGraphicFramePr>
        <xdr:cNvPr id="3" name="Graphique 2">
          <a:extLst>
            <a:ext uri="{FF2B5EF4-FFF2-40B4-BE49-F238E27FC236}">
              <a16:creationId xmlns:a16="http://schemas.microsoft.com/office/drawing/2014/main" id="{00000000-0008-0000-0200-000003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10</xdr:col>
      <xdr:colOff>0</xdr:colOff>
      <xdr:row>11</xdr:row>
      <xdr:rowOff>142875</xdr:rowOff>
    </xdr:from>
    <xdr:to>
      <xdr:col>13</xdr:col>
      <xdr:colOff>9525</xdr:colOff>
      <xdr:row>23</xdr:row>
      <xdr:rowOff>0</xdr:rowOff>
    </xdr:to>
    <xdr:graphicFrame macro="">
      <xdr:nvGraphicFramePr>
        <xdr:cNvPr id="4" name="Graphique 3">
          <a:extLst>
            <a:ext uri="{FF2B5EF4-FFF2-40B4-BE49-F238E27FC236}">
              <a16:creationId xmlns:a16="http://schemas.microsoft.com/office/drawing/2014/main" id="{00000000-0008-0000-0200-000004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14</xdr:col>
      <xdr:colOff>0</xdr:colOff>
      <xdr:row>12</xdr:row>
      <xdr:rowOff>0</xdr:rowOff>
    </xdr:from>
    <xdr:to>
      <xdr:col>17</xdr:col>
      <xdr:colOff>9525</xdr:colOff>
      <xdr:row>23</xdr:row>
      <xdr:rowOff>19050</xdr:rowOff>
    </xdr:to>
    <xdr:graphicFrame macro="">
      <xdr:nvGraphicFramePr>
        <xdr:cNvPr id="5" name="Graphique 4">
          <a:extLst>
            <a:ext uri="{FF2B5EF4-FFF2-40B4-BE49-F238E27FC236}">
              <a16:creationId xmlns:a16="http://schemas.microsoft.com/office/drawing/2014/main" id="{00000000-0008-0000-0200-000005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17</xdr:col>
      <xdr:colOff>438150</xdr:colOff>
      <xdr:row>12</xdr:row>
      <xdr:rowOff>0</xdr:rowOff>
    </xdr:from>
    <xdr:to>
      <xdr:col>21</xdr:col>
      <xdr:colOff>0</xdr:colOff>
      <xdr:row>23</xdr:row>
      <xdr:rowOff>19050</xdr:rowOff>
    </xdr:to>
    <xdr:graphicFrame macro="">
      <xdr:nvGraphicFramePr>
        <xdr:cNvPr id="6" name="Graphique 5">
          <a:extLst>
            <a:ext uri="{FF2B5EF4-FFF2-40B4-BE49-F238E27FC236}">
              <a16:creationId xmlns:a16="http://schemas.microsoft.com/office/drawing/2014/main" id="{00000000-0008-0000-0200-000006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twoCellAnchor>
    <xdr:from>
      <xdr:col>6</xdr:col>
      <xdr:colOff>0</xdr:colOff>
      <xdr:row>32</xdr:row>
      <xdr:rowOff>104775</xdr:rowOff>
    </xdr:from>
    <xdr:to>
      <xdr:col>8</xdr:col>
      <xdr:colOff>752474</xdr:colOff>
      <xdr:row>37</xdr:row>
      <xdr:rowOff>238125</xdr:rowOff>
    </xdr:to>
    <xdr:graphicFrame macro="">
      <xdr:nvGraphicFramePr>
        <xdr:cNvPr id="8" name="Graphique 7">
          <a:extLst>
            <a:ext uri="{FF2B5EF4-FFF2-40B4-BE49-F238E27FC236}">
              <a16:creationId xmlns:a16="http://schemas.microsoft.com/office/drawing/2014/main" id="{00000000-0008-0000-0200-000008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
        </a:graphicData>
      </a:graphic>
    </xdr:graphicFrame>
    <xdr:clientData/>
  </xdr:twoCellAnchor>
  <xdr:twoCellAnchor>
    <xdr:from>
      <xdr:col>14</xdr:col>
      <xdr:colOff>9525</xdr:colOff>
      <xdr:row>30</xdr:row>
      <xdr:rowOff>66675</xdr:rowOff>
    </xdr:from>
    <xdr:to>
      <xdr:col>17</xdr:col>
      <xdr:colOff>19050</xdr:colOff>
      <xdr:row>37</xdr:row>
      <xdr:rowOff>285750</xdr:rowOff>
    </xdr:to>
    <xdr:graphicFrame macro="">
      <xdr:nvGraphicFramePr>
        <xdr:cNvPr id="9" name="Graphique 8">
          <a:extLst>
            <a:ext uri="{FF2B5EF4-FFF2-40B4-BE49-F238E27FC236}">
              <a16:creationId xmlns:a16="http://schemas.microsoft.com/office/drawing/2014/main" id="{00000000-0008-0000-0200-000009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7"/>
        </a:graphicData>
      </a:graphic>
    </xdr:graphicFrame>
    <xdr:clientData/>
  </xdr:twoCellAnchor>
  <xdr:twoCellAnchor>
    <xdr:from>
      <xdr:col>17</xdr:col>
      <xdr:colOff>438150</xdr:colOff>
      <xdr:row>30</xdr:row>
      <xdr:rowOff>66675</xdr:rowOff>
    </xdr:from>
    <xdr:to>
      <xdr:col>21</xdr:col>
      <xdr:colOff>0</xdr:colOff>
      <xdr:row>37</xdr:row>
      <xdr:rowOff>285750</xdr:rowOff>
    </xdr:to>
    <xdr:graphicFrame macro="">
      <xdr:nvGraphicFramePr>
        <xdr:cNvPr id="10" name="Graphique 9">
          <a:extLst>
            <a:ext uri="{FF2B5EF4-FFF2-40B4-BE49-F238E27FC236}">
              <a16:creationId xmlns:a16="http://schemas.microsoft.com/office/drawing/2014/main" id="{00000000-0008-0000-0200-00000A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8"/>
        </a:graphicData>
      </a:graphic>
    </xdr:graphicFrame>
    <xdr:clientData/>
  </xdr:twoCellAnchor>
  <xdr:twoCellAnchor>
    <xdr:from>
      <xdr:col>10</xdr:col>
      <xdr:colOff>259081</xdr:colOff>
      <xdr:row>30</xdr:row>
      <xdr:rowOff>95715</xdr:rowOff>
    </xdr:from>
    <xdr:to>
      <xdr:col>10</xdr:col>
      <xdr:colOff>295081</xdr:colOff>
      <xdr:row>34</xdr:row>
      <xdr:rowOff>23547</xdr:rowOff>
    </xdr:to>
    <xdr:sp macro="" textlink="">
      <xdr:nvSpPr>
        <xdr:cNvPr id="11" name="Rectangle 10">
          <a:extLst>
            <a:ext uri="{FF2B5EF4-FFF2-40B4-BE49-F238E27FC236}">
              <a16:creationId xmlns:a16="http://schemas.microsoft.com/office/drawing/2014/main" id="{00000000-0008-0000-0200-00000B000000}"/>
            </a:ext>
          </a:extLst>
        </xdr:cNvPr>
        <xdr:cNvSpPr/>
      </xdr:nvSpPr>
      <xdr:spPr>
        <a:xfrm>
          <a:off x="6526531" y="6086940"/>
          <a:ext cx="36000" cy="1261332"/>
        </a:xfrm>
        <a:prstGeom prst="rect">
          <a:avLst/>
        </a:prstGeom>
        <a:solidFill>
          <a:schemeClr val="accent2"/>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10</xdr:col>
      <xdr:colOff>262012</xdr:colOff>
      <xdr:row>34</xdr:row>
      <xdr:rowOff>22243</xdr:rowOff>
    </xdr:from>
    <xdr:to>
      <xdr:col>10</xdr:col>
      <xdr:colOff>298012</xdr:colOff>
      <xdr:row>37</xdr:row>
      <xdr:rowOff>283118</xdr:rowOff>
    </xdr:to>
    <xdr:sp macro="" textlink="">
      <xdr:nvSpPr>
        <xdr:cNvPr id="12" name="Rectangle 11">
          <a:extLst>
            <a:ext uri="{FF2B5EF4-FFF2-40B4-BE49-F238E27FC236}">
              <a16:creationId xmlns:a16="http://schemas.microsoft.com/office/drawing/2014/main" id="{00000000-0008-0000-0200-00000C000000}"/>
            </a:ext>
          </a:extLst>
        </xdr:cNvPr>
        <xdr:cNvSpPr/>
      </xdr:nvSpPr>
      <xdr:spPr>
        <a:xfrm>
          <a:off x="6523201" y="7369149"/>
          <a:ext cx="36000" cy="1260000"/>
        </a:xfrm>
        <a:prstGeom prst="rect">
          <a:avLst/>
        </a:prstGeom>
        <a:solidFill>
          <a:schemeClr val="accent4"/>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18</xdr:col>
      <xdr:colOff>28575</xdr:colOff>
      <xdr:row>58</xdr:row>
      <xdr:rowOff>323850</xdr:rowOff>
    </xdr:from>
    <xdr:to>
      <xdr:col>21</xdr:col>
      <xdr:colOff>47625</xdr:colOff>
      <xdr:row>67</xdr:row>
      <xdr:rowOff>290513</xdr:rowOff>
    </xdr:to>
    <xdr:graphicFrame macro="">
      <xdr:nvGraphicFramePr>
        <xdr:cNvPr id="19" name="Graphique 18">
          <a:extLst>
            <a:ext uri="{FF2B5EF4-FFF2-40B4-BE49-F238E27FC236}">
              <a16:creationId xmlns:a16="http://schemas.microsoft.com/office/drawing/2014/main" id="{00000000-0008-0000-0200-000013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9"/>
        </a:graphicData>
      </a:graphic>
    </xdr:graphicFrame>
    <xdr:clientData/>
  </xdr:twoCellAnchor>
</xdr:wsDr>
</file>

<file path=xl/drawings/drawing4.xml><?xml version="1.0" encoding="utf-8"?>
<xdr:wsDr xmlns:xdr="http://schemas.openxmlformats.org/drawingml/2006/spreadsheetDrawing" xmlns:a="http://schemas.openxmlformats.org/drawingml/2006/main">
  <xdr:twoCellAnchor>
    <xdr:from>
      <xdr:col>5</xdr:col>
      <xdr:colOff>1593850</xdr:colOff>
      <xdr:row>1</xdr:row>
      <xdr:rowOff>73025</xdr:rowOff>
    </xdr:from>
    <xdr:to>
      <xdr:col>5</xdr:col>
      <xdr:colOff>1881850</xdr:colOff>
      <xdr:row>1</xdr:row>
      <xdr:rowOff>361025</xdr:rowOff>
    </xdr:to>
    <xdr:sp macro="" textlink="">
      <xdr:nvSpPr>
        <xdr:cNvPr id="2" name="Ellipse 1">
          <a:extLst>
            <a:ext uri="{FF2B5EF4-FFF2-40B4-BE49-F238E27FC236}">
              <a16:creationId xmlns:a16="http://schemas.microsoft.com/office/drawing/2014/main" id="{00000000-0008-0000-0400-000002000000}"/>
            </a:ext>
          </a:extLst>
        </xdr:cNvPr>
        <xdr:cNvSpPr>
          <a:spLocks/>
        </xdr:cNvSpPr>
      </xdr:nvSpPr>
      <xdr:spPr>
        <a:xfrm>
          <a:off x="4270375" y="282575"/>
          <a:ext cx="288000" cy="288000"/>
        </a:xfrm>
        <a:prstGeom prst="ellipse">
          <a:avLst/>
        </a:prstGeom>
        <a:solidFill>
          <a:srgbClr val="0070C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mc:AlternateContent xmlns:mc="http://schemas.openxmlformats.org/markup-compatibility/2006">
    <mc:Choice xmlns:a14="http://schemas.microsoft.com/office/drawing/2010/main" Requires="a14">
      <xdr:twoCellAnchor>
        <xdr:from>
          <xdr:col>22</xdr:col>
          <xdr:colOff>342900</xdr:colOff>
          <xdr:row>1</xdr:row>
          <xdr:rowOff>38100</xdr:rowOff>
        </xdr:from>
        <xdr:to>
          <xdr:col>25</xdr:col>
          <xdr:colOff>0</xdr:colOff>
          <xdr:row>2</xdr:row>
          <xdr:rowOff>28575</xdr:rowOff>
        </xdr:to>
        <xdr:sp macro="" textlink="">
          <xdr:nvSpPr>
            <xdr:cNvPr id="47105" name="Button 1" hidden="1">
              <a:extLst>
                <a:ext uri="{63B3BB69-23CF-44E3-9099-C40C66FF867C}">
                  <a14:compatExt spid="_x0000_s47105"/>
                </a:ext>
                <a:ext uri="{FF2B5EF4-FFF2-40B4-BE49-F238E27FC236}">
                  <a16:creationId xmlns:a16="http://schemas.microsoft.com/office/drawing/2014/main" id="{00000000-0008-0000-0400-000001B8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fr-FR" sz="1000" b="0" i="0" u="none" strike="noStrike" baseline="0">
                  <a:solidFill>
                    <a:srgbClr val="000000"/>
                  </a:solidFill>
                  <a:latin typeface="Calibri"/>
                </a:rPr>
                <a:t>Retour</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19</xdr:col>
          <xdr:colOff>371475</xdr:colOff>
          <xdr:row>1</xdr:row>
          <xdr:rowOff>47625</xdr:rowOff>
        </xdr:from>
        <xdr:to>
          <xdr:col>22</xdr:col>
          <xdr:colOff>28575</xdr:colOff>
          <xdr:row>2</xdr:row>
          <xdr:rowOff>38100</xdr:rowOff>
        </xdr:to>
        <xdr:sp macro="" textlink="">
          <xdr:nvSpPr>
            <xdr:cNvPr id="47106" name="Forme" hidden="1">
              <a:extLst>
                <a:ext uri="{63B3BB69-23CF-44E3-9099-C40C66FF867C}">
                  <a14:compatExt spid="_x0000_s47106"/>
                </a:ext>
                <a:ext uri="{FF2B5EF4-FFF2-40B4-BE49-F238E27FC236}">
                  <a16:creationId xmlns:a16="http://schemas.microsoft.com/office/drawing/2014/main" id="{00000000-0008-0000-0400-000002B8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fr-FR" sz="1000" b="0" i="0" u="none" strike="noStrike" baseline="0">
                  <a:solidFill>
                    <a:srgbClr val="000000"/>
                  </a:solidFill>
                  <a:latin typeface="Calibri"/>
                </a:rPr>
                <a:t>Saisir les notes de forme</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10</xdr:col>
          <xdr:colOff>1104900</xdr:colOff>
          <xdr:row>1</xdr:row>
          <xdr:rowOff>28575</xdr:rowOff>
        </xdr:from>
        <xdr:to>
          <xdr:col>13</xdr:col>
          <xdr:colOff>9525</xdr:colOff>
          <xdr:row>2</xdr:row>
          <xdr:rowOff>9525</xdr:rowOff>
        </xdr:to>
        <xdr:sp macro="" textlink="">
          <xdr:nvSpPr>
            <xdr:cNvPr id="47113" name="Button 9" hidden="1">
              <a:extLst>
                <a:ext uri="{63B3BB69-23CF-44E3-9099-C40C66FF867C}">
                  <a14:compatExt spid="_x0000_s47113"/>
                </a:ext>
                <a:ext uri="{FF2B5EF4-FFF2-40B4-BE49-F238E27FC236}">
                  <a16:creationId xmlns:a16="http://schemas.microsoft.com/office/drawing/2014/main" id="{00000000-0008-0000-0400-000009B8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fr-FR" sz="1000" b="0" i="0" u="none" strike="noStrike" baseline="0">
                  <a:solidFill>
                    <a:srgbClr val="000000"/>
                  </a:solidFill>
                  <a:latin typeface="Calibri"/>
                </a:rPr>
                <a:t>Retour</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9</xdr:col>
          <xdr:colOff>295275</xdr:colOff>
          <xdr:row>1</xdr:row>
          <xdr:rowOff>28575</xdr:rowOff>
        </xdr:from>
        <xdr:to>
          <xdr:col>10</xdr:col>
          <xdr:colOff>790575</xdr:colOff>
          <xdr:row>2</xdr:row>
          <xdr:rowOff>28575</xdr:rowOff>
        </xdr:to>
        <xdr:sp macro="" textlink="">
          <xdr:nvSpPr>
            <xdr:cNvPr id="47114" name="Entrainement" hidden="1">
              <a:extLst>
                <a:ext uri="{63B3BB69-23CF-44E3-9099-C40C66FF867C}">
                  <a14:compatExt spid="_x0000_s47114"/>
                </a:ext>
                <a:ext uri="{FF2B5EF4-FFF2-40B4-BE49-F238E27FC236}">
                  <a16:creationId xmlns:a16="http://schemas.microsoft.com/office/drawing/2014/main" id="{00000000-0008-0000-0400-00000AB8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fr-FR" sz="1000" b="0" i="0" u="none" strike="noStrike" baseline="0">
                  <a:solidFill>
                    <a:srgbClr val="000000"/>
                  </a:solidFill>
                  <a:latin typeface="Calibri"/>
                </a:rPr>
                <a:t>Saisir les présences</a:t>
              </a:r>
            </a:p>
          </xdr:txBody>
        </xdr:sp>
        <xdr:clientData fPrintsWithSheet="0"/>
      </xdr:twoCellAnchor>
    </mc:Choice>
    <mc:Fallback/>
  </mc:AlternateContent>
</xdr:wsDr>
</file>

<file path=xl/drawings/drawing5.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13</xdr:col>
          <xdr:colOff>0</xdr:colOff>
          <xdr:row>0</xdr:row>
          <xdr:rowOff>85725</xdr:rowOff>
        </xdr:from>
        <xdr:to>
          <xdr:col>13</xdr:col>
          <xdr:colOff>1628775</xdr:colOff>
          <xdr:row>0</xdr:row>
          <xdr:rowOff>485775</xdr:rowOff>
        </xdr:to>
        <xdr:sp macro="" textlink="">
          <xdr:nvSpPr>
            <xdr:cNvPr id="71681" name="Button 1" hidden="1">
              <a:extLst>
                <a:ext uri="{63B3BB69-23CF-44E3-9099-C40C66FF867C}">
                  <a14:compatExt spid="_x0000_s71681"/>
                </a:ext>
                <a:ext uri="{FF2B5EF4-FFF2-40B4-BE49-F238E27FC236}">
                  <a16:creationId xmlns:a16="http://schemas.microsoft.com/office/drawing/2014/main" id="{00000000-0008-0000-0500-0000011801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fr-FR" sz="1000" b="0" i="0" u="none" strike="noStrike" baseline="0">
                  <a:solidFill>
                    <a:srgbClr val="000000"/>
                  </a:solidFill>
                  <a:latin typeface="Calibri"/>
                </a:rPr>
                <a:t>Retour</a:t>
              </a:r>
            </a:p>
          </xdr:txBody>
        </xdr:sp>
        <xdr:clientData fPrintsWithSheet="0"/>
      </xdr:twoCellAnchor>
    </mc:Choice>
    <mc:Fallback/>
  </mc:AlternateContent>
</xdr:wsDr>
</file>

<file path=xl/drawings/drawing6.xml><?xml version="1.0" encoding="utf-8"?>
<xdr:wsDr xmlns:xdr="http://schemas.openxmlformats.org/drawingml/2006/spreadsheetDrawing" xmlns:a="http://schemas.openxmlformats.org/drawingml/2006/main">
  <xdr:twoCellAnchor>
    <xdr:from>
      <xdr:col>7</xdr:col>
      <xdr:colOff>79375</xdr:colOff>
      <xdr:row>1</xdr:row>
      <xdr:rowOff>63500</xdr:rowOff>
    </xdr:from>
    <xdr:to>
      <xdr:col>7</xdr:col>
      <xdr:colOff>335625</xdr:colOff>
      <xdr:row>1</xdr:row>
      <xdr:rowOff>351500</xdr:rowOff>
    </xdr:to>
    <xdr:sp macro="" textlink="">
      <xdr:nvSpPr>
        <xdr:cNvPr id="5" name="Ellipse 4">
          <a:extLst>
            <a:ext uri="{FF2B5EF4-FFF2-40B4-BE49-F238E27FC236}">
              <a16:creationId xmlns:a16="http://schemas.microsoft.com/office/drawing/2014/main" id="{00000000-0008-0000-0600-000005000000}"/>
            </a:ext>
          </a:extLst>
        </xdr:cNvPr>
        <xdr:cNvSpPr>
          <a:spLocks noChangeAspect="1"/>
        </xdr:cNvSpPr>
      </xdr:nvSpPr>
      <xdr:spPr>
        <a:xfrm>
          <a:off x="4448175" y="266700"/>
          <a:ext cx="256250" cy="288000"/>
        </a:xfrm>
        <a:prstGeom prst="ellipse">
          <a:avLst/>
        </a:prstGeom>
        <a:solidFill>
          <a:srgbClr val="0070C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mc:AlternateContent xmlns:mc="http://schemas.openxmlformats.org/markup-compatibility/2006">
    <mc:Choice xmlns:a14="http://schemas.microsoft.com/office/drawing/2010/main" Requires="a14">
      <xdr:twoCellAnchor>
        <xdr:from>
          <xdr:col>21</xdr:col>
          <xdr:colOff>342900</xdr:colOff>
          <xdr:row>1</xdr:row>
          <xdr:rowOff>38100</xdr:rowOff>
        </xdr:from>
        <xdr:to>
          <xdr:col>24</xdr:col>
          <xdr:colOff>0</xdr:colOff>
          <xdr:row>2</xdr:row>
          <xdr:rowOff>28575</xdr:rowOff>
        </xdr:to>
        <xdr:sp macro="" textlink="">
          <xdr:nvSpPr>
            <xdr:cNvPr id="2051" name="Button 3" hidden="1">
              <a:extLst>
                <a:ext uri="{63B3BB69-23CF-44E3-9099-C40C66FF867C}">
                  <a14:compatExt spid="_x0000_s2051"/>
                </a:ext>
                <a:ext uri="{FF2B5EF4-FFF2-40B4-BE49-F238E27FC236}">
                  <a16:creationId xmlns:a16="http://schemas.microsoft.com/office/drawing/2014/main" id="{00000000-0008-0000-0600-00000308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fr-FR" sz="1000" b="0" i="0" u="none" strike="noStrike" baseline="0">
                  <a:solidFill>
                    <a:srgbClr val="000000"/>
                  </a:solidFill>
                  <a:latin typeface="Calibri"/>
                </a:rPr>
                <a:t>Retour</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18</xdr:col>
          <xdr:colOff>371475</xdr:colOff>
          <xdr:row>1</xdr:row>
          <xdr:rowOff>47625</xdr:rowOff>
        </xdr:from>
        <xdr:to>
          <xdr:col>21</xdr:col>
          <xdr:colOff>28575</xdr:colOff>
          <xdr:row>2</xdr:row>
          <xdr:rowOff>38100</xdr:rowOff>
        </xdr:to>
        <xdr:sp macro="" textlink="">
          <xdr:nvSpPr>
            <xdr:cNvPr id="2052" name="Forme" hidden="1">
              <a:extLst>
                <a:ext uri="{63B3BB69-23CF-44E3-9099-C40C66FF867C}">
                  <a14:compatExt spid="_x0000_s2052"/>
                </a:ext>
                <a:ext uri="{FF2B5EF4-FFF2-40B4-BE49-F238E27FC236}">
                  <a16:creationId xmlns:a16="http://schemas.microsoft.com/office/drawing/2014/main" id="{00000000-0008-0000-0600-00000408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fr-FR" sz="1000" b="0" i="0" u="none" strike="noStrike" baseline="0">
                  <a:solidFill>
                    <a:srgbClr val="000000"/>
                  </a:solidFill>
                  <a:latin typeface="Calibri"/>
                </a:rPr>
                <a:t>Saisir les notes de forme</a:t>
              </a:r>
            </a:p>
          </xdr:txBody>
        </xdr:sp>
        <xdr:clientData fPrintsWithSheet="0"/>
      </xdr:twoCellAnchor>
    </mc:Choice>
    <mc:Fallback/>
  </mc:AlternateContent>
</xdr:wsDr>
</file>

<file path=xl/drawings/drawing7.xml><?xml version="1.0" encoding="utf-8"?>
<xdr:wsDr xmlns:xdr="http://schemas.openxmlformats.org/drawingml/2006/spreadsheetDrawing" xmlns:a="http://schemas.openxmlformats.org/drawingml/2006/main">
  <xdr:twoCellAnchor>
    <xdr:from>
      <xdr:col>11</xdr:col>
      <xdr:colOff>273050</xdr:colOff>
      <xdr:row>1</xdr:row>
      <xdr:rowOff>73025</xdr:rowOff>
    </xdr:from>
    <xdr:to>
      <xdr:col>11</xdr:col>
      <xdr:colOff>561050</xdr:colOff>
      <xdr:row>1</xdr:row>
      <xdr:rowOff>361025</xdr:rowOff>
    </xdr:to>
    <xdr:sp macro="" textlink="">
      <xdr:nvSpPr>
        <xdr:cNvPr id="2" name="Ellipse 1">
          <a:extLst>
            <a:ext uri="{FF2B5EF4-FFF2-40B4-BE49-F238E27FC236}">
              <a16:creationId xmlns:a16="http://schemas.microsoft.com/office/drawing/2014/main" id="{00000000-0008-0000-0700-000002000000}"/>
            </a:ext>
          </a:extLst>
        </xdr:cNvPr>
        <xdr:cNvSpPr>
          <a:spLocks/>
        </xdr:cNvSpPr>
      </xdr:nvSpPr>
      <xdr:spPr>
        <a:xfrm>
          <a:off x="6873875" y="282575"/>
          <a:ext cx="288000" cy="288000"/>
        </a:xfrm>
        <a:prstGeom prst="ellipse">
          <a:avLst/>
        </a:prstGeom>
        <a:solidFill>
          <a:srgbClr val="0070C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2</xdr:col>
      <xdr:colOff>47622</xdr:colOff>
      <xdr:row>17</xdr:row>
      <xdr:rowOff>157160</xdr:rowOff>
    </xdr:from>
    <xdr:to>
      <xdr:col>27</xdr:col>
      <xdr:colOff>466724</xdr:colOff>
      <xdr:row>58</xdr:row>
      <xdr:rowOff>161924</xdr:rowOff>
    </xdr:to>
    <xdr:graphicFrame macro="">
      <xdr:nvGraphicFramePr>
        <xdr:cNvPr id="5" name="Graphique 4">
          <a:extLst>
            <a:ext uri="{FF2B5EF4-FFF2-40B4-BE49-F238E27FC236}">
              <a16:creationId xmlns:a16="http://schemas.microsoft.com/office/drawing/2014/main" id="{00000000-0008-0000-0700-000005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mc:AlternateContent xmlns:mc="http://schemas.openxmlformats.org/markup-compatibility/2006">
    <mc:Choice xmlns:a14="http://schemas.microsoft.com/office/drawing/2010/main" Requires="a14">
      <xdr:twoCellAnchor>
        <xdr:from>
          <xdr:col>23</xdr:col>
          <xdr:colOff>161925</xdr:colOff>
          <xdr:row>1</xdr:row>
          <xdr:rowOff>0</xdr:rowOff>
        </xdr:from>
        <xdr:to>
          <xdr:col>26</xdr:col>
          <xdr:colOff>9525</xdr:colOff>
          <xdr:row>1</xdr:row>
          <xdr:rowOff>381000</xdr:rowOff>
        </xdr:to>
        <xdr:sp macro="" textlink="">
          <xdr:nvSpPr>
            <xdr:cNvPr id="3075" name="Button 3" hidden="1">
              <a:extLst>
                <a:ext uri="{63B3BB69-23CF-44E3-9099-C40C66FF867C}">
                  <a14:compatExt spid="_x0000_s3075"/>
                </a:ext>
                <a:ext uri="{FF2B5EF4-FFF2-40B4-BE49-F238E27FC236}">
                  <a16:creationId xmlns:a16="http://schemas.microsoft.com/office/drawing/2014/main" id="{00000000-0008-0000-0700-0000030C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fr-FR" sz="1000" b="0" i="0" u="none" strike="noStrike" baseline="0">
                  <a:solidFill>
                    <a:srgbClr val="000000"/>
                  </a:solidFill>
                  <a:latin typeface="Calibri"/>
                </a:rPr>
                <a:t>Retour</a:t>
              </a:r>
            </a:p>
          </xdr:txBody>
        </xdr:sp>
        <xdr:clientData fPrintsWithSheet="0"/>
      </xdr:twoCellAnchor>
    </mc:Choice>
    <mc:Fallback/>
  </mc:AlternateContent>
</xdr:wsDr>
</file>

<file path=xl/drawings/drawing8.xml><?xml version="1.0" encoding="utf-8"?>
<xdr:wsDr xmlns:xdr="http://schemas.openxmlformats.org/drawingml/2006/spreadsheetDrawing" xmlns:a="http://schemas.openxmlformats.org/drawingml/2006/main">
  <xdr:twoCellAnchor>
    <xdr:from>
      <xdr:col>12</xdr:col>
      <xdr:colOff>212725</xdr:colOff>
      <xdr:row>1</xdr:row>
      <xdr:rowOff>73025</xdr:rowOff>
    </xdr:from>
    <xdr:to>
      <xdr:col>12</xdr:col>
      <xdr:colOff>500725</xdr:colOff>
      <xdr:row>1</xdr:row>
      <xdr:rowOff>361025</xdr:rowOff>
    </xdr:to>
    <xdr:sp macro="" textlink="">
      <xdr:nvSpPr>
        <xdr:cNvPr id="2" name="Ellipse 1">
          <a:extLst>
            <a:ext uri="{FF2B5EF4-FFF2-40B4-BE49-F238E27FC236}">
              <a16:creationId xmlns:a16="http://schemas.microsoft.com/office/drawing/2014/main" id="{00000000-0008-0000-0800-000002000000}"/>
            </a:ext>
          </a:extLst>
        </xdr:cNvPr>
        <xdr:cNvSpPr>
          <a:spLocks/>
        </xdr:cNvSpPr>
      </xdr:nvSpPr>
      <xdr:spPr>
        <a:xfrm>
          <a:off x="6994525" y="282575"/>
          <a:ext cx="288000" cy="288000"/>
        </a:xfrm>
        <a:prstGeom prst="ellipse">
          <a:avLst/>
        </a:prstGeom>
        <a:solidFill>
          <a:srgbClr val="0070C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27</xdr:col>
      <xdr:colOff>571500</xdr:colOff>
      <xdr:row>0</xdr:row>
      <xdr:rowOff>190500</xdr:rowOff>
    </xdr:from>
    <xdr:to>
      <xdr:col>30</xdr:col>
      <xdr:colOff>13493</xdr:colOff>
      <xdr:row>1</xdr:row>
      <xdr:rowOff>323963</xdr:rowOff>
    </xdr:to>
    <xdr:sp macro="" textlink="">
      <xdr:nvSpPr>
        <xdr:cNvPr id="3" name="ZoneTexte 2">
          <a:hlinkClick xmlns:r="http://schemas.openxmlformats.org/officeDocument/2006/relationships" r:id="rId1"/>
          <a:extLst>
            <a:ext uri="{FF2B5EF4-FFF2-40B4-BE49-F238E27FC236}">
              <a16:creationId xmlns:a16="http://schemas.microsoft.com/office/drawing/2014/main" id="{00000000-0008-0000-0800-000003000000}"/>
            </a:ext>
          </a:extLst>
        </xdr:cNvPr>
        <xdr:cNvSpPr txBox="1"/>
      </xdr:nvSpPr>
      <xdr:spPr>
        <a:xfrm>
          <a:off x="14058900" y="190500"/>
          <a:ext cx="1185068" cy="343013"/>
        </a:xfrm>
        <a:prstGeom prst="rect">
          <a:avLst/>
        </a:prstGeom>
        <a:solidFill>
          <a:srgbClr val="C00000"/>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fr-FR" sz="1000" b="1">
              <a:solidFill>
                <a:schemeClr val="bg1"/>
              </a:solidFill>
              <a:latin typeface="Arial" panose="020B0604020202020204" pitchFamily="34" charset="0"/>
              <a:cs typeface="Arial" panose="020B0604020202020204" pitchFamily="34" charset="0"/>
            </a:rPr>
            <a:t>RETOUR</a:t>
          </a:r>
        </a:p>
      </xdr:txBody>
    </xdr:sp>
    <xdr:clientData/>
  </xdr:twoCellAnchor>
  <xdr:twoCellAnchor>
    <xdr:from>
      <xdr:col>0</xdr:col>
      <xdr:colOff>190500</xdr:colOff>
      <xdr:row>38</xdr:row>
      <xdr:rowOff>90487</xdr:rowOff>
    </xdr:from>
    <xdr:to>
      <xdr:col>13</xdr:col>
      <xdr:colOff>752475</xdr:colOff>
      <xdr:row>65</xdr:row>
      <xdr:rowOff>66675</xdr:rowOff>
    </xdr:to>
    <xdr:graphicFrame macro="">
      <xdr:nvGraphicFramePr>
        <xdr:cNvPr id="5" name="Graphique 4">
          <a:extLst>
            <a:ext uri="{FF2B5EF4-FFF2-40B4-BE49-F238E27FC236}">
              <a16:creationId xmlns:a16="http://schemas.microsoft.com/office/drawing/2014/main" id="{00000000-0008-0000-0800-000005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14</xdr:col>
      <xdr:colOff>171450</xdr:colOff>
      <xdr:row>38</xdr:row>
      <xdr:rowOff>85725</xdr:rowOff>
    </xdr:from>
    <xdr:to>
      <xdr:col>24</xdr:col>
      <xdr:colOff>657225</xdr:colOff>
      <xdr:row>65</xdr:row>
      <xdr:rowOff>61913</xdr:rowOff>
    </xdr:to>
    <xdr:graphicFrame macro="">
      <xdr:nvGraphicFramePr>
        <xdr:cNvPr id="6" name="Graphique 5">
          <a:extLst>
            <a:ext uri="{FF2B5EF4-FFF2-40B4-BE49-F238E27FC236}">
              <a16:creationId xmlns:a16="http://schemas.microsoft.com/office/drawing/2014/main" id="{00000000-0008-0000-0800-000006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mc:AlternateContent xmlns:mc="http://schemas.openxmlformats.org/markup-compatibility/2006">
    <mc:Choice xmlns:a14="http://schemas.microsoft.com/office/drawing/2010/main" Requires="a14">
      <xdr:twoCellAnchor>
        <xdr:from>
          <xdr:col>21</xdr:col>
          <xdr:colOff>571500</xdr:colOff>
          <xdr:row>1</xdr:row>
          <xdr:rowOff>0</xdr:rowOff>
        </xdr:from>
        <xdr:to>
          <xdr:col>24</xdr:col>
          <xdr:colOff>0</xdr:colOff>
          <xdr:row>1</xdr:row>
          <xdr:rowOff>381000</xdr:rowOff>
        </xdr:to>
        <xdr:sp macro="" textlink="">
          <xdr:nvSpPr>
            <xdr:cNvPr id="4097" name="Button 1" hidden="1">
              <a:extLst>
                <a:ext uri="{63B3BB69-23CF-44E3-9099-C40C66FF867C}">
                  <a14:compatExt spid="_x0000_s4097"/>
                </a:ext>
                <a:ext uri="{FF2B5EF4-FFF2-40B4-BE49-F238E27FC236}">
                  <a16:creationId xmlns:a16="http://schemas.microsoft.com/office/drawing/2014/main" id="{00000000-0008-0000-0800-00000110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fr-FR" sz="1000" b="0" i="0" u="none" strike="noStrike" baseline="0">
                  <a:solidFill>
                    <a:srgbClr val="000000"/>
                  </a:solidFill>
                  <a:latin typeface="Calibri"/>
                </a:rPr>
                <a:t>Retour</a:t>
              </a:r>
            </a:p>
          </xdr:txBody>
        </xdr:sp>
        <xdr:clientData fPrintsWithSheet="0"/>
      </xdr:twoCellAnchor>
    </mc:Choice>
    <mc:Fallback/>
  </mc:AlternateContent>
</xdr:wsDr>
</file>

<file path=xl/drawings/drawing9.xml><?xml version="1.0" encoding="utf-8"?>
<xdr:wsDr xmlns:xdr="http://schemas.openxmlformats.org/drawingml/2006/spreadsheetDrawing" xmlns:a="http://schemas.openxmlformats.org/drawingml/2006/main">
  <xdr:twoCellAnchor>
    <xdr:from>
      <xdr:col>1</xdr:col>
      <xdr:colOff>0</xdr:colOff>
      <xdr:row>4</xdr:row>
      <xdr:rowOff>120650</xdr:rowOff>
    </xdr:from>
    <xdr:to>
      <xdr:col>35</xdr:col>
      <xdr:colOff>6350</xdr:colOff>
      <xdr:row>16</xdr:row>
      <xdr:rowOff>0</xdr:rowOff>
    </xdr:to>
    <xdr:graphicFrame macro="">
      <xdr:nvGraphicFramePr>
        <xdr:cNvPr id="2" name="Graphique 1">
          <a:extLst>
            <a:ext uri="{FF2B5EF4-FFF2-40B4-BE49-F238E27FC236}">
              <a16:creationId xmlns:a16="http://schemas.microsoft.com/office/drawing/2014/main" id="{00000000-0008-0000-09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3</xdr:col>
      <xdr:colOff>571500</xdr:colOff>
      <xdr:row>1</xdr:row>
      <xdr:rowOff>88900</xdr:rowOff>
    </xdr:from>
    <xdr:to>
      <xdr:col>4</xdr:col>
      <xdr:colOff>97500</xdr:colOff>
      <xdr:row>1</xdr:row>
      <xdr:rowOff>376900</xdr:rowOff>
    </xdr:to>
    <xdr:sp macro="" textlink="">
      <xdr:nvSpPr>
        <xdr:cNvPr id="3" name="Ellipse 2">
          <a:extLst>
            <a:ext uri="{FF2B5EF4-FFF2-40B4-BE49-F238E27FC236}">
              <a16:creationId xmlns:a16="http://schemas.microsoft.com/office/drawing/2014/main" id="{00000000-0008-0000-0900-000003000000}"/>
            </a:ext>
          </a:extLst>
        </xdr:cNvPr>
        <xdr:cNvSpPr>
          <a:spLocks/>
        </xdr:cNvSpPr>
      </xdr:nvSpPr>
      <xdr:spPr>
        <a:xfrm>
          <a:off x="2286000" y="250825"/>
          <a:ext cx="288000" cy="288000"/>
        </a:xfrm>
        <a:prstGeom prst="ellipse">
          <a:avLst/>
        </a:prstGeom>
        <a:solidFill>
          <a:schemeClr val="accent2"/>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mc:AlternateContent xmlns:mc="http://schemas.openxmlformats.org/markup-compatibility/2006">
    <mc:Choice xmlns:a14="http://schemas.microsoft.com/office/drawing/2010/main" Requires="a14">
      <xdr:twoCellAnchor>
        <xdr:from>
          <xdr:col>19</xdr:col>
          <xdr:colOff>571500</xdr:colOff>
          <xdr:row>1</xdr:row>
          <xdr:rowOff>9525</xdr:rowOff>
        </xdr:from>
        <xdr:to>
          <xdr:col>22</xdr:col>
          <xdr:colOff>0</xdr:colOff>
          <xdr:row>1</xdr:row>
          <xdr:rowOff>390525</xdr:rowOff>
        </xdr:to>
        <xdr:sp macro="" textlink="">
          <xdr:nvSpPr>
            <xdr:cNvPr id="5122" name="Button 2" hidden="1">
              <a:extLst>
                <a:ext uri="{63B3BB69-23CF-44E3-9099-C40C66FF867C}">
                  <a14:compatExt spid="_x0000_s5122"/>
                </a:ext>
                <a:ext uri="{FF2B5EF4-FFF2-40B4-BE49-F238E27FC236}">
                  <a16:creationId xmlns:a16="http://schemas.microsoft.com/office/drawing/2014/main" id="{00000000-0008-0000-0900-00000214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fr-FR" sz="1000" b="0" i="0" u="none" strike="noStrike" baseline="0">
                  <a:solidFill>
                    <a:srgbClr val="000000"/>
                  </a:solidFill>
                  <a:latin typeface="Calibri"/>
                </a:rPr>
                <a:t>Retour</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16</xdr:col>
          <xdr:colOff>600075</xdr:colOff>
          <xdr:row>1</xdr:row>
          <xdr:rowOff>9525</xdr:rowOff>
        </xdr:from>
        <xdr:to>
          <xdr:col>19</xdr:col>
          <xdr:colOff>28575</xdr:colOff>
          <xdr:row>1</xdr:row>
          <xdr:rowOff>390525</xdr:rowOff>
        </xdr:to>
        <xdr:sp macro="" textlink="">
          <xdr:nvSpPr>
            <xdr:cNvPr id="5123" name="RPE" hidden="1">
              <a:extLst>
                <a:ext uri="{63B3BB69-23CF-44E3-9099-C40C66FF867C}">
                  <a14:compatExt spid="_x0000_s5123"/>
                </a:ext>
                <a:ext uri="{FF2B5EF4-FFF2-40B4-BE49-F238E27FC236}">
                  <a16:creationId xmlns:a16="http://schemas.microsoft.com/office/drawing/2014/main" id="{00000000-0008-0000-0900-00000314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fr-FR" sz="1000" b="0" i="0" u="none" strike="noStrike" baseline="0">
                  <a:solidFill>
                    <a:srgbClr val="000000"/>
                  </a:solidFill>
                  <a:latin typeface="Calibri"/>
                </a:rPr>
                <a:t>Saisir les notes RPE</a:t>
              </a:r>
            </a:p>
          </xdr:txBody>
        </xdr:sp>
        <xdr:clientData fPrintsWithSheet="0"/>
      </xdr:twoCellAnchor>
    </mc:Choice>
    <mc:Fallback/>
  </mc:AlternateContent>
</xdr:wsDr>
</file>

<file path=xl/drawings/drawing10.xml><?xml version="1.0" encoding="utf-8"?>
<xdr:wsDr xmlns:xdr="http://schemas.openxmlformats.org/drawingml/2006/spreadsheetDrawing" xmlns:a="http://schemas.openxmlformats.org/drawingml/2006/main">
  <xdr:twoCellAnchor>
    <xdr:from>
      <xdr:col>1</xdr:col>
      <xdr:colOff>0</xdr:colOff>
      <xdr:row>4</xdr:row>
      <xdr:rowOff>120650</xdr:rowOff>
    </xdr:from>
    <xdr:to>
      <xdr:col>35</xdr:col>
      <xdr:colOff>6350</xdr:colOff>
      <xdr:row>16</xdr:row>
      <xdr:rowOff>0</xdr:rowOff>
    </xdr:to>
    <xdr:graphicFrame macro="">
      <xdr:nvGraphicFramePr>
        <xdr:cNvPr id="5" name="Graphique 4">
          <a:extLst>
            <a:ext uri="{FF2B5EF4-FFF2-40B4-BE49-F238E27FC236}">
              <a16:creationId xmlns:a16="http://schemas.microsoft.com/office/drawing/2014/main" id="{00000000-0008-0000-0A00-000005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3</xdr:col>
      <xdr:colOff>228600</xdr:colOff>
      <xdr:row>1</xdr:row>
      <xdr:rowOff>76200</xdr:rowOff>
    </xdr:from>
    <xdr:to>
      <xdr:col>3</xdr:col>
      <xdr:colOff>515652</xdr:colOff>
      <xdr:row>1</xdr:row>
      <xdr:rowOff>359664</xdr:rowOff>
    </xdr:to>
    <xdr:sp macro="" textlink="">
      <xdr:nvSpPr>
        <xdr:cNvPr id="6" name="Ellipse 5">
          <a:extLst>
            <a:ext uri="{FF2B5EF4-FFF2-40B4-BE49-F238E27FC236}">
              <a16:creationId xmlns:a16="http://schemas.microsoft.com/office/drawing/2014/main" id="{00000000-0008-0000-0A00-000006000000}"/>
            </a:ext>
          </a:extLst>
        </xdr:cNvPr>
        <xdr:cNvSpPr>
          <a:spLocks noChangeAspect="1"/>
        </xdr:cNvSpPr>
      </xdr:nvSpPr>
      <xdr:spPr>
        <a:xfrm>
          <a:off x="1841500" y="254000"/>
          <a:ext cx="287052" cy="283464"/>
        </a:xfrm>
        <a:prstGeom prst="ellipse">
          <a:avLst/>
        </a:prstGeom>
        <a:solidFill>
          <a:schemeClr val="accent4">
            <a:lumMod val="75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mc:AlternateContent xmlns:mc="http://schemas.openxmlformats.org/markup-compatibility/2006">
    <mc:Choice xmlns:a14="http://schemas.microsoft.com/office/drawing/2010/main" Requires="a14">
      <xdr:twoCellAnchor>
        <xdr:from>
          <xdr:col>19</xdr:col>
          <xdr:colOff>600075</xdr:colOff>
          <xdr:row>1</xdr:row>
          <xdr:rowOff>47625</xdr:rowOff>
        </xdr:from>
        <xdr:to>
          <xdr:col>22</xdr:col>
          <xdr:colOff>28575</xdr:colOff>
          <xdr:row>2</xdr:row>
          <xdr:rowOff>9525</xdr:rowOff>
        </xdr:to>
        <xdr:sp macro="" textlink="">
          <xdr:nvSpPr>
            <xdr:cNvPr id="6145" name="Button 1" hidden="1">
              <a:extLst>
                <a:ext uri="{63B3BB69-23CF-44E3-9099-C40C66FF867C}">
                  <a14:compatExt spid="_x0000_s6145"/>
                </a:ext>
                <a:ext uri="{FF2B5EF4-FFF2-40B4-BE49-F238E27FC236}">
                  <a16:creationId xmlns:a16="http://schemas.microsoft.com/office/drawing/2014/main" id="{00000000-0008-0000-0A00-00000118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fr-FR" sz="1000" b="0" i="0" u="none" strike="noStrike" baseline="0">
                  <a:solidFill>
                    <a:srgbClr val="000000"/>
                  </a:solidFill>
                  <a:latin typeface="Calibri"/>
                </a:rPr>
                <a:t>Retour</a:t>
              </a:r>
            </a:p>
          </xdr:txBody>
        </xdr:sp>
        <xdr:clientData fPrintsWithSheet="0"/>
      </xdr:twoCellAnchor>
    </mc:Choice>
    <mc:Fallback/>
  </mc:AlternateContent>
</xdr:wsDr>
</file>

<file path=xl/drawings/drawing11.xml><?xml version="1.0" encoding="utf-8"?>
<xdr:wsDr xmlns:xdr="http://schemas.openxmlformats.org/drawingml/2006/spreadsheetDrawing" xmlns:a="http://schemas.openxmlformats.org/drawingml/2006/main">
  <xdr:twoCellAnchor>
    <xdr:from>
      <xdr:col>4</xdr:col>
      <xdr:colOff>123825</xdr:colOff>
      <xdr:row>1</xdr:row>
      <xdr:rowOff>76200</xdr:rowOff>
    </xdr:from>
    <xdr:to>
      <xdr:col>4</xdr:col>
      <xdr:colOff>410877</xdr:colOff>
      <xdr:row>1</xdr:row>
      <xdr:rowOff>359664</xdr:rowOff>
    </xdr:to>
    <xdr:sp macro="" textlink="">
      <xdr:nvSpPr>
        <xdr:cNvPr id="3" name="Ellipse 2">
          <a:extLst>
            <a:ext uri="{FF2B5EF4-FFF2-40B4-BE49-F238E27FC236}">
              <a16:creationId xmlns:a16="http://schemas.microsoft.com/office/drawing/2014/main" id="{00000000-0008-0000-0B00-000003000000}"/>
            </a:ext>
          </a:extLst>
        </xdr:cNvPr>
        <xdr:cNvSpPr>
          <a:spLocks noChangeAspect="1"/>
        </xdr:cNvSpPr>
      </xdr:nvSpPr>
      <xdr:spPr>
        <a:xfrm>
          <a:off x="2600325" y="238125"/>
          <a:ext cx="287052" cy="283464"/>
        </a:xfrm>
        <a:prstGeom prst="ellipse">
          <a:avLst/>
        </a:prstGeom>
        <a:solidFill>
          <a:schemeClr val="accent3"/>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mc:AlternateContent xmlns:mc="http://schemas.openxmlformats.org/markup-compatibility/2006">
    <mc:Choice xmlns:a14="http://schemas.microsoft.com/office/drawing/2010/main" Requires="a14">
      <xdr:twoCellAnchor>
        <xdr:from>
          <xdr:col>19</xdr:col>
          <xdr:colOff>638175</xdr:colOff>
          <xdr:row>1</xdr:row>
          <xdr:rowOff>28575</xdr:rowOff>
        </xdr:from>
        <xdr:to>
          <xdr:col>22</xdr:col>
          <xdr:colOff>66675</xdr:colOff>
          <xdr:row>1</xdr:row>
          <xdr:rowOff>409575</xdr:rowOff>
        </xdr:to>
        <xdr:sp macro="" textlink="">
          <xdr:nvSpPr>
            <xdr:cNvPr id="7170" name="Button 2" hidden="1">
              <a:extLst>
                <a:ext uri="{63B3BB69-23CF-44E3-9099-C40C66FF867C}">
                  <a14:compatExt spid="_x0000_s7170"/>
                </a:ext>
                <a:ext uri="{FF2B5EF4-FFF2-40B4-BE49-F238E27FC236}">
                  <a16:creationId xmlns:a16="http://schemas.microsoft.com/office/drawing/2014/main" id="{00000000-0008-0000-0B00-0000021C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fr-FR" sz="1000" b="0" i="0" u="none" strike="noStrike" baseline="0">
                  <a:solidFill>
                    <a:srgbClr val="000000"/>
                  </a:solidFill>
                  <a:latin typeface="Calibri"/>
                </a:rPr>
                <a:t>Retour</a:t>
              </a:r>
            </a:p>
          </xdr:txBody>
        </xdr:sp>
        <xdr:clientData fPrintsWithSheet="0"/>
      </xdr:twoCellAnchor>
    </mc:Choice>
    <mc:Fallback/>
  </mc:AlternateContent>
</xdr:wsDr>
</file>

<file path=xl/drawings/drawing12.xml><?xml version="1.0" encoding="utf-8"?>
<xdr:wsDr xmlns:xdr="http://schemas.openxmlformats.org/drawingml/2006/spreadsheetDrawing" xmlns:a="http://schemas.openxmlformats.org/drawingml/2006/main">
  <xdr:twoCellAnchor>
    <xdr:from>
      <xdr:col>1</xdr:col>
      <xdr:colOff>0</xdr:colOff>
      <xdr:row>4</xdr:row>
      <xdr:rowOff>120650</xdr:rowOff>
    </xdr:from>
    <xdr:to>
      <xdr:col>35</xdr:col>
      <xdr:colOff>6350</xdr:colOff>
      <xdr:row>16</xdr:row>
      <xdr:rowOff>0</xdr:rowOff>
    </xdr:to>
    <xdr:graphicFrame macro="">
      <xdr:nvGraphicFramePr>
        <xdr:cNvPr id="4" name="Graphique 3">
          <a:extLst>
            <a:ext uri="{FF2B5EF4-FFF2-40B4-BE49-F238E27FC236}">
              <a16:creationId xmlns:a16="http://schemas.microsoft.com/office/drawing/2014/main" id="{00000000-0008-0000-0C00-000004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3</xdr:col>
      <xdr:colOff>469900</xdr:colOff>
      <xdr:row>1</xdr:row>
      <xdr:rowOff>88900</xdr:rowOff>
    </xdr:from>
    <xdr:to>
      <xdr:col>4</xdr:col>
      <xdr:colOff>58452</xdr:colOff>
      <xdr:row>1</xdr:row>
      <xdr:rowOff>372364</xdr:rowOff>
    </xdr:to>
    <xdr:sp macro="" textlink="">
      <xdr:nvSpPr>
        <xdr:cNvPr id="5" name="Ellipse 4">
          <a:extLst>
            <a:ext uri="{FF2B5EF4-FFF2-40B4-BE49-F238E27FC236}">
              <a16:creationId xmlns:a16="http://schemas.microsoft.com/office/drawing/2014/main" id="{00000000-0008-0000-0C00-000005000000}"/>
            </a:ext>
          </a:extLst>
        </xdr:cNvPr>
        <xdr:cNvSpPr>
          <a:spLocks noChangeAspect="1"/>
        </xdr:cNvSpPr>
      </xdr:nvSpPr>
      <xdr:spPr>
        <a:xfrm>
          <a:off x="2082800" y="266700"/>
          <a:ext cx="287052" cy="283464"/>
        </a:xfrm>
        <a:prstGeom prst="ellipse">
          <a:avLst/>
        </a:prstGeom>
        <a:solidFill>
          <a:schemeClr val="accent3"/>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mc:AlternateContent xmlns:mc="http://schemas.openxmlformats.org/markup-compatibility/2006">
    <mc:Choice xmlns:a14="http://schemas.microsoft.com/office/drawing/2010/main" Requires="a14">
      <xdr:twoCellAnchor>
        <xdr:from>
          <xdr:col>19</xdr:col>
          <xdr:colOff>676275</xdr:colOff>
          <xdr:row>1</xdr:row>
          <xdr:rowOff>28575</xdr:rowOff>
        </xdr:from>
        <xdr:to>
          <xdr:col>22</xdr:col>
          <xdr:colOff>104775</xdr:colOff>
          <xdr:row>1</xdr:row>
          <xdr:rowOff>409575</xdr:rowOff>
        </xdr:to>
        <xdr:sp macro="" textlink="">
          <xdr:nvSpPr>
            <xdr:cNvPr id="8193" name="Button 1" hidden="1">
              <a:extLst>
                <a:ext uri="{63B3BB69-23CF-44E3-9099-C40C66FF867C}">
                  <a14:compatExt spid="_x0000_s8193"/>
                </a:ext>
                <a:ext uri="{FF2B5EF4-FFF2-40B4-BE49-F238E27FC236}">
                  <a16:creationId xmlns:a16="http://schemas.microsoft.com/office/drawing/2014/main" id="{00000000-0008-0000-0C00-00000120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fr-FR" sz="1000" b="0" i="0" u="none" strike="noStrike" baseline="0">
                  <a:solidFill>
                    <a:srgbClr val="000000"/>
                  </a:solidFill>
                  <a:latin typeface="Calibri"/>
                </a:rPr>
                <a:t>Retour</a:t>
              </a:r>
            </a:p>
          </xdr:txBody>
        </xdr:sp>
        <xdr:clientData fPrintsWithSheet="0"/>
      </xdr:twoCellAnchor>
    </mc:Choice>
    <mc:Fallback/>
  </mc:AlternateContent>
</xdr:wsDr>
</file>

<file path=xl/drawings/drawing13.xml><?xml version="1.0" encoding="utf-8"?>
<xdr:wsDr xmlns:xdr="http://schemas.openxmlformats.org/drawingml/2006/spreadsheetDrawing" xmlns:a="http://schemas.openxmlformats.org/drawingml/2006/main">
  <xdr:twoCellAnchor>
    <xdr:from>
      <xdr:col>1</xdr:col>
      <xdr:colOff>0</xdr:colOff>
      <xdr:row>4</xdr:row>
      <xdr:rowOff>120650</xdr:rowOff>
    </xdr:from>
    <xdr:to>
      <xdr:col>35</xdr:col>
      <xdr:colOff>6350</xdr:colOff>
      <xdr:row>16</xdr:row>
      <xdr:rowOff>0</xdr:rowOff>
    </xdr:to>
    <xdr:graphicFrame macro="">
      <xdr:nvGraphicFramePr>
        <xdr:cNvPr id="2" name="Graphique 1">
          <a:extLst>
            <a:ext uri="{FF2B5EF4-FFF2-40B4-BE49-F238E27FC236}">
              <a16:creationId xmlns:a16="http://schemas.microsoft.com/office/drawing/2014/main" id="{00000000-0008-0000-0D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3</xdr:col>
      <xdr:colOff>469900</xdr:colOff>
      <xdr:row>1</xdr:row>
      <xdr:rowOff>88900</xdr:rowOff>
    </xdr:from>
    <xdr:to>
      <xdr:col>4</xdr:col>
      <xdr:colOff>58452</xdr:colOff>
      <xdr:row>1</xdr:row>
      <xdr:rowOff>372364</xdr:rowOff>
    </xdr:to>
    <xdr:sp macro="" textlink="">
      <xdr:nvSpPr>
        <xdr:cNvPr id="3" name="Ellipse 2">
          <a:extLst>
            <a:ext uri="{FF2B5EF4-FFF2-40B4-BE49-F238E27FC236}">
              <a16:creationId xmlns:a16="http://schemas.microsoft.com/office/drawing/2014/main" id="{00000000-0008-0000-0D00-000003000000}"/>
            </a:ext>
          </a:extLst>
        </xdr:cNvPr>
        <xdr:cNvSpPr>
          <a:spLocks noChangeAspect="1"/>
        </xdr:cNvSpPr>
      </xdr:nvSpPr>
      <xdr:spPr>
        <a:xfrm>
          <a:off x="2082800" y="266700"/>
          <a:ext cx="287052" cy="283464"/>
        </a:xfrm>
        <a:prstGeom prst="ellipse">
          <a:avLst/>
        </a:prstGeom>
        <a:solidFill>
          <a:schemeClr val="accent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mc:AlternateContent xmlns:mc="http://schemas.openxmlformats.org/markup-compatibility/2006">
    <mc:Choice xmlns:a14="http://schemas.microsoft.com/office/drawing/2010/main" Requires="a14">
      <xdr:twoCellAnchor>
        <xdr:from>
          <xdr:col>19</xdr:col>
          <xdr:colOff>609600</xdr:colOff>
          <xdr:row>1</xdr:row>
          <xdr:rowOff>28575</xdr:rowOff>
        </xdr:from>
        <xdr:to>
          <xdr:col>22</xdr:col>
          <xdr:colOff>38100</xdr:colOff>
          <xdr:row>1</xdr:row>
          <xdr:rowOff>409575</xdr:rowOff>
        </xdr:to>
        <xdr:sp macro="" textlink="">
          <xdr:nvSpPr>
            <xdr:cNvPr id="9218" name="Button 2" hidden="1">
              <a:extLst>
                <a:ext uri="{63B3BB69-23CF-44E3-9099-C40C66FF867C}">
                  <a14:compatExt spid="_x0000_s9218"/>
                </a:ext>
                <a:ext uri="{FF2B5EF4-FFF2-40B4-BE49-F238E27FC236}">
                  <a16:creationId xmlns:a16="http://schemas.microsoft.com/office/drawing/2014/main" id="{00000000-0008-0000-0D00-00000224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fr-FR" sz="1000" b="0" i="0" u="none" strike="noStrike" baseline="0">
                  <a:solidFill>
                    <a:srgbClr val="000000"/>
                  </a:solidFill>
                  <a:latin typeface="Calibri"/>
                </a:rPr>
                <a:t>Retour</a:t>
              </a:r>
            </a:p>
          </xdr:txBody>
        </xdr:sp>
        <xdr:clientData fPrintsWithSheet="0"/>
      </xdr:twoCellAnchor>
    </mc:Choice>
    <mc:Fallback/>
  </mc:AlternateContent>
</xdr:wsDr>
</file>

<file path=xl/drawings/drawing14.xml><?xml version="1.0" encoding="utf-8"?>
<xdr:wsDr xmlns:xdr="http://schemas.openxmlformats.org/drawingml/2006/spreadsheetDrawing" xmlns:a="http://schemas.openxmlformats.org/drawingml/2006/main">
  <xdr:twoCellAnchor>
    <xdr:from>
      <xdr:col>8</xdr:col>
      <xdr:colOff>641350</xdr:colOff>
      <xdr:row>1</xdr:row>
      <xdr:rowOff>73025</xdr:rowOff>
    </xdr:from>
    <xdr:to>
      <xdr:col>9</xdr:col>
      <xdr:colOff>167350</xdr:colOff>
      <xdr:row>1</xdr:row>
      <xdr:rowOff>361025</xdr:rowOff>
    </xdr:to>
    <xdr:sp macro="" textlink="">
      <xdr:nvSpPr>
        <xdr:cNvPr id="2" name="Ellipse 1">
          <a:extLst>
            <a:ext uri="{FF2B5EF4-FFF2-40B4-BE49-F238E27FC236}">
              <a16:creationId xmlns:a16="http://schemas.microsoft.com/office/drawing/2014/main" id="{00000000-0008-0000-0E00-000002000000}"/>
            </a:ext>
          </a:extLst>
        </xdr:cNvPr>
        <xdr:cNvSpPr>
          <a:spLocks/>
        </xdr:cNvSpPr>
      </xdr:nvSpPr>
      <xdr:spPr>
        <a:xfrm>
          <a:off x="4375150" y="282575"/>
          <a:ext cx="288000" cy="288000"/>
        </a:xfrm>
        <a:prstGeom prst="ellipse">
          <a:avLst/>
        </a:prstGeom>
        <a:solidFill>
          <a:schemeClr val="accent3"/>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mc:AlternateContent xmlns:mc="http://schemas.openxmlformats.org/markup-compatibility/2006">
    <mc:Choice xmlns:a14="http://schemas.microsoft.com/office/drawing/2010/main" Requires="a14">
      <xdr:twoCellAnchor>
        <xdr:from>
          <xdr:col>21</xdr:col>
          <xdr:colOff>571500</xdr:colOff>
          <xdr:row>1</xdr:row>
          <xdr:rowOff>0</xdr:rowOff>
        </xdr:from>
        <xdr:to>
          <xdr:col>24</xdr:col>
          <xdr:colOff>0</xdr:colOff>
          <xdr:row>1</xdr:row>
          <xdr:rowOff>381000</xdr:rowOff>
        </xdr:to>
        <xdr:sp macro="" textlink="">
          <xdr:nvSpPr>
            <xdr:cNvPr id="97281" name="Button 1" hidden="1">
              <a:extLst>
                <a:ext uri="{63B3BB69-23CF-44E3-9099-C40C66FF867C}">
                  <a14:compatExt spid="_x0000_s97281"/>
                </a:ext>
                <a:ext uri="{FF2B5EF4-FFF2-40B4-BE49-F238E27FC236}">
                  <a16:creationId xmlns:a16="http://schemas.microsoft.com/office/drawing/2014/main" id="{00000000-0008-0000-0E00-0000017C01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fr-FR" sz="1000" b="0" i="0" u="none" strike="noStrike" baseline="0">
                  <a:solidFill>
                    <a:srgbClr val="000000"/>
                  </a:solidFill>
                  <a:latin typeface="Calibri"/>
                </a:rPr>
                <a:t>Retour</a:t>
              </a:r>
            </a:p>
          </xdr:txBody>
        </xdr:sp>
        <xdr:clientData fPrintsWithSheet="0"/>
      </xdr:twoCellAnchor>
    </mc:Choice>
    <mc:Fallback/>
  </mc:AlternateContent>
  <xdr:twoCellAnchor>
    <xdr:from>
      <xdr:col>5</xdr:col>
      <xdr:colOff>28574</xdr:colOff>
      <xdr:row>27</xdr:row>
      <xdr:rowOff>33336</xdr:rowOff>
    </xdr:from>
    <xdr:to>
      <xdr:col>16</xdr:col>
      <xdr:colOff>152399</xdr:colOff>
      <xdr:row>56</xdr:row>
      <xdr:rowOff>0</xdr:rowOff>
    </xdr:to>
    <xdr:graphicFrame macro="">
      <xdr:nvGraphicFramePr>
        <xdr:cNvPr id="7" name="Graphique 6">
          <a:extLst>
            <a:ext uri="{FF2B5EF4-FFF2-40B4-BE49-F238E27FC236}">
              <a16:creationId xmlns:a16="http://schemas.microsoft.com/office/drawing/2014/main" id="{00000000-0008-0000-0E00-000007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16</xdr:col>
      <xdr:colOff>295275</xdr:colOff>
      <xdr:row>27</xdr:row>
      <xdr:rowOff>23811</xdr:rowOff>
    </xdr:from>
    <xdr:to>
      <xdr:col>27</xdr:col>
      <xdr:colOff>342899</xdr:colOff>
      <xdr:row>55</xdr:row>
      <xdr:rowOff>142874</xdr:rowOff>
    </xdr:to>
    <xdr:graphicFrame macro="">
      <xdr:nvGraphicFramePr>
        <xdr:cNvPr id="8" name="Graphique 7">
          <a:extLst>
            <a:ext uri="{FF2B5EF4-FFF2-40B4-BE49-F238E27FC236}">
              <a16:creationId xmlns:a16="http://schemas.microsoft.com/office/drawing/2014/main" id="{00000000-0008-0000-0E00-000008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drawings/drawing15.xml><?xml version="1.0" encoding="utf-8"?>
<xdr:wsDr xmlns:xdr="http://schemas.openxmlformats.org/drawingml/2006/spreadsheetDrawing" xmlns:a="http://schemas.openxmlformats.org/drawingml/2006/main">
  <xdr:twoCellAnchor>
    <xdr:from>
      <xdr:col>8</xdr:col>
      <xdr:colOff>393700</xdr:colOff>
      <xdr:row>1</xdr:row>
      <xdr:rowOff>76200</xdr:rowOff>
    </xdr:from>
    <xdr:to>
      <xdr:col>8</xdr:col>
      <xdr:colOff>680752</xdr:colOff>
      <xdr:row>1</xdr:row>
      <xdr:rowOff>359664</xdr:rowOff>
    </xdr:to>
    <xdr:sp macro="" textlink="">
      <xdr:nvSpPr>
        <xdr:cNvPr id="2" name="Ellipse 1">
          <a:extLst>
            <a:ext uri="{FF2B5EF4-FFF2-40B4-BE49-F238E27FC236}">
              <a16:creationId xmlns:a16="http://schemas.microsoft.com/office/drawing/2014/main" id="{00000000-0008-0000-0F00-000002000000}"/>
            </a:ext>
          </a:extLst>
        </xdr:cNvPr>
        <xdr:cNvSpPr>
          <a:spLocks noChangeAspect="1"/>
        </xdr:cNvSpPr>
      </xdr:nvSpPr>
      <xdr:spPr>
        <a:xfrm>
          <a:off x="5613400" y="254000"/>
          <a:ext cx="287052" cy="283464"/>
        </a:xfrm>
        <a:prstGeom prst="ellipse">
          <a:avLst/>
        </a:prstGeom>
        <a:solidFill>
          <a:schemeClr val="accent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6</xdr:col>
      <xdr:colOff>222250</xdr:colOff>
      <xdr:row>9</xdr:row>
      <xdr:rowOff>0</xdr:rowOff>
    </xdr:from>
    <xdr:to>
      <xdr:col>22</xdr:col>
      <xdr:colOff>673100</xdr:colOff>
      <xdr:row>36</xdr:row>
      <xdr:rowOff>152400</xdr:rowOff>
    </xdr:to>
    <xdr:graphicFrame macro="">
      <xdr:nvGraphicFramePr>
        <xdr:cNvPr id="3" name="Graphique 2">
          <a:extLst>
            <a:ext uri="{FF2B5EF4-FFF2-40B4-BE49-F238E27FC236}">
              <a16:creationId xmlns:a16="http://schemas.microsoft.com/office/drawing/2014/main" id="{00000000-0008-0000-0F00-000003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6</xdr:col>
      <xdr:colOff>222250</xdr:colOff>
      <xdr:row>37</xdr:row>
      <xdr:rowOff>165100</xdr:rowOff>
    </xdr:from>
    <xdr:to>
      <xdr:col>22</xdr:col>
      <xdr:colOff>673100</xdr:colOff>
      <xdr:row>60</xdr:row>
      <xdr:rowOff>63500</xdr:rowOff>
    </xdr:to>
    <xdr:graphicFrame macro="">
      <xdr:nvGraphicFramePr>
        <xdr:cNvPr id="7" name="Graphique 6">
          <a:extLst>
            <a:ext uri="{FF2B5EF4-FFF2-40B4-BE49-F238E27FC236}">
              <a16:creationId xmlns:a16="http://schemas.microsoft.com/office/drawing/2014/main" id="{00000000-0008-0000-0F00-000007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drawings/drawing16.xml><?xml version="1.0" encoding="utf-8"?>
<xdr:wsDr xmlns:xdr="http://schemas.openxmlformats.org/drawingml/2006/spreadsheetDrawing" xmlns:a="http://schemas.openxmlformats.org/drawingml/2006/main">
  <xdr:twoCellAnchor>
    <xdr:from>
      <xdr:col>5</xdr:col>
      <xdr:colOff>111125</xdr:colOff>
      <xdr:row>1</xdr:row>
      <xdr:rowOff>76200</xdr:rowOff>
    </xdr:from>
    <xdr:to>
      <xdr:col>5</xdr:col>
      <xdr:colOff>334677</xdr:colOff>
      <xdr:row>1</xdr:row>
      <xdr:rowOff>359664</xdr:rowOff>
    </xdr:to>
    <xdr:sp macro="" textlink="">
      <xdr:nvSpPr>
        <xdr:cNvPr id="3" name="Ellipse 2">
          <a:extLst>
            <a:ext uri="{FF2B5EF4-FFF2-40B4-BE49-F238E27FC236}">
              <a16:creationId xmlns:a16="http://schemas.microsoft.com/office/drawing/2014/main" id="{00000000-0008-0000-1000-000003000000}"/>
            </a:ext>
          </a:extLst>
        </xdr:cNvPr>
        <xdr:cNvSpPr>
          <a:spLocks noChangeAspect="1"/>
        </xdr:cNvSpPr>
      </xdr:nvSpPr>
      <xdr:spPr>
        <a:xfrm>
          <a:off x="3121025" y="254000"/>
          <a:ext cx="223552" cy="283464"/>
        </a:xfrm>
        <a:prstGeom prst="ellipse">
          <a:avLst/>
        </a:prstGeom>
        <a:solidFill>
          <a:schemeClr val="accent4"/>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1</xdr:col>
      <xdr:colOff>0</xdr:colOff>
      <xdr:row>4</xdr:row>
      <xdr:rowOff>19050</xdr:rowOff>
    </xdr:from>
    <xdr:to>
      <xdr:col>32</xdr:col>
      <xdr:colOff>6349</xdr:colOff>
      <xdr:row>16</xdr:row>
      <xdr:rowOff>19049</xdr:rowOff>
    </xdr:to>
    <xdr:graphicFrame macro="">
      <xdr:nvGraphicFramePr>
        <xdr:cNvPr id="5" name="Graphique 4">
          <a:extLst>
            <a:ext uri="{FF2B5EF4-FFF2-40B4-BE49-F238E27FC236}">
              <a16:creationId xmlns:a16="http://schemas.microsoft.com/office/drawing/2014/main" id="{00000000-0008-0000-1000-000005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mc:AlternateContent xmlns:mc="http://schemas.openxmlformats.org/markup-compatibility/2006">
    <mc:Choice xmlns:a14="http://schemas.microsoft.com/office/drawing/2010/main" Requires="a14">
      <xdr:twoCellAnchor>
        <xdr:from>
          <xdr:col>19</xdr:col>
          <xdr:colOff>609600</xdr:colOff>
          <xdr:row>1</xdr:row>
          <xdr:rowOff>28575</xdr:rowOff>
        </xdr:from>
        <xdr:to>
          <xdr:col>22</xdr:col>
          <xdr:colOff>38100</xdr:colOff>
          <xdr:row>1</xdr:row>
          <xdr:rowOff>409575</xdr:rowOff>
        </xdr:to>
        <xdr:sp macro="" textlink="">
          <xdr:nvSpPr>
            <xdr:cNvPr id="11266" name="Button 2" hidden="1">
              <a:extLst>
                <a:ext uri="{63B3BB69-23CF-44E3-9099-C40C66FF867C}">
                  <a14:compatExt spid="_x0000_s11266"/>
                </a:ext>
                <a:ext uri="{FF2B5EF4-FFF2-40B4-BE49-F238E27FC236}">
                  <a16:creationId xmlns:a16="http://schemas.microsoft.com/office/drawing/2014/main" id="{00000000-0008-0000-1000-0000022C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fr-FR" sz="1000" b="0" i="0" u="none" strike="noStrike" baseline="0">
                  <a:solidFill>
                    <a:srgbClr val="000000"/>
                  </a:solidFill>
                  <a:latin typeface="Calibri"/>
                </a:rPr>
                <a:t>Retour</a:t>
              </a:r>
            </a:p>
          </xdr:txBody>
        </xdr:sp>
        <xdr:clientData fPrintsWithSheet="0"/>
      </xdr:twoCellAnchor>
    </mc:Choice>
    <mc:Fallback/>
  </mc:AlternateContent>
</xdr:wsDr>
</file>

<file path=xl/drawings/drawing17.xml><?xml version="1.0" encoding="utf-8"?>
<xdr:wsDr xmlns:xdr="http://schemas.openxmlformats.org/drawingml/2006/spreadsheetDrawing" xmlns:a="http://schemas.openxmlformats.org/drawingml/2006/main">
  <xdr:twoCellAnchor>
    <xdr:from>
      <xdr:col>6</xdr:col>
      <xdr:colOff>206375</xdr:colOff>
      <xdr:row>1</xdr:row>
      <xdr:rowOff>66675</xdr:rowOff>
    </xdr:from>
    <xdr:to>
      <xdr:col>6</xdr:col>
      <xdr:colOff>490775</xdr:colOff>
      <xdr:row>1</xdr:row>
      <xdr:rowOff>351075</xdr:rowOff>
    </xdr:to>
    <xdr:sp macro="" textlink="">
      <xdr:nvSpPr>
        <xdr:cNvPr id="3" name="Ellipse 2">
          <a:extLst>
            <a:ext uri="{FF2B5EF4-FFF2-40B4-BE49-F238E27FC236}">
              <a16:creationId xmlns:a16="http://schemas.microsoft.com/office/drawing/2014/main" id="{00000000-0008-0000-1100-000003000000}"/>
            </a:ext>
          </a:extLst>
        </xdr:cNvPr>
        <xdr:cNvSpPr>
          <a:spLocks/>
        </xdr:cNvSpPr>
      </xdr:nvSpPr>
      <xdr:spPr>
        <a:xfrm>
          <a:off x="3914775" y="244475"/>
          <a:ext cx="284400" cy="284400"/>
        </a:xfrm>
        <a:prstGeom prst="ellipse">
          <a:avLst/>
        </a:prstGeom>
        <a:solidFill>
          <a:srgbClr val="FF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5</xdr:col>
      <xdr:colOff>752474</xdr:colOff>
      <xdr:row>66</xdr:row>
      <xdr:rowOff>165100</xdr:rowOff>
    </xdr:from>
    <xdr:to>
      <xdr:col>16</xdr:col>
      <xdr:colOff>761999</xdr:colOff>
      <xdr:row>86</xdr:row>
      <xdr:rowOff>25400</xdr:rowOff>
    </xdr:to>
    <xdr:graphicFrame macro="">
      <xdr:nvGraphicFramePr>
        <xdr:cNvPr id="5" name="Graphique 4">
          <a:extLst>
            <a:ext uri="{FF2B5EF4-FFF2-40B4-BE49-F238E27FC236}">
              <a16:creationId xmlns:a16="http://schemas.microsoft.com/office/drawing/2014/main" id="{00000000-0008-0000-1100-000005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mc:AlternateContent xmlns:mc="http://schemas.openxmlformats.org/markup-compatibility/2006">
    <mc:Choice xmlns:a14="http://schemas.microsoft.com/office/drawing/2010/main" Requires="a14">
      <xdr:twoCellAnchor>
        <xdr:from>
          <xdr:col>18</xdr:col>
          <xdr:colOff>657225</xdr:colOff>
          <xdr:row>2</xdr:row>
          <xdr:rowOff>114300</xdr:rowOff>
        </xdr:from>
        <xdr:to>
          <xdr:col>20</xdr:col>
          <xdr:colOff>352425</xdr:colOff>
          <xdr:row>4</xdr:row>
          <xdr:rowOff>142875</xdr:rowOff>
        </xdr:to>
        <xdr:sp macro="" textlink="">
          <xdr:nvSpPr>
            <xdr:cNvPr id="12289" name="Button 1" hidden="1">
              <a:extLst>
                <a:ext uri="{63B3BB69-23CF-44E3-9099-C40C66FF867C}">
                  <a14:compatExt spid="_x0000_s12289"/>
                </a:ext>
                <a:ext uri="{FF2B5EF4-FFF2-40B4-BE49-F238E27FC236}">
                  <a16:creationId xmlns:a16="http://schemas.microsoft.com/office/drawing/2014/main" id="{00000000-0008-0000-1100-00000130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fr-FR" sz="1000" b="0" i="0" u="none" strike="noStrike" baseline="0">
                  <a:solidFill>
                    <a:srgbClr val="000000"/>
                  </a:solidFill>
                  <a:latin typeface="Calibri"/>
                </a:rPr>
                <a:t>Retour</a:t>
              </a:r>
            </a:p>
          </xdr:txBody>
        </xdr:sp>
        <xdr:clientData fPrintsWithSheet="0"/>
      </xdr:twoCellAnchor>
    </mc:Choice>
    <mc:Fallback/>
  </mc:AlternateContent>
</xdr:wsDr>
</file>

<file path=xl/drawings/drawing18.xml><?xml version="1.0" encoding="utf-8"?>
<xdr:wsDr xmlns:xdr="http://schemas.openxmlformats.org/drawingml/2006/spreadsheetDrawing" xmlns:a="http://schemas.openxmlformats.org/drawingml/2006/main">
  <xdr:twoCellAnchor>
    <xdr:from>
      <xdr:col>1</xdr:col>
      <xdr:colOff>17991</xdr:colOff>
      <xdr:row>38</xdr:row>
      <xdr:rowOff>96295</xdr:rowOff>
    </xdr:from>
    <xdr:to>
      <xdr:col>28</xdr:col>
      <xdr:colOff>794</xdr:colOff>
      <xdr:row>73</xdr:row>
      <xdr:rowOff>40979</xdr:rowOff>
    </xdr:to>
    <xdr:graphicFrame macro="">
      <xdr:nvGraphicFramePr>
        <xdr:cNvPr id="2" name="Graphique 1">
          <a:extLst>
            <a:ext uri="{FF2B5EF4-FFF2-40B4-BE49-F238E27FC236}">
              <a16:creationId xmlns:a16="http://schemas.microsoft.com/office/drawing/2014/main" id="{00000000-0008-0000-1200-000002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xdr:col>
      <xdr:colOff>16934</xdr:colOff>
      <xdr:row>71</xdr:row>
      <xdr:rowOff>121021</xdr:rowOff>
    </xdr:from>
    <xdr:to>
      <xdr:col>27</xdr:col>
      <xdr:colOff>726281</xdr:colOff>
      <xdr:row>112</xdr:row>
      <xdr:rowOff>143736</xdr:rowOff>
    </xdr:to>
    <xdr:graphicFrame macro="">
      <xdr:nvGraphicFramePr>
        <xdr:cNvPr id="3" name="Graphique 2">
          <a:extLst>
            <a:ext uri="{FF2B5EF4-FFF2-40B4-BE49-F238E27FC236}">
              <a16:creationId xmlns:a16="http://schemas.microsoft.com/office/drawing/2014/main" id="{00000000-0008-0000-1200-000003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1</xdr:col>
      <xdr:colOff>0</xdr:colOff>
      <xdr:row>4</xdr:row>
      <xdr:rowOff>112182</xdr:rowOff>
    </xdr:from>
    <xdr:to>
      <xdr:col>28</xdr:col>
      <xdr:colOff>794</xdr:colOff>
      <xdr:row>36</xdr:row>
      <xdr:rowOff>156534</xdr:rowOff>
    </xdr:to>
    <xdr:graphicFrame macro="">
      <xdr:nvGraphicFramePr>
        <xdr:cNvPr id="4" name="Graphique 3">
          <a:extLst>
            <a:ext uri="{FF2B5EF4-FFF2-40B4-BE49-F238E27FC236}">
              <a16:creationId xmlns:a16="http://schemas.microsoft.com/office/drawing/2014/main" id="{00000000-0008-0000-1200-000004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mc:AlternateContent xmlns:mc="http://schemas.openxmlformats.org/markup-compatibility/2006">
    <mc:Choice xmlns:a14="http://schemas.microsoft.com/office/drawing/2010/main" Requires="a14">
      <xdr:twoCellAnchor>
        <xdr:from>
          <xdr:col>24</xdr:col>
          <xdr:colOff>571500</xdr:colOff>
          <xdr:row>1</xdr:row>
          <xdr:rowOff>28575</xdr:rowOff>
        </xdr:from>
        <xdr:to>
          <xdr:col>26</xdr:col>
          <xdr:colOff>695325</xdr:colOff>
          <xdr:row>3</xdr:row>
          <xdr:rowOff>47625</xdr:rowOff>
        </xdr:to>
        <xdr:sp macro="" textlink="">
          <xdr:nvSpPr>
            <xdr:cNvPr id="13313" name="Button 1" hidden="1">
              <a:extLst>
                <a:ext uri="{63B3BB69-23CF-44E3-9099-C40C66FF867C}">
                  <a14:compatExt spid="_x0000_s13313"/>
                </a:ext>
                <a:ext uri="{FF2B5EF4-FFF2-40B4-BE49-F238E27FC236}">
                  <a16:creationId xmlns:a16="http://schemas.microsoft.com/office/drawing/2014/main" id="{00000000-0008-0000-1200-00000134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fr-FR" sz="1000" b="0" i="0" u="none" strike="noStrike" baseline="0">
                  <a:solidFill>
                    <a:srgbClr val="000000"/>
                  </a:solidFill>
                  <a:latin typeface="Calibri"/>
                </a:rPr>
                <a:t>Retour</a:t>
              </a:r>
            </a:p>
          </xdr:txBody>
        </xdr:sp>
        <xdr:clientData fPrintsWithSheet="0"/>
      </xdr:twoCellAnchor>
    </mc:Choice>
    <mc:Fallback/>
  </mc:AlternateContent>
</xdr:wsDr>
</file>

<file path=xl/drawings/drawing19.xml><?xml version="1.0" encoding="utf-8"?>
<xdr:wsDr xmlns:xdr="http://schemas.openxmlformats.org/drawingml/2006/spreadsheetDrawing" xmlns:a="http://schemas.openxmlformats.org/drawingml/2006/main">
  <xdr:twoCellAnchor>
    <xdr:from>
      <xdr:col>8</xdr:col>
      <xdr:colOff>304800</xdr:colOff>
      <xdr:row>1</xdr:row>
      <xdr:rowOff>76200</xdr:rowOff>
    </xdr:from>
    <xdr:to>
      <xdr:col>9</xdr:col>
      <xdr:colOff>144177</xdr:colOff>
      <xdr:row>1</xdr:row>
      <xdr:rowOff>359664</xdr:rowOff>
    </xdr:to>
    <xdr:sp macro="" textlink="">
      <xdr:nvSpPr>
        <xdr:cNvPr id="3" name="Ellipse 2">
          <a:extLst>
            <a:ext uri="{FF2B5EF4-FFF2-40B4-BE49-F238E27FC236}">
              <a16:creationId xmlns:a16="http://schemas.microsoft.com/office/drawing/2014/main" id="{00000000-0008-0000-1300-000003000000}"/>
            </a:ext>
          </a:extLst>
        </xdr:cNvPr>
        <xdr:cNvSpPr>
          <a:spLocks noChangeAspect="1"/>
        </xdr:cNvSpPr>
      </xdr:nvSpPr>
      <xdr:spPr>
        <a:xfrm>
          <a:off x="4695825" y="247650"/>
          <a:ext cx="287052" cy="283464"/>
        </a:xfrm>
        <a:prstGeom prst="ellipse">
          <a:avLst/>
        </a:prstGeom>
        <a:solidFill>
          <a:schemeClr val="accent2">
            <a:lumMod val="75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mc:AlternateContent xmlns:mc="http://schemas.openxmlformats.org/markup-compatibility/2006">
    <mc:Choice xmlns:a14="http://schemas.microsoft.com/office/drawing/2010/main" Requires="a14">
      <xdr:twoCellAnchor>
        <xdr:from>
          <xdr:col>28</xdr:col>
          <xdr:colOff>152400</xdr:colOff>
          <xdr:row>1</xdr:row>
          <xdr:rowOff>28575</xdr:rowOff>
        </xdr:from>
        <xdr:to>
          <xdr:col>31</xdr:col>
          <xdr:colOff>381000</xdr:colOff>
          <xdr:row>1</xdr:row>
          <xdr:rowOff>409575</xdr:rowOff>
        </xdr:to>
        <xdr:sp macro="" textlink="">
          <xdr:nvSpPr>
            <xdr:cNvPr id="14337" name="Button 1" hidden="1">
              <a:extLst>
                <a:ext uri="{63B3BB69-23CF-44E3-9099-C40C66FF867C}">
                  <a14:compatExt spid="_x0000_s14337"/>
                </a:ext>
                <a:ext uri="{FF2B5EF4-FFF2-40B4-BE49-F238E27FC236}">
                  <a16:creationId xmlns:a16="http://schemas.microsoft.com/office/drawing/2014/main" id="{00000000-0008-0000-1300-00000138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fr-FR" sz="1000" b="0" i="0" u="none" strike="noStrike" baseline="0">
                  <a:solidFill>
                    <a:srgbClr val="000000"/>
                  </a:solidFill>
                  <a:latin typeface="Calibri"/>
                </a:rPr>
                <a:t>Retour</a:t>
              </a:r>
            </a:p>
          </xdr:txBody>
        </xdr:sp>
        <xdr:clientData fPrintsWithSheet="0"/>
      </xdr:twoCellAnchor>
    </mc:Choice>
    <mc:Fallback/>
  </mc:AlternateContent>
</xdr:wsDr>
</file>

<file path=xl/drawings/drawing20.xml><?xml version="1.0" encoding="utf-8"?>
<xdr:wsDr xmlns:xdr="http://schemas.openxmlformats.org/drawingml/2006/spreadsheetDrawing" xmlns:a="http://schemas.openxmlformats.org/drawingml/2006/main">
  <xdr:twoCellAnchor>
    <xdr:from>
      <xdr:col>5</xdr:col>
      <xdr:colOff>308731</xdr:colOff>
      <xdr:row>1</xdr:row>
      <xdr:rowOff>88602</xdr:rowOff>
    </xdr:from>
    <xdr:to>
      <xdr:col>6</xdr:col>
      <xdr:colOff>206316</xdr:colOff>
      <xdr:row>1</xdr:row>
      <xdr:rowOff>372066</xdr:rowOff>
    </xdr:to>
    <xdr:sp macro="" textlink="">
      <xdr:nvSpPr>
        <xdr:cNvPr id="2" name="Ellipse 1">
          <a:extLst>
            <a:ext uri="{FF2B5EF4-FFF2-40B4-BE49-F238E27FC236}">
              <a16:creationId xmlns:a16="http://schemas.microsoft.com/office/drawing/2014/main" id="{00000000-0008-0000-1400-000002000000}"/>
            </a:ext>
          </a:extLst>
        </xdr:cNvPr>
        <xdr:cNvSpPr>
          <a:spLocks noChangeAspect="1"/>
        </xdr:cNvSpPr>
      </xdr:nvSpPr>
      <xdr:spPr>
        <a:xfrm>
          <a:off x="3204331" y="274869"/>
          <a:ext cx="287052" cy="283464"/>
        </a:xfrm>
        <a:prstGeom prst="ellipse">
          <a:avLst/>
        </a:prstGeom>
        <a:solidFill>
          <a:schemeClr val="accent4">
            <a:lumMod val="50000"/>
          </a:schemeClr>
        </a:solidFill>
        <a:ln>
          <a:no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endParaRPr lang="fr-FR" sz="1100"/>
        </a:p>
      </xdr:txBody>
    </xdr:sp>
    <xdr:clientData/>
  </xdr:twoCellAnchor>
  <mc:AlternateContent xmlns:mc="http://schemas.openxmlformats.org/markup-compatibility/2006">
    <mc:Choice xmlns:a14="http://schemas.microsoft.com/office/drawing/2010/main" Requires="a14">
      <xdr:twoCellAnchor>
        <xdr:from>
          <xdr:col>0</xdr:col>
          <xdr:colOff>114300</xdr:colOff>
          <xdr:row>2</xdr:row>
          <xdr:rowOff>180975</xdr:rowOff>
        </xdr:from>
        <xdr:to>
          <xdr:col>1</xdr:col>
          <xdr:colOff>1438275</xdr:colOff>
          <xdr:row>4</xdr:row>
          <xdr:rowOff>47625</xdr:rowOff>
        </xdr:to>
        <xdr:sp macro="" textlink="">
          <xdr:nvSpPr>
            <xdr:cNvPr id="15361" name="Button 1" hidden="1">
              <a:extLst>
                <a:ext uri="{63B3BB69-23CF-44E3-9099-C40C66FF867C}">
                  <a14:compatExt spid="_x0000_s15361"/>
                </a:ext>
                <a:ext uri="{FF2B5EF4-FFF2-40B4-BE49-F238E27FC236}">
                  <a16:creationId xmlns:a16="http://schemas.microsoft.com/office/drawing/2014/main" id="{00000000-0008-0000-1400-0000013C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fr-FR" sz="1000" b="0" i="0" u="none" strike="noStrike" baseline="0">
                  <a:solidFill>
                    <a:srgbClr val="000000"/>
                  </a:solidFill>
                  <a:latin typeface="Calibri"/>
                </a:rPr>
                <a:t>Retour</a:t>
              </a:r>
            </a:p>
          </xdr:txBody>
        </xdr:sp>
        <xdr:clientData fPrintsWithSheet="0"/>
      </xdr:twoCellAnchor>
    </mc:Choice>
    <mc:Fallback/>
  </mc:AlternateContent>
</xdr:wsDr>
</file>

<file path=xl/drawings/drawing21.xml><?xml version="1.0" encoding="utf-8"?>
<xdr:wsDr xmlns:xdr="http://schemas.openxmlformats.org/drawingml/2006/spreadsheetDrawing" xmlns:a="http://schemas.openxmlformats.org/drawingml/2006/main">
  <xdr:twoCellAnchor>
    <xdr:from>
      <xdr:col>5</xdr:col>
      <xdr:colOff>1485900</xdr:colOff>
      <xdr:row>1</xdr:row>
      <xdr:rowOff>28575</xdr:rowOff>
    </xdr:from>
    <xdr:to>
      <xdr:col>6</xdr:col>
      <xdr:colOff>0</xdr:colOff>
      <xdr:row>1</xdr:row>
      <xdr:rowOff>304800</xdr:rowOff>
    </xdr:to>
    <xdr:sp macro="" textlink="">
      <xdr:nvSpPr>
        <xdr:cNvPr id="4" name="btnSynthèse" descr="Cliquez pour afficher la feuille de synthèse des dépenses" title="résumé">
          <a:hlinkClick xmlns:r="http://schemas.openxmlformats.org/officeDocument/2006/relationships" r:id="rId1" tooltip="Click to view Expense Summary"/>
          <a:extLst>
            <a:ext uri="{FF2B5EF4-FFF2-40B4-BE49-F238E27FC236}">
              <a16:creationId xmlns:a16="http://schemas.microsoft.com/office/drawing/2014/main" id="{00000000-0008-0000-1500-000004000000}"/>
            </a:ext>
          </a:extLst>
        </xdr:cNvPr>
        <xdr:cNvSpPr/>
      </xdr:nvSpPr>
      <xdr:spPr>
        <a:xfrm>
          <a:off x="5200650" y="238125"/>
          <a:ext cx="1371600" cy="276225"/>
        </a:xfrm>
        <a:prstGeom prst="rect">
          <a:avLst/>
        </a:prstGeom>
        <a:solidFill>
          <a:schemeClr val="tx1">
            <a:lumMod val="65000"/>
            <a:lumOff val="35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lstStyle/>
        <a:p>
          <a:pPr algn="ctr"/>
          <a:r>
            <a:rPr lang="en-US" sz="1050" b="1">
              <a:solidFill>
                <a:schemeClr val="bg1"/>
              </a:solidFill>
            </a:rPr>
            <a:t>Résumé</a:t>
          </a:r>
        </a:p>
      </xdr:txBody>
    </xdr:sp>
    <xdr:clientData fPrintsWithSheet="0"/>
  </xdr:twoCellAnchor>
  <xdr:twoCellAnchor>
    <xdr:from>
      <xdr:col>7</xdr:col>
      <xdr:colOff>569910</xdr:colOff>
      <xdr:row>21</xdr:row>
      <xdr:rowOff>104774</xdr:rowOff>
    </xdr:from>
    <xdr:to>
      <xdr:col>17</xdr:col>
      <xdr:colOff>76200</xdr:colOff>
      <xdr:row>37</xdr:row>
      <xdr:rowOff>139699</xdr:rowOff>
    </xdr:to>
    <xdr:graphicFrame macro="">
      <xdr:nvGraphicFramePr>
        <xdr:cNvPr id="5" name="Graphique 4">
          <a:extLst>
            <a:ext uri="{FF2B5EF4-FFF2-40B4-BE49-F238E27FC236}">
              <a16:creationId xmlns:a16="http://schemas.microsoft.com/office/drawing/2014/main" id="{00000000-0008-0000-1500-000005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7</xdr:col>
      <xdr:colOff>577850</xdr:colOff>
      <xdr:row>171</xdr:row>
      <xdr:rowOff>57150</xdr:rowOff>
    </xdr:from>
    <xdr:to>
      <xdr:col>17</xdr:col>
      <xdr:colOff>25400</xdr:colOff>
      <xdr:row>187</xdr:row>
      <xdr:rowOff>25400</xdr:rowOff>
    </xdr:to>
    <xdr:graphicFrame macro="">
      <xdr:nvGraphicFramePr>
        <xdr:cNvPr id="3" name="Graphique 2">
          <a:extLst>
            <a:ext uri="{FF2B5EF4-FFF2-40B4-BE49-F238E27FC236}">
              <a16:creationId xmlns:a16="http://schemas.microsoft.com/office/drawing/2014/main" id="{00000000-0008-0000-1500-000003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7</xdr:col>
      <xdr:colOff>577850</xdr:colOff>
      <xdr:row>188</xdr:row>
      <xdr:rowOff>107950</xdr:rowOff>
    </xdr:from>
    <xdr:to>
      <xdr:col>17</xdr:col>
      <xdr:colOff>25400</xdr:colOff>
      <xdr:row>205</xdr:row>
      <xdr:rowOff>88900</xdr:rowOff>
    </xdr:to>
    <xdr:graphicFrame macro="">
      <xdr:nvGraphicFramePr>
        <xdr:cNvPr id="7" name="Graphique 6">
          <a:extLst>
            <a:ext uri="{FF2B5EF4-FFF2-40B4-BE49-F238E27FC236}">
              <a16:creationId xmlns:a16="http://schemas.microsoft.com/office/drawing/2014/main" id="{00000000-0008-0000-1500-000007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8</xdr:col>
      <xdr:colOff>19049</xdr:colOff>
      <xdr:row>90</xdr:row>
      <xdr:rowOff>157161</xdr:rowOff>
    </xdr:from>
    <xdr:to>
      <xdr:col>17</xdr:col>
      <xdr:colOff>31574</xdr:colOff>
      <xdr:row>104</xdr:row>
      <xdr:rowOff>56811</xdr:rowOff>
    </xdr:to>
    <xdr:graphicFrame macro="">
      <xdr:nvGraphicFramePr>
        <xdr:cNvPr id="8" name="Graphique 7">
          <a:extLst>
            <a:ext uri="{FF2B5EF4-FFF2-40B4-BE49-F238E27FC236}">
              <a16:creationId xmlns:a16="http://schemas.microsoft.com/office/drawing/2014/main" id="{00000000-0008-0000-1500-000008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twoCellAnchor>
    <xdr:from>
      <xdr:col>8</xdr:col>
      <xdr:colOff>9525</xdr:colOff>
      <xdr:row>105</xdr:row>
      <xdr:rowOff>71436</xdr:rowOff>
    </xdr:from>
    <xdr:to>
      <xdr:col>17</xdr:col>
      <xdr:colOff>58050</xdr:colOff>
      <xdr:row>118</xdr:row>
      <xdr:rowOff>171111</xdr:rowOff>
    </xdr:to>
    <xdr:graphicFrame macro="">
      <xdr:nvGraphicFramePr>
        <xdr:cNvPr id="9" name="Graphique 8">
          <a:extLst>
            <a:ext uri="{FF2B5EF4-FFF2-40B4-BE49-F238E27FC236}">
              <a16:creationId xmlns:a16="http://schemas.microsoft.com/office/drawing/2014/main" id="{00000000-0008-0000-1500-000009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
        </a:graphicData>
      </a:graphic>
    </xdr:graphicFrame>
    <xdr:clientData/>
  </xdr:twoCellAnchor>
  <xdr:twoCellAnchor>
    <xdr:from>
      <xdr:col>8</xdr:col>
      <xdr:colOff>6349</xdr:colOff>
      <xdr:row>126</xdr:row>
      <xdr:rowOff>4762</xdr:rowOff>
    </xdr:from>
    <xdr:to>
      <xdr:col>16</xdr:col>
      <xdr:colOff>584199</xdr:colOff>
      <xdr:row>143</xdr:row>
      <xdr:rowOff>9525</xdr:rowOff>
    </xdr:to>
    <xdr:graphicFrame macro="">
      <xdr:nvGraphicFramePr>
        <xdr:cNvPr id="6" name="Graphique 5">
          <a:extLst>
            <a:ext uri="{FF2B5EF4-FFF2-40B4-BE49-F238E27FC236}">
              <a16:creationId xmlns:a16="http://schemas.microsoft.com/office/drawing/2014/main" id="{00000000-0008-0000-1500-000006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7"/>
        </a:graphicData>
      </a:graphic>
    </xdr:graphicFrame>
    <xdr:clientData/>
  </xdr:twoCellAnchor>
  <xdr:twoCellAnchor>
    <xdr:from>
      <xdr:col>7</xdr:col>
      <xdr:colOff>571499</xdr:colOff>
      <xdr:row>207</xdr:row>
      <xdr:rowOff>90487</xdr:rowOff>
    </xdr:from>
    <xdr:to>
      <xdr:col>17</xdr:col>
      <xdr:colOff>57149</xdr:colOff>
      <xdr:row>221</xdr:row>
      <xdr:rowOff>200025</xdr:rowOff>
    </xdr:to>
    <xdr:graphicFrame macro="">
      <xdr:nvGraphicFramePr>
        <xdr:cNvPr id="16" name="Graphique 15">
          <a:extLst>
            <a:ext uri="{FF2B5EF4-FFF2-40B4-BE49-F238E27FC236}">
              <a16:creationId xmlns:a16="http://schemas.microsoft.com/office/drawing/2014/main" id="{00000000-0008-0000-1500-000010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8"/>
        </a:graphicData>
      </a:graphic>
    </xdr:graphicFrame>
    <xdr:clientData/>
  </xdr:twoCellAnchor>
  <xdr:twoCellAnchor>
    <xdr:from>
      <xdr:col>7</xdr:col>
      <xdr:colOff>581024</xdr:colOff>
      <xdr:row>38</xdr:row>
      <xdr:rowOff>65087</xdr:rowOff>
    </xdr:from>
    <xdr:to>
      <xdr:col>17</xdr:col>
      <xdr:colOff>85724</xdr:colOff>
      <xdr:row>56</xdr:row>
      <xdr:rowOff>177800</xdr:rowOff>
    </xdr:to>
    <xdr:graphicFrame macro="">
      <xdr:nvGraphicFramePr>
        <xdr:cNvPr id="10" name="Graphique 9">
          <a:extLst>
            <a:ext uri="{FF2B5EF4-FFF2-40B4-BE49-F238E27FC236}">
              <a16:creationId xmlns:a16="http://schemas.microsoft.com/office/drawing/2014/main" id="{00000000-0008-0000-1500-00000A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9"/>
        </a:graphicData>
      </a:graphic>
    </xdr:graphicFrame>
    <xdr:clientData/>
  </xdr:twoCellAnchor>
  <xdr:twoCellAnchor>
    <xdr:from>
      <xdr:col>8</xdr:col>
      <xdr:colOff>0</xdr:colOff>
      <xdr:row>57</xdr:row>
      <xdr:rowOff>88901</xdr:rowOff>
    </xdr:from>
    <xdr:to>
      <xdr:col>17</xdr:col>
      <xdr:colOff>114300</xdr:colOff>
      <xdr:row>75</xdr:row>
      <xdr:rowOff>190500</xdr:rowOff>
    </xdr:to>
    <xdr:graphicFrame macro="">
      <xdr:nvGraphicFramePr>
        <xdr:cNvPr id="11" name="Graphique 10">
          <a:extLst>
            <a:ext uri="{FF2B5EF4-FFF2-40B4-BE49-F238E27FC236}">
              <a16:creationId xmlns:a16="http://schemas.microsoft.com/office/drawing/2014/main" id="{00000000-0008-0000-1500-00000B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0"/>
        </a:graphicData>
      </a:graphic>
    </xdr:graphicFrame>
    <xdr:clientData/>
  </xdr:twoCellAnchor>
  <xdr:twoCellAnchor>
    <xdr:from>
      <xdr:col>1</xdr:col>
      <xdr:colOff>9526</xdr:colOff>
      <xdr:row>207</xdr:row>
      <xdr:rowOff>66675</xdr:rowOff>
    </xdr:from>
    <xdr:to>
      <xdr:col>7</xdr:col>
      <xdr:colOff>1</xdr:colOff>
      <xdr:row>221</xdr:row>
      <xdr:rowOff>180975</xdr:rowOff>
    </xdr:to>
    <xdr:graphicFrame macro="">
      <xdr:nvGraphicFramePr>
        <xdr:cNvPr id="17" name="Graphique 16">
          <a:extLst>
            <a:ext uri="{FF2B5EF4-FFF2-40B4-BE49-F238E27FC236}">
              <a16:creationId xmlns:a16="http://schemas.microsoft.com/office/drawing/2014/main" id="{00000000-0008-0000-1500-000011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1"/>
        </a:graphicData>
      </a:graphic>
    </xdr:graphicFrame>
    <xdr:clientData/>
  </xdr:twoCellAnchor>
  <xdr:twoCellAnchor>
    <xdr:from>
      <xdr:col>0</xdr:col>
      <xdr:colOff>200025</xdr:colOff>
      <xdr:row>222</xdr:row>
      <xdr:rowOff>85726</xdr:rowOff>
    </xdr:from>
    <xdr:to>
      <xdr:col>17</xdr:col>
      <xdr:colOff>70773</xdr:colOff>
      <xdr:row>238</xdr:row>
      <xdr:rowOff>171450</xdr:rowOff>
    </xdr:to>
    <xdr:graphicFrame macro="">
      <xdr:nvGraphicFramePr>
        <xdr:cNvPr id="18" name="Graphique 17">
          <a:extLst>
            <a:ext uri="{FF2B5EF4-FFF2-40B4-BE49-F238E27FC236}">
              <a16:creationId xmlns:a16="http://schemas.microsoft.com/office/drawing/2014/main" id="{00000000-0008-0000-1500-00001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2"/>
        </a:graphicData>
      </a:graphic>
    </xdr:graphicFrame>
    <xdr:clientData/>
  </xdr:twoCellAnchor>
  <mc:AlternateContent xmlns:mc="http://schemas.openxmlformats.org/markup-compatibility/2006">
    <mc:Choice xmlns:a14="http://schemas.microsoft.com/office/drawing/2010/main" Requires="a14">
      <xdr:twoCellAnchor>
        <xdr:from>
          <xdr:col>7</xdr:col>
          <xdr:colOff>266700</xdr:colOff>
          <xdr:row>1</xdr:row>
          <xdr:rowOff>0</xdr:rowOff>
        </xdr:from>
        <xdr:to>
          <xdr:col>8</xdr:col>
          <xdr:colOff>1209675</xdr:colOff>
          <xdr:row>1</xdr:row>
          <xdr:rowOff>381000</xdr:rowOff>
        </xdr:to>
        <xdr:sp macro="" textlink="">
          <xdr:nvSpPr>
            <xdr:cNvPr id="16387" name="Button 3" hidden="1">
              <a:extLst>
                <a:ext uri="{63B3BB69-23CF-44E3-9099-C40C66FF867C}">
                  <a14:compatExt spid="_x0000_s16387"/>
                </a:ext>
                <a:ext uri="{FF2B5EF4-FFF2-40B4-BE49-F238E27FC236}">
                  <a16:creationId xmlns:a16="http://schemas.microsoft.com/office/drawing/2014/main" id="{00000000-0008-0000-1500-00000340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fr-FR" sz="1000" b="0" i="0" u="none" strike="noStrike" baseline="0">
                  <a:solidFill>
                    <a:srgbClr val="000000"/>
                  </a:solidFill>
                  <a:latin typeface="Calibri"/>
                </a:rPr>
                <a:t>Retour</a:t>
              </a:r>
            </a:p>
          </xdr:txBody>
        </xdr:sp>
        <xdr:clientData fPrintsWithSheet="0"/>
      </xdr:twoCellAnchor>
    </mc:Choice>
    <mc:Fallback/>
  </mc:AlternateContent>
</xdr:wsDr>
</file>

<file path=xl/drawings/drawing22.xml><?xml version="1.0" encoding="utf-8"?>
<xdr:wsDr xmlns:xdr="http://schemas.openxmlformats.org/drawingml/2006/spreadsheetDrawing" xmlns:a="http://schemas.openxmlformats.org/drawingml/2006/main">
  <xdr:twoCellAnchor editAs="oneCell">
    <xdr:from>
      <xdr:col>6</xdr:col>
      <xdr:colOff>533400</xdr:colOff>
      <xdr:row>26</xdr:row>
      <xdr:rowOff>85725</xdr:rowOff>
    </xdr:from>
    <xdr:to>
      <xdr:col>12</xdr:col>
      <xdr:colOff>285750</xdr:colOff>
      <xdr:row>38</xdr:row>
      <xdr:rowOff>142875</xdr:rowOff>
    </xdr:to>
    <xdr:pic>
      <xdr:nvPicPr>
        <xdr:cNvPr id="2" name="Image 1">
          <a:extLst>
            <a:ext uri="{FF2B5EF4-FFF2-40B4-BE49-F238E27FC236}">
              <a16:creationId xmlns:a16="http://schemas.microsoft.com/office/drawing/2014/main" id="{00000000-0008-0000-1600-000002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962275" y="6248400"/>
          <a:ext cx="2819400" cy="2733675"/>
        </a:xfrm>
        <a:prstGeom prst="rect">
          <a:avLst/>
        </a:prstGeom>
      </xdr:spPr>
    </xdr:pic>
    <xdr:clientData/>
  </xdr:twoCellAnchor>
  <xdr:twoCellAnchor editAs="oneCell">
    <xdr:from>
      <xdr:col>0</xdr:col>
      <xdr:colOff>257175</xdr:colOff>
      <xdr:row>27</xdr:row>
      <xdr:rowOff>219075</xdr:rowOff>
    </xdr:from>
    <xdr:to>
      <xdr:col>4</xdr:col>
      <xdr:colOff>381000</xdr:colOff>
      <xdr:row>35</xdr:row>
      <xdr:rowOff>109849</xdr:rowOff>
    </xdr:to>
    <xdr:pic>
      <xdr:nvPicPr>
        <xdr:cNvPr id="3" name="Image 2">
          <a:extLst>
            <a:ext uri="{FF2B5EF4-FFF2-40B4-BE49-F238E27FC236}">
              <a16:creationId xmlns:a16="http://schemas.microsoft.com/office/drawing/2014/main" id="{00000000-0008-0000-1600-000003000000}"/>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571500" y="6648450"/>
          <a:ext cx="2028825" cy="1814824"/>
        </a:xfrm>
        <a:prstGeom prst="rect">
          <a:avLst/>
        </a:prstGeom>
      </xdr:spPr>
    </xdr:pic>
    <xdr:clientData/>
  </xdr:twoCellAnchor>
  <mc:AlternateContent xmlns:mc="http://schemas.openxmlformats.org/markup-compatibility/2006">
    <mc:Choice xmlns:a14="http://schemas.microsoft.com/office/drawing/2010/main" Requires="a14">
      <xdr:twoCellAnchor>
        <xdr:from>
          <xdr:col>13</xdr:col>
          <xdr:colOff>142875</xdr:colOff>
          <xdr:row>0</xdr:row>
          <xdr:rowOff>219075</xdr:rowOff>
        </xdr:from>
        <xdr:to>
          <xdr:col>15</xdr:col>
          <xdr:colOff>257175</xdr:colOff>
          <xdr:row>2</xdr:row>
          <xdr:rowOff>152400</xdr:rowOff>
        </xdr:to>
        <xdr:sp macro="" textlink="">
          <xdr:nvSpPr>
            <xdr:cNvPr id="96257" name="Button 1" hidden="1">
              <a:extLst>
                <a:ext uri="{63B3BB69-23CF-44E3-9099-C40C66FF867C}">
                  <a14:compatExt spid="_x0000_s96257"/>
                </a:ext>
                <a:ext uri="{FF2B5EF4-FFF2-40B4-BE49-F238E27FC236}">
                  <a16:creationId xmlns:a16="http://schemas.microsoft.com/office/drawing/2014/main" id="{00000000-0008-0000-1600-0000017801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fr-FR" sz="1000" b="0" i="0" u="none" strike="noStrike" baseline="0">
                  <a:solidFill>
                    <a:srgbClr val="000000"/>
                  </a:solidFill>
                  <a:latin typeface="Calibri"/>
                </a:rPr>
                <a:t>Retour</a:t>
              </a:r>
            </a:p>
          </xdr:txBody>
        </xdr:sp>
        <xdr:clientData fPrintsWithSheet="0"/>
      </xdr:twoCellAnchor>
    </mc:Choice>
    <mc:Fallback/>
  </mc:AlternateContent>
</xdr:wsDr>
</file>

<file path=xl/drawings/drawing23.xml><?xml version="1.0" encoding="utf-8"?>
<xdr:wsDr xmlns:xdr="http://schemas.openxmlformats.org/drawingml/2006/spreadsheetDrawing" xmlns:a="http://schemas.openxmlformats.org/drawingml/2006/main">
  <xdr:twoCellAnchor>
    <xdr:from>
      <xdr:col>4</xdr:col>
      <xdr:colOff>619125</xdr:colOff>
      <xdr:row>1</xdr:row>
      <xdr:rowOff>95250</xdr:rowOff>
    </xdr:from>
    <xdr:to>
      <xdr:col>4</xdr:col>
      <xdr:colOff>906177</xdr:colOff>
      <xdr:row>1</xdr:row>
      <xdr:rowOff>378714</xdr:rowOff>
    </xdr:to>
    <xdr:sp macro="" textlink="">
      <xdr:nvSpPr>
        <xdr:cNvPr id="2" name="Ellipse 1">
          <a:extLst>
            <a:ext uri="{FF2B5EF4-FFF2-40B4-BE49-F238E27FC236}">
              <a16:creationId xmlns:a16="http://schemas.microsoft.com/office/drawing/2014/main" id="{00000000-0008-0000-1700-000002000000}"/>
            </a:ext>
          </a:extLst>
        </xdr:cNvPr>
        <xdr:cNvSpPr>
          <a:spLocks noChangeAspect="1"/>
        </xdr:cNvSpPr>
      </xdr:nvSpPr>
      <xdr:spPr>
        <a:xfrm>
          <a:off x="4981575" y="247650"/>
          <a:ext cx="287052" cy="283464"/>
        </a:xfrm>
        <a:prstGeom prst="ellipse">
          <a:avLst/>
        </a:prstGeom>
        <a:solidFill>
          <a:schemeClr val="accent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mc:AlternateContent xmlns:mc="http://schemas.openxmlformats.org/markup-compatibility/2006">
    <mc:Choice xmlns:a14="http://schemas.microsoft.com/office/drawing/2010/main" Requires="a14">
      <xdr:twoCellAnchor>
        <xdr:from>
          <xdr:col>4</xdr:col>
          <xdr:colOff>1181100</xdr:colOff>
          <xdr:row>1</xdr:row>
          <xdr:rowOff>28575</xdr:rowOff>
        </xdr:from>
        <xdr:to>
          <xdr:col>6</xdr:col>
          <xdr:colOff>0</xdr:colOff>
          <xdr:row>1</xdr:row>
          <xdr:rowOff>409575</xdr:rowOff>
        </xdr:to>
        <xdr:sp macro="" textlink="">
          <xdr:nvSpPr>
            <xdr:cNvPr id="18433" name="Button 1" hidden="1">
              <a:extLst>
                <a:ext uri="{63B3BB69-23CF-44E3-9099-C40C66FF867C}">
                  <a14:compatExt spid="_x0000_s18433"/>
                </a:ext>
                <a:ext uri="{FF2B5EF4-FFF2-40B4-BE49-F238E27FC236}">
                  <a16:creationId xmlns:a16="http://schemas.microsoft.com/office/drawing/2014/main" id="{00000000-0008-0000-1700-00000148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fr-FR" sz="1000" b="0" i="0" u="none" strike="noStrike" baseline="0">
                  <a:solidFill>
                    <a:srgbClr val="000000"/>
                  </a:solidFill>
                  <a:latin typeface="Calibri"/>
                </a:rPr>
                <a:t>Retour</a:t>
              </a:r>
            </a:p>
          </xdr:txBody>
        </xdr:sp>
        <xdr:clientData fPrintsWithSheet="0"/>
      </xdr:twoCellAnchor>
    </mc:Choice>
    <mc:Fallback/>
  </mc:AlternateContent>
</xdr:wsDr>
</file>

<file path=xl/drawings/drawing24.xml><?xml version="1.0" encoding="utf-8"?>
<xdr:wsDr xmlns:xdr="http://schemas.openxmlformats.org/drawingml/2006/spreadsheetDrawing" xmlns:a="http://schemas.openxmlformats.org/drawingml/2006/main">
  <xdr:twoCellAnchor>
    <xdr:from>
      <xdr:col>2</xdr:col>
      <xdr:colOff>628650</xdr:colOff>
      <xdr:row>1</xdr:row>
      <xdr:rowOff>76200</xdr:rowOff>
    </xdr:from>
    <xdr:to>
      <xdr:col>3</xdr:col>
      <xdr:colOff>144177</xdr:colOff>
      <xdr:row>1</xdr:row>
      <xdr:rowOff>359664</xdr:rowOff>
    </xdr:to>
    <xdr:sp macro="" textlink="">
      <xdr:nvSpPr>
        <xdr:cNvPr id="3" name="Ellipse 2">
          <a:extLst>
            <a:ext uri="{FF2B5EF4-FFF2-40B4-BE49-F238E27FC236}">
              <a16:creationId xmlns:a16="http://schemas.microsoft.com/office/drawing/2014/main" id="{00000000-0008-0000-1800-000003000000}"/>
            </a:ext>
          </a:extLst>
        </xdr:cNvPr>
        <xdr:cNvSpPr>
          <a:spLocks noChangeAspect="1"/>
        </xdr:cNvSpPr>
      </xdr:nvSpPr>
      <xdr:spPr>
        <a:xfrm>
          <a:off x="2209800" y="228600"/>
          <a:ext cx="287052" cy="283464"/>
        </a:xfrm>
        <a:prstGeom prst="ellipse">
          <a:avLst/>
        </a:prstGeom>
        <a:solidFill>
          <a:schemeClr val="accent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mc:AlternateContent xmlns:mc="http://schemas.openxmlformats.org/markup-compatibility/2006">
    <mc:Choice xmlns:a14="http://schemas.microsoft.com/office/drawing/2010/main" Requires="a14">
      <xdr:twoCellAnchor>
        <xdr:from>
          <xdr:col>5</xdr:col>
          <xdr:colOff>685800</xdr:colOff>
          <xdr:row>1</xdr:row>
          <xdr:rowOff>0</xdr:rowOff>
        </xdr:from>
        <xdr:to>
          <xdr:col>8</xdr:col>
          <xdr:colOff>0</xdr:colOff>
          <xdr:row>1</xdr:row>
          <xdr:rowOff>381000</xdr:rowOff>
        </xdr:to>
        <xdr:sp macro="" textlink="">
          <xdr:nvSpPr>
            <xdr:cNvPr id="19458" name="Button 2" hidden="1">
              <a:extLst>
                <a:ext uri="{63B3BB69-23CF-44E3-9099-C40C66FF867C}">
                  <a14:compatExt spid="_x0000_s19458"/>
                </a:ext>
                <a:ext uri="{FF2B5EF4-FFF2-40B4-BE49-F238E27FC236}">
                  <a16:creationId xmlns:a16="http://schemas.microsoft.com/office/drawing/2014/main" id="{00000000-0008-0000-1800-0000024C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200" b="0" i="0" u="none" strike="noStrike" baseline="0">
                  <a:solidFill>
                    <a:srgbClr val="000000"/>
                  </a:solidFill>
                  <a:latin typeface="Calibri"/>
                </a:rPr>
                <a:t>Retour</a:t>
              </a:r>
            </a:p>
          </xdr:txBody>
        </xdr:sp>
        <xdr:clientData fPrintsWithSheet="0"/>
      </xdr:twoCellAnchor>
    </mc:Choice>
    <mc:Fallback/>
  </mc:AlternateContent>
</xdr:wsDr>
</file>

<file path=xl/drawings/drawing25.xml><?xml version="1.0" encoding="utf-8"?>
<xdr:wsDr xmlns:xdr="http://schemas.openxmlformats.org/drawingml/2006/spreadsheetDrawing" xmlns:a="http://schemas.openxmlformats.org/drawingml/2006/main">
  <xdr:twoCellAnchor>
    <xdr:from>
      <xdr:col>4</xdr:col>
      <xdr:colOff>0</xdr:colOff>
      <xdr:row>9</xdr:row>
      <xdr:rowOff>0</xdr:rowOff>
    </xdr:from>
    <xdr:to>
      <xdr:col>17</xdr:col>
      <xdr:colOff>0</xdr:colOff>
      <xdr:row>41</xdr:row>
      <xdr:rowOff>0</xdr:rowOff>
    </xdr:to>
    <xdr:graphicFrame macro="">
      <xdr:nvGraphicFramePr>
        <xdr:cNvPr id="2" name="Graphique 1">
          <a:extLst>
            <a:ext uri="{FF2B5EF4-FFF2-40B4-BE49-F238E27FC236}">
              <a16:creationId xmlns:a16="http://schemas.microsoft.com/office/drawing/2014/main" id="{00000000-0008-0000-1900-000002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4</xdr:col>
      <xdr:colOff>0</xdr:colOff>
      <xdr:row>44</xdr:row>
      <xdr:rowOff>0</xdr:rowOff>
    </xdr:from>
    <xdr:to>
      <xdr:col>17</xdr:col>
      <xdr:colOff>0</xdr:colOff>
      <xdr:row>76</xdr:row>
      <xdr:rowOff>0</xdr:rowOff>
    </xdr:to>
    <xdr:graphicFrame macro="">
      <xdr:nvGraphicFramePr>
        <xdr:cNvPr id="3" name="Graphique 2">
          <a:extLst>
            <a:ext uri="{FF2B5EF4-FFF2-40B4-BE49-F238E27FC236}">
              <a16:creationId xmlns:a16="http://schemas.microsoft.com/office/drawing/2014/main" id="{00000000-0008-0000-1900-000003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4</xdr:col>
      <xdr:colOff>0</xdr:colOff>
      <xdr:row>114</xdr:row>
      <xdr:rowOff>0</xdr:rowOff>
    </xdr:from>
    <xdr:to>
      <xdr:col>18</xdr:col>
      <xdr:colOff>0</xdr:colOff>
      <xdr:row>146</xdr:row>
      <xdr:rowOff>0</xdr:rowOff>
    </xdr:to>
    <xdr:graphicFrame macro="">
      <xdr:nvGraphicFramePr>
        <xdr:cNvPr id="4" name="Graphique 3">
          <a:extLst>
            <a:ext uri="{FF2B5EF4-FFF2-40B4-BE49-F238E27FC236}">
              <a16:creationId xmlns:a16="http://schemas.microsoft.com/office/drawing/2014/main" id="{00000000-0008-0000-1900-000004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6</xdr:col>
      <xdr:colOff>0</xdr:colOff>
      <xdr:row>79</xdr:row>
      <xdr:rowOff>0</xdr:rowOff>
    </xdr:from>
    <xdr:to>
      <xdr:col>17</xdr:col>
      <xdr:colOff>0</xdr:colOff>
      <xdr:row>111</xdr:row>
      <xdr:rowOff>0</xdr:rowOff>
    </xdr:to>
    <xdr:graphicFrame macro="">
      <xdr:nvGraphicFramePr>
        <xdr:cNvPr id="5" name="Graphique 4">
          <a:extLst>
            <a:ext uri="{FF2B5EF4-FFF2-40B4-BE49-F238E27FC236}">
              <a16:creationId xmlns:a16="http://schemas.microsoft.com/office/drawing/2014/main" id="{00000000-0008-0000-1900-000005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4</xdr:col>
      <xdr:colOff>0</xdr:colOff>
      <xdr:row>149</xdr:row>
      <xdr:rowOff>0</xdr:rowOff>
    </xdr:from>
    <xdr:to>
      <xdr:col>18</xdr:col>
      <xdr:colOff>12700</xdr:colOff>
      <xdr:row>181</xdr:row>
      <xdr:rowOff>0</xdr:rowOff>
    </xdr:to>
    <xdr:graphicFrame macro="">
      <xdr:nvGraphicFramePr>
        <xdr:cNvPr id="6" name="Graphique 5">
          <a:extLst>
            <a:ext uri="{FF2B5EF4-FFF2-40B4-BE49-F238E27FC236}">
              <a16:creationId xmlns:a16="http://schemas.microsoft.com/office/drawing/2014/main" id="{00000000-0008-0000-1900-000006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twoCellAnchor>
    <xdr:from>
      <xdr:col>5</xdr:col>
      <xdr:colOff>0</xdr:colOff>
      <xdr:row>184</xdr:row>
      <xdr:rowOff>0</xdr:rowOff>
    </xdr:from>
    <xdr:to>
      <xdr:col>17</xdr:col>
      <xdr:colOff>685800</xdr:colOff>
      <xdr:row>215</xdr:row>
      <xdr:rowOff>0</xdr:rowOff>
    </xdr:to>
    <xdr:graphicFrame macro="">
      <xdr:nvGraphicFramePr>
        <xdr:cNvPr id="7" name="Graphique 6">
          <a:extLst>
            <a:ext uri="{FF2B5EF4-FFF2-40B4-BE49-F238E27FC236}">
              <a16:creationId xmlns:a16="http://schemas.microsoft.com/office/drawing/2014/main" id="{00000000-0008-0000-1900-000007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
        </a:graphicData>
      </a:graphic>
    </xdr:graphicFrame>
    <xdr:clientData/>
  </xdr:twoCellAnchor>
  <xdr:twoCellAnchor>
    <xdr:from>
      <xdr:col>5</xdr:col>
      <xdr:colOff>292100</xdr:colOff>
      <xdr:row>1</xdr:row>
      <xdr:rowOff>101600</xdr:rowOff>
    </xdr:from>
    <xdr:to>
      <xdr:col>5</xdr:col>
      <xdr:colOff>579152</xdr:colOff>
      <xdr:row>1</xdr:row>
      <xdr:rowOff>385064</xdr:rowOff>
    </xdr:to>
    <xdr:sp macro="" textlink="">
      <xdr:nvSpPr>
        <xdr:cNvPr id="8" name="Ellipse 7">
          <a:extLst>
            <a:ext uri="{FF2B5EF4-FFF2-40B4-BE49-F238E27FC236}">
              <a16:creationId xmlns:a16="http://schemas.microsoft.com/office/drawing/2014/main" id="{00000000-0008-0000-1900-000008000000}"/>
            </a:ext>
          </a:extLst>
        </xdr:cNvPr>
        <xdr:cNvSpPr>
          <a:spLocks noChangeAspect="1"/>
        </xdr:cNvSpPr>
      </xdr:nvSpPr>
      <xdr:spPr>
        <a:xfrm>
          <a:off x="4178300" y="279400"/>
          <a:ext cx="287052" cy="283464"/>
        </a:xfrm>
        <a:prstGeom prst="ellipse">
          <a:avLst/>
        </a:prstGeom>
        <a:solidFill>
          <a:schemeClr val="bg1">
            <a:lumMod val="50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5</xdr:col>
      <xdr:colOff>228600</xdr:colOff>
      <xdr:row>219</xdr:row>
      <xdr:rowOff>0</xdr:rowOff>
    </xdr:from>
    <xdr:to>
      <xdr:col>18</xdr:col>
      <xdr:colOff>0</xdr:colOff>
      <xdr:row>250</xdr:row>
      <xdr:rowOff>0</xdr:rowOff>
    </xdr:to>
    <xdr:graphicFrame macro="">
      <xdr:nvGraphicFramePr>
        <xdr:cNvPr id="9" name="Graphique 8">
          <a:extLst>
            <a:ext uri="{FF2B5EF4-FFF2-40B4-BE49-F238E27FC236}">
              <a16:creationId xmlns:a16="http://schemas.microsoft.com/office/drawing/2014/main" id="{00000000-0008-0000-1900-000009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7"/>
        </a:graphicData>
      </a:graphic>
    </xdr:graphicFrame>
    <xdr:clientData/>
  </xdr:twoCellAnchor>
  <xdr:twoCellAnchor>
    <xdr:from>
      <xdr:col>1</xdr:col>
      <xdr:colOff>9525</xdr:colOff>
      <xdr:row>254</xdr:row>
      <xdr:rowOff>0</xdr:rowOff>
    </xdr:from>
    <xdr:to>
      <xdr:col>18</xdr:col>
      <xdr:colOff>19050</xdr:colOff>
      <xdr:row>288</xdr:row>
      <xdr:rowOff>133350</xdr:rowOff>
    </xdr:to>
    <xdr:graphicFrame macro="">
      <xdr:nvGraphicFramePr>
        <xdr:cNvPr id="13" name="Graphique 12">
          <a:extLst>
            <a:ext uri="{FF2B5EF4-FFF2-40B4-BE49-F238E27FC236}">
              <a16:creationId xmlns:a16="http://schemas.microsoft.com/office/drawing/2014/main" id="{00000000-0008-0000-1900-00000D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8"/>
        </a:graphicData>
      </a:graphic>
    </xdr:graphicFrame>
    <xdr:clientData/>
  </xdr:twoCellAnchor>
  <xdr:twoCellAnchor>
    <xdr:from>
      <xdr:col>1</xdr:col>
      <xdr:colOff>0</xdr:colOff>
      <xdr:row>294</xdr:row>
      <xdr:rowOff>0</xdr:rowOff>
    </xdr:from>
    <xdr:to>
      <xdr:col>18</xdr:col>
      <xdr:colOff>19050</xdr:colOff>
      <xdr:row>332</xdr:row>
      <xdr:rowOff>0</xdr:rowOff>
    </xdr:to>
    <xdr:graphicFrame macro="">
      <xdr:nvGraphicFramePr>
        <xdr:cNvPr id="11" name="Graphique 10">
          <a:extLst>
            <a:ext uri="{FF2B5EF4-FFF2-40B4-BE49-F238E27FC236}">
              <a16:creationId xmlns:a16="http://schemas.microsoft.com/office/drawing/2014/main" id="{00000000-0008-0000-1900-00000B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9"/>
        </a:graphicData>
      </a:graphic>
    </xdr:graphicFrame>
    <xdr:clientData/>
  </xdr:twoCellAnchor>
</xdr:wsDr>
</file>

<file path=xl/drawings/drawing26.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12</xdr:col>
          <xdr:colOff>304800</xdr:colOff>
          <xdr:row>1</xdr:row>
          <xdr:rowOff>0</xdr:rowOff>
        </xdr:from>
        <xdr:to>
          <xdr:col>14</xdr:col>
          <xdr:colOff>428625</xdr:colOff>
          <xdr:row>2</xdr:row>
          <xdr:rowOff>200025</xdr:rowOff>
        </xdr:to>
        <xdr:sp macro="" textlink="">
          <xdr:nvSpPr>
            <xdr:cNvPr id="26626" name="Button 2" hidden="1">
              <a:extLst>
                <a:ext uri="{63B3BB69-23CF-44E3-9099-C40C66FF867C}">
                  <a14:compatExt spid="_x0000_s26626"/>
                </a:ext>
                <a:ext uri="{FF2B5EF4-FFF2-40B4-BE49-F238E27FC236}">
                  <a16:creationId xmlns:a16="http://schemas.microsoft.com/office/drawing/2014/main" id="{00000000-0008-0000-1A00-00000268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fr-FR" sz="1000" b="0" i="0" u="none" strike="noStrike" baseline="0">
                  <a:solidFill>
                    <a:srgbClr val="000000"/>
                  </a:solidFill>
                  <a:latin typeface="Calibri"/>
                </a:rPr>
                <a:t>Retour</a:t>
              </a:r>
            </a:p>
          </xdr:txBody>
        </xdr:sp>
        <xdr:clientData fPrintsWithSheet="0"/>
      </xdr:twoCellAnchor>
    </mc:Choice>
    <mc:Fallback/>
  </mc:AlternateContent>
</xdr:wsDr>
</file>

<file path=xl/drawings/drawing27.xml><?xml version="1.0" encoding="utf-8"?>
<xdr:wsDr xmlns:xdr="http://schemas.openxmlformats.org/drawingml/2006/spreadsheetDrawing" xmlns:a="http://schemas.openxmlformats.org/drawingml/2006/main">
  <xdr:twoCellAnchor>
    <xdr:from>
      <xdr:col>4</xdr:col>
      <xdr:colOff>1485900</xdr:colOff>
      <xdr:row>0</xdr:row>
      <xdr:rowOff>28575</xdr:rowOff>
    </xdr:from>
    <xdr:to>
      <xdr:col>5</xdr:col>
      <xdr:colOff>0</xdr:colOff>
      <xdr:row>0</xdr:row>
      <xdr:rowOff>304800</xdr:rowOff>
    </xdr:to>
    <xdr:sp macro="" textlink="">
      <xdr:nvSpPr>
        <xdr:cNvPr id="2" name="btnSynthèse" descr="Cliquez pour afficher la feuille de synthèse des dépenses" title="résumé">
          <a:hlinkClick xmlns:r="http://schemas.openxmlformats.org/officeDocument/2006/relationships" r:id="rId1" tooltip="Click to view Expense Summary"/>
          <a:extLst>
            <a:ext uri="{FF2B5EF4-FFF2-40B4-BE49-F238E27FC236}">
              <a16:creationId xmlns:a16="http://schemas.microsoft.com/office/drawing/2014/main" id="{00000000-0008-0000-1B00-000002000000}"/>
            </a:ext>
          </a:extLst>
        </xdr:cNvPr>
        <xdr:cNvSpPr/>
      </xdr:nvSpPr>
      <xdr:spPr>
        <a:xfrm>
          <a:off x="5095875" y="200025"/>
          <a:ext cx="0" cy="276225"/>
        </a:xfrm>
        <a:prstGeom prst="rect">
          <a:avLst/>
        </a:prstGeom>
        <a:solidFill>
          <a:schemeClr val="tx1">
            <a:lumMod val="65000"/>
            <a:lumOff val="35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lstStyle/>
        <a:p>
          <a:pPr algn="ctr"/>
          <a:r>
            <a:rPr lang="en-US" sz="1050" b="1">
              <a:solidFill>
                <a:schemeClr val="bg1"/>
              </a:solidFill>
            </a:rPr>
            <a:t>Résumé</a:t>
          </a:r>
        </a:p>
      </xdr:txBody>
    </xdr:sp>
    <xdr:clientData fPrintsWithSheet="0"/>
  </xdr:twoCellAnchor>
  <mc:AlternateContent xmlns:mc="http://schemas.openxmlformats.org/markup-compatibility/2006">
    <mc:Choice xmlns:a14="http://schemas.microsoft.com/office/drawing/2010/main" Requires="a14">
      <xdr:twoCellAnchor>
        <xdr:from>
          <xdr:col>12</xdr:col>
          <xdr:colOff>9525</xdr:colOff>
          <xdr:row>0</xdr:row>
          <xdr:rowOff>66675</xdr:rowOff>
        </xdr:from>
        <xdr:to>
          <xdr:col>14</xdr:col>
          <xdr:colOff>142875</xdr:colOff>
          <xdr:row>1</xdr:row>
          <xdr:rowOff>238125</xdr:rowOff>
        </xdr:to>
        <xdr:sp macro="" textlink="">
          <xdr:nvSpPr>
            <xdr:cNvPr id="20487" name="Button 7" hidden="1">
              <a:extLst>
                <a:ext uri="{63B3BB69-23CF-44E3-9099-C40C66FF867C}">
                  <a14:compatExt spid="_x0000_s20487"/>
                </a:ext>
                <a:ext uri="{FF2B5EF4-FFF2-40B4-BE49-F238E27FC236}">
                  <a16:creationId xmlns:a16="http://schemas.microsoft.com/office/drawing/2014/main" id="{00000000-0008-0000-1B00-00000750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fr-FR" sz="1000" b="0" i="0" u="none" strike="noStrike" baseline="0">
                  <a:solidFill>
                    <a:srgbClr val="000000"/>
                  </a:solidFill>
                  <a:latin typeface="Calibri"/>
                </a:rPr>
                <a:t>Retour</a:t>
              </a:r>
            </a:p>
          </xdr:txBody>
        </xdr:sp>
        <xdr:clientData fPrintsWithSheet="0"/>
      </xdr:twoCellAnchor>
    </mc:Choice>
    <mc:Fallback/>
  </mc:AlternateContent>
</xdr:wsDr>
</file>

<file path=xl/drawings/drawing28.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7</xdr:col>
          <xdr:colOff>142875</xdr:colOff>
          <xdr:row>31</xdr:row>
          <xdr:rowOff>180975</xdr:rowOff>
        </xdr:from>
        <xdr:to>
          <xdr:col>8</xdr:col>
          <xdr:colOff>962025</xdr:colOff>
          <xdr:row>34</xdr:row>
          <xdr:rowOff>28575</xdr:rowOff>
        </xdr:to>
        <xdr:sp macro="" textlink="">
          <xdr:nvSpPr>
            <xdr:cNvPr id="27650" name="Button 2" hidden="1">
              <a:extLst>
                <a:ext uri="{63B3BB69-23CF-44E3-9099-C40C66FF867C}">
                  <a14:compatExt spid="_x0000_s27650"/>
                </a:ext>
                <a:ext uri="{FF2B5EF4-FFF2-40B4-BE49-F238E27FC236}">
                  <a16:creationId xmlns:a16="http://schemas.microsoft.com/office/drawing/2014/main" id="{00000000-0008-0000-1C00-0000026C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fr-FR" sz="1000" b="0" i="0" u="none" strike="noStrike" baseline="0">
                  <a:solidFill>
                    <a:srgbClr val="000000"/>
                  </a:solidFill>
                  <a:latin typeface="Calibri"/>
                </a:rPr>
                <a:t>Retour</a:t>
              </a:r>
            </a:p>
          </xdr:txBody>
        </xdr:sp>
        <xdr:clientData fPrintsWithSheet="0"/>
      </xdr:twoCellAnchor>
    </mc:Choice>
    <mc:Fallback/>
  </mc:AlternateContent>
</xdr:wsDr>
</file>

<file path=xl/drawings/drawing29.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15</xdr:col>
          <xdr:colOff>447675</xdr:colOff>
          <xdr:row>0</xdr:row>
          <xdr:rowOff>123825</xdr:rowOff>
        </xdr:from>
        <xdr:to>
          <xdr:col>17</xdr:col>
          <xdr:colOff>752475</xdr:colOff>
          <xdr:row>0</xdr:row>
          <xdr:rowOff>457200</xdr:rowOff>
        </xdr:to>
        <xdr:sp macro="" textlink="">
          <xdr:nvSpPr>
            <xdr:cNvPr id="28673" name="Button 1" hidden="1">
              <a:extLst>
                <a:ext uri="{63B3BB69-23CF-44E3-9099-C40C66FF867C}">
                  <a14:compatExt spid="_x0000_s28673"/>
                </a:ext>
                <a:ext uri="{FF2B5EF4-FFF2-40B4-BE49-F238E27FC236}">
                  <a16:creationId xmlns:a16="http://schemas.microsoft.com/office/drawing/2014/main" id="{00000000-0008-0000-1D00-00000170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fr-FR" sz="1000" b="0" i="0" u="none" strike="noStrike" baseline="0">
                  <a:solidFill>
                    <a:srgbClr val="000000"/>
                  </a:solidFill>
                  <a:latin typeface="Calibri"/>
                </a:rPr>
                <a:t>Retour</a:t>
              </a:r>
            </a:p>
          </xdr:txBody>
        </xdr:sp>
        <xdr:clientData fPrintsWithSheet="0"/>
      </xdr:twoCellAnchor>
    </mc:Choice>
    <mc:Fallback/>
  </mc:AlternateContent>
</xdr:wsDr>
</file>

<file path=xl/pivotCache/_rels/pivotCacheDefinition1.xml.rels><?xml version="1.0" encoding="UTF-8" standalone="yes"?>
<Relationships xmlns="http://schemas.openxmlformats.org/package/2006/relationships"><Relationship Id="rId1" Type="http://schemas.openxmlformats.org/officeDocument/2006/relationships/pivotCacheRecords" Target="pivotCacheRecords1.xml"/></Relationships>
</file>

<file path=xl/pivotCache/pivotCacheDefinition1.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r:id="rId1" refreshedBy="utilisateur" refreshedDate="43360.683704166666" createdVersion="6" refreshedVersion="6" minRefreshableVersion="3" recordCount="131" xr:uid="{32F493F1-092D-46A2-AE81-33DB0830E776}">
  <cacheSource type="worksheet">
    <worksheetSource name="TabSeance"/>
  </cacheSource>
  <cacheFields count="13">
    <cacheField name="N°" numFmtId="0">
      <sharedItems containsString="0" containsBlank="1" containsNumber="1" containsInteger="1" minValue="1" maxValue="23"/>
    </cacheField>
    <cacheField name="Date" numFmtId="14">
      <sharedItems containsNonDate="0" containsDate="1" containsString="0" containsBlank="1" minDate="2018-08-06T00:00:00" maxDate="2018-09-16T00:00:00" count="25">
        <d v="2018-08-06T00:00:00"/>
        <d v="2018-08-07T00:00:00"/>
        <d v="2018-08-09T00:00:00"/>
        <d v="2018-08-10T00:00:00"/>
        <d v="2018-08-13T00:00:00"/>
        <d v="2018-08-14T00:00:00"/>
        <d v="2018-08-15T00:00:00"/>
        <d v="2018-08-16T00:00:00"/>
        <d v="2018-08-17T00:00:00"/>
        <d v="2018-08-18T00:00:00"/>
        <d v="2018-08-20T00:00:00"/>
        <d v="2018-08-21T00:00:00"/>
        <d v="2018-08-23T00:00:00"/>
        <d v="2018-08-24T00:00:00"/>
        <d v="2018-08-27T00:00:00"/>
        <d v="2018-08-28T00:00:00"/>
        <d v="2018-08-30T00:00:00"/>
        <d v="2018-08-31T00:00:00"/>
        <d v="2018-09-04T00:00:00"/>
        <d v="2018-09-06T00:00:00"/>
        <d v="2018-09-07T00:00:00"/>
        <d v="2018-09-11T00:00:00"/>
        <d v="2018-09-14T00:00:00"/>
        <d v="2018-09-15T00:00:00"/>
        <m/>
      </sharedItems>
      <fieldGroup par="12" base="1">
        <rangePr groupBy="days" startDate="2018-08-06T00:00:00" endDate="2018-09-16T00:00:00"/>
        <groupItems count="368">
          <s v="(vide)"/>
          <s v="01-janv"/>
          <s v="02-janv"/>
          <s v="03-janv"/>
          <s v="04-janv"/>
          <s v="05-janv"/>
          <s v="06-janv"/>
          <s v="07-janv"/>
          <s v="08-janv"/>
          <s v="09-janv"/>
          <s v="10-janv"/>
          <s v="11-janv"/>
          <s v="12-janv"/>
          <s v="13-janv"/>
          <s v="14-janv"/>
          <s v="15-janv"/>
          <s v="16-janv"/>
          <s v="17-janv"/>
          <s v="18-janv"/>
          <s v="19-janv"/>
          <s v="20-janv"/>
          <s v="21-janv"/>
          <s v="22-janv"/>
          <s v="23-janv"/>
          <s v="24-janv"/>
          <s v="25-janv"/>
          <s v="26-janv"/>
          <s v="27-janv"/>
          <s v="28-janv"/>
          <s v="29-janv"/>
          <s v="30-janv"/>
          <s v="31-janv"/>
          <s v="01-févr"/>
          <s v="02-févr"/>
          <s v="03-févr"/>
          <s v="04-févr"/>
          <s v="05-févr"/>
          <s v="06-févr"/>
          <s v="07-févr"/>
          <s v="08-févr"/>
          <s v="09-févr"/>
          <s v="10-févr"/>
          <s v="11-févr"/>
          <s v="12-févr"/>
          <s v="13-févr"/>
          <s v="14-févr"/>
          <s v="15-févr"/>
          <s v="16-févr"/>
          <s v="17-févr"/>
          <s v="18-févr"/>
          <s v="19-févr"/>
          <s v="20-févr"/>
          <s v="21-févr"/>
          <s v="22-févr"/>
          <s v="23-févr"/>
          <s v="24-févr"/>
          <s v="25-févr"/>
          <s v="26-févr"/>
          <s v="27-févr"/>
          <s v="28-févr"/>
          <s v="29-févr"/>
          <s v="01-mars"/>
          <s v="02-mars"/>
          <s v="03-mars"/>
          <s v="04-mars"/>
          <s v="05-mars"/>
          <s v="06-mars"/>
          <s v="07-mars"/>
          <s v="08-mars"/>
          <s v="09-mars"/>
          <s v="10-mars"/>
          <s v="11-mars"/>
          <s v="12-mars"/>
          <s v="13-mars"/>
          <s v="14-mars"/>
          <s v="15-mars"/>
          <s v="16-mars"/>
          <s v="17-mars"/>
          <s v="18-mars"/>
          <s v="19-mars"/>
          <s v="20-mars"/>
          <s v="21-mars"/>
          <s v="22-mars"/>
          <s v="23-mars"/>
          <s v="24-mars"/>
          <s v="25-mars"/>
          <s v="26-mars"/>
          <s v="27-mars"/>
          <s v="28-mars"/>
          <s v="29-mars"/>
          <s v="30-mars"/>
          <s v="31-mars"/>
          <s v="01-avr"/>
          <s v="02-avr"/>
          <s v="03-avr"/>
          <s v="04-avr"/>
          <s v="05-avr"/>
          <s v="06-avr"/>
          <s v="07-avr"/>
          <s v="08-avr"/>
          <s v="09-avr"/>
          <s v="10-avr"/>
          <s v="11-avr"/>
          <s v="12-avr"/>
          <s v="13-avr"/>
          <s v="14-avr"/>
          <s v="15-avr"/>
          <s v="16-avr"/>
          <s v="17-avr"/>
          <s v="18-avr"/>
          <s v="19-avr"/>
          <s v="20-avr"/>
          <s v="21-avr"/>
          <s v="22-avr"/>
          <s v="23-avr"/>
          <s v="24-avr"/>
          <s v="25-avr"/>
          <s v="26-avr"/>
          <s v="27-avr"/>
          <s v="28-avr"/>
          <s v="29-avr"/>
          <s v="30-avr"/>
          <s v="01-mai"/>
          <s v="02-mai"/>
          <s v="03-mai"/>
          <s v="04-mai"/>
          <s v="05-mai"/>
          <s v="06-mai"/>
          <s v="07-mai"/>
          <s v="08-mai"/>
          <s v="09-mai"/>
          <s v="10-mai"/>
          <s v="11-mai"/>
          <s v="12-mai"/>
          <s v="13-mai"/>
          <s v="14-mai"/>
          <s v="15-mai"/>
          <s v="16-mai"/>
          <s v="17-mai"/>
          <s v="18-mai"/>
          <s v="19-mai"/>
          <s v="20-mai"/>
          <s v="21-mai"/>
          <s v="22-mai"/>
          <s v="23-mai"/>
          <s v="24-mai"/>
          <s v="25-mai"/>
          <s v="26-mai"/>
          <s v="27-mai"/>
          <s v="28-mai"/>
          <s v="29-mai"/>
          <s v="30-mai"/>
          <s v="31-mai"/>
          <s v="01-juin"/>
          <s v="02-juin"/>
          <s v="03-juin"/>
          <s v="04-juin"/>
          <s v="05-juin"/>
          <s v="06-juin"/>
          <s v="07-juin"/>
          <s v="08-juin"/>
          <s v="09-juin"/>
          <s v="10-juin"/>
          <s v="11-juin"/>
          <s v="12-juin"/>
          <s v="13-juin"/>
          <s v="14-juin"/>
          <s v="15-juin"/>
          <s v="16-juin"/>
          <s v="17-juin"/>
          <s v="18-juin"/>
          <s v="19-juin"/>
          <s v="20-juin"/>
          <s v="21-juin"/>
          <s v="22-juin"/>
          <s v="23-juin"/>
          <s v="24-juin"/>
          <s v="25-juin"/>
          <s v="26-juin"/>
          <s v="27-juin"/>
          <s v="28-juin"/>
          <s v="29-juin"/>
          <s v="30-juin"/>
          <s v="01-juil"/>
          <s v="02-juil"/>
          <s v="03-juil"/>
          <s v="04-juil"/>
          <s v="05-juil"/>
          <s v="06-juil"/>
          <s v="07-juil"/>
          <s v="08-juil"/>
          <s v="09-juil"/>
          <s v="10-juil"/>
          <s v="11-juil"/>
          <s v="12-juil"/>
          <s v="13-juil"/>
          <s v="14-juil"/>
          <s v="15-juil"/>
          <s v="16-juil"/>
          <s v="17-juil"/>
          <s v="18-juil"/>
          <s v="19-juil"/>
          <s v="20-juil"/>
          <s v="21-juil"/>
          <s v="22-juil"/>
          <s v="23-juil"/>
          <s v="24-juil"/>
          <s v="25-juil"/>
          <s v="26-juil"/>
          <s v="27-juil"/>
          <s v="28-juil"/>
          <s v="29-juil"/>
          <s v="30-juil"/>
          <s v="31-juil"/>
          <s v="01-août"/>
          <s v="02-août"/>
          <s v="03-août"/>
          <s v="04-août"/>
          <s v="05-août"/>
          <s v="06-août"/>
          <s v="07-août"/>
          <s v="08-août"/>
          <s v="09-août"/>
          <s v="10-août"/>
          <s v="11-août"/>
          <s v="12-août"/>
          <s v="13-août"/>
          <s v="14-août"/>
          <s v="15-août"/>
          <s v="16-août"/>
          <s v="17-août"/>
          <s v="18-août"/>
          <s v="19-août"/>
          <s v="20-août"/>
          <s v="21-août"/>
          <s v="22-août"/>
          <s v="23-août"/>
          <s v="24-août"/>
          <s v="25-août"/>
          <s v="26-août"/>
          <s v="27-août"/>
          <s v="28-août"/>
          <s v="29-août"/>
          <s v="30-août"/>
          <s v="31-août"/>
          <s v="01-sept"/>
          <s v="02-sept"/>
          <s v="03-sept"/>
          <s v="04-sept"/>
          <s v="05-sept"/>
          <s v="06-sept"/>
          <s v="07-sept"/>
          <s v="08-sept"/>
          <s v="09-sept"/>
          <s v="10-sept"/>
          <s v="11-sept"/>
          <s v="12-sept"/>
          <s v="13-sept"/>
          <s v="14-sept"/>
          <s v="15-sept"/>
          <s v="16-sept"/>
          <s v="17-sept"/>
          <s v="18-sept"/>
          <s v="19-sept"/>
          <s v="20-sept"/>
          <s v="21-sept"/>
          <s v="22-sept"/>
          <s v="23-sept"/>
          <s v="24-sept"/>
          <s v="25-sept"/>
          <s v="26-sept"/>
          <s v="27-sept"/>
          <s v="28-sept"/>
          <s v="29-sept"/>
          <s v="30-sept"/>
          <s v="01-oct"/>
          <s v="02-oct"/>
          <s v="03-oct"/>
          <s v="04-oct"/>
          <s v="05-oct"/>
          <s v="06-oct"/>
          <s v="07-oct"/>
          <s v="08-oct"/>
          <s v="09-oct"/>
          <s v="10-oct"/>
          <s v="11-oct"/>
          <s v="12-oct"/>
          <s v="13-oct"/>
          <s v="14-oct"/>
          <s v="15-oct"/>
          <s v="16-oct"/>
          <s v="17-oct"/>
          <s v="18-oct"/>
          <s v="19-oct"/>
          <s v="20-oct"/>
          <s v="21-oct"/>
          <s v="22-oct"/>
          <s v="23-oct"/>
          <s v="24-oct"/>
          <s v="25-oct"/>
          <s v="26-oct"/>
          <s v="27-oct"/>
          <s v="28-oct"/>
          <s v="29-oct"/>
          <s v="30-oct"/>
          <s v="31-oct"/>
          <s v="01-nov"/>
          <s v="02-nov"/>
          <s v="03-nov"/>
          <s v="04-nov"/>
          <s v="05-nov"/>
          <s v="06-nov"/>
          <s v="07-nov"/>
          <s v="08-nov"/>
          <s v="09-nov"/>
          <s v="10-nov"/>
          <s v="11-nov"/>
          <s v="12-nov"/>
          <s v="13-nov"/>
          <s v="14-nov"/>
          <s v="15-nov"/>
          <s v="16-nov"/>
          <s v="17-nov"/>
          <s v="18-nov"/>
          <s v="19-nov"/>
          <s v="20-nov"/>
          <s v="21-nov"/>
          <s v="22-nov"/>
          <s v="23-nov"/>
          <s v="24-nov"/>
          <s v="25-nov"/>
          <s v="26-nov"/>
          <s v="27-nov"/>
          <s v="28-nov"/>
          <s v="29-nov"/>
          <s v="30-nov"/>
          <s v="01-déc"/>
          <s v="02-déc"/>
          <s v="03-déc"/>
          <s v="04-déc"/>
          <s v="05-déc"/>
          <s v="06-déc"/>
          <s v="07-déc"/>
          <s v="08-déc"/>
          <s v="09-déc"/>
          <s v="10-déc"/>
          <s v="11-déc"/>
          <s v="12-déc"/>
          <s v="13-déc"/>
          <s v="14-déc"/>
          <s v="15-déc"/>
          <s v="16-déc"/>
          <s v="17-déc"/>
          <s v="18-déc"/>
          <s v="19-déc"/>
          <s v="20-déc"/>
          <s v="21-déc"/>
          <s v="22-déc"/>
          <s v="23-déc"/>
          <s v="24-déc"/>
          <s v="25-déc"/>
          <s v="26-déc"/>
          <s v="27-déc"/>
          <s v="28-déc"/>
          <s v="29-déc"/>
          <s v="30-déc"/>
          <s v="31-déc"/>
          <s v="&gt;16/09/2018"/>
        </groupItems>
      </fieldGroup>
    </cacheField>
    <cacheField name="Durée" numFmtId="1">
      <sharedItems containsString="0" containsBlank="1" containsNumber="1" containsInteger="1" minValue="36" maxValue="75"/>
    </cacheField>
    <cacheField name="Phase" numFmtId="0">
      <sharedItems containsBlank="1"/>
    </cacheField>
    <cacheField name="Phase de jeu" numFmtId="0">
      <sharedItems containsBlank="1"/>
    </cacheField>
    <cacheField name="Principe" numFmtId="0">
      <sharedItems containsBlank="1"/>
    </cacheField>
    <cacheField name="Sous-Principe" numFmtId="0">
      <sharedItems containsBlank="1"/>
    </cacheField>
    <cacheField name="Sous-Sous-Principe" numFmtId="0">
      <sharedItems containsNonDate="0" containsString="0" containsBlank="1"/>
    </cacheField>
    <cacheField name="Athlétique" numFmtId="0">
      <sharedItems containsBlank="1"/>
    </cacheField>
    <cacheField name="Mental" numFmtId="0">
      <sharedItems containsBlank="1"/>
    </cacheField>
    <cacheField name="Charge" numFmtId="0">
      <sharedItems containsNonDate="0" containsString="0" containsBlank="1"/>
    </cacheField>
    <cacheField name="Nb joueur" numFmtId="1">
      <sharedItems containsMixedTypes="1" containsNumber="1" containsInteger="1" minValue="8" maxValue="20"/>
    </cacheField>
    <cacheField name="Mois" numFmtId="0" databaseField="0">
      <fieldGroup base="1">
        <rangePr groupBy="months" startDate="2018-08-06T00:00:00" endDate="2018-09-16T00:00:00"/>
        <groupItems count="14">
          <s v="&lt;06/08/2018"/>
          <s v="janv"/>
          <s v="févr"/>
          <s v="mars"/>
          <s v="avr"/>
          <s v="mai"/>
          <s v="juin"/>
          <s v="juil"/>
          <s v="août"/>
          <s v="sept"/>
          <s v="oct"/>
          <s v="nov"/>
          <s v="déc"/>
          <s v="&gt;16/09/2018"/>
        </groupItems>
      </fieldGroup>
    </cacheField>
  </cacheFields>
  <extLst>
    <ext xmlns:x14="http://schemas.microsoft.com/office/spreadsheetml/2009/9/main" uri="{725AE2AE-9491-48be-B2B4-4EB974FC3084}">
      <x14:pivotCacheDefinition/>
    </ext>
  </extLst>
</pivotCacheDefinition>
</file>

<file path=xl/pivotCache/pivotCacheRecords1.xml><?xml version="1.0" encoding="utf-8"?>
<pivotCacheRecords xmlns="http://schemas.openxmlformats.org/spreadsheetml/2006/main" xmlns:r="http://schemas.openxmlformats.org/officeDocument/2006/relationships" xmlns:mc="http://schemas.openxmlformats.org/markup-compatibility/2006" xmlns:xr="http://schemas.microsoft.com/office/spreadsheetml/2014/revision" mc:Ignorable="xr" count="131">
  <r>
    <n v="1"/>
    <x v="0"/>
    <n v="67"/>
    <s v="OFF"/>
    <s v="Conserver_pour_Progresser"/>
    <s v="Créer_et_utiliser_des_espaces"/>
    <m/>
    <m/>
    <s v="C._Aérobie"/>
    <s v="Concentration"/>
    <m/>
    <n v="9"/>
  </r>
  <r>
    <n v="2"/>
    <x v="1"/>
    <n v="62"/>
    <s v="OFF"/>
    <s v="Conserver_pour_Progresser"/>
    <s v="Créer_et_utiliser_des_espaces"/>
    <m/>
    <m/>
    <s v="C._Aérobie"/>
    <s v="Concentration"/>
    <m/>
    <n v="9"/>
  </r>
  <r>
    <n v="3"/>
    <x v="2"/>
    <n v="66"/>
    <s v="OFF"/>
    <s v="Conserver_pour_Progresser"/>
    <s v="Créer_et_utiliser_des_espaces"/>
    <m/>
    <m/>
    <s v="C._Aérobie"/>
    <s v="Concentration"/>
    <m/>
    <n v="10"/>
  </r>
  <r>
    <n v="4"/>
    <x v="3"/>
    <n v="75"/>
    <s v="OFF"/>
    <s v="Conserver_pour_Progresser"/>
    <s v="Créer_et_utiliser_des_espaces"/>
    <m/>
    <m/>
    <s v="C._Aérobie"/>
    <s v="Concentration"/>
    <m/>
    <n v="12"/>
  </r>
  <r>
    <n v="5"/>
    <x v="4"/>
    <n v="63"/>
    <s v="OFF"/>
    <s v="Conserver_pour_Progresser"/>
    <s v="Jouer_dans_l'intervalle_et_entre_les_lignes"/>
    <m/>
    <m/>
    <s v="P._Aérobie"/>
    <s v="Confiance_en_soi"/>
    <m/>
    <n v="11"/>
  </r>
  <r>
    <n v="6"/>
    <x v="5"/>
    <n v="71"/>
    <s v="OFF"/>
    <s v="Conserver_pour_Progresser"/>
    <s v="Jouer_dans_l'intervalle_et_entre_les_lignes"/>
    <m/>
    <m/>
    <s v="P._Aérobie"/>
    <s v="Confiance_en_soi"/>
    <m/>
    <n v="12"/>
  </r>
  <r>
    <n v="7"/>
    <x v="6"/>
    <n v="55"/>
    <s v="OFF"/>
    <s v="Conserver_pour_Progresser"/>
    <s v="Jouer_dans_l'intervalle_et_entre_les_lignes"/>
    <m/>
    <m/>
    <s v="P._Aérobie"/>
    <s v="Confiance_en_soi"/>
    <m/>
    <n v="8"/>
  </r>
  <r>
    <n v="8"/>
    <x v="7"/>
    <n v="67"/>
    <s v="OFF"/>
    <s v="Conserver_pour_Progresser"/>
    <s v="Jouer_dans_l'intervalle_et_entre_les_lignes"/>
    <m/>
    <m/>
    <s v="P._Aérobie"/>
    <s v="Confiance_en_soi"/>
    <m/>
    <n v="13"/>
  </r>
  <r>
    <n v="9"/>
    <x v="8"/>
    <n v="61"/>
    <s v="OFF"/>
    <s v="Conserver_pour_Progresser"/>
    <s v="Jouer_dans_l'intervalle_et_entre_les_lignes"/>
    <m/>
    <m/>
    <s v="P._Aérobie"/>
    <s v="Confiance_en_soi"/>
    <m/>
    <n v="10"/>
  </r>
  <r>
    <n v="10"/>
    <x v="9"/>
    <n v="70"/>
    <s v="OFF"/>
    <s v="Conserver_pour_Progresser"/>
    <s v="Jouer_dans_l'intervalle_et_entre_les_lignes"/>
    <m/>
    <m/>
    <s v="P._Aérobie"/>
    <s v="Confiance_en_soi"/>
    <m/>
    <n v="12"/>
  </r>
  <r>
    <n v="11"/>
    <x v="10"/>
    <n v="69"/>
    <s v="DEF"/>
    <s v="S_opposer_à_la_progression"/>
    <s v="Freiner_la_progression_et_organiser_la_prise_en_charge"/>
    <m/>
    <m/>
    <s v="PMA"/>
    <s v="Motivation"/>
    <m/>
    <n v="15"/>
  </r>
  <r>
    <n v="12"/>
    <x v="11"/>
    <n v="50"/>
    <s v="DEF"/>
    <s v="S_opposer_à_la_progression"/>
    <s v="Freiner_la_progression_et_organiser_la_prise_en_charge"/>
    <m/>
    <m/>
    <s v="PMA"/>
    <s v="Motivation"/>
    <m/>
    <n v="13"/>
  </r>
  <r>
    <n v="13"/>
    <x v="12"/>
    <n v="55"/>
    <s v="DEF"/>
    <s v="S_opposer_à_la_progression"/>
    <s v="Freiner_la_progression_et_organiser_la_prise_en_charge"/>
    <m/>
    <m/>
    <s v="PMA"/>
    <s v="Motivation"/>
    <m/>
    <n v="14"/>
  </r>
  <r>
    <n v="14"/>
    <x v="13"/>
    <n v="70"/>
    <s v="DEF"/>
    <s v="S_opposer_à_la_progression"/>
    <s v="Freiner_la_progression_et_organiser_la_prise_en_charge"/>
    <m/>
    <m/>
    <s v="PMA"/>
    <s v="Motivation"/>
    <m/>
    <n v="17"/>
  </r>
  <r>
    <n v="15"/>
    <x v="14"/>
    <n v="64"/>
    <s v="OFF"/>
    <s v="Finir_l_action"/>
    <s v="S’ajuster_ou_se_réajuster_pour_finir"/>
    <m/>
    <m/>
    <s v="PMA"/>
    <s v="Intégration_social"/>
    <m/>
    <n v="15"/>
  </r>
  <r>
    <n v="16"/>
    <x v="15"/>
    <n v="60"/>
    <s v="OFF"/>
    <s v="Finir_l_action"/>
    <s v="S’ajuster_ou_se_réajuster_pour_finir"/>
    <m/>
    <m/>
    <s v="PMA"/>
    <s v="Intégration_social"/>
    <m/>
    <n v="17"/>
  </r>
  <r>
    <n v="17"/>
    <x v="16"/>
    <n v="57"/>
    <s v="OFF"/>
    <s v="Finir_l_action"/>
    <s v="S’ajuster_ou_se_réajuster_pour_finir"/>
    <m/>
    <m/>
    <s v="PMA"/>
    <s v="Intégration_social"/>
    <m/>
    <n v="20"/>
  </r>
  <r>
    <n v="18"/>
    <x v="17"/>
    <n v="50"/>
    <s v="OFF"/>
    <s v="Finir_l_action"/>
    <s v="S’ajuster_ou_se_réajuster_pour_finir"/>
    <m/>
    <m/>
    <s v="PMA"/>
    <s v="Intégration_social"/>
    <m/>
    <n v="16"/>
  </r>
  <r>
    <n v="19"/>
    <x v="18"/>
    <n v="65"/>
    <s v="OFF"/>
    <s v="Transition_à_la_récupération"/>
    <m/>
    <m/>
    <m/>
    <s v="Force_/_Vitesse"/>
    <s v="Concentration"/>
    <m/>
    <n v="14"/>
  </r>
  <r>
    <n v="20"/>
    <x v="19"/>
    <n v="70"/>
    <s v="OFF"/>
    <s v="Transition_à_la_récupération"/>
    <m/>
    <m/>
    <m/>
    <s v="Force_/_Vitesse"/>
    <s v="Concentration"/>
    <m/>
    <n v="18"/>
  </r>
  <r>
    <n v="21"/>
    <x v="20"/>
    <n v="45"/>
    <s v="OFF"/>
    <s v="Transition_à_la_récupération"/>
    <m/>
    <m/>
    <m/>
    <s v="Force_/_Vitesse"/>
    <s v="Concentration"/>
    <m/>
    <n v="12"/>
  </r>
  <r>
    <n v="22"/>
    <x v="21"/>
    <n v="60"/>
    <s v="DEF"/>
    <s v="Protéger_son_but"/>
    <s v="Défendre_son_but_récupérer_ou_dégager_le_ballon"/>
    <s v="Avoir_un_défenseur_entre_le_ballon_et_le_but"/>
    <m/>
    <s v="Force"/>
    <s v="Maitrise_de_soi"/>
    <m/>
    <n v="12"/>
  </r>
  <r>
    <n v="23"/>
    <x v="22"/>
    <n v="74"/>
    <s v="DEF"/>
    <s v="Protéger_son_but"/>
    <s v="Défendre_son_but_récupérer_ou_dégager_le_ballon"/>
    <m/>
    <m/>
    <s v="P._Aérobie"/>
    <s v="Maitrise_de_soi"/>
    <m/>
    <n v="15"/>
  </r>
  <r>
    <n v="22"/>
    <x v="23"/>
    <n v="36"/>
    <s v="DEF"/>
    <s v="Protéger_son_but"/>
    <s v="Défendre_son_but_récupérer_ou_dégager_le_ballon"/>
    <s v="Avoir_un_défenseur_entre_le_ballon_et_le_but"/>
    <m/>
    <s v="Vitesse"/>
    <s v="Maitrise_de_soi"/>
    <m/>
    <n v="13"/>
  </r>
  <r>
    <m/>
    <x v="24"/>
    <m/>
    <m/>
    <m/>
    <m/>
    <m/>
    <m/>
    <m/>
    <m/>
    <m/>
    <s v=""/>
  </r>
  <r>
    <m/>
    <x v="24"/>
    <m/>
    <m/>
    <m/>
    <m/>
    <m/>
    <m/>
    <m/>
    <m/>
    <m/>
    <s v=""/>
  </r>
  <r>
    <m/>
    <x v="24"/>
    <m/>
    <m/>
    <m/>
    <m/>
    <m/>
    <m/>
    <m/>
    <m/>
    <m/>
    <s v=""/>
  </r>
  <r>
    <m/>
    <x v="24"/>
    <m/>
    <m/>
    <m/>
    <m/>
    <m/>
    <m/>
    <m/>
    <m/>
    <m/>
    <s v=""/>
  </r>
  <r>
    <m/>
    <x v="24"/>
    <m/>
    <m/>
    <m/>
    <m/>
    <m/>
    <m/>
    <m/>
    <m/>
    <m/>
    <s v=""/>
  </r>
  <r>
    <m/>
    <x v="24"/>
    <m/>
    <m/>
    <m/>
    <m/>
    <m/>
    <m/>
    <m/>
    <m/>
    <m/>
    <s v=""/>
  </r>
  <r>
    <m/>
    <x v="24"/>
    <m/>
    <m/>
    <m/>
    <m/>
    <m/>
    <m/>
    <m/>
    <m/>
    <m/>
    <s v=""/>
  </r>
  <r>
    <m/>
    <x v="24"/>
    <m/>
    <m/>
    <m/>
    <m/>
    <m/>
    <m/>
    <m/>
    <m/>
    <m/>
    <s v=""/>
  </r>
  <r>
    <m/>
    <x v="24"/>
    <m/>
    <m/>
    <m/>
    <m/>
    <m/>
    <m/>
    <m/>
    <m/>
    <m/>
    <s v=""/>
  </r>
  <r>
    <m/>
    <x v="24"/>
    <m/>
    <m/>
    <m/>
    <m/>
    <m/>
    <m/>
    <m/>
    <m/>
    <m/>
    <s v=""/>
  </r>
  <r>
    <m/>
    <x v="24"/>
    <m/>
    <m/>
    <m/>
    <m/>
    <m/>
    <m/>
    <m/>
    <m/>
    <m/>
    <s v=""/>
  </r>
  <r>
    <m/>
    <x v="24"/>
    <m/>
    <m/>
    <m/>
    <m/>
    <m/>
    <m/>
    <m/>
    <m/>
    <m/>
    <s v=""/>
  </r>
  <r>
    <m/>
    <x v="24"/>
    <m/>
    <m/>
    <m/>
    <m/>
    <m/>
    <m/>
    <m/>
    <m/>
    <m/>
    <s v=""/>
  </r>
  <r>
    <m/>
    <x v="24"/>
    <m/>
    <m/>
    <m/>
    <m/>
    <m/>
    <m/>
    <m/>
    <m/>
    <m/>
    <s v=""/>
  </r>
  <r>
    <m/>
    <x v="24"/>
    <m/>
    <m/>
    <m/>
    <m/>
    <m/>
    <m/>
    <m/>
    <m/>
    <m/>
    <s v=""/>
  </r>
  <r>
    <m/>
    <x v="24"/>
    <m/>
    <m/>
    <m/>
    <m/>
    <m/>
    <m/>
    <m/>
    <m/>
    <m/>
    <s v=""/>
  </r>
  <r>
    <m/>
    <x v="24"/>
    <m/>
    <m/>
    <m/>
    <m/>
    <m/>
    <m/>
    <m/>
    <m/>
    <m/>
    <s v=""/>
  </r>
  <r>
    <m/>
    <x v="24"/>
    <m/>
    <m/>
    <m/>
    <m/>
    <m/>
    <m/>
    <m/>
    <m/>
    <m/>
    <s v=""/>
  </r>
  <r>
    <m/>
    <x v="24"/>
    <m/>
    <m/>
    <m/>
    <m/>
    <m/>
    <m/>
    <m/>
    <m/>
    <m/>
    <s v=""/>
  </r>
  <r>
    <m/>
    <x v="24"/>
    <m/>
    <m/>
    <m/>
    <m/>
    <m/>
    <m/>
    <m/>
    <m/>
    <m/>
    <s v=""/>
  </r>
  <r>
    <m/>
    <x v="24"/>
    <m/>
    <m/>
    <m/>
    <m/>
    <m/>
    <m/>
    <m/>
    <m/>
    <m/>
    <s v=""/>
  </r>
  <r>
    <m/>
    <x v="24"/>
    <m/>
    <m/>
    <m/>
    <m/>
    <m/>
    <m/>
    <m/>
    <m/>
    <m/>
    <s v=""/>
  </r>
  <r>
    <m/>
    <x v="24"/>
    <m/>
    <m/>
    <m/>
    <m/>
    <m/>
    <m/>
    <m/>
    <m/>
    <m/>
    <s v=""/>
  </r>
  <r>
    <m/>
    <x v="24"/>
    <m/>
    <m/>
    <m/>
    <m/>
    <m/>
    <m/>
    <m/>
    <m/>
    <m/>
    <s v=""/>
  </r>
  <r>
    <m/>
    <x v="24"/>
    <m/>
    <m/>
    <m/>
    <m/>
    <m/>
    <m/>
    <m/>
    <m/>
    <m/>
    <s v=""/>
  </r>
  <r>
    <m/>
    <x v="24"/>
    <m/>
    <m/>
    <m/>
    <m/>
    <m/>
    <m/>
    <m/>
    <m/>
    <m/>
    <s v=""/>
  </r>
  <r>
    <m/>
    <x v="24"/>
    <m/>
    <m/>
    <m/>
    <m/>
    <m/>
    <m/>
    <m/>
    <m/>
    <m/>
    <s v=""/>
  </r>
  <r>
    <m/>
    <x v="24"/>
    <m/>
    <m/>
    <m/>
    <m/>
    <m/>
    <m/>
    <m/>
    <m/>
    <m/>
    <s v=""/>
  </r>
  <r>
    <m/>
    <x v="24"/>
    <m/>
    <m/>
    <m/>
    <m/>
    <m/>
    <m/>
    <m/>
    <m/>
    <m/>
    <s v=""/>
  </r>
  <r>
    <m/>
    <x v="24"/>
    <m/>
    <m/>
    <m/>
    <m/>
    <m/>
    <m/>
    <m/>
    <m/>
    <m/>
    <s v=""/>
  </r>
  <r>
    <m/>
    <x v="24"/>
    <m/>
    <m/>
    <m/>
    <m/>
    <m/>
    <m/>
    <m/>
    <m/>
    <m/>
    <s v=""/>
  </r>
  <r>
    <m/>
    <x v="24"/>
    <m/>
    <m/>
    <m/>
    <m/>
    <m/>
    <m/>
    <m/>
    <m/>
    <m/>
    <s v=""/>
  </r>
  <r>
    <m/>
    <x v="24"/>
    <m/>
    <m/>
    <m/>
    <m/>
    <m/>
    <m/>
    <m/>
    <m/>
    <m/>
    <s v=""/>
  </r>
  <r>
    <m/>
    <x v="24"/>
    <m/>
    <m/>
    <m/>
    <m/>
    <m/>
    <m/>
    <m/>
    <m/>
    <m/>
    <s v=""/>
  </r>
  <r>
    <m/>
    <x v="24"/>
    <m/>
    <m/>
    <m/>
    <m/>
    <m/>
    <m/>
    <m/>
    <m/>
    <m/>
    <s v=""/>
  </r>
  <r>
    <m/>
    <x v="24"/>
    <m/>
    <m/>
    <m/>
    <m/>
    <m/>
    <m/>
    <m/>
    <m/>
    <m/>
    <s v=""/>
  </r>
  <r>
    <m/>
    <x v="24"/>
    <m/>
    <m/>
    <m/>
    <m/>
    <m/>
    <m/>
    <m/>
    <m/>
    <m/>
    <s v=""/>
  </r>
  <r>
    <m/>
    <x v="24"/>
    <m/>
    <m/>
    <m/>
    <m/>
    <m/>
    <m/>
    <m/>
    <m/>
    <m/>
    <s v=""/>
  </r>
  <r>
    <m/>
    <x v="24"/>
    <m/>
    <m/>
    <m/>
    <m/>
    <m/>
    <m/>
    <m/>
    <m/>
    <m/>
    <s v=""/>
  </r>
  <r>
    <m/>
    <x v="24"/>
    <m/>
    <m/>
    <m/>
    <m/>
    <m/>
    <m/>
    <m/>
    <m/>
    <m/>
    <s v=""/>
  </r>
  <r>
    <m/>
    <x v="24"/>
    <m/>
    <m/>
    <m/>
    <m/>
    <m/>
    <m/>
    <m/>
    <m/>
    <m/>
    <s v=""/>
  </r>
  <r>
    <m/>
    <x v="24"/>
    <m/>
    <m/>
    <m/>
    <m/>
    <m/>
    <m/>
    <m/>
    <m/>
    <m/>
    <s v=""/>
  </r>
  <r>
    <m/>
    <x v="24"/>
    <m/>
    <m/>
    <m/>
    <m/>
    <m/>
    <m/>
    <m/>
    <m/>
    <m/>
    <s v=""/>
  </r>
  <r>
    <m/>
    <x v="24"/>
    <m/>
    <m/>
    <m/>
    <m/>
    <m/>
    <m/>
    <m/>
    <m/>
    <m/>
    <s v=""/>
  </r>
  <r>
    <m/>
    <x v="24"/>
    <m/>
    <m/>
    <m/>
    <m/>
    <m/>
    <m/>
    <m/>
    <m/>
    <m/>
    <s v=""/>
  </r>
  <r>
    <m/>
    <x v="24"/>
    <m/>
    <m/>
    <m/>
    <m/>
    <m/>
    <m/>
    <m/>
    <m/>
    <m/>
    <s v=""/>
  </r>
  <r>
    <m/>
    <x v="24"/>
    <m/>
    <m/>
    <m/>
    <m/>
    <m/>
    <m/>
    <m/>
    <m/>
    <m/>
    <s v=""/>
  </r>
  <r>
    <m/>
    <x v="24"/>
    <m/>
    <m/>
    <m/>
    <m/>
    <m/>
    <m/>
    <m/>
    <m/>
    <m/>
    <s v=""/>
  </r>
  <r>
    <m/>
    <x v="24"/>
    <m/>
    <m/>
    <m/>
    <m/>
    <m/>
    <m/>
    <m/>
    <m/>
    <m/>
    <s v=""/>
  </r>
  <r>
    <m/>
    <x v="24"/>
    <m/>
    <m/>
    <m/>
    <m/>
    <m/>
    <m/>
    <m/>
    <m/>
    <m/>
    <s v=""/>
  </r>
  <r>
    <m/>
    <x v="24"/>
    <m/>
    <m/>
    <m/>
    <m/>
    <m/>
    <m/>
    <m/>
    <m/>
    <m/>
    <s v=""/>
  </r>
  <r>
    <m/>
    <x v="24"/>
    <m/>
    <m/>
    <m/>
    <m/>
    <m/>
    <m/>
    <m/>
    <m/>
    <m/>
    <s v=""/>
  </r>
  <r>
    <m/>
    <x v="24"/>
    <m/>
    <m/>
    <m/>
    <m/>
    <m/>
    <m/>
    <m/>
    <m/>
    <m/>
    <s v=""/>
  </r>
  <r>
    <m/>
    <x v="24"/>
    <m/>
    <m/>
    <m/>
    <m/>
    <m/>
    <m/>
    <m/>
    <m/>
    <m/>
    <s v=""/>
  </r>
  <r>
    <m/>
    <x v="24"/>
    <m/>
    <m/>
    <m/>
    <m/>
    <m/>
    <m/>
    <m/>
    <m/>
    <m/>
    <s v=""/>
  </r>
  <r>
    <m/>
    <x v="24"/>
    <m/>
    <m/>
    <m/>
    <m/>
    <m/>
    <m/>
    <m/>
    <m/>
    <m/>
    <s v=""/>
  </r>
  <r>
    <m/>
    <x v="24"/>
    <m/>
    <m/>
    <m/>
    <m/>
    <m/>
    <m/>
    <m/>
    <m/>
    <m/>
    <s v=""/>
  </r>
  <r>
    <m/>
    <x v="24"/>
    <m/>
    <m/>
    <m/>
    <m/>
    <m/>
    <m/>
    <m/>
    <m/>
    <m/>
    <s v=""/>
  </r>
  <r>
    <m/>
    <x v="24"/>
    <m/>
    <m/>
    <m/>
    <m/>
    <m/>
    <m/>
    <m/>
    <m/>
    <m/>
    <s v=""/>
  </r>
  <r>
    <m/>
    <x v="24"/>
    <m/>
    <m/>
    <m/>
    <m/>
    <m/>
    <m/>
    <m/>
    <m/>
    <m/>
    <s v=""/>
  </r>
  <r>
    <m/>
    <x v="24"/>
    <m/>
    <m/>
    <m/>
    <m/>
    <m/>
    <m/>
    <m/>
    <m/>
    <m/>
    <s v=""/>
  </r>
  <r>
    <m/>
    <x v="24"/>
    <m/>
    <m/>
    <m/>
    <m/>
    <m/>
    <m/>
    <m/>
    <m/>
    <m/>
    <s v=""/>
  </r>
  <r>
    <m/>
    <x v="24"/>
    <m/>
    <m/>
    <m/>
    <m/>
    <m/>
    <m/>
    <m/>
    <m/>
    <m/>
    <s v=""/>
  </r>
  <r>
    <m/>
    <x v="24"/>
    <m/>
    <m/>
    <m/>
    <m/>
    <m/>
    <m/>
    <m/>
    <m/>
    <m/>
    <s v=""/>
  </r>
  <r>
    <m/>
    <x v="24"/>
    <m/>
    <m/>
    <m/>
    <m/>
    <m/>
    <m/>
    <m/>
    <m/>
    <m/>
    <s v=""/>
  </r>
  <r>
    <m/>
    <x v="24"/>
    <m/>
    <m/>
    <m/>
    <m/>
    <m/>
    <m/>
    <m/>
    <m/>
    <m/>
    <s v=""/>
  </r>
  <r>
    <m/>
    <x v="24"/>
    <m/>
    <m/>
    <m/>
    <m/>
    <m/>
    <m/>
    <m/>
    <m/>
    <m/>
    <s v=""/>
  </r>
  <r>
    <m/>
    <x v="24"/>
    <m/>
    <m/>
    <m/>
    <m/>
    <m/>
    <m/>
    <m/>
    <m/>
    <m/>
    <s v=""/>
  </r>
  <r>
    <m/>
    <x v="24"/>
    <m/>
    <m/>
    <m/>
    <m/>
    <m/>
    <m/>
    <m/>
    <m/>
    <m/>
    <s v=""/>
  </r>
  <r>
    <m/>
    <x v="24"/>
    <m/>
    <m/>
    <m/>
    <m/>
    <m/>
    <m/>
    <m/>
    <m/>
    <m/>
    <s v=""/>
  </r>
  <r>
    <m/>
    <x v="24"/>
    <m/>
    <m/>
    <m/>
    <m/>
    <m/>
    <m/>
    <m/>
    <m/>
    <m/>
    <s v=""/>
  </r>
  <r>
    <m/>
    <x v="24"/>
    <m/>
    <m/>
    <m/>
    <m/>
    <m/>
    <m/>
    <m/>
    <m/>
    <m/>
    <s v=""/>
  </r>
  <r>
    <m/>
    <x v="24"/>
    <m/>
    <m/>
    <m/>
    <m/>
    <m/>
    <m/>
    <m/>
    <m/>
    <m/>
    <s v=""/>
  </r>
  <r>
    <m/>
    <x v="24"/>
    <m/>
    <m/>
    <m/>
    <m/>
    <m/>
    <m/>
    <m/>
    <m/>
    <m/>
    <s v=""/>
  </r>
  <r>
    <m/>
    <x v="24"/>
    <m/>
    <m/>
    <m/>
    <m/>
    <m/>
    <m/>
    <m/>
    <m/>
    <m/>
    <s v=""/>
  </r>
  <r>
    <m/>
    <x v="24"/>
    <m/>
    <m/>
    <m/>
    <m/>
    <m/>
    <m/>
    <m/>
    <m/>
    <m/>
    <s v=""/>
  </r>
  <r>
    <m/>
    <x v="24"/>
    <m/>
    <m/>
    <m/>
    <m/>
    <m/>
    <m/>
    <m/>
    <m/>
    <m/>
    <s v=""/>
  </r>
  <r>
    <m/>
    <x v="24"/>
    <m/>
    <m/>
    <m/>
    <m/>
    <m/>
    <m/>
    <m/>
    <m/>
    <m/>
    <s v=""/>
  </r>
  <r>
    <m/>
    <x v="24"/>
    <m/>
    <m/>
    <m/>
    <m/>
    <m/>
    <m/>
    <m/>
    <m/>
    <m/>
    <s v=""/>
  </r>
  <r>
    <m/>
    <x v="24"/>
    <m/>
    <m/>
    <m/>
    <m/>
    <m/>
    <m/>
    <m/>
    <m/>
    <m/>
    <s v=""/>
  </r>
  <r>
    <m/>
    <x v="24"/>
    <m/>
    <m/>
    <m/>
    <m/>
    <m/>
    <m/>
    <m/>
    <m/>
    <m/>
    <s v=""/>
  </r>
  <r>
    <m/>
    <x v="24"/>
    <m/>
    <m/>
    <m/>
    <m/>
    <m/>
    <m/>
    <m/>
    <m/>
    <m/>
    <s v=""/>
  </r>
  <r>
    <m/>
    <x v="24"/>
    <m/>
    <m/>
    <m/>
    <m/>
    <m/>
    <m/>
    <m/>
    <m/>
    <m/>
    <s v=""/>
  </r>
  <r>
    <m/>
    <x v="24"/>
    <m/>
    <m/>
    <m/>
    <m/>
    <m/>
    <m/>
    <m/>
    <m/>
    <m/>
    <s v=""/>
  </r>
  <r>
    <m/>
    <x v="24"/>
    <m/>
    <m/>
    <m/>
    <m/>
    <m/>
    <m/>
    <m/>
    <m/>
    <m/>
    <s v=""/>
  </r>
  <r>
    <m/>
    <x v="24"/>
    <m/>
    <m/>
    <m/>
    <m/>
    <m/>
    <m/>
    <m/>
    <m/>
    <m/>
    <s v=""/>
  </r>
  <r>
    <m/>
    <x v="24"/>
    <m/>
    <m/>
    <m/>
    <m/>
    <m/>
    <m/>
    <m/>
    <m/>
    <m/>
    <s v=""/>
  </r>
  <r>
    <m/>
    <x v="24"/>
    <m/>
    <m/>
    <m/>
    <m/>
    <m/>
    <m/>
    <m/>
    <m/>
    <m/>
    <s v=""/>
  </r>
  <r>
    <m/>
    <x v="24"/>
    <m/>
    <m/>
    <m/>
    <m/>
    <m/>
    <m/>
    <m/>
    <m/>
    <m/>
    <s v=""/>
  </r>
  <r>
    <m/>
    <x v="24"/>
    <m/>
    <m/>
    <m/>
    <m/>
    <m/>
    <m/>
    <m/>
    <m/>
    <m/>
    <s v=""/>
  </r>
  <r>
    <m/>
    <x v="24"/>
    <m/>
    <m/>
    <m/>
    <m/>
    <m/>
    <m/>
    <m/>
    <m/>
    <m/>
    <s v=""/>
  </r>
  <r>
    <m/>
    <x v="24"/>
    <m/>
    <m/>
    <m/>
    <m/>
    <m/>
    <m/>
    <m/>
    <m/>
    <m/>
    <s v=""/>
  </r>
  <r>
    <m/>
    <x v="24"/>
    <m/>
    <m/>
    <m/>
    <m/>
    <m/>
    <m/>
    <m/>
    <m/>
    <m/>
    <s v=""/>
  </r>
  <r>
    <m/>
    <x v="24"/>
    <m/>
    <m/>
    <m/>
    <m/>
    <m/>
    <m/>
    <m/>
    <m/>
    <m/>
    <s v=""/>
  </r>
  <r>
    <m/>
    <x v="24"/>
    <m/>
    <m/>
    <m/>
    <m/>
    <m/>
    <m/>
    <m/>
    <m/>
    <m/>
    <s v=""/>
  </r>
  <r>
    <m/>
    <x v="24"/>
    <m/>
    <m/>
    <m/>
    <m/>
    <m/>
    <m/>
    <m/>
    <m/>
    <m/>
    <s v=""/>
  </r>
  <r>
    <m/>
    <x v="24"/>
    <m/>
    <m/>
    <m/>
    <m/>
    <m/>
    <m/>
    <m/>
    <m/>
    <m/>
    <s v=""/>
  </r>
  <r>
    <m/>
    <x v="24"/>
    <m/>
    <m/>
    <m/>
    <m/>
    <m/>
    <m/>
    <m/>
    <m/>
    <m/>
    <s v=""/>
  </r>
  <r>
    <m/>
    <x v="24"/>
    <m/>
    <m/>
    <m/>
    <m/>
    <m/>
    <m/>
    <m/>
    <m/>
    <m/>
    <s v=""/>
  </r>
  <r>
    <m/>
    <x v="24"/>
    <m/>
    <m/>
    <m/>
    <m/>
    <m/>
    <m/>
    <m/>
    <m/>
    <m/>
    <s v=""/>
  </r>
  <r>
    <m/>
    <x v="24"/>
    <m/>
    <m/>
    <m/>
    <m/>
    <m/>
    <m/>
    <m/>
    <m/>
    <m/>
    <s v=""/>
  </r>
  <r>
    <m/>
    <x v="24"/>
    <m/>
    <m/>
    <m/>
    <m/>
    <m/>
    <m/>
    <m/>
    <m/>
    <m/>
    <s v=""/>
  </r>
  <r>
    <m/>
    <x v="24"/>
    <m/>
    <m/>
    <m/>
    <m/>
    <m/>
    <m/>
    <m/>
    <m/>
    <m/>
    <s v=""/>
  </r>
  <r>
    <m/>
    <x v="24"/>
    <m/>
    <m/>
    <m/>
    <m/>
    <m/>
    <m/>
    <m/>
    <m/>
    <m/>
    <s v=""/>
  </r>
  <r>
    <m/>
    <x v="24"/>
    <m/>
    <m/>
    <m/>
    <m/>
    <m/>
    <m/>
    <m/>
    <m/>
    <m/>
    <s v=""/>
  </r>
  <r>
    <m/>
    <x v="24"/>
    <m/>
    <m/>
    <m/>
    <m/>
    <m/>
    <m/>
    <m/>
    <m/>
    <m/>
    <s v=""/>
  </r>
  <r>
    <m/>
    <x v="24"/>
    <m/>
    <m/>
    <m/>
    <m/>
    <m/>
    <m/>
    <m/>
    <m/>
    <m/>
    <s v=""/>
  </r>
</pivotCacheRecords>
</file>

<file path=xl/pivotTables/_rels/pivotTable1.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pivotTable1.xml><?xml version="1.0" encoding="utf-8"?>
<pivotTableDefinition xmlns="http://schemas.openxmlformats.org/spreadsheetml/2006/main" xmlns:mc="http://schemas.openxmlformats.org/markup-compatibility/2006" xmlns:xr="http://schemas.microsoft.com/office/spreadsheetml/2014/revision" mc:Ignorable="xr" xr:uid="{C845EEF4-1D23-4398-8B4A-27D54B30448F}" name="TCDNbTranning" cacheId="0" applyNumberFormats="0" applyBorderFormats="0" applyFontFormats="0" applyPatternFormats="0" applyAlignmentFormats="0" applyWidthHeightFormats="1" dataCaption="Valeurs" updatedVersion="6" minRefreshableVersion="3" useAutoFormatting="1" itemPrintTitles="1" createdVersion="6" indent="0" outline="1" outlineData="1" multipleFieldFilters="0">
  <location ref="A3:B7" firstHeaderRow="1" firstDataRow="1" firstDataCol="1"/>
  <pivotFields count="13">
    <pivotField dataField="1" showAll="0"/>
    <pivotField axis="axisRow" showAll="0">
      <items count="369">
        <item x="0"/>
        <item x="1"/>
        <item x="2"/>
        <item x="3"/>
        <item x="4"/>
        <item x="5"/>
        <item x="6"/>
        <item x="7"/>
        <item x="8"/>
        <item x="9"/>
        <item x="10"/>
        <item x="11"/>
        <item x="12"/>
        <item x="13"/>
        <item x="14"/>
        <item x="15"/>
        <item x="16"/>
        <item x="17"/>
        <item x="18"/>
        <item x="19"/>
        <item x="20"/>
        <item x="21"/>
        <item x="22"/>
        <item x="23"/>
        <item x="24"/>
        <item x="25"/>
        <item x="26"/>
        <item x="27"/>
        <item x="28"/>
        <item x="29"/>
        <item x="30"/>
        <item x="31"/>
        <item x="32"/>
        <item x="33"/>
        <item x="34"/>
        <item x="35"/>
        <item x="36"/>
        <item x="37"/>
        <item x="38"/>
        <item x="39"/>
        <item x="40"/>
        <item x="41"/>
        <item x="42"/>
        <item x="43"/>
        <item x="44"/>
        <item x="45"/>
        <item x="46"/>
        <item x="47"/>
        <item x="48"/>
        <item x="49"/>
        <item x="50"/>
        <item x="51"/>
        <item x="52"/>
        <item x="53"/>
        <item x="54"/>
        <item x="55"/>
        <item x="56"/>
        <item x="57"/>
        <item x="58"/>
        <item x="59"/>
        <item x="60"/>
        <item x="61"/>
        <item x="62"/>
        <item x="63"/>
        <item x="64"/>
        <item x="65"/>
        <item x="66"/>
        <item x="67"/>
        <item x="68"/>
        <item x="69"/>
        <item x="70"/>
        <item x="71"/>
        <item x="72"/>
        <item x="73"/>
        <item x="74"/>
        <item x="75"/>
        <item x="76"/>
        <item x="77"/>
        <item x="78"/>
        <item x="79"/>
        <item x="80"/>
        <item x="81"/>
        <item x="82"/>
        <item x="83"/>
        <item x="84"/>
        <item x="85"/>
        <item x="86"/>
        <item x="87"/>
        <item x="88"/>
        <item x="89"/>
        <item x="90"/>
        <item x="91"/>
        <item x="92"/>
        <item x="93"/>
        <item x="94"/>
        <item x="95"/>
        <item x="96"/>
        <item x="97"/>
        <item x="98"/>
        <item x="99"/>
        <item x="100"/>
        <item x="101"/>
        <item x="102"/>
        <item x="103"/>
        <item x="104"/>
        <item x="105"/>
        <item x="106"/>
        <item x="107"/>
        <item x="108"/>
        <item x="109"/>
        <item x="110"/>
        <item x="111"/>
        <item x="112"/>
        <item x="113"/>
        <item x="114"/>
        <item x="115"/>
        <item x="116"/>
        <item x="117"/>
        <item x="118"/>
        <item x="119"/>
        <item x="120"/>
        <item x="121"/>
        <item x="122"/>
        <item x="123"/>
        <item x="124"/>
        <item x="125"/>
        <item x="126"/>
        <item x="127"/>
        <item x="128"/>
        <item x="129"/>
        <item x="130"/>
        <item x="131"/>
        <item x="132"/>
        <item x="133"/>
        <item x="134"/>
        <item x="135"/>
        <item x="136"/>
        <item x="137"/>
        <item x="138"/>
        <item x="139"/>
        <item x="140"/>
        <item x="141"/>
        <item x="142"/>
        <item x="143"/>
        <item x="144"/>
        <item x="145"/>
        <item x="146"/>
        <item x="147"/>
        <item x="148"/>
        <item x="149"/>
        <item x="150"/>
        <item x="151"/>
        <item x="152"/>
        <item x="153"/>
        <item x="154"/>
        <item x="155"/>
        <item x="156"/>
        <item x="157"/>
        <item x="158"/>
        <item x="159"/>
        <item x="160"/>
        <item x="161"/>
        <item x="162"/>
        <item x="163"/>
        <item x="164"/>
        <item x="165"/>
        <item x="166"/>
        <item x="167"/>
        <item x="168"/>
        <item x="169"/>
        <item x="170"/>
        <item x="171"/>
        <item x="172"/>
        <item x="173"/>
        <item x="174"/>
        <item x="175"/>
        <item x="176"/>
        <item x="177"/>
        <item x="178"/>
        <item x="179"/>
        <item x="180"/>
        <item x="181"/>
        <item x="182"/>
        <item x="183"/>
        <item x="184"/>
        <item x="185"/>
        <item x="186"/>
        <item x="187"/>
        <item x="188"/>
        <item x="189"/>
        <item x="190"/>
        <item x="191"/>
        <item x="192"/>
        <item x="193"/>
        <item x="194"/>
        <item x="195"/>
        <item x="196"/>
        <item x="197"/>
        <item x="198"/>
        <item x="199"/>
        <item x="200"/>
        <item x="201"/>
        <item x="202"/>
        <item x="203"/>
        <item x="204"/>
        <item x="205"/>
        <item x="206"/>
        <item x="207"/>
        <item x="208"/>
        <item x="209"/>
        <item x="210"/>
        <item x="211"/>
        <item x="212"/>
        <item x="213"/>
        <item x="214"/>
        <item x="215"/>
        <item x="216"/>
        <item x="217"/>
        <item x="218"/>
        <item x="219"/>
        <item x="220"/>
        <item x="221"/>
        <item x="222"/>
        <item x="223"/>
        <item x="224"/>
        <item x="225"/>
        <item x="226"/>
        <item x="227"/>
        <item x="228"/>
        <item x="229"/>
        <item x="230"/>
        <item x="231"/>
        <item x="232"/>
        <item x="233"/>
        <item x="234"/>
        <item x="235"/>
        <item x="236"/>
        <item x="237"/>
        <item x="238"/>
        <item x="239"/>
        <item x="240"/>
        <item x="241"/>
        <item x="242"/>
        <item x="243"/>
        <item x="244"/>
        <item x="245"/>
        <item x="246"/>
        <item x="247"/>
        <item x="248"/>
        <item x="249"/>
        <item x="250"/>
        <item x="251"/>
        <item x="252"/>
        <item x="253"/>
        <item x="254"/>
        <item x="255"/>
        <item x="256"/>
        <item x="257"/>
        <item x="258"/>
        <item x="259"/>
        <item x="260"/>
        <item x="261"/>
        <item x="262"/>
        <item x="263"/>
        <item x="264"/>
        <item x="265"/>
        <item x="266"/>
        <item x="267"/>
        <item x="268"/>
        <item x="269"/>
        <item x="270"/>
        <item x="271"/>
        <item x="272"/>
        <item x="273"/>
        <item x="274"/>
        <item x="275"/>
        <item x="276"/>
        <item x="277"/>
        <item x="278"/>
        <item x="279"/>
        <item x="280"/>
        <item x="281"/>
        <item x="282"/>
        <item x="283"/>
        <item x="284"/>
        <item x="285"/>
        <item x="286"/>
        <item x="287"/>
        <item x="288"/>
        <item x="289"/>
        <item x="290"/>
        <item x="291"/>
        <item x="292"/>
        <item x="293"/>
        <item x="294"/>
        <item x="295"/>
        <item x="296"/>
        <item x="297"/>
        <item x="298"/>
        <item x="299"/>
        <item x="300"/>
        <item x="301"/>
        <item x="302"/>
        <item x="303"/>
        <item x="304"/>
        <item x="305"/>
        <item x="306"/>
        <item x="307"/>
        <item x="308"/>
        <item x="309"/>
        <item x="310"/>
        <item x="311"/>
        <item x="312"/>
        <item x="313"/>
        <item x="314"/>
        <item x="315"/>
        <item x="316"/>
        <item x="317"/>
        <item x="318"/>
        <item x="319"/>
        <item x="320"/>
        <item x="321"/>
        <item x="322"/>
        <item x="323"/>
        <item x="324"/>
        <item x="325"/>
        <item x="326"/>
        <item x="327"/>
        <item x="328"/>
        <item x="329"/>
        <item x="330"/>
        <item x="331"/>
        <item x="332"/>
        <item x="333"/>
        <item x="334"/>
        <item x="335"/>
        <item x="336"/>
        <item x="337"/>
        <item x="338"/>
        <item x="339"/>
        <item x="340"/>
        <item x="341"/>
        <item x="342"/>
        <item x="343"/>
        <item x="344"/>
        <item x="345"/>
        <item x="346"/>
        <item x="347"/>
        <item x="348"/>
        <item x="349"/>
        <item x="350"/>
        <item x="351"/>
        <item x="352"/>
        <item x="353"/>
        <item x="354"/>
        <item x="355"/>
        <item x="356"/>
        <item x="357"/>
        <item x="358"/>
        <item x="359"/>
        <item x="360"/>
        <item x="361"/>
        <item x="362"/>
        <item x="363"/>
        <item x="364"/>
        <item x="365"/>
        <item x="366"/>
        <item x="367"/>
        <item t="default"/>
      </items>
    </pivotField>
    <pivotField showAll="0"/>
    <pivotField showAll="0"/>
    <pivotField showAll="0"/>
    <pivotField showAll="0"/>
    <pivotField showAll="0"/>
    <pivotField showAll="0"/>
    <pivotField showAll="0"/>
    <pivotField showAll="0"/>
    <pivotField showAll="0"/>
    <pivotField showAll="0"/>
    <pivotField axis="axisRow" showAll="0">
      <items count="15">
        <item sd="0" x="0"/>
        <item sd="0" x="1"/>
        <item sd="0" x="2"/>
        <item sd="0" x="3"/>
        <item sd="0" x="4"/>
        <item sd="0" x="5"/>
        <item sd="0" x="6"/>
        <item sd="0" x="7"/>
        <item sd="0" x="8"/>
        <item sd="0" x="9"/>
        <item sd="0" x="10"/>
        <item sd="0" x="11"/>
        <item sd="0" x="12"/>
        <item sd="0" x="13"/>
        <item t="default"/>
      </items>
    </pivotField>
  </pivotFields>
  <rowFields count="2">
    <field x="12"/>
    <field x="1"/>
  </rowFields>
  <rowItems count="4">
    <i>
      <x/>
    </i>
    <i>
      <x v="8"/>
    </i>
    <i>
      <x v="9"/>
    </i>
    <i t="grand">
      <x/>
    </i>
  </rowItems>
  <colItems count="1">
    <i/>
  </colItems>
  <dataFields count="1">
    <dataField name="Nb Seance" fld="0" subtotal="count" baseField="12" baseItem="0"/>
  </dataField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0" xr:uid="{A902BBF9-1236-934F-8F52-AD92FEEF694B}" name="TabSeance" displayName="TabSeance" ref="B4:M136" totalsRowCount="1">
  <autoFilter ref="B4:M135" xr:uid="{5583C3D7-E435-8C44-BE2F-C4BE012F3F94}"/>
  <tableColumns count="12">
    <tableColumn id="1" xr3:uid="{4AAE6EEF-936C-894C-BE63-340418D3BE30}" name="N°" totalsRowLabel="Total" dataDxfId="770"/>
    <tableColumn id="2" xr3:uid="{0ADCC2E2-6117-ED4D-8562-1BF673B53C85}" name="Date" dataDxfId="769" totalsRowDxfId="768"/>
    <tableColumn id="12" xr3:uid="{11E4E5CA-5E95-134B-BB04-FA8A86A7D154}" name="Durée" totalsRowFunction="average" dataDxfId="767" totalsRowDxfId="766"/>
    <tableColumn id="3" xr3:uid="{665D078C-012C-A545-A627-7CFFCFB82EBE}" name="Phase" dataDxfId="765" totalsRowDxfId="764"/>
    <tableColumn id="4" xr3:uid="{BB10D260-CEEB-A84C-B178-F1245F1C290F}" name="Phase de jeu" dataDxfId="763"/>
    <tableColumn id="9" xr3:uid="{1089810E-00AC-4CCC-9E5A-3D960785539E}" name="Principe" dataDxfId="762"/>
    <tableColumn id="5" xr3:uid="{039B0860-1D5F-C94A-89F9-2A2EDDE4DA38}" name="Sous-Principe" dataDxfId="761" totalsRowDxfId="760"/>
    <tableColumn id="6" xr3:uid="{9CD1588F-6F1C-4041-B2C4-597D0650085F}" name="Sous-Sous-Principe" dataDxfId="759"/>
    <tableColumn id="7" xr3:uid="{ECCD203D-1262-5549-9C3C-E38E9C1B5039}" name="Athlétique" dataDxfId="758" totalsRowDxfId="757"/>
    <tableColumn id="8" xr3:uid="{3E764AE8-63E9-E04D-8EB3-8EE13FD5B25D}" name="Mental" dataDxfId="756"/>
    <tableColumn id="10" xr3:uid="{F46D5C5A-170B-814B-9FC2-EEEFAECB09E8}" name="Charge" dataDxfId="755" totalsRowDxfId="754"/>
    <tableColumn id="11" xr3:uid="{10AF5E43-E0C9-7142-8DA6-D04114D8A1A6}" name="Nb joueur" totalsRowFunction="average" dataDxfId="753" totalsRowDxfId="752">
      <calculatedColumnFormula>IF(Entrainement!AH7&lt;&gt;0,Entrainement!AH7,"")</calculatedColumnFormula>
    </tableColumn>
  </tableColumns>
  <tableStyleInfo name="Summary Table"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4" xr:uid="{9616289D-81B6-487B-B329-203D953CE3F0}" name="TabMDJPhase" displayName="TabMDJPhase" ref="B4:B6" totalsRowShown="0" headerRowDxfId="751">
  <autoFilter ref="B4:B6" xr:uid="{D537C3C4-2904-43F6-B236-1BFB3DBC8218}"/>
  <tableColumns count="1">
    <tableColumn id="1" xr3:uid="{517E44DF-C0B5-4FEE-9429-FCCA4ACADFED}" name="Phase"/>
  </tableColumns>
  <tableStyleInfo name="Summary Table"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4" xr:uid="{81E29996-90AA-4C7A-BAEB-16945C8A5F42}" name="TabMDJPrincipeOff" displayName="TabMDJPrincipeOff" ref="D5:D9" totalsRowShown="0" headerRowDxfId="750">
  <autoFilter ref="D5:D9" xr:uid="{1AD8DA55-5EEE-4518-BE29-5B91A70D0CD0}"/>
  <tableColumns count="1">
    <tableColumn id="1" xr3:uid="{AB857D09-9DF2-4CFF-8903-0FC8A640ACBE}" name="OFF"/>
  </tableColumns>
  <tableStyleInfo name="Summary Table"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5" xr:uid="{17C41A14-E840-4144-8C32-99F034754777}" name="MDJPrincipeDEF" displayName="MDJPrincipeDEF" ref="F5:F9" totalsRowShown="0" headerRowDxfId="749">
  <autoFilter ref="F5:F9" xr:uid="{88C8BA0A-7551-4EF5-ADB7-555D7EA69B74}"/>
  <tableColumns count="1">
    <tableColumn id="1" xr3:uid="{30EEE42A-D9B8-43B5-B6DB-045FA46E968C}" name="DEF"/>
  </tableColumns>
  <tableStyleInfo name="Summary Table"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6" xr:uid="{52D81A46-2425-45D2-BA0F-2A0FA903CEFD}" name="TAbMDJAthletique" displayName="TAbMDJAthletique" ref="B11:B21" totalsRowShown="0" headerRowDxfId="748">
  <autoFilter ref="B11:B21" xr:uid="{FDDC64A8-AD89-4006-B499-BAA8A9A53361}"/>
  <sortState ref="B12:B21">
    <sortCondition ref="B11:B21"/>
  </sortState>
  <tableColumns count="1">
    <tableColumn id="1" xr3:uid="{24DF7A31-986B-42EA-BE8F-8383972373E9}" name="Athlétique"/>
  </tableColumns>
  <tableStyleInfo name="Summary Table"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7" xr:uid="{C11680F8-7C11-4678-A7FB-E446E7780D1C}" name="TabMDJMental" displayName="TabMDJMental" ref="B34:B40" totalsRowShown="0" headerRowDxfId="747">
  <autoFilter ref="B34:B40" xr:uid="{D724746C-13E5-46EB-9EC3-383A9206E344}"/>
  <sortState ref="B35:B40">
    <sortCondition ref="B34:B40"/>
  </sortState>
  <tableColumns count="1">
    <tableColumn id="1" xr3:uid="{AF050DD0-F5A4-4E53-9B55-7082D012C481}" name="Mental"/>
  </tableColumns>
  <tableStyleInfo name="Summary Table"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8" xr:uid="{A5FA79C9-4D3F-44B6-A820-20104B074DC2}" name="TabMDJConserverPourProgresser" displayName="TabMDJConserverPourProgresser" ref="H6:H9" totalsRowShown="0" headerRowDxfId="746">
  <autoFilter ref="H6:H9" xr:uid="{AD1F8CFD-E47A-43D3-8E87-83ADD9265D93}"/>
  <tableColumns count="1">
    <tableColumn id="1" xr3:uid="{244FE977-3E0D-4B0B-8AB7-88A7FD874451}" name="Conserver_pour_progresser"/>
  </tableColumns>
  <tableStyleInfo name="Summary Table"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9" xr:uid="{0006A2E4-A512-4D0D-8E12-04485E25F546}" name="TAbMDCDesequilibrerleblocadverse" displayName="TAbMDCDesequilibrerleblocadverse" ref="J6:J11" totalsRowShown="0" headerRowDxfId="745">
  <autoFilter ref="J6:J11" xr:uid="{35E88DA2-74CC-4540-8C8E-85C8DC5516DE}"/>
  <tableColumns count="1">
    <tableColumn id="1" xr3:uid="{A04A7D3A-062B-4DC8-B734-08839523D25C}" name="Déséquilibrer_le_bloc_adverse"/>
  </tableColumns>
  <tableStyleInfo name="Summary Table"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0" xr:uid="{D7DDE0BC-C84D-49CB-AA8B-D640A9739A92}" name="TabMDJFinirlaction" displayName="TabMDJFinirlaction" ref="L6:L8" totalsRowShown="0" headerRowDxfId="744">
  <autoFilter ref="L6:L8" xr:uid="{92CD6F3A-7E14-4E6D-AF5E-4587DA487586}"/>
  <tableColumns count="1">
    <tableColumn id="1" xr3:uid="{BDE301C4-DB64-4DB4-A8F5-BBBE72A0B2CB}" name="Finir_l_action"/>
  </tableColumns>
  <tableStyleInfo name="Summary Table" showFirstColumn="0" showLastColumn="0"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2" xr:uid="{F4C34E98-0B42-4591-86B0-2CC22C6005FE}" name="Tableau52" displayName="Tableau52" ref="P6:P9" totalsRowShown="0" headerRowDxfId="743" dataDxfId="742">
  <autoFilter ref="P6:P9" xr:uid="{57D05C14-2F31-47C3-876D-A6A85A85AB83}"/>
  <tableColumns count="1">
    <tableColumn id="1" xr3:uid="{3FAAD500-25EE-4027-8B17-68AEF98FBFD5}" name="S'opposer_à_la_progression" dataDxfId="741"/>
  </tableColumns>
  <tableStyleInfo name="Summary Table" showFirstColumn="0" showLastColumn="0" showRowStripes="1" showColumnStripes="0"/>
</table>
</file>

<file path=xl/tables/table1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3" xr:uid="{F8442202-8E29-4359-8054-715D64C1E7E9}" name="Tableau53" displayName="Tableau53" ref="R6:R10" totalsRowShown="0" headerRowDxfId="740">
  <autoFilter ref="R6:R10" xr:uid="{47E2C1BB-4522-4288-AB10-C6C234239446}"/>
  <tableColumns count="1">
    <tableColumn id="1" xr3:uid="{2DED8795-4CC8-43FC-970C-7A8787C2D9E8}" name="S'organiser_pour_récupérer"/>
  </tableColumns>
  <tableStyleInfo name="Summary Table" showFirstColumn="0" showLastColumn="0" showRowStripes="1" showColumnStripes="0"/>
</table>
</file>

<file path=xl/tables/table1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4" xr:uid="{17FA6853-EEE7-4308-A082-C828E57C7EFF}" name="Tableau54" displayName="Tableau54" ref="T6:T8" totalsRowShown="0" headerRowDxfId="739">
  <autoFilter ref="T6:T8" xr:uid="{0E5AD1A8-CE90-4D2D-A56F-D032C5CB6E54}"/>
  <tableColumns count="1">
    <tableColumn id="1" xr3:uid="{59F4C584-1E0C-4EF6-BC4E-46ECD529BA66}" name="Protéger_son_but"/>
  </tableColumns>
  <tableStyleInfo name="Summary Table" showFirstColumn="0" showLastColumn="0" showRowStripes="1" showColumnStripes="0"/>
</table>
</file>

<file path=xl/tables/table1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5" xr:uid="{8096DC5A-6EC7-4819-AC4F-03F3F3B63850}" name="Tableau55" displayName="Tableau55" ref="X7:X10" totalsRowShown="0" headerRowDxfId="738" dataDxfId="737">
  <autoFilter ref="X7:X10" xr:uid="{58C337CA-50BA-41F8-AC4F-86DA09D6B5C8}"/>
  <tableColumns count="1">
    <tableColumn id="1" xr3:uid="{A546BD4A-40A2-4B0A-85E1-709CDE7D5416}" name="Créer_et_utiliser_des_espaces" dataDxfId="736"/>
  </tableColumns>
  <tableStyleInfo name="Summary Table" showFirstColumn="0" showLastColumn="0" showRowStripes="1" showColumnStripes="0"/>
</table>
</file>

<file path=xl/tables/table1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6" xr:uid="{6DA20799-EA60-4DA1-957E-0B311D253085}" name="Tableau56" displayName="Tableau56" ref="Z7:Z10" totalsRowShown="0" headerRowDxfId="735">
  <autoFilter ref="Z7:Z10" xr:uid="{C9B5DE60-5D07-4BB8-A8E9-B3CA5C05A31E}"/>
  <tableColumns count="1">
    <tableColumn id="1" xr3:uid="{D46101FA-00A7-446F-8E54-55D71E828434}" name="Jouer_dans_l'intervalle_et_entre_les_lignes"/>
  </tableColumns>
  <tableStyleInfo name="Summary Table" showFirstColumn="0" showLastColumn="0" showRowStripes="1" showColumnStripes="0"/>
</table>
</file>

<file path=xl/tables/table1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7" xr:uid="{B90F75CB-4821-47FC-AD81-3ABB4D7D52AE}" name="Tableau57" displayName="Tableau57" ref="AB7:AB10" totalsRowShown="0" headerRowDxfId="734">
  <autoFilter ref="AB7:AB10" xr:uid="{B1F10244-B588-4EA5-A4E3-37F50D380BAE}"/>
  <tableColumns count="1">
    <tableColumn id="1" xr3:uid="{BE8F6BA2-C97F-4249-B274-A44102B2A3FC}" name="Jeu_combiné_à_2,_à_3,_enchainer_les_actions"/>
  </tableColumns>
  <tableStyleInfo name="Summary Table" showFirstColumn="0" showLastColumn="0" showRowStripes="1" showColumnStripes="0"/>
</table>
</file>

<file path=xl/tables/table1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9" xr:uid="{A51DEE5C-8FD5-4B7C-9FDF-5703FF0CB5EC}" name="Tableau59" displayName="Tableau59" ref="AL7:AL10" totalsRowShown="0" headerRowDxfId="733">
  <autoFilter ref="AL7:AL10" xr:uid="{472854D9-537E-4A1F-8CA1-09D0062E3889}"/>
  <tableColumns count="1">
    <tableColumn id="1" xr3:uid="{B50D14E0-41F2-4FB8-B36F-0096D15D709A}" name="Se_démarquer_pour_fixer_et_élimine_ou_prendre_de_la_vitesse"/>
  </tableColumns>
  <tableStyleInfo name="Summary Table" showFirstColumn="0" showLastColumn="0" showRowStripes="1" showColumnStripes="0"/>
</table>
</file>

<file path=xl/tables/table1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0" xr:uid="{0A8D95A6-0604-4E51-9794-B9E0CAFCFE8E}" name="Tableau60" displayName="Tableau60" ref="AJ7:AJ10" totalsRowShown="0" headerRowDxfId="732">
  <autoFilter ref="AJ7:AJ10" xr:uid="{FEB4A77C-5D9A-4CE1-B226-233DB271AB0B}"/>
  <tableColumns count="1">
    <tableColumn id="1" xr3:uid="{2BBA4ED4-E960-4A0B-AA76-3B1ED6B80CC4}" name="Jouer_combiné_pour_créer_un_surnombre"/>
  </tableColumns>
  <tableStyleInfo name="Summary Table" showFirstColumn="0" showLastColumn="0" showRowStripes="1" showColumnStripes="0"/>
</table>
</file>

<file path=xl/tables/table1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1" xr:uid="{39303C47-9D8A-46C3-8378-9DA351434B2B}" name="Tableau61" displayName="Tableau61" ref="AH7:AH10" totalsRowShown="0" headerRowDxfId="731">
  <autoFilter ref="AH7:AH10" xr:uid="{514F0C5D-5A1B-44BF-8000-69E5F19971E0}"/>
  <tableColumns count="1">
    <tableColumn id="1" xr3:uid="{B9458DB0-0A68-4426-A465-ACC53B67359F}" name="Rechercher_un_joueur_lancé_en_profondeur_dans_le_dos_de_la_défense"/>
  </tableColumns>
  <tableStyleInfo name="Summary Table" showFirstColumn="0" showLastColumn="0" showRowStripes="1" showColumnStripes="0"/>
</table>
</file>

<file path=xl/tables/table1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2" xr:uid="{8B4107C8-8DA0-4046-A685-8924734A3CE5}" name="Tableau62" displayName="Tableau62" ref="AF7:AF10" totalsRowShown="0" headerRowDxfId="730">
  <autoFilter ref="AF7:AF10" xr:uid="{BD3D9070-2FE1-44DB-8150-D1E1ED7AF924}"/>
  <tableColumns count="1">
    <tableColumn id="1" xr3:uid="{F4B239CF-7255-4563-9AC3-477FA34D2CDB}" name="Jouer_en_profondeur_après_un_décalage"/>
  </tableColumns>
  <tableStyleInfo name="Summary Table" showFirstColumn="0" showLastColumn="0" showRowStripes="1" showColumnStripes="0"/>
</table>
</file>

<file path=xl/tables/table2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3" xr:uid="{2524F499-DD76-42B1-BCAE-3A3811BD0EF2}" name="Tableau63" displayName="Tableau63" ref="AD7:AD10" totalsRowShown="0" headerRowDxfId="729">
  <autoFilter ref="AD7:AD10" xr:uid="{24617DD2-1812-4758-BFDC-85F41F60C1DF}"/>
  <tableColumns count="1">
    <tableColumn id="1" xr3:uid="{25CC2890-7D3B-4493-8653-2C91250B4C26}" name="Jouer_à_l’opposé_après_avoir_fixé_collectivement"/>
  </tableColumns>
  <tableStyleInfo name="Summary Table" showFirstColumn="0" showLastColumn="0" showRowStripes="1" showColumnStripes="0"/>
</table>
</file>

<file path=xl/tables/table2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4" xr:uid="{C434B4C4-76C5-46E8-A27D-160C17B211D1}" name="Tableau64" displayName="Tableau64" ref="AN7:AN10" totalsRowShown="0" headerRowDxfId="728">
  <autoFilter ref="AN7:AN10" xr:uid="{40FDAAE7-7966-4AA3-871C-98F32E55509C}"/>
  <tableColumns count="1">
    <tableColumn id="1" xr3:uid="{2BB9933E-78F0-4C66-B58A-B11A9970BE19}" name="Se_démarquer_pour_fixer_et_éliminer,_passer_ou_finir"/>
  </tableColumns>
  <tableStyleInfo name="Summary Table" showFirstColumn="0" showLastColumn="0" showRowStripes="1" showColumnStripes="0"/>
</table>
</file>

<file path=xl/tables/table2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5" xr:uid="{57E7CDA0-3EF4-4FA8-BC36-B984C2875801}" name="Tableau65" displayName="Tableau65" ref="AP7:AP10" totalsRowShown="0" headerRowDxfId="727">
  <autoFilter ref="AP7:AP10" xr:uid="{5F5E2C47-8CA9-43E1-B3D7-3CF5FFCED2EA}"/>
  <tableColumns count="1">
    <tableColumn id="1" xr3:uid="{9E83F17F-A606-4E16-A415-5344EF45B24A}" name="S’ajuster_ou_se_réajuster_pour_finir"/>
  </tableColumns>
  <tableStyleInfo name="Summary Table" showFirstColumn="0" showLastColumn="0" showRowStripes="1" showColumnStripes="0"/>
</table>
</file>

<file path=xl/tables/table2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6" xr:uid="{EBE63DD3-533E-49A2-8C4C-3C130BD5A69A}" name="Tableau66" displayName="Tableau66" ref="AR7:AR10" totalsRowShown="0" headerRowDxfId="726" dataDxfId="725">
  <autoFilter ref="AR7:AR10" xr:uid="{3CF4AE5F-6972-444B-A0FB-393944B89365}"/>
  <tableColumns count="1">
    <tableColumn id="1" xr3:uid="{EA43B229-BE77-4AB7-B270-524F67B1032E}" name="Freiner_la_progression_et_organiser_la_prise_en_charge" dataDxfId="724"/>
  </tableColumns>
  <tableStyleInfo name="Summary Table" showFirstColumn="0" showLastColumn="0" showRowStripes="1" showColumnStripes="0"/>
</table>
</file>

<file path=xl/tables/table2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7" xr:uid="{890FB22A-5BC0-49C9-A6D0-2B12DA2E38CA}" name="Tableau67" displayName="Tableau67" ref="AT7:AT10" totalsRowShown="0" headerRowDxfId="723">
  <autoFilter ref="AT7:AT10" xr:uid="{BCCD93EE-083C-44C3-97D7-564FA1DA9B88}"/>
  <tableColumns count="1">
    <tableColumn id="1" xr3:uid="{8BE1836F-F34B-4FB6-996E-6740635BE329}" name="Anticiper_la_profondeur_quand_le_porteur_n’est_pas_cadrer"/>
  </tableColumns>
  <tableStyleInfo name="Summary Table" showFirstColumn="0" showLastColumn="0" showRowStripes="1" showColumnStripes="0"/>
</table>
</file>

<file path=xl/tables/table2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8" xr:uid="{3E0498DB-ECF8-436A-BC88-10005AF1A98C}" name="Tableau68" displayName="Tableau68" ref="AV7:AV10" totalsRowShown="0" headerRowDxfId="722">
  <autoFilter ref="AV7:AV10" xr:uid="{EC713F9F-AD79-4E34-AF6B-EFB360E1B36A}"/>
  <tableColumns count="1">
    <tableColumn id="1" xr3:uid="{80A1E964-19BE-4943-876F-FBE78B084FD6}" name="Protéger_le_CJD_et_organiser_ou_réorganiser_les_alignements"/>
  </tableColumns>
  <tableStyleInfo name="Summary Table" showFirstColumn="0" showLastColumn="0" showRowStripes="1" showColumnStripes="0"/>
</table>
</file>

<file path=xl/tables/table2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9" xr:uid="{E65F91F3-0419-4E53-8307-990019132657}" name="Tableau69" displayName="Tableau69" ref="AX7:AX10" totalsRowShown="0" headerRowDxfId="721">
  <autoFilter ref="AX7:AX10" xr:uid="{813AAC98-6D32-4FC2-A023-32499717E697}"/>
  <tableColumns count="1">
    <tableColumn id="1" xr3:uid="{746E1B10-5389-46B9-8E43-E5AE04332CF4}" name="S’organiser_en_déséquilibre"/>
  </tableColumns>
  <tableStyleInfo name="Summary Table" showFirstColumn="0" showLastColumn="0" showRowStripes="1" showColumnStripes="0"/>
</table>
</file>

<file path=xl/tables/table2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0" xr:uid="{768DCE3E-C6E1-4C12-B134-9A2EF5F8D415}" name="Tableau70" displayName="Tableau70" ref="AZ7:AZ10" totalsRowShown="0" headerRowDxfId="720">
  <autoFilter ref="AZ7:AZ10" xr:uid="{798A70C2-D348-49BB-8B28-8771EE2D8324}"/>
  <tableColumns count="1">
    <tableColumn id="1" xr3:uid="{651F5F98-3841-43C5-B974-5F0D8E08AF27}" name="Densifier_et_être_actif_dans_le_CJD"/>
  </tableColumns>
  <tableStyleInfo name="Summary Table" showFirstColumn="0" showLastColumn="0" showRowStripes="1" showColumnStripes="0"/>
</table>
</file>

<file path=xl/tables/table2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1" xr:uid="{CC6D0065-6DE6-4B7B-8B78-AC1E3B7AEA74}" name="Tableau71" displayName="Tableau71" ref="BB7:BB10" totalsRowShown="0" headerRowDxfId="719">
  <autoFilter ref="BB7:BB10" xr:uid="{70FB8D54-700A-41F4-BF5B-C0EC65B666CC}"/>
  <tableColumns count="1">
    <tableColumn id="1" xr3:uid="{47FD87BA-652F-4300-B84C-E378C1F1F6A6}" name="Organiser_la_pression_collective_sur_le_temps_de_passe"/>
  </tableColumns>
  <tableStyleInfo name="Summary Table" showFirstColumn="0" showLastColumn="0" showRowStripes="1" showColumnStripes="0"/>
</table>
</file>

<file path=xl/tables/table2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2" xr:uid="{F2BB488E-A163-47B0-AB46-E77E95483D37}" name="Tableau72" displayName="Tableau72" ref="BD7:BD10" totalsRowShown="0" headerRowDxfId="718">
  <autoFilter ref="BD7:BD10" xr:uid="{43325990-7677-4F54-A18E-9BCC037B2BBC}"/>
  <tableColumns count="1">
    <tableColumn id="1" xr3:uid="{2525C2AD-6A52-4315-84F9-23D963A90F1C}" name="Couvrir_son_partenaire_dans_l’action_défensive"/>
  </tableColumns>
  <tableStyleInfo name="Summary Table" showFirstColumn="0" showLastColumn="0" showRowStripes="1" showColumnStripes="0"/>
</table>
</file>

<file path=xl/tables/table3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3" xr:uid="{E47C0729-30AD-45FD-A5B7-E59C4C824E2F}" name="Tableau73" displayName="Tableau73" ref="BF7:BF10" totalsRowShown="0" headerRowDxfId="717">
  <autoFilter ref="BF7:BF10" xr:uid="{3A1FB528-3141-4170-96DC-437F0BCBF0B5}"/>
  <tableColumns count="1">
    <tableColumn id="1" xr3:uid="{C6437A68-EC47-47CD-A31C-0C3A56E5103F}" name="Défendre_son_but_récupérer_ou_dégager_le_ballon"/>
  </tableColumns>
  <tableStyleInfo name="Summary Table" showFirstColumn="0" showLastColumn="0" showRowStripes="1" showColumnStripes="0"/>
</table>
</file>

<file path=xl/tables/table3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4" xr:uid="{E2571DB2-267B-4E27-9ECE-C3ECBA8B37C9}" name="Tableau74" displayName="Tableau74" ref="BH7:BH10" totalsRowShown="0" headerRowDxfId="716">
  <autoFilter ref="BH7:BH10" xr:uid="{C326FD51-C468-4B9D-BD38-2CDE654E93CB}"/>
  <tableColumns count="1">
    <tableColumn id="1" xr3:uid="{D823A1B2-9845-417D-8A60-FADF71844C41}" name="Anticiper_s_ajuster_pour_intervenir"/>
  </tableColumns>
  <tableStyleInfo name="Summary Table" showFirstColumn="0" showLastColumn="0" showRowStripes="1" showColumnStripes="0"/>
</table>
</file>

<file path=xl/tables/table3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00000000-000C-0000-FFFF-FFFF00000000}" name="TabEntrainement" displayName="TabEntrainement" ref="B6:AG138" totalsRowCount="1" headerRowDxfId="715" dataDxfId="714" totalsRowDxfId="713">
  <autoFilter ref="B6:AG137" xr:uid="{00000000-0009-0000-0100-000003000000}"/>
  <tableColumns count="32">
    <tableColumn id="1" xr3:uid="{00000000-0010-0000-0000-000001000000}" name="Seance" totalsRowLabel="Total" dataDxfId="712" totalsRowDxfId="711">
      <calculatedColumnFormula>IF(INDEX(TabSeance[Date],ROW()-6)&lt;&gt;0,INDEX(TabSeance[Date],ROW()-6),"")</calculatedColumnFormula>
    </tableColumn>
    <tableColumn id="14" xr3:uid="{00000000-0010-0000-0000-00000E000000}" name="Durée" dataDxfId="710" totalsRowDxfId="709">
      <calculatedColumnFormula>IF(INDEX(TabSeance[Durée],ROW()-6)&lt;&gt;0,INDEX(TabSeance[Durée],ROW()-6),"")</calculatedColumnFormula>
    </tableColumn>
    <tableColumn id="2" xr3:uid="{00000000-0010-0000-0000-000002000000}" name="J1" totalsRowFunction="custom" dataDxfId="708" totalsRowDxfId="707">
      <totalsRowFormula>COUNTIF(TabEntrainement[J1],"Présent")</totalsRowFormula>
    </tableColumn>
    <tableColumn id="19" xr3:uid="{00000000-0010-0000-0000-000013000000}" name="J2" dataDxfId="706" totalsRowDxfId="705"/>
    <tableColumn id="20" xr3:uid="{00000000-0010-0000-0000-000014000000}" name="J3" dataDxfId="704" totalsRowDxfId="703"/>
    <tableColumn id="21" xr3:uid="{00000000-0010-0000-0000-000015000000}" name="J4" dataDxfId="702" totalsRowDxfId="701"/>
    <tableColumn id="22" xr3:uid="{00000000-0010-0000-0000-000016000000}" name="J5" dataDxfId="700" totalsRowDxfId="699"/>
    <tableColumn id="23" xr3:uid="{00000000-0010-0000-0000-000017000000}" name="J6" dataDxfId="698" totalsRowDxfId="697"/>
    <tableColumn id="24" xr3:uid="{00000000-0010-0000-0000-000018000000}" name="J7" dataDxfId="696" totalsRowDxfId="695"/>
    <tableColumn id="25" xr3:uid="{00000000-0010-0000-0000-000019000000}" name="J8" dataDxfId="694" totalsRowDxfId="693"/>
    <tableColumn id="26" xr3:uid="{00000000-0010-0000-0000-00001A000000}" name="J9" dataDxfId="692" totalsRowDxfId="691"/>
    <tableColumn id="27" xr3:uid="{00000000-0010-0000-0000-00001B000000}" name="J10" dataDxfId="690" totalsRowDxfId="689"/>
    <tableColumn id="28" xr3:uid="{00000000-0010-0000-0000-00001C000000}" name="J11" dataDxfId="688" totalsRowDxfId="687"/>
    <tableColumn id="29" xr3:uid="{00000000-0010-0000-0000-00001D000000}" name="J12" dataDxfId="686" totalsRowDxfId="685"/>
    <tableColumn id="3" xr3:uid="{00000000-0010-0000-0000-000003000000}" name="J13" dataDxfId="684" totalsRowDxfId="683">
      <calculatedColumnFormula>'Fiche joueur'!G12</calculatedColumnFormula>
    </tableColumn>
    <tableColumn id="4" xr3:uid="{00000000-0010-0000-0000-000004000000}" name="J14" dataDxfId="682" totalsRowDxfId="681">
      <calculatedColumnFormula>#REF!</calculatedColumnFormula>
    </tableColumn>
    <tableColumn id="5" xr3:uid="{00000000-0010-0000-0000-000005000000}" name="J15" dataDxfId="680" totalsRowDxfId="679">
      <calculatedColumnFormula>#REF!</calculatedColumnFormula>
    </tableColumn>
    <tableColumn id="6" xr3:uid="{00000000-0010-0000-0000-000006000000}" name="J16" dataDxfId="678" totalsRowDxfId="677">
      <calculatedColumnFormula>#REF!</calculatedColumnFormula>
    </tableColumn>
    <tableColumn id="30" xr3:uid="{00000000-0010-0000-0000-00001E000000}" name="J17" dataDxfId="676" totalsRowDxfId="675"/>
    <tableColumn id="31" xr3:uid="{00000000-0010-0000-0000-00001F000000}" name="J18" dataDxfId="674" totalsRowDxfId="673"/>
    <tableColumn id="32" xr3:uid="{00000000-0010-0000-0000-000020000000}" name="J19" dataDxfId="672" totalsRowDxfId="671"/>
    <tableColumn id="33" xr3:uid="{00000000-0010-0000-0000-000021000000}" name="J20" dataDxfId="670" totalsRowDxfId="669"/>
    <tableColumn id="34" xr3:uid="{00000000-0010-0000-0000-000022000000}" name="J21" dataDxfId="668" totalsRowDxfId="667"/>
    <tableColumn id="35" xr3:uid="{00000000-0010-0000-0000-000023000000}" name="J22" dataDxfId="666" totalsRowDxfId="665"/>
    <tableColumn id="36" xr3:uid="{00000000-0010-0000-0000-000024000000}" name="J23" dataDxfId="664" totalsRowDxfId="663"/>
    <tableColumn id="7" xr3:uid="{00000000-0010-0000-0000-000007000000}" name="J24" dataDxfId="662" totalsRowDxfId="661">
      <calculatedColumnFormula>#REF!</calculatedColumnFormula>
    </tableColumn>
    <tableColumn id="8" xr3:uid="{00000000-0010-0000-0000-000008000000}" name="J25" dataDxfId="660" totalsRowDxfId="659">
      <calculatedColumnFormula>#REF!</calculatedColumnFormula>
    </tableColumn>
    <tableColumn id="9" xr3:uid="{00000000-0010-0000-0000-000009000000}" name="J26" dataDxfId="658" totalsRowDxfId="657">
      <calculatedColumnFormula>#REF!</calculatedColumnFormula>
    </tableColumn>
    <tableColumn id="10" xr3:uid="{00000000-0010-0000-0000-00000A000000}" name="J27" dataDxfId="656" totalsRowDxfId="655">
      <calculatedColumnFormula>#REF!</calculatedColumnFormula>
    </tableColumn>
    <tableColumn id="11" xr3:uid="{00000000-0010-0000-0000-00000B000000}" name="J28" dataDxfId="654" totalsRowDxfId="653">
      <calculatedColumnFormula>#REF!</calculatedColumnFormula>
    </tableColumn>
    <tableColumn id="12" xr3:uid="{00000000-0010-0000-0000-00000C000000}" name="J29" dataDxfId="652" totalsRowDxfId="651">
      <calculatedColumnFormula>#REF!</calculatedColumnFormula>
    </tableColumn>
    <tableColumn id="13" xr3:uid="{00000000-0010-0000-0000-00000D000000}" name="J30" dataDxfId="650" totalsRowDxfId="649">
      <calculatedColumnFormula>#REF!</calculatedColumnFormula>
    </tableColumn>
  </tableColumns>
  <tableStyleInfo name="Summary Table" showFirstColumn="0" showLastColumn="0" showRowStripes="0" showColumnStripes="1"/>
  <extLst>
    <ext xmlns:x14="http://schemas.microsoft.com/office/spreadsheetml/2009/9/main" uri="{504A1905-F514-4f6f-8877-14C23A59335A}">
      <x14:table altText="Tableau Tendances des dépenses" altTextSummary="Le tableau répertorie le total des dépenses mensuelles par catégorie pour chaque mois d’une année, à commencer par janvier. Le tableau est mis en forme de telle sorte qu’il est aligné verticalement avec un graphique situé directement au-dessus. Ainsi, chaque mois du tableau est aligné avec chaque regroupement de mois dans le graphique."/>
    </ext>
  </extLst>
</table>
</file>

<file path=xl/tables/table3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3" xr:uid="{C941AA34-9433-438B-B8B8-9109794C8C64}" name="TabBilanEntrainement" displayName="TabBilanEntrainement" ref="B4:AF13" totalsRowShown="0" headerRowDxfId="648" dataDxfId="647" tableBorderDxfId="646">
  <autoFilter ref="B4:AF13" xr:uid="{04DFD64F-3840-4F97-990A-7B721BAAF5B0}"/>
  <tableColumns count="31">
    <tableColumn id="1" xr3:uid="{633B2A4F-E730-4186-AC25-3681B35EC9EC}" name="Type" dataDxfId="645"/>
    <tableColumn id="2" xr3:uid="{8966C5C5-FED4-495B-926E-381D2779145A}" name="ADDA Matteo" dataDxfId="644"/>
    <tableColumn id="3" xr3:uid="{3763E8E7-06B8-4D7E-B2F7-2C763CFB0881}" name="ALFONSO Joao" dataDxfId="643"/>
    <tableColumn id="4" xr3:uid="{A6FCE6B4-AE7F-448D-8F27-800AFAD42C4A}" name="BERDAH Matis" dataDxfId="642"/>
    <tableColumn id="5" xr3:uid="{81C6FFE3-6D2B-4EE4-B7F5-033BA3879037}" name="CAMARA Bandiougou" dataDxfId="641"/>
    <tableColumn id="6" xr3:uid="{6B4F1A0C-2AD9-4E29-9626-094890D9AC3E}" name="CAMARA Moussa" dataDxfId="640"/>
    <tableColumn id="7" xr3:uid="{3E6C28C3-7E2F-425F-8B95-E316F0EA08ED}" name="CARREAU Ethan" dataDxfId="639"/>
    <tableColumn id="8" xr3:uid="{0D51BAB1-3EC9-4D23-B069-1C048A2A391C}" name="CHEROD Alexis" dataDxfId="638"/>
    <tableColumn id="9" xr3:uid="{4A34040C-FF59-43BF-99E6-A267E8C5EDDC}" name="DJEHICHE Ramzi" dataDxfId="637"/>
    <tableColumn id="10" xr3:uid="{0CDEE3D8-E25E-4567-A390-B27F98644EB6}" name="DOSIERE Baptiste" dataDxfId="636"/>
    <tableColumn id="11" xr3:uid="{A04BE7F5-1D20-4AAB-BA61-AC679EE993E1}" name="DUQUENOY Thomas" dataDxfId="635"/>
    <tableColumn id="12" xr3:uid="{163B82D6-DE5A-4F33-872B-A29A95F16F04}" name="KIPRE Jordan" dataDxfId="634"/>
    <tableColumn id="13" xr3:uid="{C8DBF6F0-BEEA-4C00-9D20-0D70825AD42D}" name="KONATE Mamadou" dataDxfId="633"/>
    <tableColumn id="14" xr3:uid="{E0E5999A-E49C-4D66-8759-D6B922C0397C}" name="LECOUFFE Hugo" dataDxfId="632"/>
    <tableColumn id="15" xr3:uid="{4B4C4699-0919-423B-9FE3-3B02E4F3A676}" name="LEFRANC Nathan" dataDxfId="631"/>
    <tableColumn id="16" xr3:uid="{53DF3232-1510-4994-905B-E8EDF0286A7C}" name="MASSOUSSI Elie" dataDxfId="630"/>
    <tableColumn id="17" xr3:uid="{0DB4F4E2-597C-4936-9101-820DA7B7EC15}" name="NGOUABI Yoann" dataDxfId="629"/>
    <tableColumn id="18" xr3:uid="{BC7435BF-32EB-4342-999F-F59F1FD94E0F}" name="PLANET Mathis" dataDxfId="628"/>
    <tableColumn id="19" xr3:uid="{33C6E5C7-E726-4E63-9061-F5273D5D0AE9}" name="PRONNIER Nicolas" dataDxfId="627"/>
    <tableColumn id="20" xr3:uid="{32A81047-852D-4D03-BDFC-353502BA0F67}" name="STIOUET Reda" dataDxfId="626"/>
    <tableColumn id="21" xr3:uid="{83514A6B-532D-4D5F-9036-FB1B7866C8CE}" name="ZERDEB Said" dataDxfId="625"/>
    <tableColumn id="22" xr3:uid="{F6AE44B9-42C8-4D45-BD3A-4FEF41708F01}" name="OSSENI Farouk" dataDxfId="624"/>
    <tableColumn id="23" xr3:uid="{C87D36B2-E257-411D-8941-22E8EC903A8C}" name="J22" dataDxfId="623"/>
    <tableColumn id="24" xr3:uid="{3EC9FD1C-CE78-45AC-97DD-27871F6D51E1}" name="J23" dataDxfId="622"/>
    <tableColumn id="25" xr3:uid="{CF7C6657-8ACB-49CF-9450-A439E23ECF37}" name="J24" dataDxfId="621"/>
    <tableColumn id="26" xr3:uid="{D591CAE0-9CD4-4A10-AFCF-90F95E6CF3CB}" name="J25" dataDxfId="620"/>
    <tableColumn id="27" xr3:uid="{50A92F88-4247-4D59-9361-FD686C8457A7}" name="J26" dataDxfId="619"/>
    <tableColumn id="28" xr3:uid="{F44936C8-9A0A-472D-B47F-9CAA5E4BCB45}" name="J27" dataDxfId="618"/>
    <tableColumn id="29" xr3:uid="{38372696-53FC-44A3-BC5B-F752E76D897F}" name="J28" dataDxfId="617"/>
    <tableColumn id="30" xr3:uid="{5A291756-406E-450B-9D5F-EFA46D9316EF}" name="J29" dataDxfId="616"/>
    <tableColumn id="31" xr3:uid="{A013645B-F1E9-4B3E-A5DF-602BD84DC788}" name="J30" dataDxfId="615"/>
  </tableColumns>
  <tableStyleInfo name="Summary Table" showFirstColumn="0" showLastColumn="0" showRowStripes="1" showColumnStripes="0"/>
</table>
</file>

<file path=xl/tables/table3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7" xr:uid="{00000000-000C-0000-FFFF-FFFF02000000}" name="TabForme" displayName="TabForme" ref="B18:AI150" totalsRowCount="1" headerRowDxfId="614" dataDxfId="613" totalsRowDxfId="612">
  <autoFilter ref="B18:AI149" xr:uid="{00000000-0009-0000-0100-000011000000}"/>
  <tableColumns count="34">
    <tableColumn id="1" xr3:uid="{00000000-0010-0000-0200-000001000000}" name="Date" dataDxfId="611" totalsRowDxfId="610">
      <calculatedColumnFormula>IF(INDEX(TabEntrainement[Seance],ROW()-18)&lt;&gt;0,INDEX(TabEntrainement[Seance],ROW()-18),"")</calculatedColumnFormula>
    </tableColumn>
    <tableColumn id="2" xr3:uid="{00000000-0010-0000-0200-000002000000}" name="J1" totalsRowFunction="average" dataDxfId="609" totalsRowDxfId="608"/>
    <tableColumn id="19" xr3:uid="{00000000-0010-0000-0200-000013000000}" name="J2" totalsRowFunction="average" dataDxfId="607" totalsRowDxfId="606"/>
    <tableColumn id="20" xr3:uid="{00000000-0010-0000-0200-000014000000}" name="J3" totalsRowFunction="average" dataDxfId="605" totalsRowDxfId="604"/>
    <tableColumn id="21" xr3:uid="{00000000-0010-0000-0200-000015000000}" name="J4" totalsRowFunction="average" dataDxfId="603" totalsRowDxfId="602"/>
    <tableColumn id="22" xr3:uid="{00000000-0010-0000-0200-000016000000}" name="J5" totalsRowFunction="average" dataDxfId="601" totalsRowDxfId="600"/>
    <tableColumn id="23" xr3:uid="{00000000-0010-0000-0200-000017000000}" name="J6" totalsRowFunction="average" dataDxfId="599" totalsRowDxfId="598"/>
    <tableColumn id="24" xr3:uid="{00000000-0010-0000-0200-000018000000}" name="J7" totalsRowFunction="average" dataDxfId="597" totalsRowDxfId="596"/>
    <tableColumn id="25" xr3:uid="{00000000-0010-0000-0200-000019000000}" name="J8" totalsRowFunction="average" dataDxfId="595" totalsRowDxfId="594"/>
    <tableColumn id="26" xr3:uid="{00000000-0010-0000-0200-00001A000000}" name="J9" totalsRowFunction="average" dataDxfId="593" totalsRowDxfId="592"/>
    <tableColumn id="27" xr3:uid="{00000000-0010-0000-0200-00001B000000}" name="J10" totalsRowFunction="average" dataDxfId="591" totalsRowDxfId="590"/>
    <tableColumn id="28" xr3:uid="{00000000-0010-0000-0200-00001C000000}" name="J11" totalsRowFunction="average" dataDxfId="589" totalsRowDxfId="588"/>
    <tableColumn id="29" xr3:uid="{00000000-0010-0000-0200-00001D000000}" name="J12" totalsRowFunction="average" dataDxfId="587" totalsRowDxfId="586"/>
    <tableColumn id="3" xr3:uid="{00000000-0010-0000-0200-000003000000}" name="J13" totalsRowFunction="average" dataDxfId="585" totalsRowDxfId="584">
      <calculatedColumnFormula>'Fiche joueur'!F12</calculatedColumnFormula>
    </tableColumn>
    <tableColumn id="4" xr3:uid="{00000000-0010-0000-0200-000004000000}" name="J14" totalsRowFunction="average" dataDxfId="583" totalsRowDxfId="582">
      <calculatedColumnFormula>#REF!</calculatedColumnFormula>
    </tableColumn>
    <tableColumn id="5" xr3:uid="{00000000-0010-0000-0200-000005000000}" name="J15" totalsRowFunction="average" dataDxfId="581" totalsRowDxfId="580">
      <calculatedColumnFormula>#REF!</calculatedColumnFormula>
    </tableColumn>
    <tableColumn id="6" xr3:uid="{00000000-0010-0000-0200-000006000000}" name="J16" totalsRowFunction="average" dataDxfId="579" totalsRowDxfId="578">
      <calculatedColumnFormula>#REF!</calculatedColumnFormula>
    </tableColumn>
    <tableColumn id="30" xr3:uid="{00000000-0010-0000-0200-00001E000000}" name="J17" totalsRowFunction="average" dataDxfId="577" totalsRowDxfId="576"/>
    <tableColumn id="31" xr3:uid="{00000000-0010-0000-0200-00001F000000}" name="J18" totalsRowFunction="average" dataDxfId="575" totalsRowDxfId="574"/>
    <tableColumn id="32" xr3:uid="{00000000-0010-0000-0200-000020000000}" name="J19" totalsRowFunction="average" dataDxfId="573" totalsRowDxfId="572"/>
    <tableColumn id="33" xr3:uid="{00000000-0010-0000-0200-000021000000}" name="J20" totalsRowFunction="average" dataDxfId="571" totalsRowDxfId="570"/>
    <tableColumn id="34" xr3:uid="{00000000-0010-0000-0200-000022000000}" name="J21" totalsRowFunction="average" dataDxfId="569" totalsRowDxfId="568"/>
    <tableColumn id="35" xr3:uid="{00000000-0010-0000-0200-000023000000}" name="J22" totalsRowFunction="average" dataDxfId="567" totalsRowDxfId="566"/>
    <tableColumn id="36" xr3:uid="{00000000-0010-0000-0200-000024000000}" name="J23" totalsRowFunction="average" dataDxfId="565" totalsRowDxfId="564"/>
    <tableColumn id="7" xr3:uid="{00000000-0010-0000-0200-000007000000}" name="J24" totalsRowFunction="average" dataDxfId="563" totalsRowDxfId="562">
      <calculatedColumnFormula>#REF!</calculatedColumnFormula>
    </tableColumn>
    <tableColumn id="8" xr3:uid="{00000000-0010-0000-0200-000008000000}" name="J25" totalsRowFunction="average" dataDxfId="561" totalsRowDxfId="560">
      <calculatedColumnFormula>#REF!</calculatedColumnFormula>
    </tableColumn>
    <tableColumn id="9" xr3:uid="{00000000-0010-0000-0200-000009000000}" name="J26" totalsRowFunction="average" dataDxfId="559" totalsRowDxfId="558">
      <calculatedColumnFormula>#REF!</calculatedColumnFormula>
    </tableColumn>
    <tableColumn id="10" xr3:uid="{00000000-0010-0000-0200-00000A000000}" name="J27" totalsRowFunction="average" dataDxfId="557" totalsRowDxfId="556">
      <calculatedColumnFormula>#REF!</calculatedColumnFormula>
    </tableColumn>
    <tableColumn id="11" xr3:uid="{00000000-0010-0000-0200-00000B000000}" name="J28" totalsRowFunction="average" dataDxfId="555" totalsRowDxfId="554">
      <calculatedColumnFormula>#REF!</calculatedColumnFormula>
    </tableColumn>
    <tableColumn id="12" xr3:uid="{00000000-0010-0000-0200-00000C000000}" name="J29" totalsRowFunction="average" dataDxfId="553" totalsRowDxfId="552">
      <calculatedColumnFormula>#REF!</calculatedColumnFormula>
    </tableColumn>
    <tableColumn id="13" xr3:uid="{00000000-0010-0000-0200-00000D000000}" name="J30" totalsRowFunction="average" dataDxfId="551" totalsRowDxfId="550">
      <calculatedColumnFormula>#REF!</calculatedColumnFormula>
    </tableColumn>
    <tableColumn id="37" xr3:uid="{00000000-0010-0000-0200-000025000000}" name="Moyenne" dataDxfId="549" totalsRowDxfId="548">
      <calculatedColumnFormula>IF(COUNTA(TabForme[[#This Row],[J1]:[J30]])&lt;&gt;0,AVERAGE(TabForme[[#This Row],[J1]:[J30]]),"")</calculatedColumnFormula>
    </tableColumn>
    <tableColumn id="38" xr3:uid="{00000000-0010-0000-0200-000026000000}" name="Ressenti" dataDxfId="547" totalsRowDxfId="546">
      <calculatedColumnFormula>TabForme[[#This Row],[Moyenne]]</calculatedColumnFormula>
    </tableColumn>
    <tableColumn id="39" xr3:uid="{00000000-0010-0000-0200-000027000000}" name="Tendance" dataDxfId="545" totalsRowDxfId="544"/>
  </tableColumns>
  <tableStyleInfo name="Summary Table" showFirstColumn="0" showLastColumn="0" showRowStripes="0" showColumnStripes="1"/>
  <extLst>
    <ext xmlns:x14="http://schemas.microsoft.com/office/spreadsheetml/2009/9/main" uri="{504A1905-F514-4f6f-8877-14C23A59335A}">
      <x14:table altText="Tableau Tendances des dépenses" altTextSummary="Le tableau répertorie le total des dépenses mensuelles par catégorie pour chaque mois d’une année, à commencer par janvier. Le tableau est mis en forme de telle sorte qu’il est aligné verticalement avec un graphique situé directement au-dessus. Ainsi, chaque mois du tableau est aligné avec chaque regroupement de mois dans le graphique."/>
    </ext>
  </extLst>
</table>
</file>

<file path=xl/tables/table3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 xr:uid="{00000000-000C-0000-FFFF-FFFF05000000}" name="TabREP" displayName="TabREP" ref="B18:AI150" totalsRowCount="1" headerRowDxfId="543" dataDxfId="542" totalsRowDxfId="541">
  <autoFilter ref="B18:AI149" xr:uid="{00000000-0009-0000-0100-000008000000}"/>
  <tableColumns count="34">
    <tableColumn id="1" xr3:uid="{00000000-0010-0000-0500-000001000000}" name="Date" dataDxfId="540" totalsRowDxfId="539">
      <calculatedColumnFormula>IF(INDEX(TabEntrainement[Seance],ROW()-18)&lt;&gt;0,INDEX(TabEntrainement[Seance],ROW()-18),"")</calculatedColumnFormula>
    </tableColumn>
    <tableColumn id="2" xr3:uid="{00000000-0010-0000-0500-000002000000}" name="J1" totalsRowFunction="average" dataDxfId="538" totalsRowDxfId="537"/>
    <tableColumn id="19" xr3:uid="{00000000-0010-0000-0500-000013000000}" name="J2" totalsRowFunction="average" dataDxfId="536" totalsRowDxfId="535"/>
    <tableColumn id="20" xr3:uid="{00000000-0010-0000-0500-000014000000}" name="J3" totalsRowFunction="average" dataDxfId="534" totalsRowDxfId="533"/>
    <tableColumn id="21" xr3:uid="{00000000-0010-0000-0500-000015000000}" name="J4" totalsRowFunction="average" dataDxfId="532" totalsRowDxfId="531"/>
    <tableColumn id="22" xr3:uid="{00000000-0010-0000-0500-000016000000}" name="J5" totalsRowFunction="average" dataDxfId="530" totalsRowDxfId="529"/>
    <tableColumn id="23" xr3:uid="{00000000-0010-0000-0500-000017000000}" name="J6" totalsRowFunction="average" dataDxfId="528" totalsRowDxfId="527"/>
    <tableColumn id="24" xr3:uid="{00000000-0010-0000-0500-000018000000}" name="J7" totalsRowFunction="average" dataDxfId="526" totalsRowDxfId="525"/>
    <tableColumn id="25" xr3:uid="{00000000-0010-0000-0500-000019000000}" name="J8" totalsRowFunction="average" dataDxfId="524" totalsRowDxfId="523"/>
    <tableColumn id="26" xr3:uid="{00000000-0010-0000-0500-00001A000000}" name="J9" totalsRowFunction="average" dataDxfId="522" totalsRowDxfId="521"/>
    <tableColumn id="27" xr3:uid="{00000000-0010-0000-0500-00001B000000}" name="J10" totalsRowFunction="average" dataDxfId="520" totalsRowDxfId="519"/>
    <tableColumn id="28" xr3:uid="{00000000-0010-0000-0500-00001C000000}" name="J11" totalsRowFunction="average" dataDxfId="518" totalsRowDxfId="517"/>
    <tableColumn id="29" xr3:uid="{00000000-0010-0000-0500-00001D000000}" name="J12" totalsRowFunction="average" dataDxfId="516" totalsRowDxfId="515"/>
    <tableColumn id="3" xr3:uid="{00000000-0010-0000-0500-000003000000}" name="J13" totalsRowFunction="average" dataDxfId="514" totalsRowDxfId="513">
      <calculatedColumnFormula>'Fiche joueur'!F12</calculatedColumnFormula>
    </tableColumn>
    <tableColumn id="4" xr3:uid="{00000000-0010-0000-0500-000004000000}" name="J14" totalsRowFunction="average" dataDxfId="512" totalsRowDxfId="511">
      <calculatedColumnFormula>#REF!</calculatedColumnFormula>
    </tableColumn>
    <tableColumn id="5" xr3:uid="{00000000-0010-0000-0500-000005000000}" name="J15" totalsRowFunction="average" dataDxfId="510" totalsRowDxfId="509">
      <calculatedColumnFormula>#REF!</calculatedColumnFormula>
    </tableColumn>
    <tableColumn id="6" xr3:uid="{00000000-0010-0000-0500-000006000000}" name="J16" totalsRowFunction="average" dataDxfId="508" totalsRowDxfId="507">
      <calculatedColumnFormula>#REF!</calculatedColumnFormula>
    </tableColumn>
    <tableColumn id="30" xr3:uid="{00000000-0010-0000-0500-00001E000000}" name="J17" totalsRowFunction="average" dataDxfId="506" totalsRowDxfId="505"/>
    <tableColumn id="31" xr3:uid="{00000000-0010-0000-0500-00001F000000}" name="J18" totalsRowFunction="average" dataDxfId="504" totalsRowDxfId="503"/>
    <tableColumn id="32" xr3:uid="{00000000-0010-0000-0500-000020000000}" name="J19" totalsRowFunction="average" dataDxfId="502" totalsRowDxfId="501"/>
    <tableColumn id="33" xr3:uid="{00000000-0010-0000-0500-000021000000}" name="J20" totalsRowFunction="average" dataDxfId="500" totalsRowDxfId="499"/>
    <tableColumn id="34" xr3:uid="{00000000-0010-0000-0500-000022000000}" name="J21" totalsRowFunction="average" dataDxfId="498" totalsRowDxfId="497"/>
    <tableColumn id="35" xr3:uid="{00000000-0010-0000-0500-000023000000}" name="J22" totalsRowFunction="average" dataDxfId="496" totalsRowDxfId="495"/>
    <tableColumn id="36" xr3:uid="{00000000-0010-0000-0500-000024000000}" name="J23" totalsRowFunction="average" dataDxfId="494" totalsRowDxfId="493"/>
    <tableColumn id="7" xr3:uid="{00000000-0010-0000-0500-000007000000}" name="J24" totalsRowFunction="average" dataDxfId="492" totalsRowDxfId="491">
      <calculatedColumnFormula>#REF!</calculatedColumnFormula>
    </tableColumn>
    <tableColumn id="8" xr3:uid="{00000000-0010-0000-0500-000008000000}" name="J25" totalsRowFunction="average" dataDxfId="490" totalsRowDxfId="489">
      <calculatedColumnFormula>#REF!</calculatedColumnFormula>
    </tableColumn>
    <tableColumn id="9" xr3:uid="{00000000-0010-0000-0500-000009000000}" name="J26" totalsRowFunction="average" dataDxfId="488" totalsRowDxfId="487">
      <calculatedColumnFormula>#REF!</calculatedColumnFormula>
    </tableColumn>
    <tableColumn id="10" xr3:uid="{00000000-0010-0000-0500-00000A000000}" name="J27" totalsRowFunction="average" dataDxfId="486" totalsRowDxfId="485">
      <calculatedColumnFormula>#REF!</calculatedColumnFormula>
    </tableColumn>
    <tableColumn id="11" xr3:uid="{00000000-0010-0000-0500-00000B000000}" name="J28" totalsRowFunction="average" dataDxfId="484" totalsRowDxfId="483">
      <calculatedColumnFormula>#REF!</calculatedColumnFormula>
    </tableColumn>
    <tableColumn id="12" xr3:uid="{00000000-0010-0000-0500-00000C000000}" name="J29" totalsRowFunction="average" dataDxfId="482" totalsRowDxfId="481">
      <calculatedColumnFormula>#REF!</calculatedColumnFormula>
    </tableColumn>
    <tableColumn id="13" xr3:uid="{00000000-0010-0000-0500-00000D000000}" name="J30" totalsRowFunction="average" dataDxfId="480" totalsRowDxfId="479">
      <calculatedColumnFormula>#REF!</calculatedColumnFormula>
    </tableColumn>
    <tableColumn id="37" xr3:uid="{00000000-0010-0000-0500-000025000000}" name="Moyenne" dataDxfId="478" totalsRowDxfId="477">
      <calculatedColumnFormula>IF(COUNTA(TabREP[[#This Row],[J1]:[J30]])&lt;&gt;0,AVERAGE(TabREP[[#This Row],[J1]:[J30]]),"")</calculatedColumnFormula>
    </tableColumn>
    <tableColumn id="38" xr3:uid="{00000000-0010-0000-0500-000026000000}" name="Ressenti" dataDxfId="476" totalsRowDxfId="475">
      <calculatedColumnFormula>TabREP[[#This Row],[Moyenne]]</calculatedColumnFormula>
    </tableColumn>
    <tableColumn id="39" xr3:uid="{00000000-0010-0000-0500-000027000000}" name="Tendance" dataDxfId="474" totalsRowDxfId="473"/>
  </tableColumns>
  <tableStyleInfo name="Summary Table" showFirstColumn="0" showLastColumn="0" showRowStripes="0" showColumnStripes="1"/>
  <extLst>
    <ext xmlns:x14="http://schemas.microsoft.com/office/spreadsheetml/2009/9/main" uri="{504A1905-F514-4f6f-8877-14C23A59335A}">
      <x14:table altText="Tableau Tendances des dépenses" altTextSummary="Le tableau répertorie le total des dépenses mensuelles par catégorie pour chaque mois d’une année, à commencer par janvier. Le tableau est mis en forme de telle sorte qu’il est aligné verticalement avec un graphique situé directement au-dessus. Ainsi, chaque mois du tableau est aligné avec chaque regroupement de mois dans le graphique."/>
    </ext>
  </extLst>
</table>
</file>

<file path=xl/tables/table3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323DE81E-A2A9-4AF2-A9AC-7736CE3BED10}" name="TabVictoire" displayName="TabVictoire" ref="B6:AF138" totalsRowCount="1" headerRowDxfId="472" dataDxfId="471" totalsRowDxfId="470">
  <autoFilter ref="B6:AF137" xr:uid="{0975D46F-6933-4508-8046-6583E8250115}"/>
  <tableColumns count="31">
    <tableColumn id="1" xr3:uid="{C0179632-3E08-4428-8CE7-0F53967EE3C2}" name="Date" dataDxfId="469" totalsRowDxfId="468">
      <calculatedColumnFormula>IF(TabEntrainement[[#This Row],[Seance]]="","",TabEntrainement[[#This Row],[Seance]])</calculatedColumnFormula>
    </tableColumn>
    <tableColumn id="2" xr3:uid="{5B7EEBD2-B84D-4072-834C-3C004C120AA9}" name="J1" totalsRowFunction="sum" dataDxfId="467" totalsRowDxfId="466"/>
    <tableColumn id="19" xr3:uid="{CC7A0C40-5B57-4D58-ABE6-3F8F85B57F3A}" name="J2" totalsRowFunction="sum" dataDxfId="465" totalsRowDxfId="464"/>
    <tableColumn id="20" xr3:uid="{B4A05E75-A123-42D1-AF29-AB54D4C59A00}" name="J3" totalsRowFunction="sum" dataDxfId="463" totalsRowDxfId="462"/>
    <tableColumn id="21" xr3:uid="{C39AAEAF-C914-4EED-8B37-78F5E181E833}" name="J4" totalsRowFunction="sum" dataDxfId="461" totalsRowDxfId="460"/>
    <tableColumn id="22" xr3:uid="{5978C9D6-080C-46F5-81F0-CE94E7BB4DE9}" name="J5" totalsRowFunction="sum" dataDxfId="459" totalsRowDxfId="458"/>
    <tableColumn id="23" xr3:uid="{0730B903-5FB3-4DBF-8484-C29956F662C3}" name="J6" totalsRowFunction="sum" dataDxfId="457" totalsRowDxfId="456"/>
    <tableColumn id="24" xr3:uid="{648E9F54-D71E-47BA-9DED-B1B88337586E}" name="J7" totalsRowFunction="sum" dataDxfId="455" totalsRowDxfId="454"/>
    <tableColumn id="25" xr3:uid="{EA582FFA-1A2E-4002-ABB8-583A69D0F675}" name="J8" totalsRowFunction="sum" dataDxfId="453" totalsRowDxfId="452"/>
    <tableColumn id="26" xr3:uid="{C2B349E0-6A7B-4C0D-B5FA-E1EE0A6AEDFD}" name="J9" totalsRowFunction="sum" dataDxfId="451" totalsRowDxfId="450"/>
    <tableColumn id="27" xr3:uid="{375859FE-B6AB-43D5-A3D8-70EBC67D252E}" name="J10" totalsRowFunction="sum" dataDxfId="449" totalsRowDxfId="448"/>
    <tableColumn id="28" xr3:uid="{AA8C6D44-C438-4EBC-919D-AE620933555A}" name="J11" totalsRowFunction="sum" dataDxfId="447" totalsRowDxfId="446"/>
    <tableColumn id="29" xr3:uid="{71C41F02-E0AE-498B-A831-32307AD5B7AF}" name="J12" totalsRowFunction="sum" dataDxfId="445" totalsRowDxfId="444"/>
    <tableColumn id="3" xr3:uid="{3AEADF8B-8DB6-437B-99E3-CE084382901A}" name="J13" totalsRowFunction="sum" dataDxfId="443" totalsRowDxfId="442"/>
    <tableColumn id="4" xr3:uid="{64CE159F-2659-4C06-8614-16B1AABB75F4}" name="J14" totalsRowFunction="sum" dataDxfId="441" totalsRowDxfId="440"/>
    <tableColumn id="5" xr3:uid="{DD620415-A81A-4B15-B5D3-D3664733C28F}" name="J15" totalsRowFunction="sum" dataDxfId="439" totalsRowDxfId="438"/>
    <tableColumn id="6" xr3:uid="{47EC87FD-ECDC-460C-9A68-DC984EE051E4}" name="J16" totalsRowFunction="sum" dataDxfId="437" totalsRowDxfId="436"/>
    <tableColumn id="30" xr3:uid="{3117E636-C192-459C-8743-1B328205964F}" name="J17" totalsRowFunction="sum" dataDxfId="435" totalsRowDxfId="434"/>
    <tableColumn id="31" xr3:uid="{843848E9-8B45-4FDD-92C8-1D28FB1AFF89}" name="J18" totalsRowFunction="sum" dataDxfId="433" totalsRowDxfId="432"/>
    <tableColumn id="32" xr3:uid="{F8D19CAD-EEBA-49C2-9528-A66D80AFB16B}" name="J19" totalsRowFunction="sum" dataDxfId="431" totalsRowDxfId="430"/>
    <tableColumn id="33" xr3:uid="{0CCE6FBE-3B53-4842-92B6-10BDEB799AF5}" name="J20" totalsRowFunction="sum" dataDxfId="429" totalsRowDxfId="428"/>
    <tableColumn id="34" xr3:uid="{504F48F8-E0AE-4C79-BD65-31A491B2BD23}" name="J21" totalsRowFunction="sum" dataDxfId="427" totalsRowDxfId="426"/>
    <tableColumn id="35" xr3:uid="{E955167E-5AD6-4377-8608-676E14FB9A05}" name="J22" totalsRowFunction="sum" dataDxfId="425" totalsRowDxfId="424"/>
    <tableColumn id="36" xr3:uid="{E9E38400-50F0-4F02-BE6C-53F06C873D98}" name="J23" totalsRowFunction="sum" dataDxfId="423" totalsRowDxfId="422"/>
    <tableColumn id="7" xr3:uid="{DD8EFBED-E242-4142-A4C2-F153C781E933}" name="J24" totalsRowFunction="sum" dataDxfId="421" totalsRowDxfId="420"/>
    <tableColumn id="8" xr3:uid="{B8CC1723-B0C3-4AA5-8E21-021B536F561D}" name="J25" totalsRowFunction="sum" dataDxfId="419" totalsRowDxfId="418"/>
    <tableColumn id="9" xr3:uid="{4F16ABC0-848B-4D47-94AB-F0BF74D0EE09}" name="J26" totalsRowFunction="sum" dataDxfId="417" totalsRowDxfId="416"/>
    <tableColumn id="10" xr3:uid="{30695FF4-0BFC-4FF5-8CDF-D22756DEFB4B}" name="J27" totalsRowFunction="sum" dataDxfId="415" totalsRowDxfId="414"/>
    <tableColumn id="11" xr3:uid="{BAFBA3E2-C9CC-4E01-8171-44E187B54BE7}" name="J28" totalsRowFunction="sum" dataDxfId="413" totalsRowDxfId="412"/>
    <tableColumn id="12" xr3:uid="{F9AABB8E-89CF-42DD-B97E-1B01738CCDD2}" name="J29" totalsRowFunction="sum" dataDxfId="411" totalsRowDxfId="410"/>
    <tableColumn id="13" xr3:uid="{2991E50E-5249-45A9-8D8C-74811DC79DBA}" name="J30" totalsRowFunction="sum" dataDxfId="409" totalsRowDxfId="408"/>
  </tableColumns>
  <tableStyleInfo name="Summary Table" showFirstColumn="0" showLastColumn="0" showRowStripes="0" showColumnStripes="1"/>
  <extLst>
    <ext xmlns:x14="http://schemas.microsoft.com/office/spreadsheetml/2009/9/main" uri="{504A1905-F514-4f6f-8877-14C23A59335A}">
      <x14:table altText="Tableau Tendances des dépenses" altTextSummary="Le tableau répertorie le total des dépenses mensuelles par catégorie pour chaque mois d’une année, à commencer par janvier. Le tableau est mis en forme de telle sorte qu’il est aligné verticalement avec un graphique situé directement au-dessus. Ainsi, chaque mois du tableau est aligné avec chaque regroupement de mois dans le graphique."/>
    </ext>
  </extLst>
</table>
</file>

<file path=xl/tables/table3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8" xr:uid="{00000000-000C-0000-FFFF-FFFF03000000}" name="TabPlaisir" displayName="TabPlaisir" ref="B18:AI150" totalsRowCount="1" headerRowDxfId="407" dataDxfId="406" totalsRowDxfId="405">
  <autoFilter ref="B18:AI149" xr:uid="{00000000-0009-0000-0100-000012000000}"/>
  <tableColumns count="34">
    <tableColumn id="1" xr3:uid="{00000000-0010-0000-0300-000001000000}" name="Date" dataDxfId="404" totalsRowDxfId="403">
      <calculatedColumnFormula>IF(INDEX(TabEntrainement[Seance],ROW()-18)&lt;&gt;0,INDEX(TabEntrainement[Seance],ROW()-18),"")</calculatedColumnFormula>
    </tableColumn>
    <tableColumn id="2" xr3:uid="{00000000-0010-0000-0300-000002000000}" name="J1" totalsRowFunction="average" dataDxfId="402" totalsRowDxfId="401"/>
    <tableColumn id="19" xr3:uid="{00000000-0010-0000-0300-000013000000}" name="J2" totalsRowFunction="average" dataDxfId="400" totalsRowDxfId="399"/>
    <tableColumn id="20" xr3:uid="{00000000-0010-0000-0300-000014000000}" name="J3" totalsRowFunction="average" dataDxfId="398" totalsRowDxfId="397"/>
    <tableColumn id="21" xr3:uid="{00000000-0010-0000-0300-000015000000}" name="J4" totalsRowFunction="average" dataDxfId="396" totalsRowDxfId="395"/>
    <tableColumn id="22" xr3:uid="{00000000-0010-0000-0300-000016000000}" name="J5" totalsRowFunction="average" dataDxfId="394" totalsRowDxfId="393"/>
    <tableColumn id="23" xr3:uid="{00000000-0010-0000-0300-000017000000}" name="J6" totalsRowFunction="average" dataDxfId="392" totalsRowDxfId="391"/>
    <tableColumn id="24" xr3:uid="{00000000-0010-0000-0300-000018000000}" name="J7" totalsRowFunction="average" dataDxfId="390" totalsRowDxfId="389"/>
    <tableColumn id="25" xr3:uid="{00000000-0010-0000-0300-000019000000}" name="J8" totalsRowFunction="average" dataDxfId="388" totalsRowDxfId="387"/>
    <tableColumn id="26" xr3:uid="{00000000-0010-0000-0300-00001A000000}" name="J9" totalsRowFunction="average" dataDxfId="386" totalsRowDxfId="385"/>
    <tableColumn id="27" xr3:uid="{00000000-0010-0000-0300-00001B000000}" name="J10" totalsRowFunction="average" dataDxfId="384" totalsRowDxfId="383"/>
    <tableColumn id="28" xr3:uid="{00000000-0010-0000-0300-00001C000000}" name="J11" totalsRowFunction="average" dataDxfId="382" totalsRowDxfId="381"/>
    <tableColumn id="29" xr3:uid="{00000000-0010-0000-0300-00001D000000}" name="J12" totalsRowFunction="average" dataDxfId="380" totalsRowDxfId="379"/>
    <tableColumn id="3" xr3:uid="{00000000-0010-0000-0300-000003000000}" name="J13" totalsRowFunction="average" dataDxfId="378" totalsRowDxfId="377">
      <calculatedColumnFormula>'Fiche joueur'!F12</calculatedColumnFormula>
    </tableColumn>
    <tableColumn id="4" xr3:uid="{00000000-0010-0000-0300-000004000000}" name="J14" totalsRowFunction="average" dataDxfId="376" totalsRowDxfId="375">
      <calculatedColumnFormula>#REF!</calculatedColumnFormula>
    </tableColumn>
    <tableColumn id="5" xr3:uid="{00000000-0010-0000-0300-000005000000}" name="J15" totalsRowFunction="average" dataDxfId="374" totalsRowDxfId="373">
      <calculatedColumnFormula>#REF!</calculatedColumnFormula>
    </tableColumn>
    <tableColumn id="6" xr3:uid="{00000000-0010-0000-0300-000006000000}" name="J16" totalsRowFunction="average" dataDxfId="372" totalsRowDxfId="371">
      <calculatedColumnFormula>#REF!</calculatedColumnFormula>
    </tableColumn>
    <tableColumn id="30" xr3:uid="{00000000-0010-0000-0300-00001E000000}" name="J17" totalsRowFunction="average" dataDxfId="370" totalsRowDxfId="369"/>
    <tableColumn id="31" xr3:uid="{00000000-0010-0000-0300-00001F000000}" name="J18" totalsRowFunction="average" dataDxfId="368" totalsRowDxfId="367"/>
    <tableColumn id="32" xr3:uid="{00000000-0010-0000-0300-000020000000}" name="J19" totalsRowFunction="average" dataDxfId="366" totalsRowDxfId="365"/>
    <tableColumn id="33" xr3:uid="{00000000-0010-0000-0300-000021000000}" name="J20" totalsRowFunction="average" dataDxfId="364" totalsRowDxfId="363"/>
    <tableColumn id="34" xr3:uid="{00000000-0010-0000-0300-000022000000}" name="J21" totalsRowFunction="custom" dataDxfId="362" totalsRowDxfId="361">
      <totalsRowFormula>SUBTOTAL(101,TabPlaisir[J2])</totalsRowFormula>
    </tableColumn>
    <tableColumn id="35" xr3:uid="{00000000-0010-0000-0300-000023000000}" name="J22" totalsRowFunction="custom" dataDxfId="360" totalsRowDxfId="359">
      <totalsRowFormula>SUBTOTAL(101,TabPlaisir[J3])</totalsRowFormula>
    </tableColumn>
    <tableColumn id="36" xr3:uid="{00000000-0010-0000-0300-000024000000}" name="J23" totalsRowFunction="custom" dataDxfId="358" totalsRowDxfId="357">
      <totalsRowFormula>SUBTOTAL(101,TabPlaisir[J4])</totalsRowFormula>
    </tableColumn>
    <tableColumn id="7" xr3:uid="{00000000-0010-0000-0300-000007000000}" name="J24" totalsRowFunction="custom" dataDxfId="356" totalsRowDxfId="355">
      <calculatedColumnFormula>#REF!</calculatedColumnFormula>
      <totalsRowFormula>SUBTOTAL(101,TabPlaisir[J5])</totalsRowFormula>
    </tableColumn>
    <tableColumn id="8" xr3:uid="{00000000-0010-0000-0300-000008000000}" name="J25" totalsRowFunction="custom" dataDxfId="354" totalsRowDxfId="353">
      <calculatedColumnFormula>#REF!</calculatedColumnFormula>
      <totalsRowFormula>SUBTOTAL(101,TabPlaisir[J6])</totalsRowFormula>
    </tableColumn>
    <tableColumn id="9" xr3:uid="{00000000-0010-0000-0300-000009000000}" name="J26" totalsRowFunction="custom" dataDxfId="352" totalsRowDxfId="351">
      <calculatedColumnFormula>#REF!</calculatedColumnFormula>
      <totalsRowFormula>SUBTOTAL(101,TabPlaisir[J7])</totalsRowFormula>
    </tableColumn>
    <tableColumn id="10" xr3:uid="{00000000-0010-0000-0300-00000A000000}" name="J27" totalsRowFunction="custom" dataDxfId="350" totalsRowDxfId="349">
      <calculatedColumnFormula>#REF!</calculatedColumnFormula>
      <totalsRowFormula>SUBTOTAL(101,TabPlaisir[J8])</totalsRowFormula>
    </tableColumn>
    <tableColumn id="11" xr3:uid="{00000000-0010-0000-0300-00000B000000}" name="J28" totalsRowFunction="custom" dataDxfId="348" totalsRowDxfId="347">
      <calculatedColumnFormula>#REF!</calculatedColumnFormula>
      <totalsRowFormula>SUBTOTAL(101,TabPlaisir[J9])</totalsRowFormula>
    </tableColumn>
    <tableColumn id="12" xr3:uid="{00000000-0010-0000-0300-00000C000000}" name="J29" totalsRowFunction="custom" dataDxfId="346" totalsRowDxfId="345">
      <calculatedColumnFormula>#REF!</calculatedColumnFormula>
      <totalsRowFormula>SUBTOTAL(101,TabPlaisir[J10])</totalsRowFormula>
    </tableColumn>
    <tableColumn id="13" xr3:uid="{00000000-0010-0000-0300-00000D000000}" name="J30" totalsRowFunction="custom" dataDxfId="344" totalsRowDxfId="343">
      <calculatedColumnFormula>#REF!</calculatedColumnFormula>
      <totalsRowFormula>SUBTOTAL(101,TabPlaisir[J11])</totalsRowFormula>
    </tableColumn>
    <tableColumn id="37" xr3:uid="{00000000-0010-0000-0300-000025000000}" name="Moyenne" dataDxfId="342" totalsRowDxfId="341">
      <calculatedColumnFormula>IF(COUNTA(TabPlaisir[[#This Row],[J1]:[J30]])&lt;&gt;0,AVERAGE(TabPlaisir[[#This Row],[J1]:[J30]]),"")</calculatedColumnFormula>
    </tableColumn>
    <tableColumn id="38" xr3:uid="{00000000-0010-0000-0300-000026000000}" name="Ressenti" dataDxfId="340" totalsRowDxfId="339">
      <calculatedColumnFormula>TabPlaisir[[#This Row],[Moyenne]]</calculatedColumnFormula>
    </tableColumn>
    <tableColumn id="39" xr3:uid="{00000000-0010-0000-0300-000027000000}" name="Tendance" dataDxfId="338" totalsRowDxfId="337"/>
  </tableColumns>
  <tableStyleInfo name="Summary Table" showFirstColumn="0" showLastColumn="0" showRowStripes="0" showColumnStripes="1"/>
  <extLst>
    <ext xmlns:x14="http://schemas.microsoft.com/office/spreadsheetml/2009/9/main" uri="{504A1905-F514-4f6f-8877-14C23A59335A}">
      <x14:table altText="Tableau Tendances des dépenses" altTextSummary="Le tableau répertorie le total des dépenses mensuelles par catégorie pour chaque mois d’une année, à commencer par janvier. Le tableau est mis en forme de telle sorte qu’il est aligné verticalement avec un graphique situé directement au-dessus. Ainsi, chaque mois du tableau est aligné avec chaque regroupement de mois dans le graphique."/>
    </ext>
  </extLst>
</table>
</file>

<file path=xl/tables/table3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9" xr:uid="{00000000-000C-0000-FFFF-FFFF04000000}" name="TabPerfo" displayName="TabPerfo" ref="B18:AI150" totalsRowCount="1" headerRowDxfId="336" dataDxfId="335" totalsRowDxfId="334">
  <autoFilter ref="B18:AI149" xr:uid="{00000000-0009-0000-0100-000013000000}"/>
  <tableColumns count="34">
    <tableColumn id="1" xr3:uid="{00000000-0010-0000-0400-000001000000}" name="Date" dataDxfId="333" totalsRowDxfId="332">
      <calculatedColumnFormula>IF(INDEX(TabEntrainement[Seance],ROW()-18)&lt;&gt;0,INDEX(TabEntrainement[Seance],ROW()-18),"")</calculatedColumnFormula>
    </tableColumn>
    <tableColumn id="2" xr3:uid="{00000000-0010-0000-0400-000002000000}" name="J1" totalsRowFunction="average" dataDxfId="331" totalsRowDxfId="330"/>
    <tableColumn id="19" xr3:uid="{00000000-0010-0000-0400-000013000000}" name="J2" totalsRowFunction="average" dataDxfId="329" totalsRowDxfId="328"/>
    <tableColumn id="20" xr3:uid="{00000000-0010-0000-0400-000014000000}" name="J3" totalsRowFunction="average" dataDxfId="327" totalsRowDxfId="326"/>
    <tableColumn id="21" xr3:uid="{00000000-0010-0000-0400-000015000000}" name="J4" totalsRowFunction="average" dataDxfId="325" totalsRowDxfId="324"/>
    <tableColumn id="22" xr3:uid="{00000000-0010-0000-0400-000016000000}" name="J5" totalsRowFunction="average" dataDxfId="323" totalsRowDxfId="322"/>
    <tableColumn id="23" xr3:uid="{00000000-0010-0000-0400-000017000000}" name="J6" totalsRowFunction="average" dataDxfId="321" totalsRowDxfId="320"/>
    <tableColumn id="24" xr3:uid="{00000000-0010-0000-0400-000018000000}" name="J7" totalsRowFunction="average" dataDxfId="319" totalsRowDxfId="318"/>
    <tableColumn id="25" xr3:uid="{00000000-0010-0000-0400-000019000000}" name="J8" totalsRowFunction="average" dataDxfId="317" totalsRowDxfId="316"/>
    <tableColumn id="26" xr3:uid="{00000000-0010-0000-0400-00001A000000}" name="J9" totalsRowFunction="average" dataDxfId="315" totalsRowDxfId="314"/>
    <tableColumn id="27" xr3:uid="{00000000-0010-0000-0400-00001B000000}" name="J10" totalsRowFunction="average" dataDxfId="313" totalsRowDxfId="312"/>
    <tableColumn id="28" xr3:uid="{00000000-0010-0000-0400-00001C000000}" name="J11" totalsRowFunction="average" dataDxfId="311" totalsRowDxfId="310"/>
    <tableColumn id="29" xr3:uid="{00000000-0010-0000-0400-00001D000000}" name="J12" totalsRowFunction="average" dataDxfId="309" totalsRowDxfId="308"/>
    <tableColumn id="3" xr3:uid="{00000000-0010-0000-0400-000003000000}" name="J13" totalsRowFunction="average" dataDxfId="307" totalsRowDxfId="306">
      <calculatedColumnFormula>'Fiche joueur'!F12</calculatedColumnFormula>
    </tableColumn>
    <tableColumn id="4" xr3:uid="{00000000-0010-0000-0400-000004000000}" name="J14" totalsRowFunction="average" dataDxfId="305" totalsRowDxfId="304">
      <calculatedColumnFormula>#REF!</calculatedColumnFormula>
    </tableColumn>
    <tableColumn id="5" xr3:uid="{00000000-0010-0000-0400-000005000000}" name="J15" totalsRowFunction="average" dataDxfId="303" totalsRowDxfId="302">
      <calculatedColumnFormula>#REF!</calculatedColumnFormula>
    </tableColumn>
    <tableColumn id="6" xr3:uid="{00000000-0010-0000-0400-000006000000}" name="J16" totalsRowFunction="average" dataDxfId="301" totalsRowDxfId="300">
      <calculatedColumnFormula>#REF!</calculatedColumnFormula>
    </tableColumn>
    <tableColumn id="30" xr3:uid="{00000000-0010-0000-0400-00001E000000}" name="J17" totalsRowFunction="average" dataDxfId="299" totalsRowDxfId="298"/>
    <tableColumn id="31" xr3:uid="{00000000-0010-0000-0400-00001F000000}" name="J18" totalsRowFunction="average" dataDxfId="297" totalsRowDxfId="296"/>
    <tableColumn id="32" xr3:uid="{00000000-0010-0000-0400-000020000000}" name="J19" totalsRowFunction="average" dataDxfId="295" totalsRowDxfId="294"/>
    <tableColumn id="33" xr3:uid="{00000000-0010-0000-0400-000021000000}" name="J20" totalsRowFunction="average" dataDxfId="293" totalsRowDxfId="292"/>
    <tableColumn id="34" xr3:uid="{00000000-0010-0000-0400-000022000000}" name="J21" totalsRowFunction="average" dataDxfId="291" totalsRowDxfId="290"/>
    <tableColumn id="35" xr3:uid="{00000000-0010-0000-0400-000023000000}" name="J22" totalsRowFunction="average" dataDxfId="289" totalsRowDxfId="288"/>
    <tableColumn id="36" xr3:uid="{00000000-0010-0000-0400-000024000000}" name="J23" totalsRowFunction="custom" dataDxfId="287" totalsRowDxfId="286">
      <totalsRowFormula>SUBTOTAL(101,TabPerfo[J2])</totalsRowFormula>
    </tableColumn>
    <tableColumn id="7" xr3:uid="{00000000-0010-0000-0400-000007000000}" name="J24" totalsRowFunction="custom" dataDxfId="285" totalsRowDxfId="284">
      <calculatedColumnFormula>#REF!</calculatedColumnFormula>
      <totalsRowFormula>SUBTOTAL(101,TabPerfo[J3])</totalsRowFormula>
    </tableColumn>
    <tableColumn id="8" xr3:uid="{00000000-0010-0000-0400-000008000000}" name="J25" totalsRowFunction="custom" dataDxfId="283" totalsRowDxfId="282">
      <calculatedColumnFormula>#REF!</calculatedColumnFormula>
      <totalsRowFormula>SUBTOTAL(101,TabPerfo[J4])</totalsRowFormula>
    </tableColumn>
    <tableColumn id="9" xr3:uid="{00000000-0010-0000-0400-000009000000}" name="J26" totalsRowFunction="custom" dataDxfId="281" totalsRowDxfId="280">
      <calculatedColumnFormula>#REF!</calculatedColumnFormula>
      <totalsRowFormula>SUBTOTAL(101,TabPerfo[J5])</totalsRowFormula>
    </tableColumn>
    <tableColumn id="10" xr3:uid="{00000000-0010-0000-0400-00000A000000}" name="J27" totalsRowFunction="custom" dataDxfId="279" totalsRowDxfId="278">
      <calculatedColumnFormula>#REF!</calculatedColumnFormula>
      <totalsRowFormula>SUBTOTAL(101,TabPerfo[J6])</totalsRowFormula>
    </tableColumn>
    <tableColumn id="11" xr3:uid="{00000000-0010-0000-0400-00000B000000}" name="J28" totalsRowFunction="custom" dataDxfId="277" totalsRowDxfId="276">
      <calculatedColumnFormula>#REF!</calculatedColumnFormula>
      <totalsRowFormula>SUBTOTAL(101,TabPerfo[J7])</totalsRowFormula>
    </tableColumn>
    <tableColumn id="12" xr3:uid="{00000000-0010-0000-0400-00000C000000}" name="J29" totalsRowFunction="custom" dataDxfId="275" totalsRowDxfId="274">
      <calculatedColumnFormula>#REF!</calculatedColumnFormula>
      <totalsRowFormula>SUBTOTAL(101,TabPerfo[J8])</totalsRowFormula>
    </tableColumn>
    <tableColumn id="13" xr3:uid="{00000000-0010-0000-0400-00000D000000}" name="J30" totalsRowFunction="custom" dataDxfId="273" totalsRowDxfId="272">
      <calculatedColumnFormula>#REF!</calculatedColumnFormula>
      <totalsRowFormula>SUBTOTAL(101,TabPerfo[J9])</totalsRowFormula>
    </tableColumn>
    <tableColumn id="37" xr3:uid="{00000000-0010-0000-0400-000025000000}" name="Moyenne" dataDxfId="271" totalsRowDxfId="270">
      <calculatedColumnFormula>IF(COUNTA(TabPerfo[[#This Row],[J1]:[J30]])&lt;&gt;0,AVERAGE(TabPerfo[[#This Row],[J1]:[J30]]),"")</calculatedColumnFormula>
    </tableColumn>
    <tableColumn id="38" xr3:uid="{00000000-0010-0000-0400-000026000000}" name="Ressenti" dataDxfId="269" totalsRowDxfId="268">
      <calculatedColumnFormula>TabPerfo[[#This Row],[Moyenne]]</calculatedColumnFormula>
    </tableColumn>
    <tableColumn id="39" xr3:uid="{00000000-0010-0000-0400-000027000000}" name="Tendance" dataDxfId="267" totalsRowDxfId="266"/>
  </tableColumns>
  <tableStyleInfo name="Summary Table" showFirstColumn="0" showLastColumn="0" showRowStripes="0" showColumnStripes="1"/>
  <extLst>
    <ext xmlns:x14="http://schemas.microsoft.com/office/spreadsheetml/2009/9/main" uri="{504A1905-F514-4f6f-8877-14C23A59335A}">
      <x14:table altText="Tableau Tendances des dépenses" altTextSummary="Le tableau répertorie le total des dépenses mensuelles par catégorie pour chaque mois d’une année, à commencer par janvier. Le tableau est mis en forme de telle sorte qu’il est aligné verticalement avec un graphique situé directement au-dessus. Ainsi, chaque mois du tableau est aligné avec chaque regroupement de mois dans le graphique."/>
    </ext>
  </extLst>
</table>
</file>

<file path=xl/tables/table3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0" xr:uid="{00000000-000C-0000-FFFF-FFFF06000000}" name="TabBilanMental" displayName="TabBilanMental" ref="B10:F142" totalsRowCount="1" headerRowDxfId="265" dataDxfId="264" totalsRowDxfId="263">
  <autoFilter ref="B10:F141" xr:uid="{00000000-0009-0000-0100-000014000000}"/>
  <tableColumns count="5">
    <tableColumn id="1" xr3:uid="{00000000-0010-0000-0600-000001000000}" name="Seance" totalsRowLabel="Moyenne" dataDxfId="262" totalsRowDxfId="261">
      <calculatedColumnFormula>IF(INDEX(TabEntrainement[Seance],ROW()-10)&lt;&gt;0,INDEX(TabEntrainement[Seance],ROW()-10),"")</calculatedColumnFormula>
    </tableColumn>
    <tableColumn id="3" xr3:uid="{00000000-0010-0000-0600-000003000000}" name="Forme" totalsRowFunction="average" dataDxfId="260" totalsRowDxfId="259">
      <calculatedColumnFormula>INDEX(TabForme[Moyenne],ROW()-10)</calculatedColumnFormula>
    </tableColumn>
    <tableColumn id="4" xr3:uid="{00000000-0010-0000-0600-000004000000}" name="Plaisir" totalsRowFunction="average" dataDxfId="258" totalsRowDxfId="257">
      <calculatedColumnFormula>INDEX(TabPlaisir[Moyenne],ROW()-10)</calculatedColumnFormula>
    </tableColumn>
    <tableColumn id="5" xr3:uid="{00000000-0010-0000-0600-000005000000}" name="Perfo." totalsRowFunction="average" dataDxfId="256" totalsRowDxfId="255">
      <calculatedColumnFormula>INDEX(TabPerfo[Moyenne],ROW()-10)</calculatedColumnFormula>
    </tableColumn>
    <tableColumn id="6" xr3:uid="{00000000-0010-0000-0600-000006000000}" name="RPE" totalsRowFunction="average" dataDxfId="254" totalsRowDxfId="253">
      <calculatedColumnFormula>INDEX(TabREP[Moyenne],ROW()-10)</calculatedColumnFormula>
    </tableColumn>
  </tableColumns>
  <tableStyleInfo name="Summary Table" showFirstColumn="0" showLastColumn="0" showRowStripes="0" showColumnStripes="1"/>
  <extLst>
    <ext xmlns:x14="http://schemas.microsoft.com/office/spreadsheetml/2009/9/main" uri="{504A1905-F514-4f6f-8877-14C23A59335A}">
      <x14:table altText="Tableau des dépenses en janvier" altTextSummary="Liste des détails des dépenses mensuelles, notamment la date, le numéro du bon de commande, le montant, la catégorie et la description. "/>
    </ext>
  </extLst>
</table>
</file>

<file path=xl/tables/table4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8" xr:uid="{00000000-000C-0000-FFFF-FFFF07000000}" name="TabREP39" displayName="TabREP39" ref="B18:AI150" totalsRowCount="1" headerRowDxfId="247" dataDxfId="246" totalsRowDxfId="245">
  <autoFilter ref="B18:AI149" xr:uid="{00000000-0009-0000-0100-000026000000}"/>
  <tableColumns count="34">
    <tableColumn id="1" xr3:uid="{00000000-0010-0000-0700-000001000000}" name="Date" dataDxfId="244" totalsRowDxfId="243">
      <calculatedColumnFormula>IF(INDEX(TabEntrainement[Seance],ROW()-18)&lt;&gt;0,INDEX(TabEntrainement[Seance],ROW()-18),"")</calculatedColumnFormula>
    </tableColumn>
    <tableColumn id="2" xr3:uid="{00000000-0010-0000-0700-000002000000}" name="J1" totalsRowFunction="sum" dataDxfId="242" totalsRowDxfId="241"/>
    <tableColumn id="19" xr3:uid="{00000000-0010-0000-0700-000013000000}" name="J2" totalsRowFunction="sum" dataDxfId="240" totalsRowDxfId="239">
      <calculatedColumnFormula>TabREP[[#This Row],[J2]]*Entrainement!C7</calculatedColumnFormula>
    </tableColumn>
    <tableColumn id="20" xr3:uid="{00000000-0010-0000-0700-000014000000}" name="J3" totalsRowFunction="sum" dataDxfId="238" totalsRowDxfId="237"/>
    <tableColumn id="21" xr3:uid="{00000000-0010-0000-0700-000015000000}" name="J4" totalsRowFunction="sum" dataDxfId="236" totalsRowDxfId="235">
      <calculatedColumnFormula>TabREP[[#This Row],[J4]]*Entrainement!$C7</calculatedColumnFormula>
    </tableColumn>
    <tableColumn id="22" xr3:uid="{00000000-0010-0000-0700-000016000000}" name="J5" totalsRowFunction="sum" dataDxfId="234" totalsRowDxfId="233">
      <calculatedColumnFormula>TabREP[[#This Row],[J5]]*Entrainement!$C7</calculatedColumnFormula>
    </tableColumn>
    <tableColumn id="23" xr3:uid="{00000000-0010-0000-0700-000017000000}" name="J6" totalsRowFunction="sum" dataDxfId="232" totalsRowDxfId="231">
      <calculatedColumnFormula>TabREP[[#This Row],[J6]]*Entrainement!$C7</calculatedColumnFormula>
    </tableColumn>
    <tableColumn id="24" xr3:uid="{00000000-0010-0000-0700-000018000000}" name="J7" totalsRowFunction="sum" dataDxfId="230" totalsRowDxfId="229">
      <calculatedColumnFormula>TabREP[[#This Row],[J7]]*Entrainement!$C7</calculatedColumnFormula>
    </tableColumn>
    <tableColumn id="25" xr3:uid="{00000000-0010-0000-0700-000019000000}" name="J8" totalsRowFunction="sum" dataDxfId="228" totalsRowDxfId="227">
      <calculatedColumnFormula>TabREP[[#This Row],[J8]]*Entrainement!$C7</calculatedColumnFormula>
    </tableColumn>
    <tableColumn id="26" xr3:uid="{00000000-0010-0000-0700-00001A000000}" name="J9" totalsRowFunction="sum" dataDxfId="226" totalsRowDxfId="225">
      <calculatedColumnFormula>TabREP[[#This Row],[J9]]*Entrainement!$C7</calculatedColumnFormula>
    </tableColumn>
    <tableColumn id="27" xr3:uid="{00000000-0010-0000-0700-00001B000000}" name="J10" totalsRowFunction="sum" dataDxfId="224" totalsRowDxfId="223">
      <calculatedColumnFormula>TabREP[[#This Row],[J10]]*Entrainement!$C7</calculatedColumnFormula>
    </tableColumn>
    <tableColumn id="28" xr3:uid="{00000000-0010-0000-0700-00001C000000}" name="J11" totalsRowFunction="sum" dataDxfId="222" totalsRowDxfId="221">
      <calculatedColumnFormula>TabREP[[#This Row],[J11]]*Entrainement!$C7</calculatedColumnFormula>
    </tableColumn>
    <tableColumn id="29" xr3:uid="{00000000-0010-0000-0700-00001D000000}" name="J12" totalsRowFunction="sum" dataDxfId="220" totalsRowDxfId="219">
      <calculatedColumnFormula>TabREP[[#This Row],[J12]]*Entrainement!$C7</calculatedColumnFormula>
    </tableColumn>
    <tableColumn id="3" xr3:uid="{00000000-0010-0000-0700-000003000000}" name="J13" totalsRowFunction="sum" dataDxfId="218" totalsRowDxfId="217">
      <calculatedColumnFormula>TabREP[[#This Row],[J13]]*Entrainement!$C7</calculatedColumnFormula>
    </tableColumn>
    <tableColumn id="4" xr3:uid="{00000000-0010-0000-0700-000004000000}" name="J14" totalsRowFunction="sum" dataDxfId="216" totalsRowDxfId="215">
      <calculatedColumnFormula>TabREP[[#This Row],[J14]]*Entrainement!$C7</calculatedColumnFormula>
    </tableColumn>
    <tableColumn id="5" xr3:uid="{00000000-0010-0000-0700-000005000000}" name="J15" totalsRowFunction="sum" dataDxfId="214" totalsRowDxfId="213">
      <calculatedColumnFormula>TabREP[[#This Row],[J15]]*Entrainement!$C7</calculatedColumnFormula>
    </tableColumn>
    <tableColumn id="6" xr3:uid="{00000000-0010-0000-0700-000006000000}" name="J16" totalsRowFunction="sum" dataDxfId="212" totalsRowDxfId="211">
      <calculatedColumnFormula>TabREP[[#This Row],[J16]]*Entrainement!$C7</calculatedColumnFormula>
    </tableColumn>
    <tableColumn id="30" xr3:uid="{00000000-0010-0000-0700-00001E000000}" name="J17" totalsRowFunction="sum" dataDxfId="210" totalsRowDxfId="209">
      <calculatedColumnFormula>TabREP[[#This Row],[J17]]*Entrainement!$C7</calculatedColumnFormula>
    </tableColumn>
    <tableColumn id="31" xr3:uid="{00000000-0010-0000-0700-00001F000000}" name="J18" totalsRowFunction="sum" dataDxfId="208" totalsRowDxfId="207">
      <calculatedColumnFormula>TabREP[[#This Row],[J18]]*Entrainement!$C7</calculatedColumnFormula>
    </tableColumn>
    <tableColumn id="32" xr3:uid="{00000000-0010-0000-0700-000020000000}" name="J19" totalsRowFunction="sum" dataDxfId="206" totalsRowDxfId="205">
      <calculatedColumnFormula>TabREP[[#This Row],[J19]]*Entrainement!$C7</calculatedColumnFormula>
    </tableColumn>
    <tableColumn id="33" xr3:uid="{00000000-0010-0000-0700-000021000000}" name="J20" totalsRowFunction="sum" dataDxfId="204" totalsRowDxfId="203">
      <calculatedColumnFormula>TabREP[[#This Row],[J20]]*Entrainement!$C7</calculatedColumnFormula>
    </tableColumn>
    <tableColumn id="34" xr3:uid="{00000000-0010-0000-0700-000022000000}" name="J21" totalsRowFunction="sum" dataDxfId="202" totalsRowDxfId="201">
      <calculatedColumnFormula>TabREP[[#This Row],[J21]]*Entrainement!$C7</calculatedColumnFormula>
    </tableColumn>
    <tableColumn id="35" xr3:uid="{00000000-0010-0000-0700-000023000000}" name="J22" totalsRowFunction="sum" dataDxfId="200" totalsRowDxfId="199">
      <calculatedColumnFormula>TabREP[[#This Row],[J22]]*Entrainement!$C7</calculatedColumnFormula>
    </tableColumn>
    <tableColumn id="36" xr3:uid="{00000000-0010-0000-0700-000024000000}" name="J23" totalsRowFunction="sum" dataDxfId="198" totalsRowDxfId="197">
      <calculatedColumnFormula>TabREP[[#This Row],[J23]]*Entrainement!$C7</calculatedColumnFormula>
    </tableColumn>
    <tableColumn id="7" xr3:uid="{00000000-0010-0000-0700-000007000000}" name="J24" totalsRowFunction="sum" dataDxfId="196" totalsRowDxfId="195">
      <calculatedColumnFormula>TabREP[[#This Row],[J24]]*Entrainement!$C7</calculatedColumnFormula>
    </tableColumn>
    <tableColumn id="8" xr3:uid="{00000000-0010-0000-0700-000008000000}" name="J25" totalsRowFunction="sum" dataDxfId="194" totalsRowDxfId="193">
      <calculatedColumnFormula>TabREP[[#This Row],[J25]]*Entrainement!$C7</calculatedColumnFormula>
    </tableColumn>
    <tableColumn id="9" xr3:uid="{00000000-0010-0000-0700-000009000000}" name="J26" totalsRowFunction="sum" dataDxfId="192" totalsRowDxfId="191">
      <calculatedColumnFormula>TabREP[[#This Row],[J26]]*Entrainement!$C7</calculatedColumnFormula>
    </tableColumn>
    <tableColumn id="10" xr3:uid="{00000000-0010-0000-0700-00000A000000}" name="J27" totalsRowFunction="sum" dataDxfId="190" totalsRowDxfId="189">
      <calculatedColumnFormula>TabREP[[#This Row],[J27]]*Entrainement!$C7</calculatedColumnFormula>
    </tableColumn>
    <tableColumn id="11" xr3:uid="{00000000-0010-0000-0700-00000B000000}" name="J28" totalsRowFunction="sum" dataDxfId="188" totalsRowDxfId="187">
      <calculatedColumnFormula>TabREP[[#This Row],[J28]]*Entrainement!$C7</calculatedColumnFormula>
    </tableColumn>
    <tableColumn id="12" xr3:uid="{00000000-0010-0000-0700-00000C000000}" name="J29" totalsRowFunction="sum" dataDxfId="186" totalsRowDxfId="185">
      <calculatedColumnFormula>TabREP[[#This Row],[J29]]*Entrainement!$C7</calculatedColumnFormula>
    </tableColumn>
    <tableColumn id="13" xr3:uid="{00000000-0010-0000-0700-00000D000000}" name="J30" totalsRowFunction="sum" dataDxfId="184" totalsRowDxfId="183">
      <calculatedColumnFormula>TabREP[[#This Row],[J30]]*Entrainement!$C7</calculatedColumnFormula>
    </tableColumn>
    <tableColumn id="37" xr3:uid="{00000000-0010-0000-0700-000025000000}" name="Groupe" totalsRowFunction="sum" dataDxfId="182" totalsRowDxfId="181">
      <calculatedColumnFormula>'Charges collective'!E11</calculatedColumnFormula>
    </tableColumn>
    <tableColumn id="38" xr3:uid="{00000000-0010-0000-0700-000026000000}" name="Ressenti" dataDxfId="180" totalsRowDxfId="179"/>
    <tableColumn id="39" xr3:uid="{00000000-0010-0000-0700-000027000000}" name="Tendance" dataDxfId="178" totalsRowDxfId="177"/>
  </tableColumns>
  <tableStyleInfo name="Summary Table" showFirstColumn="0" showLastColumn="0" showRowStripes="0" showColumnStripes="1"/>
  <extLst>
    <ext xmlns:x14="http://schemas.microsoft.com/office/spreadsheetml/2009/9/main" uri="{504A1905-F514-4f6f-8877-14C23A59335A}">
      <x14:table altText="Tableau Tendances des dépenses" altTextSummary="Le tableau répertorie le total des dépenses mensuelles par catégorie pour chaque mois d’une année, à commencer par janvier. Le tableau est mis en forme de telle sorte qu’il est aligné verticalement avec un graphique situé directement au-dessus. Ainsi, chaque mois du tableau est aligné avec chaque regroupement de mois dans le graphique."/>
    </ext>
  </extLst>
</table>
</file>

<file path=xl/tables/table4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4" xr:uid="{00000000-000C-0000-FFFF-FFFF08000000}" name="TabBilanMental15" displayName="TabBilanMental15" ref="B10:E142" totalsRowCount="1" headerRowDxfId="162" dataDxfId="161" totalsRowDxfId="160">
  <autoFilter ref="B10:E141" xr:uid="{00000000-0009-0000-0100-00000E000000}"/>
  <tableColumns count="4">
    <tableColumn id="1" xr3:uid="{00000000-0010-0000-0800-000001000000}" name="Seance" totalsRowLabel="Moyenne" dataDxfId="159" totalsRowDxfId="158">
      <calculatedColumnFormula>IF(INDEX(TabEntrainement[Seance],ROW()-10)&lt;&gt;0,INDEX(TabEntrainement[Seance],ROW()-10),"")</calculatedColumnFormula>
    </tableColumn>
    <tableColumn id="3" xr3:uid="{00000000-0010-0000-0800-000003000000}" name="Durée" dataDxfId="157" totalsRowDxfId="156">
      <calculatedColumnFormula>INDEX(TabEntrainement[Durée],ROW()-10)</calculatedColumnFormula>
    </tableColumn>
    <tableColumn id="6" xr3:uid="{00000000-0010-0000-0800-000006000000}" name="RPE" totalsRowFunction="average" dataDxfId="155" totalsRowDxfId="154">
      <calculatedColumnFormula>INDEX(TabREP[Moyenne],ROW()-10)</calculatedColumnFormula>
    </tableColumn>
    <tableColumn id="2" xr3:uid="{00000000-0010-0000-0800-000002000000}" name="Charge" totalsRowFunction="average" dataDxfId="153" totalsRowDxfId="152">
      <calculatedColumnFormula>IF(TabBilanMental15[[#This Row],[Durée]]="","",TabBilanMental15[[#This Row],[Durée]]*TabBilanMental15[[#This Row],[RPE]])</calculatedColumnFormula>
    </tableColumn>
  </tableColumns>
  <tableStyleInfo name="TableStyleLight1" showFirstColumn="0" showLastColumn="0" showRowStripes="1" showColumnStripes="0"/>
  <extLst>
    <ext xmlns:x14="http://schemas.microsoft.com/office/spreadsheetml/2009/9/main" uri="{504A1905-F514-4f6f-8877-14C23A59335A}">
      <x14:table altText="Tableau des dépenses en janvier" altTextSummary="Liste des détails des dépenses mensuelles, notamment la date, le numéro du bon de commande, le montant, la catégorie et la description. "/>
    </ext>
  </extLst>
</table>
</file>

<file path=xl/tables/table4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2" xr:uid="{00000000-000C-0000-FFFF-FFFF09000000}" name="TabBilanMental1523" displayName="TabBilanMental1523" ref="R10:U43" totalsRowCount="1" headerRowDxfId="151" dataDxfId="150" totalsRowDxfId="149">
  <autoFilter ref="R10:U42" xr:uid="{00000000-0009-0000-0100-000016000000}"/>
  <tableColumns count="4">
    <tableColumn id="1" xr3:uid="{00000000-0010-0000-0900-000001000000}" name="Date" totalsRowLabel="Moyenne" dataDxfId="148" totalsRowDxfId="147">
      <calculatedColumnFormula>IF(INDEX(TabEntrainement[Seance],ROW()-10)&lt;&gt;0,INDEX(TabEntrainement[Seance],ROW()-10),"")</calculatedColumnFormula>
    </tableColumn>
    <tableColumn id="3" xr3:uid="{00000000-0010-0000-0900-000003000000}" name="Match" dataDxfId="146" totalsRowDxfId="145"/>
    <tableColumn id="6" xr3:uid="{00000000-0010-0000-0900-000006000000}" name="RPE" totalsRowFunction="average" dataDxfId="144" totalsRowDxfId="143">
      <calculatedColumnFormula>INDEX(TabREP[Moyenne],ROW()-10)</calculatedColumnFormula>
    </tableColumn>
    <tableColumn id="2" xr3:uid="{00000000-0010-0000-0900-000002000000}" name="Charge" totalsRowFunction="average" dataDxfId="142" totalsRowDxfId="141">
      <calculatedColumnFormula>IF(TabBilanMental1523[[#This Row],[Match]]=0,"",TabBilanMental1523[[#This Row],[Match]]*TabBilanMental1523[[#This Row],[RPE]])</calculatedColumnFormula>
    </tableColumn>
  </tableColumns>
  <tableStyleInfo name="TableStyleLight1" showFirstColumn="0" showLastColumn="0" showRowStripes="1" showColumnStripes="0"/>
  <extLst>
    <ext xmlns:x14="http://schemas.microsoft.com/office/spreadsheetml/2009/9/main" uri="{504A1905-F514-4f6f-8877-14C23A59335A}">
      <x14:table altText="Tableau des dépenses en janvier" altTextSummary="Liste des détails des dépenses mensuelles, notamment la date, le numéro du bon de commande, le montant, la catégorie et la description. "/>
    </ext>
  </extLst>
</table>
</file>

<file path=xl/tables/table4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9" xr:uid="{00000000-000C-0000-FFFF-FFFF0A000000}" name="TabBilanMental152340" displayName="TabBilanMental152340" ref="I10:N47" totalsRowCount="1" headerRowDxfId="140" dataDxfId="139" totalsRowDxfId="138">
  <autoFilter ref="I10:N46" xr:uid="{00000000-0009-0000-0100-000027000000}"/>
  <tableColumns count="6">
    <tableColumn id="1" xr3:uid="{00000000-0010-0000-0A00-000001000000}" name="Semaine" totalsRowLabel="Moyenne" dataDxfId="137" totalsRowDxfId="136"/>
    <tableColumn id="3" xr3:uid="{00000000-0010-0000-0A00-000003000000}" name="C. Prévue" totalsRowFunction="sum" dataDxfId="135" totalsRowDxfId="134"/>
    <tableColumn id="6" xr3:uid="{00000000-0010-0000-0A00-000006000000}" name="C. Réel" totalsRowFunction="sum" dataDxfId="133" totalsRowDxfId="132"/>
    <tableColumn id="2" xr3:uid="{00000000-0010-0000-0A00-000002000000}" name="Réel - Prévue" totalsRowFunction="sum" dataDxfId="131" totalsRowDxfId="130">
      <calculatedColumnFormula>TabBilanMental152340[[#This Row],[C. Réel]]-TabBilanMental152340[[#This Row],[C. Prévue]]</calculatedColumnFormula>
    </tableColumn>
    <tableColumn id="4" xr3:uid="{0B263B1F-85C8-4510-9BAE-1B6AA6C85DD2}" name="S - S-1" dataDxfId="129" totalsRowDxfId="128"/>
    <tableColumn id="5" xr3:uid="{C0A9F4E5-1AD4-4E9F-8D9B-1AD92A736EEE}" name="% diff." dataDxfId="127" totalsRowDxfId="126"/>
  </tableColumns>
  <tableStyleInfo name="TableStyleLight1" showFirstColumn="0" showLastColumn="0" showRowStripes="1" showColumnStripes="0"/>
  <extLst>
    <ext xmlns:x14="http://schemas.microsoft.com/office/spreadsheetml/2009/9/main" uri="{504A1905-F514-4f6f-8877-14C23A59335A}">
      <x14:table altText="Tableau des dépenses en janvier" altTextSummary="Liste des détails des dépenses mensuelles, notamment la date, le numéro du bon de commande, le montant, la catégorie et la description. "/>
    </ext>
  </extLst>
</table>
</file>

<file path=xl/tables/table4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5" xr:uid="{00000000-000C-0000-FFFF-FFFF0B000000}" name="BilanIndivSeance" displayName="BilanIndivSeance" ref="B11:G143" totalsRowCount="1" headerRowDxfId="120" dataDxfId="119" totalsRowDxfId="118">
  <autoFilter ref="B11:G142" xr:uid="{00000000-0009-0000-0100-00000F000000}"/>
  <tableColumns count="6">
    <tableColumn id="1" xr3:uid="{00000000-0010-0000-0B00-000001000000}" name="Seance" totalsRowLabel="Moyenne" dataDxfId="117" totalsRowDxfId="116">
      <calculatedColumnFormula>IF(INDEX(TabEntrainement[Seance],ROW()-11)&lt;&gt;0,INDEX(TabEntrainement[Seance],ROW()-11),"")</calculatedColumnFormula>
    </tableColumn>
    <tableColumn id="2" xr3:uid="{00000000-0010-0000-0B00-000002000000}" name="Présence entrainement" dataDxfId="115" totalsRowDxfId="114">
      <calculatedColumnFormula>IF((INDEX(TabEntrainement[[J1]:[J30]],ROW()-11,$G$2))=0,"",INDEX(TabEntrainement[[J1]:[J30]],ROW()-11,$G$2))</calculatedColumnFormula>
    </tableColumn>
    <tableColumn id="3" xr3:uid="{00000000-0010-0000-0B00-000003000000}" name="Forme" totalsRowFunction="average" dataDxfId="113" totalsRowDxfId="112">
      <calculatedColumnFormula>IF(INDEX(TabForme[[J1]:[J30]],ROW()-11,$G$2)=0,"",INDEX(TabForme[[J1]:[J30]],ROW()-11,$G$2))</calculatedColumnFormula>
    </tableColumn>
    <tableColumn id="4" xr3:uid="{00000000-0010-0000-0B00-000004000000}" name="RPE" totalsRowFunction="average" dataDxfId="111" totalsRowDxfId="110">
      <calculatedColumnFormula>IF(INDEX(TabREP[[J1]:[J30]],ROW()-11,$G$2)=0,"",INDEX(TabREP[[J1]:[J30]],ROW()-11,$G$2))</calculatedColumnFormula>
    </tableColumn>
    <tableColumn id="5" xr3:uid="{00000000-0010-0000-0B00-000005000000}" name="Charge" totalsRowFunction="average" dataDxfId="109" totalsRowDxfId="108">
      <calculatedColumnFormula>IF(INDEX(TabREP39[[J1]:[J30]],ROW()-11,$G$2)=0,"",INDEX(TabREP39[[J1]:[J30]],ROW()-11,$G$2))</calculatedColumnFormula>
    </tableColumn>
    <tableColumn id="6" xr3:uid="{00000000-0010-0000-0B00-000006000000}" name="Groupe" totalsRowFunction="average" dataDxfId="107" totalsRowDxfId="106">
      <calculatedColumnFormula>INDEX(TabBilanMental15[],ROW()-11,4)</calculatedColumnFormula>
    </tableColumn>
  </tableColumns>
  <tableStyleInfo name="Summary Table" showFirstColumn="0" showLastColumn="0" showRowStripes="0" showColumnStripes="1"/>
  <extLst>
    <ext xmlns:x14="http://schemas.microsoft.com/office/spreadsheetml/2009/9/main" uri="{504A1905-F514-4f6f-8877-14C23A59335A}">
      <x14:table altText="Tableau des dépenses en janvier" altTextSummary="Liste des détails des dépenses mensuelles, notamment la date, le numéro du bon de commande, le montant, la catégorie et la description. "/>
    </ext>
  </extLst>
</table>
</file>

<file path=xl/tables/table4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1" xr:uid="{00000000-000C-0000-FFFF-FFFF0C000000}" name="BilanIndivMatch" displayName="BilanIndivMatch" ref="B162:G195" totalsRowCount="1" headerRowDxfId="105" dataDxfId="104" totalsRowDxfId="103">
  <autoFilter ref="B162:G194" xr:uid="{00000000-0009-0000-0100-000015000000}"/>
  <tableColumns count="6">
    <tableColumn id="1" xr3:uid="{00000000-0010-0000-0C00-000001000000}" name="   Type" dataDxfId="102" totalsRowDxfId="101">
      <calculatedColumnFormula>IF(INDEX(TabEntrainement[Seance],ROW()-10)&lt;&gt;0,INDEX(TabEntrainement[Seance],ROW()-10),"")</calculatedColumnFormula>
    </tableColumn>
    <tableColumn id="2" xr3:uid="{00000000-0010-0000-0C00-000002000000}" name="Adversaire" dataDxfId="100" totalsRowDxfId="99">
      <calculatedColumnFormula>IF((INDEX(TabEntrainement[[J1]:[J30]],ROW()-10,AAA))=0,"",INDEX(TabEntrainement[[J1]:[J30]],ROW()-10,AAA))</calculatedColumnFormula>
    </tableColumn>
    <tableColumn id="3" xr3:uid="{00000000-0010-0000-0C00-000003000000}" name="Equipe" dataDxfId="98" totalsRowDxfId="97"/>
    <tableColumn id="4" xr3:uid="{00000000-0010-0000-0C00-000004000000}" name="T. Jeu" totalsRowFunction="average" totalsRowDxfId="96">
      <calculatedColumnFormula>IF(INDEX(Match!Z$10:Z$39,$G$2)=0,"",INDEX(Match!Z$10:Z$39,$G$2))</calculatedColumnFormula>
    </tableColumn>
    <tableColumn id="5" xr3:uid="{00000000-0010-0000-0C00-000005000000}" name="RPE" totalsRowFunction="average" dataDxfId="95" totalsRowDxfId="94"/>
    <tableColumn id="6" xr3:uid="{00000000-0010-0000-0C00-000006000000}" name="Charge" totalsRowFunction="average" dataDxfId="93" totalsRowDxfId="92"/>
  </tableColumns>
  <tableStyleInfo name="Summary Table" showFirstColumn="0" showLastColumn="0" showRowStripes="0" showColumnStripes="1"/>
  <extLst>
    <ext xmlns:x14="http://schemas.microsoft.com/office/spreadsheetml/2009/9/main" uri="{504A1905-F514-4f6f-8877-14C23A59335A}">
      <x14:table altText="Tableau des dépenses en janvier" altTextSummary="Liste des détails des dépenses mensuelles, notamment la date, le numéro du bon de commande, le montant, la catégorie et la description. "/>
    </ext>
  </extLst>
</table>
</file>

<file path=xl/tables/table4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3" xr:uid="{00000000-000C-0000-FFFF-FFFF0D000000}" name="Tableau33" displayName="Tableau33" ref="I80:L90" totalsRowShown="0">
  <autoFilter ref="I80:L90" xr:uid="{00000000-0009-0000-0100-000021000000}"/>
  <tableColumns count="4">
    <tableColumn id="1" xr3:uid="{00000000-0010-0000-0D00-000001000000}" name="Date" dataDxfId="91"/>
    <tableColumn id="2" xr3:uid="{00000000-0010-0000-0D00-000002000000}" name="Taille" dataDxfId="90">
      <calculatedColumnFormula>INDEX('Poid - Taille'!$C$6:$AF$35,'Fiche joueur'!$G$2,1)</calculatedColumnFormula>
    </tableColumn>
    <tableColumn id="3" xr3:uid="{00000000-0010-0000-0D00-000003000000}" name="Poid" dataDxfId="89">
      <calculatedColumnFormula>INDEX('Poid - Taille'!$C$6:$AF$35,'Fiche joueur'!$G$2,2)</calculatedColumnFormula>
    </tableColumn>
    <tableColumn id="4" xr3:uid="{00000000-0010-0000-0D00-000004000000}" name="IMC" dataDxfId="88">
      <calculatedColumnFormula>INDEX('Poid - Taille'!$C$6:$AF$35,'Fiche joueur'!$G$2,3)</calculatedColumnFormula>
    </tableColumn>
  </tableColumns>
  <tableStyleInfo name="TableStyleLight1" showFirstColumn="0" showLastColumn="0" showRowStripes="1" showColumnStripes="0"/>
</table>
</file>

<file path=xl/tables/table4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7" xr:uid="{00000000-000C-0000-FFFF-FFFF0E000000}" name="Tableau3338" displayName="Tableau3338" ref="I123:O124" totalsRowShown="0">
  <autoFilter ref="I123:O124" xr:uid="{00000000-0009-0000-0100-000025000000}"/>
  <tableColumns count="7">
    <tableColumn id="1" xr3:uid="{00000000-0010-0000-0E00-000001000000}" name="." dataDxfId="87">
      <calculatedColumnFormula>INDEX(TabMentaux[],G2,1)</calculatedColumnFormula>
    </tableColumn>
    <tableColumn id="2" xr3:uid="{00000000-0010-0000-0E00-000002000000}" name="Motivation" dataDxfId="86">
      <calculatedColumnFormula>INDEX(TabMentaux[],G2,2)</calculatedColumnFormula>
    </tableColumn>
    <tableColumn id="3" xr3:uid="{00000000-0010-0000-0E00-000003000000}" name="Concentration" dataDxfId="85">
      <calculatedColumnFormula>INDEX(TabMentaux[],G2,3)</calculatedColumnFormula>
    </tableColumn>
    <tableColumn id="4" xr3:uid="{00000000-0010-0000-0E00-000004000000}" name="Maitrise de soi" dataDxfId="84">
      <calculatedColumnFormula>INDEX(TabMentaux[],G2,4)</calculatedColumnFormula>
    </tableColumn>
    <tableColumn id="5" xr3:uid="{00000000-0010-0000-0E00-000005000000}" name="Confiance en soi" dataDxfId="83">
      <calculatedColumnFormula>INDEX(TabMentaux[],G2,5)</calculatedColumnFormula>
    </tableColumn>
    <tableColumn id="6" xr3:uid="{00000000-0010-0000-0E00-000006000000}" name="Intégration sociale" dataDxfId="82">
      <calculatedColumnFormula>INDEX(TabMentaux[],G2,6)</calculatedColumnFormula>
    </tableColumn>
    <tableColumn id="7" xr3:uid="{00000000-0010-0000-0E00-000007000000}" name="Autonomie" dataDxfId="81">
      <calculatedColumnFormula>INDEX(TabMentaux[],G2,7)</calculatedColumnFormula>
    </tableColumn>
  </tableColumns>
  <tableStyleInfo name="TableStyleLight1" showFirstColumn="0" showLastColumn="0" showRowStripes="1" showColumnStripes="0"/>
</table>
</file>

<file path=xl/tables/table4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3" xr:uid="{00000000-000C-0000-FFFF-FFFF18000000}" name="Tableau23" displayName="Tableau23" ref="B4:F34" totalsRowShown="0" dataDxfId="76">
  <autoFilter ref="B4:F34" xr:uid="{00000000-0009-0000-0100-000017000000}"/>
  <tableColumns count="5">
    <tableColumn id="1" xr3:uid="{00000000-0010-0000-1800-000001000000}" name="Nom" dataDxfId="75">
      <calculatedColumnFormula>'BDD - Joueurs'!B2</calculatedColumnFormula>
    </tableColumn>
    <tableColumn id="2" xr3:uid="{00000000-0010-0000-1800-000002000000}" name="Auditif" dataDxfId="74"/>
    <tableColumn id="3" xr3:uid="{00000000-0010-0000-1800-000003000000}" name="Kinesthesique" dataDxfId="73"/>
    <tableColumn id="4" xr3:uid="{00000000-0010-0000-1800-000004000000}" name="Visuel" dataDxfId="72"/>
    <tableColumn id="5" xr3:uid="{00000000-0010-0000-1800-000005000000}" name="Bilan" dataDxfId="71"/>
  </tableColumns>
  <tableStyleInfo name="TableStyleLight1" showFirstColumn="0" showLastColumn="0" showRowStripes="1" showColumnStripes="0"/>
</table>
</file>

<file path=xl/tables/table4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6" xr:uid="{00000000-000C-0000-FFFF-FFFF19000000}" name="TabMentaux" displayName="TabMentaux" ref="B4:H34" totalsRowShown="0" dataDxfId="70">
  <autoFilter ref="B4:H34" xr:uid="{00000000-0009-0000-0100-000024000000}"/>
  <tableColumns count="7">
    <tableColumn id="1" xr3:uid="{00000000-0010-0000-1900-000001000000}" name="Nom" dataDxfId="69">
      <calculatedColumnFormula>'BDD - Joueurs'!B2</calculatedColumnFormula>
    </tableColumn>
    <tableColumn id="2" xr3:uid="{00000000-0010-0000-1900-000002000000}" name="Motivation" dataDxfId="68"/>
    <tableColumn id="3" xr3:uid="{00000000-0010-0000-1900-000003000000}" name="Concentration" dataDxfId="67"/>
    <tableColumn id="4" xr3:uid="{00000000-0010-0000-1900-000004000000}" name="Maitrise de soi" dataDxfId="66"/>
    <tableColumn id="5" xr3:uid="{00000000-0010-0000-1900-000005000000}" name="Confiance en soi" dataDxfId="65"/>
    <tableColumn id="6" xr3:uid="{00000000-0010-0000-1900-000006000000}" name="Intégration sociale" dataDxfId="64"/>
    <tableColumn id="7" xr3:uid="{00000000-0010-0000-1900-000007000000}" name="Autonomie" dataDxfId="63"/>
  </tableColumns>
  <tableStyleInfo name="TableStyleLight1" showFirstColumn="0" showLastColumn="0" showRowStripes="1" showColumnStripes="0"/>
</table>
</file>

<file path=xl/tables/table5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5" xr:uid="{00000000-000C-0000-FFFF-FFFF0F000000}" name="TabButeurs" displayName="TabButeurs" ref="B10:C40" totalsRowShown="0">
  <autoFilter ref="B10:C40" xr:uid="{00000000-0009-0000-0100-000019000000}"/>
  <sortState ref="B11:C40">
    <sortCondition descending="1" ref="C10:C40"/>
  </sortState>
  <tableColumns count="2">
    <tableColumn id="1" xr3:uid="{00000000-0010-0000-0F00-000001000000}" name="Nom" dataDxfId="62">
      <calculatedColumnFormula>INDEX(Match!B10:W39,1,1)</calculatedColumnFormula>
    </tableColumn>
    <tableColumn id="2" xr3:uid="{00000000-0010-0000-0F00-000002000000}" name="But" dataDxfId="61">
      <calculatedColumnFormula>INDEX(Match!B10:W39,1,16)</calculatedColumnFormula>
    </tableColumn>
  </tableColumns>
  <tableStyleInfo name="TableStyleLight1" showFirstColumn="0" showLastColumn="0" showRowStripes="1" showColumnStripes="0"/>
</table>
</file>

<file path=xl/tables/table5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7" xr:uid="{00000000-000C-0000-FFFF-FFFF10000000}" name="Tableau27" displayName="Tableau27" ref="B45:C75" totalsRowShown="0">
  <autoFilter ref="B45:C75" xr:uid="{00000000-0009-0000-0100-00001B000000}"/>
  <sortState ref="B46:C75">
    <sortCondition descending="1" ref="C45:C75"/>
  </sortState>
  <tableColumns count="2">
    <tableColumn id="1" xr3:uid="{00000000-0010-0000-1000-000001000000}" name="Nom">
      <calculatedColumnFormula>INDEX(Match!B10:W39,1,1)</calculatedColumnFormula>
    </tableColumn>
    <tableColumn id="2" xr3:uid="{00000000-0010-0000-1000-000002000000}" name="Passe" dataDxfId="60">
      <calculatedColumnFormula>INDEX(Match!B10:W39,1,17)</calculatedColumnFormula>
    </tableColumn>
  </tableColumns>
  <tableStyleInfo name="TableStyleLight1" showFirstColumn="0" showLastColumn="0" showRowStripes="1" showColumnStripes="0"/>
</table>
</file>

<file path=xl/tables/table5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8" xr:uid="{00000000-000C-0000-FFFF-FFFF11000000}" name="Tableau28" displayName="Tableau28" ref="B115:C146" totalsRowShown="0">
  <autoFilter ref="B115:C146" xr:uid="{00000000-0009-0000-0100-00001C000000}"/>
  <sortState ref="B116:C146">
    <sortCondition descending="1" ref="C115:C146"/>
  </sortState>
  <tableColumns count="2">
    <tableColumn id="1" xr3:uid="{00000000-0010-0000-1100-000001000000}" name="Nom" dataDxfId="59">
      <calculatedColumnFormula>INDEX(Match!B10:W39,1,1)</calculatedColumnFormula>
    </tableColumn>
    <tableColumn id="2" xr3:uid="{00000000-0010-0000-1100-000002000000}" name="T. jeu" dataDxfId="58">
      <calculatedColumnFormula>INDEX(Match!B10:W39,1,13)</calculatedColumnFormula>
    </tableColumn>
  </tableColumns>
  <tableStyleInfo name="TableStyleLight1" showFirstColumn="0" showLastColumn="0" showRowStripes="1" showColumnStripes="0"/>
</table>
</file>

<file path=xl/tables/table5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9" xr:uid="{00000000-000C-0000-FFFF-FFFF12000000}" name="Tableau29" displayName="Tableau29" ref="B80:E110" totalsRowShown="0" dataDxfId="57">
  <autoFilter ref="B80:E110" xr:uid="{00000000-0009-0000-0100-00001D000000}"/>
  <tableColumns count="4">
    <tableColumn id="1" xr3:uid="{00000000-0010-0000-1200-000001000000}" name="Nom" dataDxfId="56">
      <calculatedColumnFormula>INDEX(Match!B10:W39,1,1)</calculatedColumnFormula>
    </tableColumn>
    <tableColumn id="2" xr3:uid="{00000000-0010-0000-1200-000002000000}" name="U16" dataDxfId="55">
      <calculatedColumnFormula>INDEX(Match!B10:W39,1,6)</calculatedColumnFormula>
    </tableColumn>
    <tableColumn id="3" xr3:uid="{00000000-0010-0000-1200-000003000000}" name="U17" dataDxfId="54">
      <calculatedColumnFormula>INDEX(Match!B10:W39,1,7)</calculatedColumnFormula>
    </tableColumn>
    <tableColumn id="4" xr3:uid="{00000000-0010-0000-1200-000004000000}" name="Non joué" dataDxfId="53">
      <calculatedColumnFormula>INDEX(Match!B10:W39,1,12)</calculatedColumnFormula>
    </tableColumn>
  </tableColumns>
  <tableStyleInfo name="TableStyleLight1" showFirstColumn="0" showLastColumn="0" showRowStripes="1" showColumnStripes="0"/>
</table>
</file>

<file path=xl/tables/table5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0" xr:uid="{00000000-000C-0000-FFFF-FFFF13000000}" name="Tableau30" displayName="Tableau30" ref="B150:C181" totalsRowShown="0">
  <autoFilter ref="B150:C181" xr:uid="{00000000-0009-0000-0100-00001E000000}"/>
  <sortState ref="B151:C181">
    <sortCondition descending="1" ref="C150:C181"/>
  </sortState>
  <tableColumns count="2">
    <tableColumn id="1" xr3:uid="{00000000-0010-0000-1300-000001000000}" name="Nom" dataDxfId="52">
      <calculatedColumnFormula>INDEX(Match!B10:W39,1,1)</calculatedColumnFormula>
    </tableColumn>
    <tableColumn id="2" xr3:uid="{00000000-0010-0000-1300-000002000000}" name="T. jeu moyen" dataDxfId="51">
      <calculatedColumnFormula>IF(INDEX(Match!B10:W39,1,6)=0,0,INDEX(Match!B10:W39,1,13)/INDEX(Match!B10:W39,1,6))</calculatedColumnFormula>
    </tableColumn>
  </tableColumns>
  <tableStyleInfo name="TableStyleLight1" showFirstColumn="0" showLastColumn="0" showRowStripes="1" showColumnStripes="0"/>
</table>
</file>

<file path=xl/tables/table5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1" xr:uid="{00000000-000C-0000-FFFF-FFFF14000000}" name="Tableau31" displayName="Tableau31" ref="B185:D215" totalsRowShown="0">
  <autoFilter ref="B185:D215" xr:uid="{00000000-0009-0000-0100-00001F000000}"/>
  <sortState ref="B186:D215">
    <sortCondition descending="1" ref="C185:C215"/>
  </sortState>
  <tableColumns count="3">
    <tableColumn id="1" xr3:uid="{00000000-0010-0000-1400-000001000000}" name="Nom" dataDxfId="50">
      <calculatedColumnFormula>INDEX(Match!B10:W39,1,1)</calculatedColumnFormula>
    </tableColumn>
    <tableColumn id="2" xr3:uid="{00000000-0010-0000-1400-000002000000}" name="Jaune" dataDxfId="49">
      <calculatedColumnFormula>INDEX(Match!B10:W39,1,18)</calculatedColumnFormula>
    </tableColumn>
    <tableColumn id="3" xr3:uid="{00000000-0010-0000-1400-000003000000}" name="Rouge" dataDxfId="48">
      <calculatedColumnFormula>INDEX(Match!B10:W39,1,19)</calculatedColumnFormula>
    </tableColumn>
  </tableColumns>
  <tableStyleInfo name="TableStyleLight1" showFirstColumn="0" showLastColumn="0" showRowStripes="1" showColumnStripes="0"/>
</table>
</file>

<file path=xl/tables/table5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6" xr:uid="{00000000-000C-0000-FFFF-FFFF15000000}" name="Tableau3127" displayName="Tableau3127" ref="B220:E250" totalsRowShown="0">
  <autoFilter ref="B220:E250" xr:uid="{00000000-0009-0000-0100-00001A000000}"/>
  <tableColumns count="4">
    <tableColumn id="1" xr3:uid="{00000000-0010-0000-1500-000001000000}" name="Nom" dataDxfId="47">
      <calculatedColumnFormula>INDEX(Tableau6[Nom Prénom],1)</calculatedColumnFormula>
    </tableColumn>
    <tableColumn id="2" xr3:uid="{00000000-0010-0000-1500-000002000000}" name="Présent" dataDxfId="46">
      <calculatedColumnFormula>INDEX(Match!B45:W74,1,18)</calculatedColumnFormula>
    </tableColumn>
    <tableColumn id="3" xr3:uid="{00000000-0010-0000-1500-000003000000}" name="Abs excusée" dataDxfId="45">
      <calculatedColumnFormula>SUM(INDEX(Entrainement!#REF!,1),INDEX(Entrainement!#REF!,1),INDEX(Entrainement!#REF!,1),INDEX(Entrainement!#REF!,1),INDEX(Entrainement!#REF!,1))</calculatedColumnFormula>
    </tableColumn>
    <tableColumn id="4" xr3:uid="{00000000-0010-0000-1500-000004000000}" name="Absent" dataDxfId="44">
      <calculatedColumnFormula>INDEX(Entrainement!#REF!,1)</calculatedColumnFormula>
    </tableColumn>
  </tableColumns>
  <tableStyleInfo name="TableStyleLight1" showFirstColumn="0" showLastColumn="0" showRowStripes="1" showColumnStripes="0"/>
</table>
</file>

<file path=xl/tables/table5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1" xr:uid="{00000000-000C-0000-FFFF-FFFF1A000000}" name="TabEntretien" displayName="TabEntretien" ref="B2:L30" totalsRowShown="0" dataDxfId="43">
  <autoFilter ref="B2:L30" xr:uid="{00000000-0009-0000-0100-000029000000}"/>
  <tableColumns count="11">
    <tableColumn id="1" xr3:uid="{00000000-0010-0000-1A00-000001000000}" name="Nom" dataDxfId="42">
      <calculatedColumnFormula>'BDD - Joueurs'!#REF!</calculatedColumnFormula>
    </tableColumn>
    <tableColumn id="11" xr3:uid="{00000000-0010-0000-1A00-00000B000000}" name="Date" dataDxfId="41"/>
    <tableColumn id="2" xr3:uid="{00000000-0010-0000-1A00-000002000000}" name="Groupe" dataDxfId="40"/>
    <tableColumn id="3" xr3:uid="{00000000-0010-0000-1A00-000003000000}" name="Technique J." dataDxfId="39"/>
    <tableColumn id="4" xr3:uid="{00000000-0010-0000-1A00-000004000000}" name="Technique C." dataDxfId="38"/>
    <tableColumn id="5" xr3:uid="{00000000-0010-0000-1A00-000005000000}" name="Match J." dataDxfId="37"/>
    <tableColumn id="6" xr3:uid="{00000000-0010-0000-1A00-000006000000}" name="Match C." dataDxfId="36"/>
    <tableColumn id="7" xr3:uid="{00000000-0010-0000-1A00-000007000000}" name="Objectif I." dataDxfId="35"/>
    <tableColumn id="8" xr3:uid="{00000000-0010-0000-1A00-000008000000}" name="Objectif C." dataDxfId="34"/>
    <tableColumn id="9" xr3:uid="{00000000-0010-0000-1A00-000009000000}" name="Moyen " dataDxfId="33"/>
    <tableColumn id="10" xr3:uid="{00000000-0010-0000-1A00-00000A000000}" name="Bilan C." dataDxfId="32"/>
  </tableColumns>
  <tableStyleInfo name="TableStyleLight1" showFirstColumn="0" showLastColumn="0" showRowStripes="1" showColumnStripes="0"/>
</table>
</file>

<file path=xl/tables/table5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00000000-000C-0000-FFFF-FFFF1B000000}" name="Tableau6" displayName="Tableau6" ref="A1:S31" totalsRowShown="0">
  <autoFilter ref="A1:S31" xr:uid="{00000000-0009-0000-0100-000006000000}"/>
  <tableColumns count="19">
    <tableColumn id="1" xr3:uid="{00000000-0010-0000-1B00-000001000000}" name="Num" dataDxfId="31"/>
    <tableColumn id="2" xr3:uid="{00000000-0010-0000-1B00-000002000000}" name="Nom Prénom" dataDxfId="30"/>
    <tableColumn id="3" xr3:uid="{00000000-0010-0000-1B00-000003000000}" name="Date de naissance" dataDxfId="29"/>
    <tableColumn id="19" xr3:uid="{F30C14B7-5964-4AC3-A10F-0845A89249F6}" name="Mois" dataDxfId="28">
      <calculatedColumnFormula>IF(Tableau6[[#This Row],[Date de naissance]]&lt;&gt;"",MONTH(Tableau6[[#This Row],[Date de naissance]]),"")</calculatedColumnFormula>
    </tableColumn>
    <tableColumn id="4" xr3:uid="{00000000-0010-0000-1B00-000004000000}" name="Pied" dataDxfId="27"/>
    <tableColumn id="5" xr3:uid="{00000000-0010-0000-1B00-000005000000}" name="Poste" dataDxfId="26"/>
    <tableColumn id="9" xr3:uid="{00000000-0010-0000-1B00-000009000000}" name="Adresse" dataDxfId="25"/>
    <tableColumn id="10" xr3:uid="{00000000-0010-0000-1B00-00000A000000}" name="CP" dataDxfId="24"/>
    <tableColumn id="11" xr3:uid="{00000000-0010-0000-1B00-00000B000000}" name="Ville" dataDxfId="23"/>
    <tableColumn id="12" xr3:uid="{00000000-0010-0000-1B00-00000C000000}" name="Tel J." dataDxfId="22"/>
    <tableColumn id="13" xr3:uid="{00000000-0010-0000-1B00-00000D000000}" name="TEL P." dataDxfId="21"/>
    <tableColumn id="18" xr3:uid="{DCBA0881-A4B8-4B09-A311-894904351663}" name="Cotisation" dataDxfId="20"/>
    <tableColumn id="17" xr3:uid="{E71C86EE-421F-4C4A-BD20-225F003288D5}" name="VMAEVAL" dataDxfId="19"/>
    <tableColumn id="14" xr3:uid="{00000000-0010-0000-1B00-00000E000000}" name="VMA" dataDxfId="18"/>
    <tableColumn id="15" xr3:uid="{00000000-0010-0000-1B00-00000F000000}" name="VIFT" dataDxfId="17"/>
    <tableColumn id="16" xr3:uid="{00000000-0010-0000-1B00-000010000000}" name="Groupe" dataDxfId="16"/>
    <tableColumn id="6" xr3:uid="{00000000-0010-0000-1B00-000006000000}" name="F. Objectifs" dataDxfId="15"/>
    <tableColumn id="7" xr3:uid="{D82A87DC-F7B9-F14C-BED1-6DEF623E6DDD}" name="Niveau" dataDxfId="14"/>
    <tableColumn id="8" xr3:uid="{95893E0E-0126-6F4D-80C6-1FC64D8F6B9F}" name="Vision" dataDxfId="13"/>
  </tableColumns>
  <tableStyleInfo name="TableStyleLight1" showFirstColumn="0" showLastColumn="0" showRowStripes="1" showColumnStripes="0"/>
</table>
</file>

<file path=xl/tables/table5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1C000000}" name="ParamPresence" displayName="ParamPresence" ref="B4:B13" totalsRowShown="0" headerRowDxfId="9">
  <autoFilter ref="B4:B13" xr:uid="{00000000-0009-0000-0100-000001000000}"/>
  <sortState ref="B5:B13">
    <sortCondition ref="B5"/>
  </sortState>
  <tableColumns count="1">
    <tableColumn id="1" xr3:uid="{00000000-0010-0000-1C00-000001000000}" name="Présence entrainement"/>
  </tableColumns>
  <tableStyleInfo name="Summary Table" showFirstColumn="0" showLastColumn="0" showRowStripes="1" showColumnStripes="0"/>
</table>
</file>

<file path=xl/tables/table6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00000000-000C-0000-FFFF-FFFF1D000000}" name="ParamPied" displayName="ParamPied" ref="D4:D7" totalsRowShown="0">
  <autoFilter ref="D4:D7" xr:uid="{00000000-0009-0000-0100-000004000000}"/>
  <tableColumns count="1">
    <tableColumn id="1" xr3:uid="{00000000-0010-0000-1D00-000001000000}" name="Pied"/>
  </tableColumns>
  <tableStyleInfo name="Summary Table" showFirstColumn="0" showLastColumn="0" showRowStripes="1" showColumnStripes="0"/>
</table>
</file>

<file path=xl/tables/table6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00000000-000C-0000-FFFF-FFFF1E000000}" name="ParamPoste" displayName="ParamPoste" ref="F4:F8" totalsRowShown="0">
  <autoFilter ref="F4:F8" xr:uid="{00000000-0009-0000-0100-000005000000}"/>
  <tableColumns count="1">
    <tableColumn id="1" xr3:uid="{00000000-0010-0000-1E00-000001000000}" name="Poste"/>
  </tableColumns>
  <tableStyleInfo name="Summary Table" showFirstColumn="0" showLastColumn="0" showRowStripes="1" showColumnStripes="0"/>
</table>
</file>

<file path=xl/tables/table6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00000000-000C-0000-FFFF-FFFF1F000000}" name="ParamBORG" displayName="ParamBORG" ref="H4:J14" totalsRowShown="0">
  <autoFilter ref="H4:J14" xr:uid="{00000000-0009-0000-0100-00000A000000}"/>
  <tableColumns count="3">
    <tableColumn id="1" xr3:uid="{00000000-0010-0000-1F00-000001000000}" name="Borg" dataDxfId="8"/>
    <tableColumn id="2" xr3:uid="{00000000-0010-0000-1F00-000002000000}" name="Colonne1"/>
    <tableColumn id="3" xr3:uid="{00000000-0010-0000-1F00-000003000000}" name="Colonne2"/>
  </tableColumns>
  <tableStyleInfo name="Summary Table" showFirstColumn="0" showLastColumn="0" showRowStripes="1" showColumnStripes="0"/>
</table>
</file>

<file path=xl/tables/table6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3" xr:uid="{00000000-000C-0000-FFFF-FFFF22000000}" name="ParamBORG14" displayName="ParamBORG14" ref="L4:N9" totalsRowShown="0">
  <autoFilter ref="L4:N9" xr:uid="{00000000-0009-0000-0100-00000D000000}"/>
  <tableColumns count="3">
    <tableColumn id="1" xr3:uid="{00000000-0010-0000-2200-000001000000}" name="Charge -" dataDxfId="7"/>
    <tableColumn id="3" xr3:uid="{00000000-0010-0000-2200-000003000000}" name="Charge +" dataDxfId="6"/>
    <tableColumn id="2" xr3:uid="{00000000-0010-0000-2200-000002000000}" name="Resenti"/>
  </tableColumns>
  <tableStyleInfo name="Summary Table" showFirstColumn="0" showLastColumn="0" showRowStripes="1" showColumnStripes="0"/>
</table>
</file>

<file path=xl/tables/table6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00000000-000C-0000-FFFF-FFFF23000000}" name="Tableau9" displayName="Tableau9" ref="P4:P15" totalsRowShown="0">
  <autoFilter ref="P4:P15" xr:uid="{00000000-0009-0000-0100-000009000000}"/>
  <tableColumns count="1">
    <tableColumn id="1" xr3:uid="{00000000-0010-0000-2300-000001000000}" name="Equipe"/>
  </tableColumns>
  <tableStyleInfo name="Summary Table" showFirstColumn="0" showLastColumn="0" showRowStripes="1" showColumnStripes="0"/>
</table>
</file>

<file path=xl/tables/table6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6" xr:uid="{00000000-000C-0000-FFFF-FFFF24000000}" name="Tableau16" displayName="Tableau16" ref="R4:R8" totalsRowShown="0">
  <autoFilter ref="R4:R8" xr:uid="{00000000-0009-0000-0100-000010000000}"/>
  <tableColumns count="1">
    <tableColumn id="1" xr3:uid="{00000000-0010-0000-2400-000001000000}" name="Match"/>
  </tableColumns>
  <tableStyleInfo name="Summary Table" showFirstColumn="0" showLastColumn="0" showRowStripes="1" showColumnStripes="0"/>
</table>
</file>

<file path=xl/tables/table6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4" xr:uid="{00000000-000C-0000-FFFF-FFFF25000000}" name="ParamBORG1425" displayName="ParamBORG1425" ref="L11:N15" totalsRowShown="0">
  <autoFilter ref="L11:N15" xr:uid="{00000000-0009-0000-0100-000018000000}"/>
  <tableColumns count="3">
    <tableColumn id="1" xr3:uid="{00000000-0010-0000-2500-000001000000}" name="Charge -" dataDxfId="5"/>
    <tableColumn id="3" xr3:uid="{00000000-0010-0000-2500-000003000000}" name="Charge +" dataDxfId="4"/>
    <tableColumn id="2" xr3:uid="{00000000-0010-0000-2500-000002000000}" name="Resenti"/>
  </tableColumns>
  <tableStyleInfo name="Summary Table" showFirstColumn="0" showLastColumn="0" showRowStripes="1" showColumnStripes="0"/>
</table>
</file>

<file path=xl/tables/table6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2" xr:uid="{00000000-000C-0000-FFFF-FFFF26000000}" name="TabIMC" displayName="TabIMC" ref="H18:J23" totalsRowShown="0">
  <autoFilter ref="H18:J23" xr:uid="{00000000-0009-0000-0100-000020000000}"/>
  <tableColumns count="3">
    <tableColumn id="1" xr3:uid="{00000000-0010-0000-2600-000001000000}" name="IMC"/>
    <tableColumn id="2" xr3:uid="{00000000-0010-0000-2600-000002000000}" name="IMC -"/>
    <tableColumn id="3" xr3:uid="{00000000-0010-0000-2600-000003000000}" name="IMC +"/>
  </tableColumns>
  <tableStyleInfo name="Summary Table" showFirstColumn="0" showLastColumn="0" showRowStripes="1" showColumnStripes="0"/>
</table>
</file>

<file path=xl/tables/table6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5" xr:uid="{00000000-000C-0000-FFFF-FFFF27000000}" name="TabResultat" displayName="TabResultat" ref="T4:T7" totalsRowShown="0">
  <autoFilter ref="T4:T7" xr:uid="{00000000-0009-0000-0100-000023000000}"/>
  <tableColumns count="1">
    <tableColumn id="1" xr3:uid="{00000000-0010-0000-2700-000001000000}" name="Resultat"/>
  </tableColumns>
  <tableStyleInfo name="Summary Table" showFirstColumn="0" showLastColumn="0" showRowStripes="1" showColumnStripes="0"/>
</table>
</file>

<file path=xl/tables/table6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21000000}" name="ParamIndiceNote3" displayName="ParamIndiceNote3" ref="B21:B22" totalsRowShown="0" dataDxfId="3">
  <autoFilter ref="B21:B22" xr:uid="{00000000-0009-0000-0100-000002000000}"/>
  <tableColumns count="1">
    <tableColumn id="1" xr3:uid="{00000000-0010-0000-2100-000001000000}" name="Temps de jeu" dataDxfId="2"/>
  </tableColumns>
  <tableStyleInfo name="Summary Table" showFirstColumn="0" showLastColumn="0" showRowStripes="1" showColumnStripes="0"/>
</table>
</file>

<file path=xl/tables/table7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00000000-000C-0000-FFFF-FFFF20000000}" name="ParamIndiceNote" displayName="ParamIndiceNote" ref="B18:B19" totalsRowShown="0" dataDxfId="1">
  <autoFilter ref="B18:B19" xr:uid="{00000000-0009-0000-0100-00000B000000}"/>
  <tableColumns count="1">
    <tableColumn id="1" xr3:uid="{00000000-0010-0000-2000-000001000000}" name="Indice Max notation" dataDxfId="0"/>
  </tableColumns>
  <tableStyleInfo name="Summary Table" showFirstColumn="0" showLastColumn="0" showRowStripes="1" showColumnStripes="0"/>
</table>
</file>

<file path=xl/tables/table7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2" xr:uid="{D2937A41-B45D-4557-9CB2-3D8FA8800580}" name="ParamSaison" displayName="ParamSaison" ref="L18:L21" totalsRowShown="0">
  <autoFilter ref="L18:L21" xr:uid="{7DC1A42B-1EA1-45A2-B5BD-B5C9553E6B7A}"/>
  <tableColumns count="1">
    <tableColumn id="1" xr3:uid="{815F9EC8-0750-403D-8F68-12BDA15C06DA}" name="Saison"/>
  </tableColumns>
  <tableStyleInfo name="Summary Table" showFirstColumn="0" showLastColumn="0" showRowStripes="1" showColumnStripes="0"/>
</table>
</file>

<file path=xl/tables/table7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1" xr:uid="{B2A7B87E-F821-4C3A-9476-95D5AFA3FC69}" name="ParamCotisation" displayName="ParamCotisation" ref="V4:V7" totalsRowShown="0">
  <autoFilter ref="V4:V7" xr:uid="{B500CA41-FB0F-46AC-9B4A-CB2EA57E76A8}"/>
  <tableColumns count="1">
    <tableColumn id="1" xr3:uid="{B17FC014-58BF-4098-AEDD-3955F135DE46}" name="Cotisation"/>
  </tableColumns>
  <tableStyleInfo name="Summary Table" showFirstColumn="0" showLastColumn="0" showRowStripes="1" showColumnStripes="0"/>
</table>
</file>

<file path=xl/theme/theme1.xml><?xml version="1.0" encoding="utf-8"?>
<a:theme xmlns:a="http://schemas.openxmlformats.org/drawingml/2006/main" name="Office Theme">
  <a:themeElements>
    <a:clrScheme name="Expense Trends Budget">
      <a:dk1>
        <a:srgbClr val="000000"/>
      </a:dk1>
      <a:lt1>
        <a:srgbClr val="FFFFFF"/>
      </a:lt1>
      <a:dk2>
        <a:srgbClr val="000000"/>
      </a:dk2>
      <a:lt2>
        <a:srgbClr val="FFFFFF"/>
      </a:lt2>
      <a:accent1>
        <a:srgbClr val="97B9C7"/>
      </a:accent1>
      <a:accent2>
        <a:srgbClr val="FFCC4F"/>
      </a:accent2>
      <a:accent3>
        <a:srgbClr val="9AB294"/>
      </a:accent3>
      <a:accent4>
        <a:srgbClr val="F15926"/>
      </a:accent4>
      <a:accent5>
        <a:srgbClr val="906083"/>
      </a:accent5>
      <a:accent6>
        <a:srgbClr val="E89C2B"/>
      </a:accent6>
      <a:hlink>
        <a:srgbClr val="FFFFFF"/>
      </a:hlink>
      <a:folHlink>
        <a:srgbClr val="FFFFFF"/>
      </a:folHlink>
    </a:clrScheme>
    <a:fontScheme name="Expense Trends Budget">
      <a:majorFont>
        <a:latin typeface="Century Gothic"/>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theme/themeOverride1.xml><?xml version="1.0" encoding="utf-8"?>
<a:themeOverride xmlns:a="http://schemas.openxmlformats.org/drawingml/2006/main">
  <a:clrScheme name="Expense Trends Budget">
    <a:dk1>
      <a:srgbClr val="000000"/>
    </a:dk1>
    <a:lt1>
      <a:srgbClr val="FFFFFF"/>
    </a:lt1>
    <a:dk2>
      <a:srgbClr val="000000"/>
    </a:dk2>
    <a:lt2>
      <a:srgbClr val="FFFFFF"/>
    </a:lt2>
    <a:accent1>
      <a:srgbClr val="97B9C7"/>
    </a:accent1>
    <a:accent2>
      <a:srgbClr val="FFCC4F"/>
    </a:accent2>
    <a:accent3>
      <a:srgbClr val="9AB294"/>
    </a:accent3>
    <a:accent4>
      <a:srgbClr val="F15926"/>
    </a:accent4>
    <a:accent5>
      <a:srgbClr val="906083"/>
    </a:accent5>
    <a:accent6>
      <a:srgbClr val="E89C2B"/>
    </a:accent6>
    <a:hlink>
      <a:srgbClr val="FFFFFF"/>
    </a:hlink>
    <a:folHlink>
      <a:srgbClr val="FFFFFF"/>
    </a:folHlink>
  </a:clrScheme>
  <a:fontScheme name="Expense Trends Budget">
    <a:majorFont>
      <a:latin typeface="Century Gothic"/>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Overrid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trlProp" Target="../ctrlProps/ctrlProp1.xml"/></Relationships>
</file>

<file path=xl/worksheets/_rels/sheet2.xml.rels><?xml version="1.0" encoding="UTF-8" standalone="yes"?>
<Relationships xmlns="http://schemas.openxmlformats.org/package/2006/relationships"><Relationship Id="rId8" Type="http://schemas.openxmlformats.org/officeDocument/2006/relationships/ctrlProp" Target="../ctrlProps/ctrlProp7.xml"/><Relationship Id="rId13" Type="http://schemas.openxmlformats.org/officeDocument/2006/relationships/ctrlProp" Target="../ctrlProps/ctrlProp12.xml"/><Relationship Id="rId18" Type="http://schemas.openxmlformats.org/officeDocument/2006/relationships/ctrlProp" Target="../ctrlProps/ctrlProp17.xml"/><Relationship Id="rId26" Type="http://schemas.openxmlformats.org/officeDocument/2006/relationships/ctrlProp" Target="../ctrlProps/ctrlProp25.xml"/><Relationship Id="rId3" Type="http://schemas.openxmlformats.org/officeDocument/2006/relationships/ctrlProp" Target="../ctrlProps/ctrlProp2.xml"/><Relationship Id="rId21" Type="http://schemas.openxmlformats.org/officeDocument/2006/relationships/ctrlProp" Target="../ctrlProps/ctrlProp20.xml"/><Relationship Id="rId7" Type="http://schemas.openxmlformats.org/officeDocument/2006/relationships/ctrlProp" Target="../ctrlProps/ctrlProp6.xml"/><Relationship Id="rId12" Type="http://schemas.openxmlformats.org/officeDocument/2006/relationships/ctrlProp" Target="../ctrlProps/ctrlProp11.xml"/><Relationship Id="rId17" Type="http://schemas.openxmlformats.org/officeDocument/2006/relationships/ctrlProp" Target="../ctrlProps/ctrlProp16.xml"/><Relationship Id="rId25" Type="http://schemas.openxmlformats.org/officeDocument/2006/relationships/ctrlProp" Target="../ctrlProps/ctrlProp24.xml"/><Relationship Id="rId2" Type="http://schemas.openxmlformats.org/officeDocument/2006/relationships/vmlDrawing" Target="../drawings/vmlDrawing2.vml"/><Relationship Id="rId16" Type="http://schemas.openxmlformats.org/officeDocument/2006/relationships/ctrlProp" Target="../ctrlProps/ctrlProp15.xml"/><Relationship Id="rId20" Type="http://schemas.openxmlformats.org/officeDocument/2006/relationships/ctrlProp" Target="../ctrlProps/ctrlProp19.xml"/><Relationship Id="rId1" Type="http://schemas.openxmlformats.org/officeDocument/2006/relationships/drawing" Target="../drawings/drawing2.xml"/><Relationship Id="rId6" Type="http://schemas.openxmlformats.org/officeDocument/2006/relationships/ctrlProp" Target="../ctrlProps/ctrlProp5.xml"/><Relationship Id="rId11" Type="http://schemas.openxmlformats.org/officeDocument/2006/relationships/ctrlProp" Target="../ctrlProps/ctrlProp10.xml"/><Relationship Id="rId24" Type="http://schemas.openxmlformats.org/officeDocument/2006/relationships/ctrlProp" Target="../ctrlProps/ctrlProp23.xml"/><Relationship Id="rId5" Type="http://schemas.openxmlformats.org/officeDocument/2006/relationships/ctrlProp" Target="../ctrlProps/ctrlProp4.xml"/><Relationship Id="rId15" Type="http://schemas.openxmlformats.org/officeDocument/2006/relationships/ctrlProp" Target="../ctrlProps/ctrlProp14.xml"/><Relationship Id="rId23" Type="http://schemas.openxmlformats.org/officeDocument/2006/relationships/ctrlProp" Target="../ctrlProps/ctrlProp22.xml"/><Relationship Id="rId10" Type="http://schemas.openxmlformats.org/officeDocument/2006/relationships/ctrlProp" Target="../ctrlProps/ctrlProp9.xml"/><Relationship Id="rId19" Type="http://schemas.openxmlformats.org/officeDocument/2006/relationships/ctrlProp" Target="../ctrlProps/ctrlProp18.xml"/><Relationship Id="rId4" Type="http://schemas.openxmlformats.org/officeDocument/2006/relationships/ctrlProp" Target="../ctrlProps/ctrlProp3.xml"/><Relationship Id="rId9" Type="http://schemas.openxmlformats.org/officeDocument/2006/relationships/ctrlProp" Target="../ctrlProps/ctrlProp8.xml"/><Relationship Id="rId14" Type="http://schemas.openxmlformats.org/officeDocument/2006/relationships/ctrlProp" Target="../ctrlProps/ctrlProp13.xml"/><Relationship Id="rId22" Type="http://schemas.openxmlformats.org/officeDocument/2006/relationships/ctrlProp" Target="../ctrlProps/ctrlProp21.xml"/><Relationship Id="rId27" Type="http://schemas.openxmlformats.org/officeDocument/2006/relationships/ctrlProp" Target="../ctrlProps/ctrlProp26.xml"/></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ivotTable" Target="../pivotTables/pivotTable1.xml"/></Relationships>
</file>

<file path=xl/worksheets/_rels/sheet5.xml.rels><?xml version="1.0" encoding="UTF-8" standalone="yes"?>
<Relationships xmlns="http://schemas.openxmlformats.org/package/2006/relationships"><Relationship Id="rId3" Type="http://schemas.openxmlformats.org/officeDocument/2006/relationships/ctrlProp" Target="../ctrlProps/ctrlProp27.xml"/><Relationship Id="rId7" Type="http://schemas.openxmlformats.org/officeDocument/2006/relationships/table" Target="../tables/table1.xml"/><Relationship Id="rId2" Type="http://schemas.openxmlformats.org/officeDocument/2006/relationships/vmlDrawing" Target="../drawings/vmlDrawing3.vml"/><Relationship Id="rId1" Type="http://schemas.openxmlformats.org/officeDocument/2006/relationships/drawing" Target="../drawings/drawing4.xml"/><Relationship Id="rId6" Type="http://schemas.openxmlformats.org/officeDocument/2006/relationships/ctrlProp" Target="../ctrlProps/ctrlProp30.xml"/><Relationship Id="rId5" Type="http://schemas.openxmlformats.org/officeDocument/2006/relationships/ctrlProp" Target="../ctrlProps/ctrlProp29.xml"/><Relationship Id="rId4" Type="http://schemas.openxmlformats.org/officeDocument/2006/relationships/ctrlProp" Target="../ctrlProps/ctrlProp28.xml"/></Relationships>
</file>

<file path=xl/worksheets/_rels/sheet6.xml.rels><?xml version="1.0" encoding="UTF-8" standalone="yes"?>
<Relationships xmlns="http://schemas.openxmlformats.org/package/2006/relationships"><Relationship Id="rId8" Type="http://schemas.openxmlformats.org/officeDocument/2006/relationships/table" Target="../tables/table6.xml"/><Relationship Id="rId13" Type="http://schemas.openxmlformats.org/officeDocument/2006/relationships/table" Target="../tables/table11.xml"/><Relationship Id="rId18" Type="http://schemas.openxmlformats.org/officeDocument/2006/relationships/table" Target="../tables/table16.xml"/><Relationship Id="rId26" Type="http://schemas.openxmlformats.org/officeDocument/2006/relationships/table" Target="../tables/table24.xml"/><Relationship Id="rId3" Type="http://schemas.openxmlformats.org/officeDocument/2006/relationships/ctrlProp" Target="../ctrlProps/ctrlProp31.xml"/><Relationship Id="rId21" Type="http://schemas.openxmlformats.org/officeDocument/2006/relationships/table" Target="../tables/table19.xml"/><Relationship Id="rId7" Type="http://schemas.openxmlformats.org/officeDocument/2006/relationships/table" Target="../tables/table5.xml"/><Relationship Id="rId12" Type="http://schemas.openxmlformats.org/officeDocument/2006/relationships/table" Target="../tables/table10.xml"/><Relationship Id="rId17" Type="http://schemas.openxmlformats.org/officeDocument/2006/relationships/table" Target="../tables/table15.xml"/><Relationship Id="rId25" Type="http://schemas.openxmlformats.org/officeDocument/2006/relationships/table" Target="../tables/table23.xml"/><Relationship Id="rId33" Type="http://schemas.openxmlformats.org/officeDocument/2006/relationships/table" Target="../tables/table31.xml"/><Relationship Id="rId2" Type="http://schemas.openxmlformats.org/officeDocument/2006/relationships/vmlDrawing" Target="../drawings/vmlDrawing4.vml"/><Relationship Id="rId16" Type="http://schemas.openxmlformats.org/officeDocument/2006/relationships/table" Target="../tables/table14.xml"/><Relationship Id="rId20" Type="http://schemas.openxmlformats.org/officeDocument/2006/relationships/table" Target="../tables/table18.xml"/><Relationship Id="rId29" Type="http://schemas.openxmlformats.org/officeDocument/2006/relationships/table" Target="../tables/table27.xml"/><Relationship Id="rId1" Type="http://schemas.openxmlformats.org/officeDocument/2006/relationships/drawing" Target="../drawings/drawing5.xml"/><Relationship Id="rId6" Type="http://schemas.openxmlformats.org/officeDocument/2006/relationships/table" Target="../tables/table4.xml"/><Relationship Id="rId11" Type="http://schemas.openxmlformats.org/officeDocument/2006/relationships/table" Target="../tables/table9.xml"/><Relationship Id="rId24" Type="http://schemas.openxmlformats.org/officeDocument/2006/relationships/table" Target="../tables/table22.xml"/><Relationship Id="rId32" Type="http://schemas.openxmlformats.org/officeDocument/2006/relationships/table" Target="../tables/table30.xml"/><Relationship Id="rId5" Type="http://schemas.openxmlformats.org/officeDocument/2006/relationships/table" Target="../tables/table3.xml"/><Relationship Id="rId15" Type="http://schemas.openxmlformats.org/officeDocument/2006/relationships/table" Target="../tables/table13.xml"/><Relationship Id="rId23" Type="http://schemas.openxmlformats.org/officeDocument/2006/relationships/table" Target="../tables/table21.xml"/><Relationship Id="rId28" Type="http://schemas.openxmlformats.org/officeDocument/2006/relationships/table" Target="../tables/table26.xml"/><Relationship Id="rId10" Type="http://schemas.openxmlformats.org/officeDocument/2006/relationships/table" Target="../tables/table8.xml"/><Relationship Id="rId19" Type="http://schemas.openxmlformats.org/officeDocument/2006/relationships/table" Target="../tables/table17.xml"/><Relationship Id="rId31" Type="http://schemas.openxmlformats.org/officeDocument/2006/relationships/table" Target="../tables/table29.xml"/><Relationship Id="rId4" Type="http://schemas.openxmlformats.org/officeDocument/2006/relationships/table" Target="../tables/table2.xml"/><Relationship Id="rId9" Type="http://schemas.openxmlformats.org/officeDocument/2006/relationships/table" Target="../tables/table7.xml"/><Relationship Id="rId14" Type="http://schemas.openxmlformats.org/officeDocument/2006/relationships/table" Target="../tables/table12.xml"/><Relationship Id="rId22" Type="http://schemas.openxmlformats.org/officeDocument/2006/relationships/table" Target="../tables/table20.xml"/><Relationship Id="rId27" Type="http://schemas.openxmlformats.org/officeDocument/2006/relationships/table" Target="../tables/table25.xml"/><Relationship Id="rId30" Type="http://schemas.openxmlformats.org/officeDocument/2006/relationships/table" Target="../tables/table28.xml"/></Relationships>
</file>

<file path=xl/worksheets/_rels/sheet7.xml.rels><?xml version="1.0" encoding="UTF-8" standalone="yes"?>
<Relationships xmlns="http://schemas.openxmlformats.org/package/2006/relationships"><Relationship Id="rId3" Type="http://schemas.openxmlformats.org/officeDocument/2006/relationships/vmlDrawing" Target="../drawings/vmlDrawing5.vml"/><Relationship Id="rId2" Type="http://schemas.openxmlformats.org/officeDocument/2006/relationships/drawing" Target="../drawings/drawing6.xml"/><Relationship Id="rId1" Type="http://schemas.openxmlformats.org/officeDocument/2006/relationships/printerSettings" Target="../printerSettings/printerSettings3.bin"/><Relationship Id="rId6" Type="http://schemas.openxmlformats.org/officeDocument/2006/relationships/table" Target="../tables/table32.xml"/><Relationship Id="rId5" Type="http://schemas.openxmlformats.org/officeDocument/2006/relationships/ctrlProp" Target="../ctrlProps/ctrlProp33.xml"/><Relationship Id="rId4" Type="http://schemas.openxmlformats.org/officeDocument/2006/relationships/ctrlProp" Target="../ctrlProps/ctrlProp32.xml"/></Relationships>
</file>

<file path=xl/worksheets/_rels/sheet8.xml.rels><?xml version="1.0" encoding="UTF-8" standalone="yes"?>
<Relationships xmlns="http://schemas.openxmlformats.org/package/2006/relationships"><Relationship Id="rId3" Type="http://schemas.openxmlformats.org/officeDocument/2006/relationships/ctrlProp" Target="../ctrlProps/ctrlProp34.xml"/><Relationship Id="rId2" Type="http://schemas.openxmlformats.org/officeDocument/2006/relationships/vmlDrawing" Target="../drawings/vmlDrawing6.vml"/><Relationship Id="rId1" Type="http://schemas.openxmlformats.org/officeDocument/2006/relationships/drawing" Target="../drawings/drawing7.xml"/><Relationship Id="rId4" Type="http://schemas.openxmlformats.org/officeDocument/2006/relationships/table" Target="../tables/table33.xml"/></Relationships>
</file>

<file path=xl/worksheets/_rels/sheet9.xml.rels><?xml version="1.0" encoding="UTF-8" standalone="yes"?>
<Relationships xmlns="http://schemas.openxmlformats.org/package/2006/relationships"><Relationship Id="rId3" Type="http://schemas.openxmlformats.org/officeDocument/2006/relationships/ctrlProp" Target="../ctrlProps/ctrlProp35.xml"/><Relationship Id="rId2" Type="http://schemas.openxmlformats.org/officeDocument/2006/relationships/vmlDrawing" Target="../drawings/vmlDrawing7.vml"/><Relationship Id="rId1" Type="http://schemas.openxmlformats.org/officeDocument/2006/relationships/drawing" Target="../drawings/drawing8.xml"/></Relationships>
</file>

<file path=xl/worksheets/_rels/sheet10.xml.rels><?xml version="1.0" encoding="UTF-8" standalone="yes"?>
<Relationships xmlns="http://schemas.openxmlformats.org/package/2006/relationships"><Relationship Id="rId3" Type="http://schemas.openxmlformats.org/officeDocument/2006/relationships/ctrlProp" Target="../ctrlProps/ctrlProp36.xml"/><Relationship Id="rId2" Type="http://schemas.openxmlformats.org/officeDocument/2006/relationships/vmlDrawing" Target="../drawings/vmlDrawing8.vml"/><Relationship Id="rId1" Type="http://schemas.openxmlformats.org/officeDocument/2006/relationships/drawing" Target="../drawings/drawing9.xml"/><Relationship Id="rId5" Type="http://schemas.openxmlformats.org/officeDocument/2006/relationships/table" Target="../tables/table34.xml"/><Relationship Id="rId4" Type="http://schemas.openxmlformats.org/officeDocument/2006/relationships/ctrlProp" Target="../ctrlProps/ctrlProp37.xml"/></Relationships>
</file>

<file path=xl/worksheets/_rels/sheet11.xml.rels><?xml version="1.0" encoding="UTF-8" standalone="yes"?>
<Relationships xmlns="http://schemas.openxmlformats.org/package/2006/relationships"><Relationship Id="rId3" Type="http://schemas.openxmlformats.org/officeDocument/2006/relationships/vmlDrawing" Target="../drawings/vmlDrawing9.vml"/><Relationship Id="rId2" Type="http://schemas.openxmlformats.org/officeDocument/2006/relationships/drawing" Target="../drawings/drawing10.xml"/><Relationship Id="rId1" Type="http://schemas.openxmlformats.org/officeDocument/2006/relationships/printerSettings" Target="../printerSettings/printerSettings4.bin"/><Relationship Id="rId5" Type="http://schemas.openxmlformats.org/officeDocument/2006/relationships/table" Target="../tables/table35.xml"/><Relationship Id="rId4" Type="http://schemas.openxmlformats.org/officeDocument/2006/relationships/ctrlProp" Target="../ctrlProps/ctrlProp38.xml"/></Relationships>
</file>

<file path=xl/worksheets/_rels/sheet12.xml.rels><?xml version="1.0" encoding="UTF-8" standalone="yes"?>
<Relationships xmlns="http://schemas.openxmlformats.org/package/2006/relationships"><Relationship Id="rId3" Type="http://schemas.openxmlformats.org/officeDocument/2006/relationships/ctrlProp" Target="../ctrlProps/ctrlProp39.xml"/><Relationship Id="rId2" Type="http://schemas.openxmlformats.org/officeDocument/2006/relationships/vmlDrawing" Target="../drawings/vmlDrawing10.vml"/><Relationship Id="rId1" Type="http://schemas.openxmlformats.org/officeDocument/2006/relationships/drawing" Target="../drawings/drawing11.xml"/><Relationship Id="rId4" Type="http://schemas.openxmlformats.org/officeDocument/2006/relationships/table" Target="../tables/table36.xml"/></Relationships>
</file>

<file path=xl/worksheets/_rels/sheet13.xml.rels><?xml version="1.0" encoding="UTF-8" standalone="yes"?>
<Relationships xmlns="http://schemas.openxmlformats.org/package/2006/relationships"><Relationship Id="rId3" Type="http://schemas.openxmlformats.org/officeDocument/2006/relationships/ctrlProp" Target="../ctrlProps/ctrlProp40.xml"/><Relationship Id="rId2" Type="http://schemas.openxmlformats.org/officeDocument/2006/relationships/vmlDrawing" Target="../drawings/vmlDrawing11.vml"/><Relationship Id="rId1" Type="http://schemas.openxmlformats.org/officeDocument/2006/relationships/drawing" Target="../drawings/drawing12.xml"/><Relationship Id="rId4" Type="http://schemas.openxmlformats.org/officeDocument/2006/relationships/table" Target="../tables/table37.xml"/></Relationships>
</file>

<file path=xl/worksheets/_rels/sheet14.xml.rels><?xml version="1.0" encoding="UTF-8" standalone="yes"?>
<Relationships xmlns="http://schemas.openxmlformats.org/package/2006/relationships"><Relationship Id="rId3" Type="http://schemas.openxmlformats.org/officeDocument/2006/relationships/ctrlProp" Target="../ctrlProps/ctrlProp41.xml"/><Relationship Id="rId2" Type="http://schemas.openxmlformats.org/officeDocument/2006/relationships/vmlDrawing" Target="../drawings/vmlDrawing12.vml"/><Relationship Id="rId1" Type="http://schemas.openxmlformats.org/officeDocument/2006/relationships/drawing" Target="../drawings/drawing13.xml"/><Relationship Id="rId4" Type="http://schemas.openxmlformats.org/officeDocument/2006/relationships/table" Target="../tables/table38.xml"/></Relationships>
</file>

<file path=xl/worksheets/_rels/sheet15.xml.rels><?xml version="1.0" encoding="UTF-8" standalone="yes"?>
<Relationships xmlns="http://schemas.openxmlformats.org/package/2006/relationships"><Relationship Id="rId3" Type="http://schemas.openxmlformats.org/officeDocument/2006/relationships/ctrlProp" Target="../ctrlProps/ctrlProp42.xml"/><Relationship Id="rId2" Type="http://schemas.openxmlformats.org/officeDocument/2006/relationships/vmlDrawing" Target="../drawings/vmlDrawing13.vml"/><Relationship Id="rId1" Type="http://schemas.openxmlformats.org/officeDocument/2006/relationships/drawing" Target="../drawings/drawing14.xml"/></Relationships>
</file>

<file path=xl/worksheets/_rels/sheet16.xml.rels><?xml version="1.0" encoding="UTF-8" standalone="yes"?>
<Relationships xmlns="http://schemas.openxmlformats.org/package/2006/relationships"><Relationship Id="rId2" Type="http://schemas.openxmlformats.org/officeDocument/2006/relationships/table" Target="../tables/table39.xml"/><Relationship Id="rId1" Type="http://schemas.openxmlformats.org/officeDocument/2006/relationships/drawing" Target="../drawings/drawing15.xml"/></Relationships>
</file>

<file path=xl/worksheets/_rels/sheet17.xml.rels><?xml version="1.0" encoding="UTF-8" standalone="yes"?>
<Relationships xmlns="http://schemas.openxmlformats.org/package/2006/relationships"><Relationship Id="rId3" Type="http://schemas.openxmlformats.org/officeDocument/2006/relationships/vmlDrawing" Target="../drawings/vmlDrawing14.vml"/><Relationship Id="rId2" Type="http://schemas.openxmlformats.org/officeDocument/2006/relationships/drawing" Target="../drawings/drawing16.xml"/><Relationship Id="rId1" Type="http://schemas.openxmlformats.org/officeDocument/2006/relationships/printerSettings" Target="../printerSettings/printerSettings5.bin"/><Relationship Id="rId5" Type="http://schemas.openxmlformats.org/officeDocument/2006/relationships/table" Target="../tables/table40.xml"/><Relationship Id="rId4" Type="http://schemas.openxmlformats.org/officeDocument/2006/relationships/ctrlProp" Target="../ctrlProps/ctrlProp43.xml"/></Relationships>
</file>

<file path=xl/worksheets/_rels/sheet18.xml.rels><?xml version="1.0" encoding="UTF-8" standalone="yes"?>
<Relationships xmlns="http://schemas.openxmlformats.org/package/2006/relationships"><Relationship Id="rId3" Type="http://schemas.openxmlformats.org/officeDocument/2006/relationships/vmlDrawing" Target="../drawings/vmlDrawing15.vml"/><Relationship Id="rId7" Type="http://schemas.openxmlformats.org/officeDocument/2006/relationships/table" Target="../tables/table43.xml"/><Relationship Id="rId2" Type="http://schemas.openxmlformats.org/officeDocument/2006/relationships/drawing" Target="../drawings/drawing17.xml"/><Relationship Id="rId1" Type="http://schemas.openxmlformats.org/officeDocument/2006/relationships/printerSettings" Target="../printerSettings/printerSettings6.bin"/><Relationship Id="rId6" Type="http://schemas.openxmlformats.org/officeDocument/2006/relationships/table" Target="../tables/table42.xml"/><Relationship Id="rId5" Type="http://schemas.openxmlformats.org/officeDocument/2006/relationships/table" Target="../tables/table41.xml"/><Relationship Id="rId4" Type="http://schemas.openxmlformats.org/officeDocument/2006/relationships/ctrlProp" Target="../ctrlProps/ctrlProp44.xml"/></Relationships>
</file>

<file path=xl/worksheets/_rels/sheet19.xml.rels><?xml version="1.0" encoding="UTF-8" standalone="yes"?>
<Relationships xmlns="http://schemas.openxmlformats.org/package/2006/relationships"><Relationship Id="rId3" Type="http://schemas.openxmlformats.org/officeDocument/2006/relationships/ctrlProp" Target="../ctrlProps/ctrlProp45.xml"/><Relationship Id="rId2" Type="http://schemas.openxmlformats.org/officeDocument/2006/relationships/vmlDrawing" Target="../drawings/vmlDrawing16.vml"/><Relationship Id="rId1" Type="http://schemas.openxmlformats.org/officeDocument/2006/relationships/drawing" Target="../drawings/drawing18.xml"/></Relationships>
</file>

<file path=xl/worksheets/_rels/sheet20.xml.rels><?xml version="1.0" encoding="UTF-8" standalone="yes"?>
<Relationships xmlns="http://schemas.openxmlformats.org/package/2006/relationships"><Relationship Id="rId3" Type="http://schemas.openxmlformats.org/officeDocument/2006/relationships/vmlDrawing" Target="../drawings/vmlDrawing17.vml"/><Relationship Id="rId2" Type="http://schemas.openxmlformats.org/officeDocument/2006/relationships/drawing" Target="../drawings/drawing19.xml"/><Relationship Id="rId1" Type="http://schemas.openxmlformats.org/officeDocument/2006/relationships/printerSettings" Target="../printerSettings/printerSettings7.bin"/><Relationship Id="rId4" Type="http://schemas.openxmlformats.org/officeDocument/2006/relationships/ctrlProp" Target="../ctrlProps/ctrlProp46.xml"/></Relationships>
</file>

<file path=xl/worksheets/_rels/sheet21.xml.rels><?xml version="1.0" encoding="UTF-8" standalone="yes"?>
<Relationships xmlns="http://schemas.openxmlformats.org/package/2006/relationships"><Relationship Id="rId3" Type="http://schemas.openxmlformats.org/officeDocument/2006/relationships/vmlDrawing" Target="../drawings/vmlDrawing18.vml"/><Relationship Id="rId2" Type="http://schemas.openxmlformats.org/officeDocument/2006/relationships/drawing" Target="../drawings/drawing20.xml"/><Relationship Id="rId1" Type="http://schemas.openxmlformats.org/officeDocument/2006/relationships/printerSettings" Target="../printerSettings/printerSettings8.bin"/><Relationship Id="rId4" Type="http://schemas.openxmlformats.org/officeDocument/2006/relationships/ctrlProp" Target="../ctrlProps/ctrlProp47.xml"/></Relationships>
</file>

<file path=xl/worksheets/_rels/sheet22.xml.rels><?xml version="1.0" encoding="UTF-8" standalone="yes"?>
<Relationships xmlns="http://schemas.openxmlformats.org/package/2006/relationships"><Relationship Id="rId8" Type="http://schemas.openxmlformats.org/officeDocument/2006/relationships/table" Target="../tables/table47.xml"/><Relationship Id="rId3" Type="http://schemas.openxmlformats.org/officeDocument/2006/relationships/vmlDrawing" Target="../drawings/vmlDrawing19.vml"/><Relationship Id="rId7" Type="http://schemas.openxmlformats.org/officeDocument/2006/relationships/table" Target="../tables/table46.xml"/><Relationship Id="rId2" Type="http://schemas.openxmlformats.org/officeDocument/2006/relationships/drawing" Target="../drawings/drawing21.xml"/><Relationship Id="rId1" Type="http://schemas.openxmlformats.org/officeDocument/2006/relationships/printerSettings" Target="../printerSettings/printerSettings9.bin"/><Relationship Id="rId6" Type="http://schemas.openxmlformats.org/officeDocument/2006/relationships/table" Target="../tables/table45.xml"/><Relationship Id="rId5" Type="http://schemas.openxmlformats.org/officeDocument/2006/relationships/table" Target="../tables/table44.xml"/><Relationship Id="rId4" Type="http://schemas.openxmlformats.org/officeDocument/2006/relationships/ctrlProp" Target="../ctrlProps/ctrlProp48.xml"/></Relationships>
</file>

<file path=xl/worksheets/_rels/sheet23.xml.rels><?xml version="1.0" encoding="UTF-8" standalone="yes"?>
<Relationships xmlns="http://schemas.openxmlformats.org/package/2006/relationships"><Relationship Id="rId3" Type="http://schemas.openxmlformats.org/officeDocument/2006/relationships/vmlDrawing" Target="../drawings/vmlDrawing20.vml"/><Relationship Id="rId2" Type="http://schemas.openxmlformats.org/officeDocument/2006/relationships/drawing" Target="../drawings/drawing22.xml"/><Relationship Id="rId1" Type="http://schemas.openxmlformats.org/officeDocument/2006/relationships/printerSettings" Target="../printerSettings/printerSettings10.bin"/><Relationship Id="rId4" Type="http://schemas.openxmlformats.org/officeDocument/2006/relationships/ctrlProp" Target="../ctrlProps/ctrlProp49.xml"/></Relationships>
</file>

<file path=xl/worksheets/_rels/sheet24.xml.rels><?xml version="1.0" encoding="UTF-8" standalone="yes"?>
<Relationships xmlns="http://schemas.openxmlformats.org/package/2006/relationships"><Relationship Id="rId3" Type="http://schemas.openxmlformats.org/officeDocument/2006/relationships/ctrlProp" Target="../ctrlProps/ctrlProp50.xml"/><Relationship Id="rId2" Type="http://schemas.openxmlformats.org/officeDocument/2006/relationships/vmlDrawing" Target="../drawings/vmlDrawing21.vml"/><Relationship Id="rId1" Type="http://schemas.openxmlformats.org/officeDocument/2006/relationships/drawing" Target="../drawings/drawing23.xml"/><Relationship Id="rId4" Type="http://schemas.openxmlformats.org/officeDocument/2006/relationships/table" Target="../tables/table48.xml"/></Relationships>
</file>

<file path=xl/worksheets/_rels/sheet25.xml.rels><?xml version="1.0" encoding="UTF-8" standalone="yes"?>
<Relationships xmlns="http://schemas.openxmlformats.org/package/2006/relationships"><Relationship Id="rId3" Type="http://schemas.openxmlformats.org/officeDocument/2006/relationships/vmlDrawing" Target="../drawings/vmlDrawing22.vml"/><Relationship Id="rId2" Type="http://schemas.openxmlformats.org/officeDocument/2006/relationships/drawing" Target="../drawings/drawing24.xml"/><Relationship Id="rId1" Type="http://schemas.openxmlformats.org/officeDocument/2006/relationships/printerSettings" Target="../printerSettings/printerSettings11.bin"/><Relationship Id="rId5" Type="http://schemas.openxmlformats.org/officeDocument/2006/relationships/table" Target="../tables/table49.xml"/><Relationship Id="rId4" Type="http://schemas.openxmlformats.org/officeDocument/2006/relationships/ctrlProp" Target="../ctrlProps/ctrlProp51.xml"/></Relationships>
</file>

<file path=xl/worksheets/_rels/sheet26.xml.rels><?xml version="1.0" encoding="UTF-8" standalone="yes"?>
<Relationships xmlns="http://schemas.openxmlformats.org/package/2006/relationships"><Relationship Id="rId8" Type="http://schemas.openxmlformats.org/officeDocument/2006/relationships/table" Target="../tables/table55.xml"/><Relationship Id="rId3" Type="http://schemas.openxmlformats.org/officeDocument/2006/relationships/table" Target="../tables/table50.xml"/><Relationship Id="rId7" Type="http://schemas.openxmlformats.org/officeDocument/2006/relationships/table" Target="../tables/table54.xml"/><Relationship Id="rId2" Type="http://schemas.openxmlformats.org/officeDocument/2006/relationships/drawing" Target="../drawings/drawing25.xml"/><Relationship Id="rId1" Type="http://schemas.openxmlformats.org/officeDocument/2006/relationships/printerSettings" Target="../printerSettings/printerSettings12.bin"/><Relationship Id="rId6" Type="http://schemas.openxmlformats.org/officeDocument/2006/relationships/table" Target="../tables/table53.xml"/><Relationship Id="rId5" Type="http://schemas.openxmlformats.org/officeDocument/2006/relationships/table" Target="../tables/table52.xml"/><Relationship Id="rId4" Type="http://schemas.openxmlformats.org/officeDocument/2006/relationships/table" Target="../tables/table51.xml"/><Relationship Id="rId9" Type="http://schemas.openxmlformats.org/officeDocument/2006/relationships/table" Target="../tables/table56.xml"/></Relationships>
</file>

<file path=xl/worksheets/_rels/sheet27.xml.rels><?xml version="1.0" encoding="UTF-8" standalone="yes"?>
<Relationships xmlns="http://schemas.openxmlformats.org/package/2006/relationships"><Relationship Id="rId3" Type="http://schemas.openxmlformats.org/officeDocument/2006/relationships/vmlDrawing" Target="../drawings/vmlDrawing23.vml"/><Relationship Id="rId2" Type="http://schemas.openxmlformats.org/officeDocument/2006/relationships/drawing" Target="../drawings/drawing26.xml"/><Relationship Id="rId1" Type="http://schemas.openxmlformats.org/officeDocument/2006/relationships/printerSettings" Target="../printerSettings/printerSettings13.bin"/><Relationship Id="rId5" Type="http://schemas.openxmlformats.org/officeDocument/2006/relationships/table" Target="../tables/table57.xml"/><Relationship Id="rId4" Type="http://schemas.openxmlformats.org/officeDocument/2006/relationships/ctrlProp" Target="../ctrlProps/ctrlProp52.xml"/></Relationships>
</file>

<file path=xl/worksheets/_rels/sheet28.xml.rels><?xml version="1.0" encoding="UTF-8" standalone="yes"?>
<Relationships xmlns="http://schemas.openxmlformats.org/package/2006/relationships"><Relationship Id="rId3" Type="http://schemas.openxmlformats.org/officeDocument/2006/relationships/vmlDrawing" Target="../drawings/vmlDrawing24.vml"/><Relationship Id="rId2" Type="http://schemas.openxmlformats.org/officeDocument/2006/relationships/drawing" Target="../drawings/drawing27.xml"/><Relationship Id="rId1" Type="http://schemas.openxmlformats.org/officeDocument/2006/relationships/printerSettings" Target="../printerSettings/printerSettings14.bin"/><Relationship Id="rId4" Type="http://schemas.openxmlformats.org/officeDocument/2006/relationships/ctrlProp" Target="../ctrlProps/ctrlProp53.xml"/></Relationships>
</file>

<file path=xl/worksheets/_rels/sheet29.xml.rels><?xml version="1.0" encoding="UTF-8" standalone="yes"?>
<Relationships xmlns="http://schemas.openxmlformats.org/package/2006/relationships"><Relationship Id="rId3" Type="http://schemas.openxmlformats.org/officeDocument/2006/relationships/vmlDrawing" Target="../drawings/vmlDrawing25.vml"/><Relationship Id="rId2" Type="http://schemas.openxmlformats.org/officeDocument/2006/relationships/drawing" Target="../drawings/drawing28.xml"/><Relationship Id="rId1" Type="http://schemas.openxmlformats.org/officeDocument/2006/relationships/printerSettings" Target="../printerSettings/printerSettings15.bin"/><Relationship Id="rId5" Type="http://schemas.openxmlformats.org/officeDocument/2006/relationships/table" Target="../tables/table58.xml"/><Relationship Id="rId4" Type="http://schemas.openxmlformats.org/officeDocument/2006/relationships/ctrlProp" Target="../ctrlProps/ctrlProp54.xml"/></Relationships>
</file>

<file path=xl/worksheets/_rels/sheet30.xml.rels><?xml version="1.0" encoding="UTF-8" standalone="yes"?>
<Relationships xmlns="http://schemas.openxmlformats.org/package/2006/relationships"><Relationship Id="rId8" Type="http://schemas.openxmlformats.org/officeDocument/2006/relationships/table" Target="../tables/table63.xml"/><Relationship Id="rId13" Type="http://schemas.openxmlformats.org/officeDocument/2006/relationships/table" Target="../tables/table68.xml"/><Relationship Id="rId3" Type="http://schemas.openxmlformats.org/officeDocument/2006/relationships/ctrlProp" Target="../ctrlProps/ctrlProp55.xml"/><Relationship Id="rId7" Type="http://schemas.openxmlformats.org/officeDocument/2006/relationships/table" Target="../tables/table62.xml"/><Relationship Id="rId12" Type="http://schemas.openxmlformats.org/officeDocument/2006/relationships/table" Target="../tables/table67.xml"/><Relationship Id="rId17" Type="http://schemas.openxmlformats.org/officeDocument/2006/relationships/table" Target="../tables/table72.xml"/><Relationship Id="rId2" Type="http://schemas.openxmlformats.org/officeDocument/2006/relationships/vmlDrawing" Target="../drawings/vmlDrawing26.vml"/><Relationship Id="rId16" Type="http://schemas.openxmlformats.org/officeDocument/2006/relationships/table" Target="../tables/table71.xml"/><Relationship Id="rId1" Type="http://schemas.openxmlformats.org/officeDocument/2006/relationships/drawing" Target="../drawings/drawing29.xml"/><Relationship Id="rId6" Type="http://schemas.openxmlformats.org/officeDocument/2006/relationships/table" Target="../tables/table61.xml"/><Relationship Id="rId11" Type="http://schemas.openxmlformats.org/officeDocument/2006/relationships/table" Target="../tables/table66.xml"/><Relationship Id="rId5" Type="http://schemas.openxmlformats.org/officeDocument/2006/relationships/table" Target="../tables/table60.xml"/><Relationship Id="rId15" Type="http://schemas.openxmlformats.org/officeDocument/2006/relationships/table" Target="../tables/table70.xml"/><Relationship Id="rId10" Type="http://schemas.openxmlformats.org/officeDocument/2006/relationships/table" Target="../tables/table65.xml"/><Relationship Id="rId4" Type="http://schemas.openxmlformats.org/officeDocument/2006/relationships/table" Target="../tables/table59.xml"/><Relationship Id="rId9" Type="http://schemas.openxmlformats.org/officeDocument/2006/relationships/table" Target="../tables/table64.xml"/><Relationship Id="rId14" Type="http://schemas.openxmlformats.org/officeDocument/2006/relationships/table" Target="../tables/table69.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tabColor theme="3"/>
    <pageSetUpPr autoPageBreaks="0" fitToPage="1"/>
  </sheetPr>
  <dimension ref="A2:W538"/>
  <sheetViews>
    <sheetView showGridLines="0" zoomScale="90" zoomScaleNormal="90" zoomScalePageLayoutView="90" workbookViewId="0">
      <selection activeCell="W7" sqref="W7"/>
    </sheetView>
  </sheetViews>
  <sheetFormatPr baseColWidth="10" defaultColWidth="9.140625" defaultRowHeight="14.25"/>
  <cols>
    <col min="1" max="1" width="3.140625" style="8" customWidth="1"/>
    <col min="2" max="2" width="4" style="8" customWidth="1"/>
    <col min="3" max="3" width="3.85546875" style="8" customWidth="1"/>
    <col min="4" max="10" width="7.85546875" style="8" customWidth="1"/>
    <col min="11" max="11" width="16.5703125" style="8" customWidth="1"/>
    <col min="12" max="12" width="7.85546875" style="8" customWidth="1"/>
    <col min="13" max="13" width="21.85546875" style="8" customWidth="1"/>
    <col min="14" max="14" width="5.85546875" style="8" customWidth="1"/>
    <col min="15" max="16" width="9.140625" style="8"/>
    <col min="17" max="17" width="4" style="8" customWidth="1"/>
    <col min="18" max="16384" width="9.140625" style="8"/>
  </cols>
  <sheetData>
    <row r="2" spans="1:23" ht="31.5">
      <c r="B2" s="2" t="s">
        <v>162</v>
      </c>
    </row>
    <row r="3" spans="1:23" ht="14.1" customHeight="1"/>
    <row r="4" spans="1:23" ht="27" customHeight="1">
      <c r="B4" s="531" t="s">
        <v>161</v>
      </c>
      <c r="C4" s="531"/>
      <c r="D4" s="531"/>
      <c r="E4" s="531"/>
      <c r="F4" s="531"/>
      <c r="G4" s="531"/>
      <c r="H4" s="531"/>
      <c r="I4" s="531"/>
      <c r="J4" s="531"/>
      <c r="K4" s="531"/>
      <c r="L4" s="531"/>
      <c r="M4" s="531"/>
      <c r="N4" s="531"/>
      <c r="O4" s="531"/>
      <c r="P4" s="531"/>
      <c r="Q4" s="531"/>
    </row>
    <row r="5" spans="1:23" ht="57.75" customHeight="1">
      <c r="C5" s="537" t="s">
        <v>163</v>
      </c>
      <c r="D5" s="538"/>
      <c r="E5" s="538"/>
      <c r="F5" s="538"/>
      <c r="G5" s="538"/>
      <c r="H5" s="538"/>
      <c r="I5" s="538"/>
      <c r="J5" s="538"/>
      <c r="K5" s="538"/>
      <c r="L5" s="538"/>
      <c r="M5" s="538"/>
      <c r="N5" s="538"/>
      <c r="O5" s="538"/>
      <c r="P5" s="538"/>
    </row>
    <row r="6" spans="1:23" ht="27" customHeight="1">
      <c r="B6" s="531" t="s">
        <v>164</v>
      </c>
      <c r="C6" s="531"/>
      <c r="D6" s="531"/>
      <c r="E6" s="531"/>
      <c r="F6" s="531"/>
      <c r="G6" s="531"/>
      <c r="H6" s="531"/>
      <c r="I6" s="531"/>
      <c r="J6" s="531"/>
      <c r="K6" s="531"/>
      <c r="L6" s="531"/>
      <c r="M6" s="531"/>
      <c r="N6" s="531"/>
      <c r="O6" s="531"/>
      <c r="P6" s="531"/>
      <c r="Q6" s="531"/>
    </row>
    <row r="7" spans="1:23" ht="41.25" customHeight="1">
      <c r="C7" s="537" t="s">
        <v>165</v>
      </c>
      <c r="D7" s="538"/>
      <c r="E7" s="538"/>
      <c r="F7" s="538"/>
      <c r="G7" s="538"/>
      <c r="H7" s="538"/>
      <c r="I7" s="538"/>
      <c r="J7" s="538"/>
      <c r="K7" s="538"/>
      <c r="L7" s="538"/>
      <c r="M7" s="538"/>
      <c r="N7" s="538"/>
      <c r="O7" s="538"/>
      <c r="P7" s="538"/>
    </row>
    <row r="8" spans="1:23" ht="36" customHeight="1">
      <c r="C8" s="9" t="s">
        <v>2</v>
      </c>
      <c r="D8" s="535" t="s">
        <v>166</v>
      </c>
      <c r="E8" s="536"/>
      <c r="F8" s="536"/>
      <c r="G8" s="536"/>
      <c r="H8" s="536"/>
      <c r="I8" s="536"/>
      <c r="J8" s="536"/>
      <c r="K8" s="536"/>
      <c r="L8" s="536"/>
      <c r="M8" s="536"/>
    </row>
    <row r="9" spans="1:23" ht="35.1" customHeight="1">
      <c r="C9" s="9" t="s">
        <v>2</v>
      </c>
      <c r="D9" s="529" t="s">
        <v>167</v>
      </c>
      <c r="E9" s="529"/>
      <c r="F9" s="529"/>
      <c r="G9" s="529"/>
      <c r="H9" s="529"/>
      <c r="I9" s="529"/>
      <c r="J9" s="529"/>
      <c r="K9" s="529"/>
      <c r="L9" s="529"/>
      <c r="M9" s="529"/>
      <c r="N9" s="529"/>
      <c r="O9" s="529"/>
      <c r="P9" s="529"/>
    </row>
    <row r="10" spans="1:23" ht="35.1" customHeight="1">
      <c r="C10" s="9" t="s">
        <v>2</v>
      </c>
      <c r="D10" s="529" t="s">
        <v>168</v>
      </c>
      <c r="E10" s="529"/>
      <c r="F10" s="529"/>
      <c r="G10" s="529"/>
      <c r="H10" s="529"/>
      <c r="I10" s="529"/>
      <c r="J10" s="529"/>
      <c r="K10" s="529"/>
      <c r="L10" s="529"/>
      <c r="M10" s="529"/>
      <c r="N10" s="529"/>
      <c r="O10" s="529"/>
      <c r="P10" s="529"/>
    </row>
    <row r="11" spans="1:23" ht="35.1" customHeight="1">
      <c r="C11" s="9" t="s">
        <v>2</v>
      </c>
      <c r="D11" s="529" t="s">
        <v>169</v>
      </c>
      <c r="E11" s="529"/>
      <c r="F11" s="529"/>
      <c r="G11" s="529"/>
      <c r="H11" s="529"/>
      <c r="I11" s="529"/>
      <c r="J11" s="529"/>
      <c r="K11" s="529"/>
      <c r="L11" s="529"/>
      <c r="M11" s="529"/>
      <c r="N11" s="529"/>
      <c r="O11" s="529"/>
      <c r="P11" s="529"/>
    </row>
    <row r="12" spans="1:23" ht="35.1" customHeight="1">
      <c r="C12" s="9" t="s">
        <v>2</v>
      </c>
      <c r="D12" s="529" t="s">
        <v>170</v>
      </c>
      <c r="E12" s="530"/>
      <c r="F12" s="530"/>
      <c r="G12" s="530"/>
      <c r="H12" s="530"/>
      <c r="I12" s="530"/>
      <c r="J12" s="530"/>
      <c r="K12" s="530"/>
      <c r="L12" s="530"/>
      <c r="M12" s="530"/>
      <c r="N12" s="530"/>
      <c r="O12" s="530"/>
      <c r="P12" s="530"/>
    </row>
    <row r="13" spans="1:23" ht="35.1" customHeight="1">
      <c r="C13" s="9" t="s">
        <v>2</v>
      </c>
      <c r="D13" s="527" t="s">
        <v>171</v>
      </c>
      <c r="E13" s="528"/>
      <c r="F13" s="528"/>
      <c r="G13" s="528"/>
      <c r="H13" s="528"/>
      <c r="I13" s="528"/>
      <c r="J13" s="528"/>
      <c r="K13" s="528"/>
      <c r="L13" s="528"/>
      <c r="M13" s="528"/>
      <c r="N13" s="528"/>
      <c r="O13" s="528"/>
      <c r="P13" s="528"/>
    </row>
    <row r="14" spans="1:23" ht="45" customHeight="1">
      <c r="A14" s="94"/>
      <c r="B14" s="94"/>
      <c r="C14" s="9" t="s">
        <v>2</v>
      </c>
      <c r="D14" s="529" t="s">
        <v>174</v>
      </c>
      <c r="E14" s="530"/>
      <c r="F14" s="530"/>
      <c r="G14" s="530"/>
      <c r="H14" s="530"/>
      <c r="I14" s="530"/>
      <c r="J14" s="530"/>
      <c r="K14" s="530"/>
      <c r="L14" s="530"/>
      <c r="M14" s="530"/>
      <c r="N14" s="530"/>
      <c r="O14" s="530"/>
      <c r="P14" s="530"/>
      <c r="Q14" s="94"/>
      <c r="R14" s="94"/>
      <c r="S14" s="94"/>
      <c r="T14" s="94"/>
      <c r="U14" s="94"/>
      <c r="V14" s="94"/>
      <c r="W14" s="94"/>
    </row>
    <row r="15" spans="1:23" ht="35.1" customHeight="1">
      <c r="A15" s="94"/>
      <c r="B15" s="94"/>
      <c r="C15" s="9" t="s">
        <v>2</v>
      </c>
      <c r="D15" s="527" t="s">
        <v>209</v>
      </c>
      <c r="E15" s="528"/>
      <c r="F15" s="528"/>
      <c r="G15" s="528"/>
      <c r="H15" s="528"/>
      <c r="I15" s="528"/>
      <c r="J15" s="528"/>
      <c r="K15" s="528"/>
      <c r="L15" s="528"/>
      <c r="M15" s="528"/>
      <c r="N15" s="528"/>
      <c r="O15" s="528"/>
      <c r="P15" s="528"/>
      <c r="Q15" s="94"/>
      <c r="R15" s="94"/>
      <c r="S15" s="94"/>
      <c r="T15" s="94"/>
      <c r="U15" s="94"/>
      <c r="V15" s="94"/>
      <c r="W15" s="94"/>
    </row>
    <row r="16" spans="1:23" ht="35.1" customHeight="1">
      <c r="A16" s="94"/>
      <c r="B16" s="94"/>
      <c r="C16" s="9" t="s">
        <v>2</v>
      </c>
      <c r="D16" s="527" t="s">
        <v>208</v>
      </c>
      <c r="E16" s="528"/>
      <c r="F16" s="528"/>
      <c r="G16" s="528"/>
      <c r="H16" s="528"/>
      <c r="I16" s="528"/>
      <c r="J16" s="528"/>
      <c r="K16" s="528"/>
      <c r="L16" s="528"/>
      <c r="M16" s="528"/>
      <c r="N16" s="528"/>
      <c r="O16" s="528"/>
      <c r="P16" s="528"/>
      <c r="Q16" s="94"/>
      <c r="R16" s="94"/>
      <c r="S16" s="94"/>
      <c r="T16" s="94"/>
      <c r="U16" s="94"/>
      <c r="V16" s="94"/>
      <c r="W16" s="94"/>
    </row>
    <row r="17" spans="1:23" ht="35.1" customHeight="1">
      <c r="A17" s="94"/>
      <c r="B17" s="94"/>
      <c r="C17" s="9" t="s">
        <v>2</v>
      </c>
      <c r="D17" s="527" t="s">
        <v>207</v>
      </c>
      <c r="E17" s="528"/>
      <c r="F17" s="528"/>
      <c r="G17" s="528"/>
      <c r="H17" s="528"/>
      <c r="I17" s="528"/>
      <c r="J17" s="528"/>
      <c r="K17" s="528"/>
      <c r="L17" s="528"/>
      <c r="M17" s="528"/>
      <c r="N17" s="528"/>
      <c r="O17" s="528"/>
      <c r="P17" s="528"/>
      <c r="Q17" s="94"/>
      <c r="R17" s="94"/>
      <c r="S17" s="94"/>
      <c r="T17" s="94"/>
      <c r="U17" s="94"/>
      <c r="V17" s="94"/>
      <c r="W17" s="94"/>
    </row>
    <row r="18" spans="1:23" ht="35.1" customHeight="1">
      <c r="A18" s="94"/>
      <c r="B18" s="94"/>
      <c r="C18" s="9" t="s">
        <v>2</v>
      </c>
      <c r="D18" s="527" t="s">
        <v>210</v>
      </c>
      <c r="E18" s="528"/>
      <c r="F18" s="528"/>
      <c r="G18" s="528"/>
      <c r="H18" s="528"/>
      <c r="I18" s="528"/>
      <c r="J18" s="528"/>
      <c r="K18" s="528"/>
      <c r="L18" s="528"/>
      <c r="M18" s="528"/>
      <c r="N18" s="528"/>
      <c r="O18" s="528"/>
      <c r="P18" s="528"/>
      <c r="Q18" s="94"/>
      <c r="R18" s="94"/>
      <c r="S18" s="94"/>
      <c r="T18" s="94"/>
      <c r="U18" s="94"/>
      <c r="V18" s="94"/>
      <c r="W18" s="94"/>
    </row>
    <row r="19" spans="1:23" ht="35.1" customHeight="1">
      <c r="A19" s="94"/>
      <c r="B19" s="94"/>
      <c r="C19" s="9" t="s">
        <v>2</v>
      </c>
      <c r="D19" s="527" t="s">
        <v>211</v>
      </c>
      <c r="E19" s="528"/>
      <c r="F19" s="528"/>
      <c r="G19" s="528"/>
      <c r="H19" s="528"/>
      <c r="I19" s="528"/>
      <c r="J19" s="528"/>
      <c r="K19" s="528"/>
      <c r="L19" s="528"/>
      <c r="M19" s="528"/>
      <c r="N19" s="528"/>
      <c r="O19" s="528"/>
      <c r="P19" s="528"/>
      <c r="Q19" s="94"/>
      <c r="R19" s="94"/>
      <c r="S19" s="94"/>
      <c r="T19" s="94"/>
      <c r="U19" s="94"/>
      <c r="V19" s="94"/>
      <c r="W19" s="94"/>
    </row>
    <row r="20" spans="1:23">
      <c r="A20" s="94"/>
      <c r="B20" s="94"/>
      <c r="C20" s="94"/>
      <c r="D20" s="94"/>
      <c r="E20" s="94"/>
      <c r="F20" s="94"/>
      <c r="G20" s="94"/>
      <c r="H20" s="94"/>
      <c r="I20" s="94"/>
      <c r="J20" s="94"/>
      <c r="K20" s="94"/>
      <c r="L20" s="94"/>
      <c r="M20" s="94"/>
      <c r="N20" s="94"/>
      <c r="O20" s="94"/>
      <c r="P20" s="94"/>
      <c r="Q20" s="94"/>
      <c r="R20" s="94"/>
      <c r="S20" s="94"/>
      <c r="T20" s="94"/>
      <c r="U20" s="94"/>
      <c r="V20" s="94"/>
      <c r="W20" s="94"/>
    </row>
    <row r="21" spans="1:23" ht="27" customHeight="1">
      <c r="A21" s="94"/>
      <c r="B21" s="531" t="s">
        <v>175</v>
      </c>
      <c r="C21" s="531"/>
      <c r="D21" s="531"/>
      <c r="E21" s="531"/>
      <c r="F21" s="531"/>
      <c r="G21" s="531"/>
      <c r="H21" s="531"/>
      <c r="I21" s="531"/>
      <c r="J21" s="531"/>
      <c r="K21" s="531"/>
      <c r="L21" s="531"/>
      <c r="M21" s="531"/>
      <c r="N21" s="531"/>
      <c r="O21" s="531"/>
      <c r="P21" s="531"/>
      <c r="Q21" s="531"/>
      <c r="R21" s="94"/>
      <c r="S21" s="94"/>
      <c r="T21" s="94"/>
      <c r="U21" s="94"/>
      <c r="V21" s="94"/>
      <c r="W21" s="94"/>
    </row>
    <row r="22" spans="1:23" ht="15" thickBot="1">
      <c r="A22" s="94"/>
      <c r="B22" s="94"/>
      <c r="C22" s="94"/>
      <c r="D22" s="94"/>
      <c r="E22" s="94"/>
      <c r="F22" s="94"/>
      <c r="G22" s="94"/>
      <c r="H22" s="94"/>
      <c r="I22" s="94"/>
      <c r="J22" s="94"/>
      <c r="K22" s="94"/>
      <c r="L22" s="94"/>
      <c r="M22" s="94"/>
      <c r="N22" s="94"/>
      <c r="O22" s="94"/>
      <c r="P22" s="94"/>
      <c r="Q22" s="94"/>
      <c r="R22" s="94"/>
      <c r="S22" s="94"/>
      <c r="T22" s="94"/>
      <c r="U22" s="94"/>
      <c r="V22" s="94"/>
      <c r="W22" s="94"/>
    </row>
    <row r="23" spans="1:23">
      <c r="A23" s="94"/>
      <c r="B23" s="94"/>
      <c r="C23" s="532" t="s">
        <v>75</v>
      </c>
      <c r="D23" s="533"/>
      <c r="E23" s="533"/>
      <c r="F23" s="533" t="s">
        <v>176</v>
      </c>
      <c r="G23" s="533"/>
      <c r="H23" s="533"/>
      <c r="I23" s="533"/>
      <c r="J23" s="533"/>
      <c r="K23" s="533"/>
      <c r="L23" s="533"/>
      <c r="M23" s="533"/>
      <c r="N23" s="533"/>
      <c r="O23" s="533"/>
      <c r="P23" s="534"/>
      <c r="Q23" s="94"/>
      <c r="R23" s="94"/>
      <c r="S23" s="94"/>
      <c r="T23" s="94"/>
      <c r="U23" s="94"/>
      <c r="V23" s="94"/>
      <c r="W23" s="94"/>
    </row>
    <row r="24" spans="1:23" ht="44.1" customHeight="1">
      <c r="A24" s="94"/>
      <c r="B24" s="94"/>
      <c r="C24" s="522">
        <v>42571</v>
      </c>
      <c r="D24" s="523"/>
      <c r="E24" s="523"/>
      <c r="F24" s="523" t="s">
        <v>177</v>
      </c>
      <c r="G24" s="523"/>
      <c r="H24" s="523"/>
      <c r="I24" s="525" t="s">
        <v>178</v>
      </c>
      <c r="J24" s="525"/>
      <c r="K24" s="525"/>
      <c r="L24" s="525"/>
      <c r="M24" s="525"/>
      <c r="N24" s="525"/>
      <c r="O24" s="525"/>
      <c r="P24" s="526"/>
      <c r="Q24" s="94"/>
      <c r="R24" s="94"/>
      <c r="S24" s="94"/>
      <c r="T24" s="94"/>
      <c r="U24" s="94"/>
      <c r="V24" s="94"/>
      <c r="W24" s="94"/>
    </row>
    <row r="25" spans="1:23" ht="45" customHeight="1">
      <c r="A25" s="94"/>
      <c r="B25" s="94"/>
      <c r="C25" s="522">
        <v>42581</v>
      </c>
      <c r="D25" s="523"/>
      <c r="E25" s="523"/>
      <c r="F25" s="523" t="s">
        <v>212</v>
      </c>
      <c r="G25" s="523"/>
      <c r="H25" s="523"/>
      <c r="I25" s="524" t="s">
        <v>213</v>
      </c>
      <c r="J25" s="525"/>
      <c r="K25" s="525"/>
      <c r="L25" s="525"/>
      <c r="M25" s="525"/>
      <c r="N25" s="525"/>
      <c r="O25" s="525"/>
      <c r="P25" s="526"/>
      <c r="Q25" s="94"/>
      <c r="R25" s="94"/>
      <c r="S25" s="94"/>
      <c r="T25" s="94"/>
      <c r="U25" s="94"/>
      <c r="V25" s="94"/>
      <c r="W25" s="94"/>
    </row>
    <row r="26" spans="1:23" ht="44.1" customHeight="1">
      <c r="A26" s="94"/>
      <c r="B26" s="94"/>
      <c r="C26" s="522">
        <v>42596</v>
      </c>
      <c r="D26" s="523"/>
      <c r="E26" s="523"/>
      <c r="F26" s="523" t="s">
        <v>215</v>
      </c>
      <c r="G26" s="523"/>
      <c r="H26" s="523"/>
      <c r="I26" s="524" t="s">
        <v>216</v>
      </c>
      <c r="J26" s="525"/>
      <c r="K26" s="525"/>
      <c r="L26" s="525"/>
      <c r="M26" s="525"/>
      <c r="N26" s="525"/>
      <c r="O26" s="525"/>
      <c r="P26" s="526"/>
      <c r="Q26" s="94"/>
      <c r="R26" s="94"/>
      <c r="S26" s="94"/>
      <c r="T26" s="94"/>
      <c r="U26" s="94"/>
      <c r="V26" s="94"/>
      <c r="W26" s="94"/>
    </row>
    <row r="27" spans="1:23" ht="44.1" customHeight="1" thickBot="1">
      <c r="A27" s="94"/>
      <c r="B27" s="94"/>
      <c r="C27" s="517">
        <v>42598</v>
      </c>
      <c r="D27" s="518"/>
      <c r="E27" s="518"/>
      <c r="F27" s="518" t="s">
        <v>218</v>
      </c>
      <c r="G27" s="518"/>
      <c r="H27" s="518"/>
      <c r="I27" s="519" t="s">
        <v>219</v>
      </c>
      <c r="J27" s="520"/>
      <c r="K27" s="520"/>
      <c r="L27" s="520"/>
      <c r="M27" s="520"/>
      <c r="N27" s="520"/>
      <c r="O27" s="520"/>
      <c r="P27" s="521"/>
      <c r="Q27" s="94"/>
      <c r="R27" s="94"/>
      <c r="S27" s="94"/>
      <c r="T27" s="94"/>
      <c r="U27" s="94"/>
      <c r="V27" s="94"/>
      <c r="W27" s="94"/>
    </row>
    <row r="28" spans="1:23">
      <c r="A28" s="94"/>
      <c r="B28" s="94"/>
      <c r="C28" s="94"/>
      <c r="D28" s="94"/>
      <c r="E28" s="94"/>
      <c r="F28" s="94"/>
      <c r="G28" s="94"/>
      <c r="H28" s="94"/>
      <c r="I28" s="94"/>
      <c r="J28" s="94"/>
      <c r="K28" s="94"/>
      <c r="L28" s="94"/>
      <c r="M28" s="94"/>
      <c r="N28" s="94"/>
      <c r="O28" s="94"/>
      <c r="P28" s="94"/>
      <c r="Q28" s="94"/>
      <c r="R28" s="94"/>
      <c r="S28" s="94"/>
      <c r="T28" s="94"/>
      <c r="U28" s="94"/>
      <c r="V28" s="94"/>
      <c r="W28" s="94"/>
    </row>
    <row r="29" spans="1:23">
      <c r="A29" s="94"/>
      <c r="B29" s="94"/>
      <c r="C29" s="94"/>
      <c r="D29" s="94"/>
      <c r="E29" s="94"/>
      <c r="F29" s="94"/>
      <c r="G29" s="94"/>
      <c r="H29" s="94"/>
      <c r="I29" s="94"/>
      <c r="J29" s="94"/>
      <c r="K29" s="94"/>
      <c r="L29" s="94"/>
      <c r="M29" s="94"/>
      <c r="N29" s="94"/>
      <c r="O29" s="94"/>
      <c r="P29" s="94"/>
      <c r="Q29" s="94"/>
      <c r="R29" s="94"/>
      <c r="S29" s="94"/>
      <c r="T29" s="94"/>
      <c r="U29" s="94"/>
      <c r="V29" s="94"/>
      <c r="W29" s="94"/>
    </row>
    <row r="30" spans="1:23">
      <c r="A30" s="94"/>
      <c r="B30" s="94"/>
      <c r="C30" s="94"/>
      <c r="D30" s="94"/>
      <c r="E30" s="94"/>
      <c r="F30" s="94"/>
      <c r="G30" s="94"/>
      <c r="H30" s="94"/>
      <c r="I30" s="94"/>
      <c r="J30" s="94"/>
      <c r="K30" s="94"/>
      <c r="L30" s="94"/>
      <c r="M30" s="94"/>
      <c r="N30" s="94"/>
      <c r="O30" s="94"/>
      <c r="P30" s="94"/>
      <c r="Q30" s="94"/>
      <c r="R30" s="94"/>
      <c r="S30" s="94"/>
      <c r="T30" s="94"/>
      <c r="U30" s="94"/>
      <c r="V30" s="94"/>
      <c r="W30" s="94"/>
    </row>
    <row r="31" spans="1:23">
      <c r="A31" s="94"/>
      <c r="B31" s="94"/>
      <c r="C31" s="94"/>
      <c r="D31" s="94"/>
      <c r="E31" s="94"/>
      <c r="F31" s="94"/>
      <c r="G31" s="94"/>
      <c r="H31" s="94"/>
      <c r="I31" s="94"/>
      <c r="J31" s="94"/>
      <c r="K31" s="94"/>
      <c r="L31" s="94"/>
      <c r="M31" s="94"/>
      <c r="N31" s="94"/>
      <c r="O31" s="94"/>
      <c r="P31" s="94"/>
      <c r="Q31" s="94"/>
      <c r="R31" s="94"/>
      <c r="S31" s="94"/>
      <c r="T31" s="94"/>
      <c r="U31" s="94"/>
      <c r="V31" s="94"/>
      <c r="W31" s="94"/>
    </row>
    <row r="32" spans="1:23">
      <c r="A32" s="94"/>
      <c r="B32" s="94"/>
      <c r="C32" s="94"/>
      <c r="D32" s="94"/>
      <c r="E32" s="94"/>
      <c r="F32" s="94"/>
      <c r="G32" s="94"/>
      <c r="H32" s="94"/>
      <c r="I32" s="94"/>
      <c r="J32" s="94"/>
      <c r="K32" s="94"/>
      <c r="L32" s="94"/>
      <c r="M32" s="94"/>
      <c r="N32" s="94"/>
      <c r="O32" s="94"/>
      <c r="P32" s="94"/>
      <c r="Q32" s="94"/>
      <c r="R32" s="94"/>
      <c r="S32" s="94"/>
      <c r="T32" s="94"/>
      <c r="U32" s="94"/>
      <c r="V32" s="94"/>
      <c r="W32" s="94"/>
    </row>
    <row r="33" spans="1:23">
      <c r="A33" s="94"/>
      <c r="B33" s="94"/>
      <c r="C33" s="94"/>
      <c r="D33" s="94"/>
      <c r="E33" s="94"/>
      <c r="F33" s="94"/>
      <c r="G33" s="94"/>
      <c r="H33" s="94"/>
      <c r="I33" s="94"/>
      <c r="J33" s="94"/>
      <c r="K33" s="94"/>
      <c r="L33" s="94"/>
      <c r="M33" s="94"/>
      <c r="N33" s="94"/>
      <c r="O33" s="94"/>
      <c r="P33" s="94"/>
      <c r="Q33" s="94"/>
      <c r="R33" s="94"/>
      <c r="S33" s="94"/>
      <c r="T33" s="94"/>
      <c r="U33" s="94"/>
      <c r="V33" s="94"/>
      <c r="W33" s="94"/>
    </row>
    <row r="34" spans="1:23">
      <c r="A34" s="94"/>
      <c r="B34" s="94"/>
      <c r="C34" s="94"/>
      <c r="D34" s="94"/>
      <c r="E34" s="94"/>
      <c r="F34" s="94"/>
      <c r="G34" s="94"/>
      <c r="H34" s="94"/>
      <c r="I34" s="94"/>
      <c r="J34" s="94"/>
      <c r="K34" s="94"/>
      <c r="L34" s="94"/>
      <c r="M34" s="94"/>
      <c r="N34" s="94"/>
      <c r="O34" s="94"/>
      <c r="P34" s="94"/>
      <c r="Q34" s="94"/>
      <c r="R34" s="94"/>
      <c r="S34" s="94"/>
      <c r="T34" s="94"/>
      <c r="U34" s="94"/>
      <c r="V34" s="94"/>
      <c r="W34" s="94"/>
    </row>
    <row r="35" spans="1:23">
      <c r="A35" s="94"/>
      <c r="B35" s="94"/>
      <c r="C35" s="94"/>
      <c r="D35" s="94"/>
      <c r="E35" s="94"/>
      <c r="F35" s="94"/>
      <c r="G35" s="94"/>
      <c r="H35" s="94"/>
      <c r="I35" s="94"/>
      <c r="J35" s="94"/>
      <c r="K35" s="94"/>
      <c r="L35" s="94"/>
      <c r="M35" s="94"/>
      <c r="N35" s="94"/>
      <c r="O35" s="94"/>
      <c r="P35" s="94"/>
      <c r="Q35" s="94"/>
      <c r="R35" s="94"/>
      <c r="S35" s="94"/>
      <c r="T35" s="94"/>
      <c r="U35" s="94"/>
      <c r="V35" s="94"/>
      <c r="W35" s="94"/>
    </row>
    <row r="36" spans="1:23">
      <c r="A36" s="94"/>
      <c r="B36" s="94"/>
      <c r="C36" s="94"/>
      <c r="D36" s="94"/>
      <c r="E36" s="94"/>
      <c r="F36" s="94"/>
      <c r="G36" s="94"/>
      <c r="H36" s="94"/>
      <c r="I36" s="94"/>
      <c r="J36" s="94"/>
      <c r="K36" s="94"/>
      <c r="L36" s="94"/>
      <c r="M36" s="94"/>
      <c r="N36" s="94"/>
      <c r="O36" s="94"/>
      <c r="P36" s="94"/>
      <c r="Q36" s="94"/>
      <c r="R36" s="94"/>
      <c r="S36" s="94"/>
      <c r="T36" s="94"/>
      <c r="U36" s="94"/>
      <c r="V36" s="94"/>
      <c r="W36" s="94"/>
    </row>
    <row r="37" spans="1:23">
      <c r="A37" s="94"/>
      <c r="B37" s="94"/>
      <c r="C37" s="94"/>
      <c r="D37" s="94"/>
      <c r="E37" s="94"/>
      <c r="F37" s="94"/>
      <c r="G37" s="94"/>
      <c r="H37" s="94"/>
      <c r="I37" s="94"/>
      <c r="J37" s="94"/>
      <c r="K37" s="94"/>
      <c r="L37" s="94"/>
      <c r="M37" s="94"/>
      <c r="N37" s="94"/>
      <c r="O37" s="94"/>
      <c r="P37" s="94"/>
      <c r="Q37" s="94"/>
      <c r="R37" s="94"/>
      <c r="S37" s="94"/>
      <c r="T37" s="94"/>
      <c r="U37" s="94"/>
      <c r="V37" s="94"/>
      <c r="W37" s="94"/>
    </row>
    <row r="38" spans="1:23">
      <c r="A38" s="94"/>
      <c r="B38" s="94"/>
      <c r="C38" s="94"/>
      <c r="D38" s="94"/>
      <c r="E38" s="94"/>
      <c r="F38" s="94"/>
      <c r="G38" s="94"/>
      <c r="H38" s="94"/>
      <c r="I38" s="94"/>
      <c r="J38" s="94"/>
      <c r="K38" s="94"/>
      <c r="L38" s="94"/>
      <c r="M38" s="94"/>
      <c r="N38" s="94"/>
      <c r="O38" s="94"/>
      <c r="P38" s="94"/>
      <c r="Q38" s="94"/>
      <c r="R38" s="94"/>
      <c r="S38" s="94"/>
      <c r="T38" s="94"/>
      <c r="U38" s="94"/>
      <c r="V38" s="94"/>
      <c r="W38" s="94"/>
    </row>
    <row r="39" spans="1:23">
      <c r="A39" s="94"/>
      <c r="B39" s="94"/>
      <c r="C39" s="94"/>
      <c r="D39" s="94"/>
      <c r="E39" s="94"/>
      <c r="F39" s="94"/>
      <c r="G39" s="94"/>
      <c r="H39" s="94"/>
      <c r="I39" s="94"/>
      <c r="J39" s="94"/>
      <c r="K39" s="94"/>
      <c r="L39" s="94"/>
      <c r="M39" s="94"/>
      <c r="N39" s="94"/>
      <c r="O39" s="94"/>
      <c r="P39" s="94"/>
      <c r="Q39" s="94"/>
      <c r="R39" s="94"/>
      <c r="S39" s="94"/>
      <c r="T39" s="94"/>
      <c r="U39" s="94"/>
      <c r="V39" s="94"/>
      <c r="W39" s="94"/>
    </row>
    <row r="40" spans="1:23">
      <c r="A40" s="94"/>
      <c r="B40" s="94"/>
      <c r="C40" s="94"/>
      <c r="D40" s="94"/>
      <c r="E40" s="94"/>
      <c r="F40" s="94"/>
      <c r="G40" s="94"/>
      <c r="H40" s="94"/>
      <c r="I40" s="94"/>
      <c r="J40" s="94"/>
      <c r="K40" s="94"/>
      <c r="L40" s="94"/>
      <c r="M40" s="94"/>
      <c r="N40" s="94"/>
      <c r="O40" s="94"/>
      <c r="P40" s="94"/>
      <c r="Q40" s="94"/>
      <c r="R40" s="94"/>
      <c r="S40" s="94"/>
      <c r="T40" s="94"/>
      <c r="U40" s="94"/>
      <c r="V40" s="94"/>
      <c r="W40" s="94"/>
    </row>
    <row r="41" spans="1:23">
      <c r="A41" s="94"/>
      <c r="B41" s="94"/>
      <c r="C41" s="94"/>
      <c r="D41" s="94"/>
      <c r="E41" s="94"/>
      <c r="F41" s="94"/>
      <c r="G41" s="94"/>
      <c r="H41" s="94"/>
      <c r="I41" s="94"/>
      <c r="J41" s="94"/>
      <c r="K41" s="94"/>
      <c r="L41" s="94"/>
      <c r="M41" s="94"/>
      <c r="N41" s="94"/>
      <c r="O41" s="94"/>
      <c r="P41" s="94"/>
      <c r="Q41" s="94"/>
      <c r="R41" s="94"/>
      <c r="S41" s="94"/>
      <c r="T41" s="94"/>
      <c r="U41" s="94"/>
      <c r="V41" s="94"/>
      <c r="W41" s="94"/>
    </row>
    <row r="42" spans="1:23">
      <c r="A42" s="94"/>
      <c r="B42" s="94"/>
      <c r="C42" s="94"/>
      <c r="D42" s="94"/>
      <c r="E42" s="94"/>
      <c r="F42" s="94"/>
      <c r="G42" s="94"/>
      <c r="H42" s="94"/>
      <c r="I42" s="94"/>
      <c r="J42" s="94"/>
      <c r="K42" s="94"/>
      <c r="L42" s="94"/>
      <c r="M42" s="94"/>
      <c r="N42" s="94"/>
      <c r="O42" s="94"/>
      <c r="P42" s="94"/>
      <c r="Q42" s="94"/>
      <c r="R42" s="94"/>
      <c r="S42" s="94"/>
      <c r="T42" s="94"/>
      <c r="U42" s="94"/>
      <c r="V42" s="94"/>
      <c r="W42" s="94"/>
    </row>
    <row r="43" spans="1:23">
      <c r="A43" s="94"/>
      <c r="B43" s="94"/>
      <c r="C43" s="94"/>
      <c r="D43" s="94"/>
      <c r="E43" s="94"/>
      <c r="F43" s="94"/>
      <c r="G43" s="94"/>
      <c r="H43" s="94"/>
      <c r="I43" s="94"/>
      <c r="J43" s="94"/>
      <c r="K43" s="94"/>
      <c r="L43" s="94"/>
      <c r="M43" s="94"/>
      <c r="N43" s="94"/>
      <c r="O43" s="94"/>
      <c r="P43" s="94"/>
      <c r="Q43" s="94"/>
      <c r="R43" s="94"/>
      <c r="S43" s="94"/>
      <c r="T43" s="94"/>
      <c r="U43" s="94"/>
      <c r="V43" s="94"/>
      <c r="W43" s="94"/>
    </row>
    <row r="44" spans="1:23">
      <c r="A44" s="94"/>
      <c r="B44" s="94"/>
      <c r="C44" s="94"/>
      <c r="D44" s="94"/>
      <c r="E44" s="94"/>
      <c r="F44" s="94"/>
      <c r="G44" s="94"/>
      <c r="H44" s="94"/>
      <c r="I44" s="94"/>
      <c r="J44" s="94"/>
      <c r="K44" s="94"/>
      <c r="L44" s="94"/>
      <c r="M44" s="94"/>
      <c r="N44" s="94"/>
      <c r="O44" s="94"/>
      <c r="P44" s="94"/>
      <c r="Q44" s="94"/>
      <c r="R44" s="94"/>
      <c r="S44" s="94"/>
      <c r="T44" s="94"/>
      <c r="U44" s="94"/>
      <c r="V44" s="94"/>
      <c r="W44" s="94"/>
    </row>
    <row r="45" spans="1:23">
      <c r="A45" s="94"/>
      <c r="B45" s="94"/>
      <c r="C45" s="94"/>
      <c r="D45" s="94"/>
      <c r="E45" s="94"/>
      <c r="F45" s="94"/>
      <c r="G45" s="94"/>
      <c r="H45" s="94"/>
      <c r="I45" s="94"/>
      <c r="J45" s="94"/>
      <c r="K45" s="94"/>
      <c r="L45" s="94"/>
      <c r="M45" s="94"/>
      <c r="N45" s="94"/>
      <c r="O45" s="94"/>
      <c r="P45" s="94"/>
      <c r="Q45" s="94"/>
      <c r="R45" s="94"/>
      <c r="S45" s="94"/>
      <c r="T45" s="94"/>
      <c r="U45" s="94"/>
      <c r="V45" s="94"/>
      <c r="W45" s="94"/>
    </row>
    <row r="46" spans="1:23">
      <c r="A46" s="94"/>
      <c r="B46" s="94"/>
      <c r="C46" s="94"/>
      <c r="D46" s="94"/>
      <c r="E46" s="94"/>
      <c r="F46" s="94"/>
      <c r="G46" s="94"/>
      <c r="H46" s="94"/>
      <c r="I46" s="94"/>
      <c r="J46" s="94"/>
      <c r="K46" s="94"/>
      <c r="L46" s="94"/>
      <c r="M46" s="94"/>
      <c r="N46" s="94"/>
      <c r="O46" s="94"/>
      <c r="P46" s="94"/>
      <c r="Q46" s="94"/>
      <c r="R46" s="94"/>
      <c r="S46" s="94"/>
      <c r="T46" s="94"/>
      <c r="U46" s="94"/>
      <c r="V46" s="94"/>
      <c r="W46" s="94"/>
    </row>
    <row r="47" spans="1:23">
      <c r="A47" s="94"/>
      <c r="B47" s="94"/>
      <c r="C47" s="94"/>
      <c r="D47" s="94"/>
      <c r="E47" s="94"/>
      <c r="F47" s="94"/>
      <c r="G47" s="94"/>
      <c r="H47" s="94"/>
      <c r="I47" s="94"/>
      <c r="J47" s="94"/>
      <c r="K47" s="94"/>
      <c r="L47" s="94"/>
      <c r="M47" s="94"/>
      <c r="N47" s="94"/>
      <c r="O47" s="94"/>
      <c r="P47" s="94"/>
      <c r="Q47" s="94"/>
      <c r="R47" s="94"/>
      <c r="S47" s="94"/>
      <c r="T47" s="94"/>
      <c r="U47" s="94"/>
      <c r="V47" s="94"/>
      <c r="W47" s="94"/>
    </row>
    <row r="48" spans="1:23">
      <c r="A48" s="94"/>
      <c r="B48" s="94"/>
      <c r="C48" s="94"/>
      <c r="D48" s="94"/>
      <c r="E48" s="94"/>
      <c r="F48" s="94"/>
      <c r="G48" s="94"/>
      <c r="H48" s="94"/>
      <c r="I48" s="94"/>
      <c r="J48" s="94"/>
      <c r="K48" s="94"/>
      <c r="L48" s="94"/>
      <c r="M48" s="94"/>
      <c r="N48" s="94"/>
      <c r="O48" s="94"/>
      <c r="P48" s="94"/>
      <c r="Q48" s="94"/>
      <c r="R48" s="94"/>
      <c r="S48" s="94"/>
      <c r="T48" s="94"/>
      <c r="U48" s="94"/>
      <c r="V48" s="94"/>
      <c r="W48" s="94"/>
    </row>
    <row r="49" spans="1:23">
      <c r="A49" s="94"/>
      <c r="B49" s="94"/>
      <c r="C49" s="94"/>
      <c r="D49" s="94"/>
      <c r="E49" s="94"/>
      <c r="F49" s="94"/>
      <c r="G49" s="94"/>
      <c r="H49" s="94"/>
      <c r="I49" s="94"/>
      <c r="J49" s="94"/>
      <c r="K49" s="94"/>
      <c r="L49" s="94"/>
      <c r="M49" s="94"/>
      <c r="N49" s="94"/>
      <c r="O49" s="94"/>
      <c r="P49" s="94"/>
      <c r="Q49" s="94"/>
      <c r="R49" s="94"/>
      <c r="S49" s="94"/>
      <c r="T49" s="94"/>
      <c r="U49" s="94"/>
      <c r="V49" s="94"/>
      <c r="W49" s="94"/>
    </row>
    <row r="50" spans="1:23">
      <c r="A50" s="94"/>
      <c r="B50" s="94"/>
      <c r="C50" s="94"/>
      <c r="D50" s="94"/>
      <c r="E50" s="94"/>
      <c r="F50" s="94"/>
      <c r="G50" s="94"/>
      <c r="H50" s="94"/>
      <c r="I50" s="94"/>
      <c r="J50" s="94"/>
      <c r="K50" s="94"/>
      <c r="L50" s="94"/>
      <c r="M50" s="94"/>
      <c r="N50" s="94"/>
      <c r="O50" s="94"/>
      <c r="P50" s="94"/>
      <c r="Q50" s="94"/>
      <c r="R50" s="94"/>
      <c r="S50" s="94"/>
      <c r="T50" s="94"/>
      <c r="U50" s="94"/>
      <c r="V50" s="94"/>
      <c r="W50" s="94"/>
    </row>
    <row r="51" spans="1:23">
      <c r="A51" s="94"/>
      <c r="B51" s="94"/>
      <c r="C51" s="94"/>
      <c r="D51" s="94"/>
      <c r="E51" s="94"/>
      <c r="F51" s="94"/>
      <c r="G51" s="94"/>
      <c r="H51" s="94"/>
      <c r="I51" s="94"/>
      <c r="J51" s="94"/>
      <c r="K51" s="94"/>
      <c r="L51" s="94"/>
      <c r="M51" s="94"/>
      <c r="N51" s="94"/>
      <c r="O51" s="94"/>
      <c r="P51" s="94"/>
      <c r="Q51" s="94"/>
      <c r="R51" s="94"/>
      <c r="S51" s="94"/>
      <c r="T51" s="94"/>
      <c r="U51" s="94"/>
      <c r="V51" s="94"/>
      <c r="W51" s="94"/>
    </row>
    <row r="52" spans="1:23">
      <c r="A52" s="94"/>
      <c r="B52" s="94"/>
      <c r="C52" s="94"/>
      <c r="D52" s="94"/>
      <c r="E52" s="94"/>
      <c r="F52" s="94"/>
      <c r="G52" s="94"/>
      <c r="H52" s="94"/>
      <c r="I52" s="94"/>
      <c r="J52" s="94"/>
      <c r="K52" s="94"/>
      <c r="L52" s="94"/>
      <c r="M52" s="94"/>
      <c r="N52" s="94"/>
      <c r="O52" s="94"/>
      <c r="P52" s="94"/>
      <c r="Q52" s="94"/>
      <c r="R52" s="94"/>
      <c r="S52" s="94"/>
      <c r="T52" s="94"/>
      <c r="U52" s="94"/>
      <c r="V52" s="94"/>
      <c r="W52" s="94"/>
    </row>
    <row r="53" spans="1:23">
      <c r="A53" s="94"/>
      <c r="B53" s="94"/>
      <c r="C53" s="94"/>
      <c r="D53" s="94"/>
      <c r="E53" s="94"/>
      <c r="F53" s="94"/>
      <c r="G53" s="94"/>
      <c r="H53" s="94"/>
      <c r="I53" s="94"/>
      <c r="J53" s="94"/>
      <c r="K53" s="94"/>
      <c r="L53" s="94"/>
      <c r="M53" s="94"/>
      <c r="N53" s="94"/>
      <c r="O53" s="94"/>
      <c r="P53" s="94"/>
      <c r="Q53" s="94"/>
      <c r="R53" s="94"/>
      <c r="S53" s="94"/>
      <c r="T53" s="94"/>
      <c r="U53" s="94"/>
      <c r="V53" s="94"/>
      <c r="W53" s="94"/>
    </row>
    <row r="54" spans="1:23">
      <c r="A54" s="94"/>
      <c r="B54" s="94"/>
      <c r="C54" s="94"/>
      <c r="D54" s="94"/>
      <c r="E54" s="94"/>
      <c r="F54" s="94"/>
      <c r="G54" s="94"/>
      <c r="H54" s="94"/>
      <c r="I54" s="94"/>
      <c r="J54" s="94"/>
      <c r="K54" s="94"/>
      <c r="L54" s="94"/>
      <c r="M54" s="94"/>
      <c r="N54" s="94"/>
      <c r="O54" s="94"/>
      <c r="P54" s="94"/>
      <c r="Q54" s="94"/>
      <c r="R54" s="94"/>
      <c r="S54" s="94"/>
      <c r="T54" s="94"/>
      <c r="U54" s="94"/>
      <c r="V54" s="94"/>
      <c r="W54" s="94"/>
    </row>
    <row r="55" spans="1:23">
      <c r="A55" s="94"/>
      <c r="B55" s="94"/>
      <c r="C55" s="94"/>
      <c r="D55" s="94"/>
      <c r="E55" s="94"/>
      <c r="F55" s="94"/>
      <c r="G55" s="94"/>
      <c r="H55" s="94"/>
      <c r="I55" s="94"/>
      <c r="J55" s="94"/>
      <c r="K55" s="94"/>
      <c r="L55" s="94"/>
      <c r="M55" s="94"/>
      <c r="N55" s="94"/>
      <c r="O55" s="94"/>
      <c r="P55" s="94"/>
      <c r="Q55" s="94"/>
      <c r="R55" s="94"/>
      <c r="S55" s="94"/>
      <c r="T55" s="94"/>
      <c r="U55" s="94"/>
      <c r="V55" s="94"/>
      <c r="W55" s="94"/>
    </row>
    <row r="56" spans="1:23">
      <c r="A56" s="94"/>
      <c r="B56" s="94"/>
      <c r="C56" s="94"/>
      <c r="D56" s="94"/>
      <c r="E56" s="94"/>
      <c r="F56" s="94"/>
      <c r="G56" s="94"/>
      <c r="H56" s="94"/>
      <c r="I56" s="94"/>
      <c r="J56" s="94"/>
      <c r="K56" s="94"/>
      <c r="L56" s="94"/>
      <c r="M56" s="94"/>
      <c r="N56" s="94"/>
      <c r="O56" s="94"/>
      <c r="P56" s="94"/>
      <c r="Q56" s="94"/>
      <c r="R56" s="94"/>
      <c r="S56" s="94"/>
      <c r="T56" s="94"/>
      <c r="U56" s="94"/>
      <c r="V56" s="94"/>
      <c r="W56" s="94"/>
    </row>
    <row r="57" spans="1:23">
      <c r="A57" s="94"/>
      <c r="B57" s="94"/>
      <c r="C57" s="94"/>
      <c r="D57" s="94"/>
      <c r="E57" s="94"/>
      <c r="F57" s="94"/>
      <c r="G57" s="94"/>
      <c r="H57" s="94"/>
      <c r="I57" s="94"/>
      <c r="J57" s="94"/>
      <c r="K57" s="94"/>
      <c r="L57" s="94"/>
      <c r="M57" s="94"/>
      <c r="N57" s="94"/>
      <c r="O57" s="94"/>
      <c r="P57" s="94"/>
      <c r="Q57" s="94"/>
      <c r="R57" s="94"/>
      <c r="S57" s="94"/>
      <c r="T57" s="94"/>
      <c r="U57" s="94"/>
      <c r="V57" s="94"/>
      <c r="W57" s="94"/>
    </row>
    <row r="58" spans="1:23">
      <c r="A58" s="94"/>
      <c r="B58" s="94"/>
      <c r="C58" s="94"/>
      <c r="D58" s="94"/>
      <c r="E58" s="94"/>
      <c r="F58" s="94"/>
      <c r="G58" s="94"/>
      <c r="H58" s="94"/>
      <c r="I58" s="94"/>
      <c r="J58" s="94"/>
      <c r="K58" s="94"/>
      <c r="L58" s="94"/>
      <c r="M58" s="94"/>
      <c r="N58" s="94"/>
      <c r="O58" s="94"/>
      <c r="P58" s="94"/>
      <c r="Q58" s="94"/>
      <c r="R58" s="94"/>
      <c r="S58" s="94"/>
      <c r="T58" s="94"/>
      <c r="U58" s="94"/>
      <c r="V58" s="94"/>
      <c r="W58" s="94"/>
    </row>
    <row r="59" spans="1:23">
      <c r="A59" s="94"/>
      <c r="B59" s="94"/>
      <c r="C59" s="94"/>
      <c r="D59" s="94"/>
      <c r="E59" s="94"/>
      <c r="F59" s="94"/>
      <c r="G59" s="94"/>
      <c r="H59" s="94"/>
      <c r="I59" s="94"/>
      <c r="J59" s="94"/>
      <c r="K59" s="94"/>
      <c r="L59" s="94"/>
      <c r="M59" s="94"/>
      <c r="N59" s="94"/>
      <c r="O59" s="94"/>
      <c r="P59" s="94"/>
      <c r="Q59" s="94"/>
      <c r="R59" s="94"/>
      <c r="S59" s="94"/>
      <c r="T59" s="94"/>
      <c r="U59" s="94"/>
      <c r="V59" s="94"/>
      <c r="W59" s="94"/>
    </row>
    <row r="60" spans="1:23">
      <c r="A60" s="94"/>
      <c r="B60" s="94"/>
      <c r="C60" s="94"/>
      <c r="D60" s="94"/>
      <c r="E60" s="94"/>
      <c r="F60" s="94"/>
      <c r="G60" s="94"/>
      <c r="H60" s="94"/>
      <c r="I60" s="94"/>
      <c r="J60" s="94"/>
      <c r="K60" s="94"/>
      <c r="L60" s="94"/>
      <c r="M60" s="94"/>
      <c r="N60" s="94"/>
      <c r="O60" s="94"/>
      <c r="P60" s="94"/>
      <c r="Q60" s="94"/>
      <c r="R60" s="94"/>
      <c r="S60" s="94"/>
      <c r="T60" s="94"/>
      <c r="U60" s="94"/>
      <c r="V60" s="94"/>
      <c r="W60" s="94"/>
    </row>
    <row r="61" spans="1:23">
      <c r="A61" s="94"/>
      <c r="B61" s="94"/>
      <c r="C61" s="94"/>
      <c r="D61" s="94"/>
      <c r="E61" s="94"/>
      <c r="F61" s="94"/>
      <c r="G61" s="94"/>
      <c r="H61" s="94"/>
      <c r="I61" s="94"/>
      <c r="J61" s="94"/>
      <c r="K61" s="94"/>
      <c r="L61" s="94"/>
      <c r="M61" s="94"/>
      <c r="N61" s="94"/>
      <c r="O61" s="94"/>
      <c r="P61" s="94"/>
      <c r="Q61" s="94"/>
      <c r="R61" s="94"/>
      <c r="S61" s="94"/>
      <c r="T61" s="94"/>
      <c r="U61" s="94"/>
      <c r="V61" s="94"/>
      <c r="W61" s="94"/>
    </row>
    <row r="62" spans="1:23">
      <c r="A62" s="94"/>
      <c r="B62" s="94"/>
      <c r="C62" s="94"/>
      <c r="D62" s="94"/>
      <c r="E62" s="94"/>
      <c r="F62" s="94"/>
      <c r="G62" s="94"/>
      <c r="H62" s="94"/>
      <c r="I62" s="94"/>
      <c r="J62" s="94"/>
      <c r="K62" s="94"/>
      <c r="L62" s="94"/>
      <c r="M62" s="94"/>
      <c r="N62" s="94"/>
      <c r="O62" s="94"/>
      <c r="P62" s="94"/>
      <c r="Q62" s="94"/>
      <c r="R62" s="94"/>
      <c r="S62" s="94"/>
      <c r="T62" s="94"/>
      <c r="U62" s="94"/>
      <c r="V62" s="94"/>
      <c r="W62" s="94"/>
    </row>
    <row r="63" spans="1:23">
      <c r="A63" s="94"/>
      <c r="B63" s="94"/>
      <c r="C63" s="94"/>
      <c r="D63" s="94"/>
      <c r="E63" s="94"/>
      <c r="F63" s="94"/>
      <c r="G63" s="94"/>
      <c r="H63" s="94"/>
      <c r="I63" s="94"/>
      <c r="J63" s="94"/>
      <c r="K63" s="94"/>
      <c r="L63" s="94"/>
      <c r="M63" s="94"/>
      <c r="N63" s="94"/>
      <c r="O63" s="94"/>
      <c r="P63" s="94"/>
      <c r="Q63" s="94"/>
      <c r="R63" s="94"/>
      <c r="S63" s="94"/>
      <c r="T63" s="94"/>
      <c r="U63" s="94"/>
      <c r="V63" s="94"/>
      <c r="W63" s="94"/>
    </row>
    <row r="64" spans="1:23">
      <c r="A64" s="94"/>
      <c r="B64" s="94"/>
      <c r="C64" s="94"/>
      <c r="D64" s="94"/>
      <c r="E64" s="94"/>
      <c r="F64" s="94"/>
      <c r="G64" s="94"/>
      <c r="H64" s="94"/>
      <c r="I64" s="94"/>
      <c r="J64" s="94"/>
      <c r="K64" s="94"/>
      <c r="L64" s="94"/>
      <c r="M64" s="94"/>
      <c r="N64" s="94"/>
      <c r="O64" s="94"/>
      <c r="P64" s="94"/>
      <c r="Q64" s="94"/>
      <c r="R64" s="94"/>
      <c r="S64" s="94"/>
      <c r="T64" s="94"/>
      <c r="U64" s="94"/>
      <c r="V64" s="94"/>
      <c r="W64" s="94"/>
    </row>
    <row r="65" spans="1:23">
      <c r="A65" s="94"/>
      <c r="B65" s="94"/>
      <c r="C65" s="94"/>
      <c r="D65" s="94"/>
      <c r="E65" s="94"/>
      <c r="F65" s="94"/>
      <c r="G65" s="94"/>
      <c r="H65" s="94"/>
      <c r="I65" s="94"/>
      <c r="J65" s="94"/>
      <c r="K65" s="94"/>
      <c r="L65" s="94"/>
      <c r="M65" s="94"/>
      <c r="N65" s="94"/>
      <c r="O65" s="94"/>
      <c r="P65" s="94"/>
      <c r="Q65" s="94"/>
      <c r="R65" s="94"/>
      <c r="S65" s="94"/>
      <c r="T65" s="94"/>
      <c r="U65" s="94"/>
      <c r="V65" s="94"/>
      <c r="W65" s="94"/>
    </row>
    <row r="66" spans="1:23">
      <c r="A66" s="94"/>
      <c r="B66" s="94"/>
      <c r="C66" s="94"/>
      <c r="D66" s="94"/>
      <c r="E66" s="94"/>
      <c r="F66" s="94"/>
      <c r="G66" s="94"/>
      <c r="H66" s="94"/>
      <c r="I66" s="94"/>
      <c r="J66" s="94"/>
      <c r="K66" s="94"/>
      <c r="L66" s="94"/>
      <c r="M66" s="94"/>
      <c r="N66" s="94"/>
      <c r="O66" s="94"/>
      <c r="P66" s="94"/>
      <c r="Q66" s="94"/>
      <c r="R66" s="94"/>
      <c r="S66" s="94"/>
      <c r="T66" s="94"/>
      <c r="U66" s="94"/>
      <c r="V66" s="94"/>
      <c r="W66" s="94"/>
    </row>
    <row r="67" spans="1:23">
      <c r="A67" s="94"/>
      <c r="B67" s="94"/>
      <c r="C67" s="94"/>
      <c r="D67" s="94"/>
      <c r="E67" s="94"/>
      <c r="F67" s="94"/>
      <c r="G67" s="94"/>
      <c r="H67" s="94"/>
      <c r="I67" s="94"/>
      <c r="J67" s="94"/>
      <c r="K67" s="94"/>
      <c r="L67" s="94"/>
      <c r="M67" s="94"/>
      <c r="N67" s="94"/>
      <c r="O67" s="94"/>
      <c r="P67" s="94"/>
      <c r="Q67" s="94"/>
      <c r="R67" s="94"/>
      <c r="S67" s="94"/>
      <c r="T67" s="94"/>
      <c r="U67" s="94"/>
      <c r="V67" s="94"/>
      <c r="W67" s="94"/>
    </row>
    <row r="68" spans="1:23">
      <c r="A68" s="94"/>
      <c r="B68" s="94"/>
      <c r="C68" s="94"/>
      <c r="D68" s="94"/>
      <c r="E68" s="94"/>
      <c r="F68" s="94"/>
      <c r="G68" s="94"/>
      <c r="H68" s="94"/>
      <c r="I68" s="94"/>
      <c r="J68" s="94"/>
      <c r="K68" s="94"/>
      <c r="L68" s="94"/>
      <c r="M68" s="94"/>
      <c r="N68" s="94"/>
      <c r="O68" s="94"/>
      <c r="P68" s="94"/>
      <c r="Q68" s="94"/>
      <c r="R68" s="94"/>
      <c r="S68" s="94"/>
      <c r="T68" s="94"/>
      <c r="U68" s="94"/>
      <c r="V68" s="94"/>
      <c r="W68" s="94"/>
    </row>
    <row r="69" spans="1:23">
      <c r="A69" s="94"/>
      <c r="B69" s="94"/>
      <c r="C69" s="94"/>
      <c r="D69" s="94"/>
      <c r="E69" s="94"/>
      <c r="F69" s="94"/>
      <c r="G69" s="94"/>
      <c r="H69" s="94"/>
      <c r="I69" s="94"/>
      <c r="J69" s="94"/>
      <c r="K69" s="94"/>
      <c r="L69" s="94"/>
      <c r="M69" s="94"/>
      <c r="N69" s="94"/>
      <c r="O69" s="94"/>
      <c r="P69" s="94"/>
      <c r="Q69" s="94"/>
      <c r="R69" s="94"/>
      <c r="S69" s="94"/>
      <c r="T69" s="94"/>
      <c r="U69" s="94"/>
      <c r="V69" s="94"/>
      <c r="W69" s="94"/>
    </row>
    <row r="70" spans="1:23">
      <c r="A70" s="94"/>
      <c r="B70" s="94"/>
      <c r="C70" s="94"/>
      <c r="D70" s="94"/>
      <c r="E70" s="94"/>
      <c r="F70" s="94"/>
      <c r="G70" s="94"/>
      <c r="H70" s="94"/>
      <c r="I70" s="94"/>
      <c r="J70" s="94"/>
      <c r="K70" s="94"/>
      <c r="L70" s="94"/>
      <c r="M70" s="94"/>
      <c r="N70" s="94"/>
      <c r="O70" s="94"/>
      <c r="P70" s="94"/>
      <c r="Q70" s="94"/>
      <c r="R70" s="94"/>
      <c r="S70" s="94"/>
      <c r="T70" s="94"/>
      <c r="U70" s="94"/>
      <c r="V70" s="94"/>
      <c r="W70" s="94"/>
    </row>
    <row r="71" spans="1:23">
      <c r="A71" s="94"/>
      <c r="B71" s="94"/>
      <c r="C71" s="94"/>
      <c r="D71" s="94"/>
      <c r="E71" s="94"/>
      <c r="F71" s="94"/>
      <c r="G71" s="94"/>
      <c r="H71" s="94"/>
      <c r="I71" s="94"/>
      <c r="J71" s="94"/>
      <c r="K71" s="94"/>
      <c r="L71" s="94"/>
      <c r="M71" s="94"/>
      <c r="N71" s="94"/>
      <c r="O71" s="94"/>
      <c r="P71" s="94"/>
      <c r="Q71" s="94"/>
      <c r="R71" s="94"/>
      <c r="S71" s="94"/>
      <c r="T71" s="94"/>
      <c r="U71" s="94"/>
      <c r="V71" s="94"/>
      <c r="W71" s="94"/>
    </row>
    <row r="72" spans="1:23">
      <c r="A72" s="94"/>
      <c r="B72" s="94"/>
      <c r="C72" s="94"/>
      <c r="D72" s="94"/>
      <c r="E72" s="94"/>
      <c r="F72" s="94"/>
      <c r="G72" s="94"/>
      <c r="H72" s="94"/>
      <c r="I72" s="94"/>
      <c r="J72" s="94"/>
      <c r="K72" s="94"/>
      <c r="L72" s="94"/>
      <c r="M72" s="94"/>
      <c r="N72" s="94"/>
      <c r="O72" s="94"/>
      <c r="P72" s="94"/>
      <c r="Q72" s="94"/>
      <c r="R72" s="94"/>
      <c r="S72" s="94"/>
      <c r="T72" s="94"/>
      <c r="U72" s="94"/>
      <c r="V72" s="94"/>
      <c r="W72" s="94"/>
    </row>
    <row r="73" spans="1:23">
      <c r="A73" s="94"/>
      <c r="B73" s="94"/>
      <c r="C73" s="94"/>
      <c r="D73" s="94"/>
      <c r="E73" s="94"/>
      <c r="F73" s="94"/>
      <c r="G73" s="94"/>
      <c r="H73" s="94"/>
      <c r="I73" s="94"/>
      <c r="J73" s="94"/>
      <c r="K73" s="94"/>
      <c r="L73" s="94"/>
      <c r="M73" s="94"/>
      <c r="N73" s="94"/>
      <c r="O73" s="94"/>
      <c r="P73" s="94"/>
      <c r="Q73" s="94"/>
      <c r="R73" s="94"/>
      <c r="S73" s="94"/>
      <c r="T73" s="94"/>
      <c r="U73" s="94"/>
      <c r="V73" s="94"/>
      <c r="W73" s="94"/>
    </row>
    <row r="74" spans="1:23">
      <c r="A74" s="94"/>
      <c r="B74" s="94"/>
      <c r="C74" s="94"/>
      <c r="D74" s="94"/>
      <c r="E74" s="94"/>
      <c r="F74" s="94"/>
      <c r="G74" s="94"/>
      <c r="H74" s="94"/>
      <c r="I74" s="94"/>
      <c r="J74" s="94"/>
      <c r="K74" s="94"/>
      <c r="L74" s="94"/>
      <c r="M74" s="94"/>
      <c r="N74" s="94"/>
      <c r="O74" s="94"/>
      <c r="P74" s="94"/>
      <c r="Q74" s="94"/>
      <c r="R74" s="94"/>
      <c r="S74" s="94"/>
      <c r="T74" s="94"/>
      <c r="U74" s="94"/>
      <c r="V74" s="94"/>
      <c r="W74" s="94"/>
    </row>
    <row r="75" spans="1:23">
      <c r="A75" s="94"/>
      <c r="B75" s="94"/>
      <c r="C75" s="94"/>
      <c r="D75" s="94"/>
      <c r="E75" s="94"/>
      <c r="F75" s="94"/>
      <c r="G75" s="94"/>
      <c r="H75" s="94"/>
      <c r="I75" s="94"/>
      <c r="J75" s="94"/>
      <c r="K75" s="94"/>
      <c r="L75" s="94"/>
      <c r="M75" s="94"/>
      <c r="N75" s="94"/>
      <c r="O75" s="94"/>
      <c r="P75" s="94"/>
      <c r="Q75" s="94"/>
      <c r="R75" s="94"/>
      <c r="S75" s="94"/>
      <c r="T75" s="94"/>
      <c r="U75" s="94"/>
      <c r="V75" s="94"/>
      <c r="W75" s="94"/>
    </row>
    <row r="76" spans="1:23">
      <c r="A76" s="94"/>
      <c r="B76" s="94"/>
      <c r="C76" s="94"/>
      <c r="D76" s="94"/>
      <c r="E76" s="94"/>
      <c r="F76" s="94"/>
      <c r="G76" s="94"/>
      <c r="H76" s="94"/>
      <c r="I76" s="94"/>
      <c r="J76" s="94"/>
      <c r="K76" s="94"/>
      <c r="L76" s="94"/>
      <c r="M76" s="94"/>
      <c r="N76" s="94"/>
      <c r="O76" s="94"/>
      <c r="P76" s="94"/>
      <c r="Q76" s="94"/>
      <c r="R76" s="94"/>
      <c r="S76" s="94"/>
      <c r="T76" s="94"/>
      <c r="U76" s="94"/>
      <c r="V76" s="94"/>
      <c r="W76" s="94"/>
    </row>
    <row r="77" spans="1:23">
      <c r="A77" s="94"/>
      <c r="B77" s="94"/>
      <c r="C77" s="94"/>
      <c r="D77" s="94"/>
      <c r="E77" s="94"/>
      <c r="F77" s="94"/>
      <c r="G77" s="94"/>
      <c r="H77" s="94"/>
      <c r="I77" s="94"/>
      <c r="J77" s="94"/>
      <c r="K77" s="94"/>
      <c r="L77" s="94"/>
      <c r="M77" s="94"/>
      <c r="N77" s="94"/>
      <c r="O77" s="94"/>
      <c r="P77" s="94"/>
      <c r="Q77" s="94"/>
      <c r="R77" s="94"/>
      <c r="S77" s="94"/>
      <c r="T77" s="94"/>
      <c r="U77" s="94"/>
      <c r="V77" s="94"/>
      <c r="W77" s="94"/>
    </row>
    <row r="78" spans="1:23">
      <c r="A78" s="94"/>
      <c r="B78" s="94"/>
      <c r="C78" s="94"/>
      <c r="D78" s="94"/>
      <c r="E78" s="94"/>
      <c r="F78" s="94"/>
      <c r="G78" s="94"/>
      <c r="H78" s="94"/>
      <c r="I78" s="94"/>
      <c r="J78" s="94"/>
      <c r="K78" s="94"/>
      <c r="L78" s="94"/>
      <c r="M78" s="94"/>
      <c r="N78" s="94"/>
      <c r="O78" s="94"/>
      <c r="P78" s="94"/>
      <c r="Q78" s="94"/>
      <c r="R78" s="94"/>
      <c r="S78" s="94"/>
      <c r="T78" s="94"/>
      <c r="U78" s="94"/>
      <c r="V78" s="94"/>
      <c r="W78" s="94"/>
    </row>
    <row r="79" spans="1:23">
      <c r="A79" s="94"/>
      <c r="B79" s="94"/>
      <c r="C79" s="94"/>
      <c r="D79" s="94"/>
      <c r="E79" s="94"/>
      <c r="F79" s="94"/>
      <c r="G79" s="94"/>
      <c r="H79" s="94"/>
      <c r="I79" s="94"/>
      <c r="J79" s="94"/>
      <c r="K79" s="94"/>
      <c r="L79" s="94"/>
      <c r="M79" s="94"/>
      <c r="N79" s="94"/>
      <c r="O79" s="94"/>
      <c r="P79" s="94"/>
      <c r="Q79" s="94"/>
      <c r="R79" s="94"/>
      <c r="S79" s="94"/>
      <c r="T79" s="94"/>
      <c r="U79" s="94"/>
      <c r="V79" s="94"/>
      <c r="W79" s="94"/>
    </row>
    <row r="80" spans="1:23">
      <c r="A80" s="94"/>
      <c r="B80" s="94"/>
      <c r="C80" s="94"/>
      <c r="D80" s="94"/>
      <c r="E80" s="94"/>
      <c r="F80" s="94"/>
      <c r="G80" s="94"/>
      <c r="H80" s="94"/>
      <c r="I80" s="94"/>
      <c r="J80" s="94"/>
      <c r="K80" s="94"/>
      <c r="L80" s="94"/>
      <c r="M80" s="94"/>
      <c r="N80" s="94"/>
      <c r="O80" s="94"/>
      <c r="P80" s="94"/>
      <c r="Q80" s="94"/>
      <c r="R80" s="94"/>
      <c r="S80" s="94"/>
      <c r="T80" s="94"/>
      <c r="U80" s="94"/>
      <c r="V80" s="94"/>
      <c r="W80" s="94"/>
    </row>
    <row r="81" spans="1:23">
      <c r="A81" s="94"/>
      <c r="B81" s="94"/>
      <c r="C81" s="94"/>
      <c r="D81" s="94"/>
      <c r="E81" s="94"/>
      <c r="F81" s="94"/>
      <c r="G81" s="94"/>
      <c r="H81" s="94"/>
      <c r="I81" s="94"/>
      <c r="J81" s="94"/>
      <c r="K81" s="94"/>
      <c r="L81" s="94"/>
      <c r="M81" s="94"/>
      <c r="N81" s="94"/>
      <c r="O81" s="94"/>
      <c r="P81" s="94"/>
      <c r="Q81" s="94"/>
      <c r="R81" s="94"/>
      <c r="S81" s="94"/>
      <c r="T81" s="94"/>
      <c r="U81" s="94"/>
      <c r="V81" s="94"/>
      <c r="W81" s="94"/>
    </row>
    <row r="82" spans="1:23">
      <c r="A82" s="94"/>
      <c r="B82" s="94"/>
      <c r="C82" s="94"/>
      <c r="D82" s="94"/>
      <c r="E82" s="94"/>
      <c r="F82" s="94"/>
      <c r="G82" s="94"/>
      <c r="H82" s="94"/>
      <c r="I82" s="94"/>
      <c r="J82" s="94"/>
      <c r="K82" s="94"/>
      <c r="L82" s="94"/>
      <c r="M82" s="94"/>
      <c r="N82" s="94"/>
      <c r="O82" s="94"/>
      <c r="P82" s="94"/>
      <c r="Q82" s="94"/>
      <c r="R82" s="94"/>
      <c r="S82" s="94"/>
      <c r="T82" s="94"/>
      <c r="U82" s="94"/>
      <c r="V82" s="94"/>
      <c r="W82" s="94"/>
    </row>
    <row r="83" spans="1:23">
      <c r="A83" s="94"/>
      <c r="B83" s="94"/>
      <c r="C83" s="94"/>
      <c r="D83" s="94"/>
      <c r="E83" s="94"/>
      <c r="F83" s="94"/>
      <c r="G83" s="94"/>
      <c r="H83" s="94"/>
      <c r="I83" s="94"/>
      <c r="J83" s="94"/>
      <c r="K83" s="94"/>
      <c r="L83" s="94"/>
      <c r="M83" s="94"/>
      <c r="N83" s="94"/>
      <c r="O83" s="94"/>
      <c r="P83" s="94"/>
      <c r="Q83" s="94"/>
      <c r="R83" s="94"/>
      <c r="S83" s="94"/>
      <c r="T83" s="94"/>
      <c r="U83" s="94"/>
      <c r="V83" s="94"/>
      <c r="W83" s="94"/>
    </row>
    <row r="84" spans="1:23">
      <c r="A84" s="94"/>
      <c r="B84" s="94"/>
      <c r="C84" s="94"/>
      <c r="D84" s="94"/>
      <c r="E84" s="94"/>
      <c r="F84" s="94"/>
      <c r="G84" s="94"/>
      <c r="H84" s="94"/>
      <c r="I84" s="94"/>
      <c r="J84" s="94"/>
      <c r="K84" s="94"/>
      <c r="L84" s="94"/>
      <c r="M84" s="94"/>
      <c r="N84" s="94"/>
      <c r="O84" s="94"/>
      <c r="P84" s="94"/>
      <c r="Q84" s="94"/>
      <c r="R84" s="94"/>
      <c r="S84" s="94"/>
      <c r="T84" s="94"/>
      <c r="U84" s="94"/>
      <c r="V84" s="94"/>
      <c r="W84" s="94"/>
    </row>
    <row r="85" spans="1:23">
      <c r="A85" s="94"/>
      <c r="B85" s="94"/>
      <c r="C85" s="94"/>
      <c r="D85" s="94"/>
      <c r="E85" s="94"/>
      <c r="F85" s="94"/>
      <c r="G85" s="94"/>
      <c r="H85" s="94"/>
      <c r="I85" s="94"/>
      <c r="J85" s="94"/>
      <c r="K85" s="94"/>
      <c r="L85" s="94"/>
      <c r="M85" s="94"/>
      <c r="N85" s="94"/>
      <c r="O85" s="94"/>
      <c r="P85" s="94"/>
      <c r="Q85" s="94"/>
      <c r="R85" s="94"/>
      <c r="S85" s="94"/>
      <c r="T85" s="94"/>
      <c r="U85" s="94"/>
      <c r="V85" s="94"/>
      <c r="W85" s="94"/>
    </row>
    <row r="86" spans="1:23">
      <c r="A86" s="94"/>
      <c r="B86" s="94"/>
      <c r="C86" s="94"/>
      <c r="D86" s="94"/>
      <c r="E86" s="94"/>
      <c r="F86" s="94"/>
      <c r="G86" s="94"/>
      <c r="H86" s="94"/>
      <c r="I86" s="94"/>
      <c r="J86" s="94"/>
      <c r="K86" s="94"/>
      <c r="L86" s="94"/>
      <c r="M86" s="94"/>
      <c r="N86" s="94"/>
      <c r="O86" s="94"/>
      <c r="P86" s="94"/>
      <c r="Q86" s="94"/>
      <c r="R86" s="94"/>
      <c r="S86" s="94"/>
      <c r="T86" s="94"/>
      <c r="U86" s="94"/>
      <c r="V86" s="94"/>
      <c r="W86" s="94"/>
    </row>
    <row r="87" spans="1:23">
      <c r="A87" s="94"/>
      <c r="B87" s="94"/>
      <c r="C87" s="94"/>
      <c r="D87" s="94"/>
      <c r="E87" s="94"/>
      <c r="F87" s="94"/>
      <c r="G87" s="94"/>
      <c r="H87" s="94"/>
      <c r="I87" s="94"/>
      <c r="J87" s="94"/>
      <c r="K87" s="94"/>
      <c r="L87" s="94"/>
      <c r="M87" s="94"/>
      <c r="N87" s="94"/>
      <c r="O87" s="94"/>
      <c r="P87" s="94"/>
      <c r="Q87" s="94"/>
      <c r="R87" s="94"/>
      <c r="S87" s="94"/>
      <c r="T87" s="94"/>
      <c r="U87" s="94"/>
      <c r="V87" s="94"/>
      <c r="W87" s="94"/>
    </row>
    <row r="88" spans="1:23">
      <c r="A88" s="94"/>
      <c r="B88" s="94"/>
      <c r="C88" s="94"/>
      <c r="D88" s="94"/>
      <c r="E88" s="94"/>
      <c r="F88" s="94"/>
      <c r="G88" s="94"/>
      <c r="H88" s="94"/>
      <c r="I88" s="94"/>
      <c r="J88" s="94"/>
      <c r="K88" s="94"/>
      <c r="L88" s="94"/>
      <c r="M88" s="94"/>
      <c r="N88" s="94"/>
      <c r="O88" s="94"/>
      <c r="P88" s="94"/>
      <c r="Q88" s="94"/>
      <c r="R88" s="94"/>
      <c r="S88" s="94"/>
      <c r="T88" s="94"/>
      <c r="U88" s="94"/>
      <c r="V88" s="94"/>
      <c r="W88" s="94"/>
    </row>
    <row r="89" spans="1:23">
      <c r="A89" s="94"/>
      <c r="B89" s="94"/>
      <c r="C89" s="94"/>
      <c r="D89" s="94"/>
      <c r="E89" s="94"/>
      <c r="F89" s="94"/>
      <c r="G89" s="94"/>
      <c r="H89" s="94"/>
      <c r="I89" s="94"/>
      <c r="J89" s="94"/>
      <c r="K89" s="94"/>
      <c r="L89" s="94"/>
      <c r="M89" s="94"/>
      <c r="N89" s="94"/>
      <c r="O89" s="94"/>
      <c r="P89" s="94"/>
      <c r="Q89" s="94"/>
      <c r="R89" s="94"/>
      <c r="S89" s="94"/>
      <c r="T89" s="94"/>
      <c r="U89" s="94"/>
      <c r="V89" s="94"/>
      <c r="W89" s="94"/>
    </row>
    <row r="90" spans="1:23">
      <c r="A90" s="94"/>
      <c r="B90" s="94"/>
      <c r="C90" s="94"/>
      <c r="D90" s="94"/>
      <c r="E90" s="94"/>
      <c r="F90" s="94"/>
      <c r="G90" s="94"/>
      <c r="H90" s="94"/>
      <c r="I90" s="94"/>
      <c r="J90" s="94"/>
      <c r="K90" s="94"/>
      <c r="L90" s="94"/>
      <c r="M90" s="94"/>
      <c r="N90" s="94"/>
      <c r="O90" s="94"/>
      <c r="P90" s="94"/>
      <c r="Q90" s="94"/>
      <c r="R90" s="94"/>
      <c r="S90" s="94"/>
      <c r="T90" s="94"/>
      <c r="U90" s="94"/>
      <c r="V90" s="94"/>
      <c r="W90" s="94"/>
    </row>
    <row r="91" spans="1:23">
      <c r="A91" s="94"/>
      <c r="B91" s="94"/>
      <c r="C91" s="94"/>
      <c r="D91" s="94"/>
      <c r="E91" s="94"/>
      <c r="F91" s="94"/>
      <c r="G91" s="94"/>
      <c r="H91" s="94"/>
      <c r="I91" s="94"/>
      <c r="J91" s="94"/>
      <c r="K91" s="94"/>
      <c r="L91" s="94"/>
      <c r="M91" s="94"/>
      <c r="N91" s="94"/>
      <c r="O91" s="94"/>
      <c r="P91" s="94"/>
      <c r="Q91" s="94"/>
      <c r="R91" s="94"/>
      <c r="S91" s="94"/>
      <c r="T91" s="94"/>
      <c r="U91" s="94"/>
      <c r="V91" s="94"/>
      <c r="W91" s="94"/>
    </row>
    <row r="92" spans="1:23">
      <c r="A92" s="94"/>
      <c r="B92" s="94"/>
      <c r="C92" s="94"/>
      <c r="D92" s="94"/>
      <c r="E92" s="94"/>
      <c r="F92" s="94"/>
      <c r="G92" s="94"/>
      <c r="H92" s="94"/>
      <c r="I92" s="94"/>
      <c r="J92" s="94"/>
      <c r="K92" s="94"/>
      <c r="L92" s="94"/>
      <c r="M92" s="94"/>
      <c r="N92" s="94"/>
      <c r="O92" s="94"/>
      <c r="P92" s="94"/>
      <c r="Q92" s="94"/>
      <c r="R92" s="94"/>
      <c r="S92" s="94"/>
      <c r="T92" s="94"/>
      <c r="U92" s="94"/>
      <c r="V92" s="94"/>
      <c r="W92" s="94"/>
    </row>
    <row r="93" spans="1:23">
      <c r="A93" s="94"/>
      <c r="B93" s="94"/>
      <c r="C93" s="94"/>
      <c r="D93" s="94"/>
      <c r="E93" s="94"/>
      <c r="F93" s="94"/>
      <c r="G93" s="94"/>
      <c r="H93" s="94"/>
      <c r="I93" s="94"/>
      <c r="J93" s="94"/>
      <c r="K93" s="94"/>
      <c r="L93" s="94"/>
      <c r="M93" s="94"/>
      <c r="N93" s="94"/>
      <c r="O93" s="94"/>
      <c r="P93" s="94"/>
      <c r="Q93" s="94"/>
      <c r="R93" s="94"/>
      <c r="S93" s="94"/>
      <c r="T93" s="94"/>
      <c r="U93" s="94"/>
      <c r="V93" s="94"/>
      <c r="W93" s="94"/>
    </row>
    <row r="94" spans="1:23">
      <c r="A94" s="94"/>
      <c r="B94" s="94"/>
      <c r="C94" s="94"/>
      <c r="D94" s="94"/>
      <c r="E94" s="94"/>
      <c r="F94" s="94"/>
      <c r="G94" s="94"/>
      <c r="H94" s="94"/>
      <c r="I94" s="94"/>
      <c r="J94" s="94"/>
      <c r="K94" s="94"/>
      <c r="L94" s="94"/>
      <c r="M94" s="94"/>
      <c r="N94" s="94"/>
      <c r="O94" s="94"/>
      <c r="P94" s="94"/>
      <c r="Q94" s="94"/>
      <c r="R94" s="94"/>
      <c r="S94" s="94"/>
      <c r="T94" s="94"/>
      <c r="U94" s="94"/>
      <c r="V94" s="94"/>
      <c r="W94" s="94"/>
    </row>
    <row r="95" spans="1:23">
      <c r="A95" s="94"/>
      <c r="B95" s="94"/>
      <c r="C95" s="94"/>
      <c r="D95" s="94"/>
      <c r="E95" s="94"/>
      <c r="F95" s="94"/>
      <c r="G95" s="94"/>
      <c r="H95" s="94"/>
      <c r="I95" s="94"/>
      <c r="J95" s="94"/>
      <c r="K95" s="94"/>
      <c r="L95" s="94"/>
      <c r="M95" s="94"/>
      <c r="N95" s="94"/>
      <c r="O95" s="94"/>
      <c r="P95" s="94"/>
      <c r="Q95" s="94"/>
      <c r="R95" s="94"/>
      <c r="S95" s="94"/>
      <c r="T95" s="94"/>
      <c r="U95" s="94"/>
      <c r="V95" s="94"/>
      <c r="W95" s="94"/>
    </row>
    <row r="96" spans="1:23">
      <c r="A96" s="94"/>
      <c r="B96" s="94"/>
      <c r="C96" s="94"/>
      <c r="D96" s="94"/>
      <c r="E96" s="94"/>
      <c r="F96" s="94"/>
      <c r="G96" s="94"/>
      <c r="H96" s="94"/>
      <c r="I96" s="94"/>
      <c r="J96" s="94"/>
      <c r="K96" s="94"/>
      <c r="L96" s="94"/>
      <c r="M96" s="94"/>
      <c r="N96" s="94"/>
      <c r="O96" s="94"/>
      <c r="P96" s="94"/>
      <c r="Q96" s="94"/>
      <c r="R96" s="94"/>
      <c r="S96" s="94"/>
      <c r="T96" s="94"/>
      <c r="U96" s="94"/>
      <c r="V96" s="94"/>
      <c r="W96" s="94"/>
    </row>
    <row r="97" spans="1:23">
      <c r="A97" s="94"/>
      <c r="B97" s="94"/>
      <c r="C97" s="94"/>
      <c r="D97" s="94"/>
      <c r="E97" s="94"/>
      <c r="F97" s="94"/>
      <c r="G97" s="94"/>
      <c r="H97" s="94"/>
      <c r="I97" s="94"/>
      <c r="J97" s="94"/>
      <c r="K97" s="94"/>
      <c r="L97" s="94"/>
      <c r="M97" s="94"/>
      <c r="N97" s="94"/>
      <c r="O97" s="94"/>
      <c r="P97" s="94"/>
      <c r="Q97" s="94"/>
      <c r="R97" s="94"/>
      <c r="S97" s="94"/>
      <c r="T97" s="94"/>
      <c r="U97" s="94"/>
      <c r="V97" s="94"/>
      <c r="W97" s="94"/>
    </row>
    <row r="98" spans="1:23">
      <c r="A98" s="94"/>
      <c r="B98" s="94"/>
      <c r="C98" s="94"/>
      <c r="D98" s="94"/>
      <c r="E98" s="94"/>
      <c r="F98" s="94"/>
      <c r="G98" s="94"/>
      <c r="H98" s="94"/>
      <c r="I98" s="94"/>
      <c r="J98" s="94"/>
      <c r="K98" s="94"/>
      <c r="L98" s="94"/>
      <c r="M98" s="94"/>
      <c r="N98" s="94"/>
      <c r="O98" s="94"/>
      <c r="P98" s="94"/>
      <c r="Q98" s="94"/>
      <c r="R98" s="94"/>
      <c r="S98" s="94"/>
      <c r="T98" s="94"/>
      <c r="U98" s="94"/>
      <c r="V98" s="94"/>
      <c r="W98" s="94"/>
    </row>
    <row r="99" spans="1:23">
      <c r="A99" s="94"/>
      <c r="B99" s="94"/>
      <c r="C99" s="94"/>
      <c r="D99" s="94"/>
      <c r="E99" s="94"/>
      <c r="F99" s="94"/>
      <c r="G99" s="94"/>
      <c r="H99" s="94"/>
      <c r="I99" s="94"/>
      <c r="J99" s="94"/>
      <c r="K99" s="94"/>
      <c r="L99" s="94"/>
      <c r="M99" s="94"/>
      <c r="N99" s="94"/>
      <c r="O99" s="94"/>
      <c r="P99" s="94"/>
      <c r="Q99" s="94"/>
      <c r="R99" s="94"/>
      <c r="S99" s="94"/>
      <c r="T99" s="94"/>
      <c r="U99" s="94"/>
      <c r="V99" s="94"/>
      <c r="W99" s="94"/>
    </row>
    <row r="100" spans="1:23">
      <c r="A100" s="94"/>
      <c r="B100" s="94"/>
      <c r="C100" s="94"/>
      <c r="D100" s="94"/>
      <c r="E100" s="94"/>
      <c r="F100" s="94"/>
      <c r="G100" s="94"/>
      <c r="H100" s="94"/>
      <c r="I100" s="94"/>
      <c r="J100" s="94"/>
      <c r="K100" s="94"/>
      <c r="L100" s="94"/>
      <c r="M100" s="94"/>
      <c r="N100" s="94"/>
      <c r="O100" s="94"/>
      <c r="P100" s="94"/>
      <c r="Q100" s="94"/>
      <c r="R100" s="94"/>
      <c r="S100" s="94"/>
      <c r="T100" s="94"/>
      <c r="U100" s="94"/>
      <c r="V100" s="94"/>
      <c r="W100" s="94"/>
    </row>
    <row r="101" spans="1:23">
      <c r="A101" s="94"/>
      <c r="B101" s="94"/>
      <c r="C101" s="94"/>
      <c r="D101" s="94"/>
      <c r="E101" s="94"/>
      <c r="F101" s="94"/>
      <c r="G101" s="94"/>
      <c r="H101" s="94"/>
      <c r="I101" s="94"/>
      <c r="J101" s="94"/>
      <c r="K101" s="94"/>
      <c r="L101" s="94"/>
      <c r="M101" s="94"/>
      <c r="N101" s="94"/>
      <c r="O101" s="94"/>
      <c r="P101" s="94"/>
      <c r="Q101" s="94"/>
      <c r="R101" s="94"/>
      <c r="S101" s="94"/>
      <c r="T101" s="94"/>
      <c r="U101" s="94"/>
      <c r="V101" s="94"/>
      <c r="W101" s="94"/>
    </row>
    <row r="102" spans="1:23">
      <c r="A102" s="94"/>
      <c r="B102" s="94"/>
      <c r="C102" s="94"/>
      <c r="D102" s="94"/>
      <c r="E102" s="94"/>
      <c r="F102" s="94"/>
      <c r="G102" s="94"/>
      <c r="H102" s="94"/>
      <c r="I102" s="94"/>
      <c r="J102" s="94"/>
      <c r="K102" s="94"/>
      <c r="L102" s="94"/>
      <c r="M102" s="94"/>
      <c r="N102" s="94"/>
      <c r="O102" s="94"/>
      <c r="P102" s="94"/>
      <c r="Q102" s="94"/>
      <c r="R102" s="94"/>
      <c r="S102" s="94"/>
      <c r="T102" s="94"/>
      <c r="U102" s="94"/>
      <c r="V102" s="94"/>
      <c r="W102" s="94"/>
    </row>
    <row r="103" spans="1:23">
      <c r="A103" s="94"/>
      <c r="B103" s="94"/>
      <c r="C103" s="94"/>
      <c r="D103" s="94"/>
      <c r="E103" s="94"/>
      <c r="F103" s="94"/>
      <c r="G103" s="94"/>
      <c r="H103" s="94"/>
      <c r="I103" s="94"/>
      <c r="J103" s="94"/>
      <c r="K103" s="94"/>
      <c r="L103" s="94"/>
      <c r="M103" s="94"/>
      <c r="N103" s="94"/>
      <c r="O103" s="94"/>
      <c r="P103" s="94"/>
      <c r="Q103" s="94"/>
      <c r="R103" s="94"/>
      <c r="S103" s="94"/>
      <c r="T103" s="94"/>
      <c r="U103" s="94"/>
      <c r="V103" s="94"/>
      <c r="W103" s="94"/>
    </row>
    <row r="104" spans="1:23">
      <c r="A104" s="94"/>
      <c r="B104" s="94"/>
      <c r="C104" s="94"/>
      <c r="D104" s="94"/>
      <c r="E104" s="94"/>
      <c r="F104" s="94"/>
      <c r="G104" s="94"/>
      <c r="H104" s="94"/>
      <c r="I104" s="94"/>
      <c r="J104" s="94"/>
      <c r="K104" s="94"/>
      <c r="L104" s="94"/>
      <c r="M104" s="94"/>
      <c r="N104" s="94"/>
      <c r="O104" s="94"/>
      <c r="P104" s="94"/>
      <c r="Q104" s="94"/>
      <c r="R104" s="94"/>
      <c r="S104" s="94"/>
      <c r="T104" s="94"/>
      <c r="U104" s="94"/>
      <c r="V104" s="94"/>
      <c r="W104" s="94"/>
    </row>
    <row r="105" spans="1:23">
      <c r="A105" s="94"/>
      <c r="B105" s="94"/>
      <c r="C105" s="94"/>
      <c r="D105" s="94"/>
      <c r="E105" s="94"/>
      <c r="F105" s="94"/>
      <c r="G105" s="94"/>
      <c r="H105" s="94"/>
      <c r="I105" s="94"/>
      <c r="J105" s="94"/>
      <c r="K105" s="94"/>
      <c r="L105" s="94"/>
      <c r="M105" s="94"/>
      <c r="N105" s="94"/>
      <c r="O105" s="94"/>
      <c r="P105" s="94"/>
      <c r="Q105" s="94"/>
      <c r="R105" s="94"/>
      <c r="S105" s="94"/>
      <c r="T105" s="94"/>
      <c r="U105" s="94"/>
      <c r="V105" s="94"/>
      <c r="W105" s="94"/>
    </row>
    <row r="106" spans="1:23">
      <c r="A106" s="94"/>
      <c r="B106" s="94"/>
      <c r="C106" s="94"/>
      <c r="D106" s="94"/>
      <c r="E106" s="94"/>
      <c r="F106" s="94"/>
      <c r="G106" s="94"/>
      <c r="H106" s="94"/>
      <c r="I106" s="94"/>
      <c r="J106" s="94"/>
      <c r="K106" s="94"/>
      <c r="L106" s="94"/>
      <c r="M106" s="94"/>
      <c r="N106" s="94"/>
      <c r="O106" s="94"/>
      <c r="P106" s="94"/>
      <c r="Q106" s="94"/>
      <c r="R106" s="94"/>
      <c r="S106" s="94"/>
      <c r="T106" s="94"/>
      <c r="U106" s="94"/>
      <c r="V106" s="94"/>
      <c r="W106" s="94"/>
    </row>
    <row r="107" spans="1:23">
      <c r="A107" s="94"/>
      <c r="B107" s="94"/>
      <c r="C107" s="94"/>
      <c r="D107" s="94"/>
      <c r="E107" s="94"/>
      <c r="F107" s="94"/>
      <c r="G107" s="94"/>
      <c r="H107" s="94"/>
      <c r="I107" s="94"/>
      <c r="J107" s="94"/>
      <c r="K107" s="94"/>
      <c r="L107" s="94"/>
      <c r="M107" s="94"/>
      <c r="N107" s="94"/>
      <c r="O107" s="94"/>
      <c r="P107" s="94"/>
      <c r="Q107" s="94"/>
      <c r="R107" s="94"/>
      <c r="S107" s="94"/>
      <c r="T107" s="94"/>
      <c r="U107" s="94"/>
      <c r="V107" s="94"/>
      <c r="W107" s="94"/>
    </row>
    <row r="108" spans="1:23">
      <c r="A108" s="94"/>
      <c r="B108" s="94"/>
      <c r="C108" s="94"/>
      <c r="D108" s="94"/>
      <c r="E108" s="94"/>
      <c r="F108" s="94"/>
      <c r="G108" s="94"/>
      <c r="H108" s="94"/>
      <c r="I108" s="94"/>
      <c r="J108" s="94"/>
      <c r="K108" s="94"/>
      <c r="L108" s="94"/>
      <c r="M108" s="94"/>
      <c r="N108" s="94"/>
      <c r="O108" s="94"/>
      <c r="P108" s="94"/>
      <c r="Q108" s="94"/>
      <c r="R108" s="94"/>
      <c r="S108" s="94"/>
      <c r="T108" s="94"/>
      <c r="U108" s="94"/>
      <c r="V108" s="94"/>
      <c r="W108" s="94"/>
    </row>
    <row r="109" spans="1:23">
      <c r="A109" s="94"/>
      <c r="B109" s="94"/>
      <c r="C109" s="94"/>
      <c r="D109" s="94"/>
      <c r="E109" s="94"/>
      <c r="F109" s="94"/>
      <c r="G109" s="94"/>
      <c r="H109" s="94"/>
      <c r="I109" s="94"/>
      <c r="J109" s="94"/>
      <c r="K109" s="94"/>
      <c r="L109" s="94"/>
      <c r="M109" s="94"/>
      <c r="N109" s="94"/>
      <c r="O109" s="94"/>
      <c r="P109" s="94"/>
      <c r="Q109" s="94"/>
      <c r="R109" s="94"/>
      <c r="S109" s="94"/>
      <c r="T109" s="94"/>
      <c r="U109" s="94"/>
      <c r="V109" s="94"/>
      <c r="W109" s="94"/>
    </row>
    <row r="110" spans="1:23">
      <c r="A110" s="94"/>
      <c r="B110" s="94"/>
      <c r="C110" s="94"/>
      <c r="D110" s="94"/>
      <c r="E110" s="94"/>
      <c r="F110" s="94"/>
      <c r="G110" s="94"/>
      <c r="H110" s="94"/>
      <c r="I110" s="94"/>
      <c r="J110" s="94"/>
      <c r="K110" s="94"/>
      <c r="L110" s="94"/>
      <c r="M110" s="94"/>
      <c r="N110" s="94"/>
      <c r="O110" s="94"/>
      <c r="P110" s="94"/>
      <c r="Q110" s="94"/>
      <c r="R110" s="94"/>
      <c r="S110" s="94"/>
      <c r="T110" s="94"/>
      <c r="U110" s="94"/>
      <c r="V110" s="94"/>
      <c r="W110" s="94"/>
    </row>
    <row r="111" spans="1:23">
      <c r="A111" s="94"/>
      <c r="B111" s="94"/>
      <c r="C111" s="94"/>
      <c r="D111" s="94"/>
      <c r="E111" s="94"/>
      <c r="F111" s="94"/>
      <c r="G111" s="94"/>
      <c r="H111" s="94"/>
      <c r="I111" s="94"/>
      <c r="J111" s="94"/>
      <c r="K111" s="94"/>
      <c r="L111" s="94"/>
      <c r="M111" s="94"/>
      <c r="N111" s="94"/>
      <c r="O111" s="94"/>
      <c r="P111" s="94"/>
      <c r="Q111" s="94"/>
      <c r="R111" s="94"/>
      <c r="S111" s="94"/>
      <c r="T111" s="94"/>
      <c r="U111" s="94"/>
      <c r="V111" s="94"/>
      <c r="W111" s="94"/>
    </row>
    <row r="112" spans="1:23">
      <c r="A112" s="94"/>
      <c r="B112" s="94"/>
      <c r="C112" s="94"/>
      <c r="D112" s="94"/>
      <c r="E112" s="94"/>
      <c r="F112" s="94"/>
      <c r="G112" s="94"/>
      <c r="H112" s="94"/>
      <c r="I112" s="94"/>
      <c r="J112" s="94"/>
      <c r="K112" s="94"/>
      <c r="L112" s="94"/>
      <c r="M112" s="94"/>
      <c r="N112" s="94"/>
      <c r="O112" s="94"/>
      <c r="P112" s="94"/>
      <c r="Q112" s="94"/>
      <c r="R112" s="94"/>
      <c r="S112" s="94"/>
      <c r="T112" s="94"/>
      <c r="U112" s="94"/>
      <c r="V112" s="94"/>
      <c r="W112" s="94"/>
    </row>
    <row r="113" spans="1:23">
      <c r="A113" s="94"/>
      <c r="B113" s="94"/>
      <c r="C113" s="94"/>
      <c r="D113" s="94"/>
      <c r="E113" s="94"/>
      <c r="F113" s="94"/>
      <c r="G113" s="94"/>
      <c r="H113" s="94"/>
      <c r="I113" s="94"/>
      <c r="J113" s="94"/>
      <c r="K113" s="94"/>
      <c r="L113" s="94"/>
      <c r="M113" s="94"/>
      <c r="N113" s="94"/>
      <c r="O113" s="94"/>
      <c r="P113" s="94"/>
      <c r="Q113" s="94"/>
      <c r="R113" s="94"/>
      <c r="S113" s="94"/>
      <c r="T113" s="94"/>
      <c r="U113" s="94"/>
      <c r="V113" s="94"/>
      <c r="W113" s="94"/>
    </row>
    <row r="114" spans="1:23">
      <c r="A114" s="94"/>
      <c r="B114" s="94"/>
      <c r="C114" s="94"/>
      <c r="D114" s="94"/>
      <c r="E114" s="94"/>
      <c r="F114" s="94"/>
      <c r="G114" s="94"/>
      <c r="H114" s="94"/>
      <c r="I114" s="94"/>
      <c r="J114" s="94"/>
      <c r="K114" s="94"/>
      <c r="L114" s="94"/>
      <c r="M114" s="94"/>
      <c r="N114" s="94"/>
      <c r="O114" s="94"/>
      <c r="P114" s="94"/>
      <c r="Q114" s="94"/>
      <c r="R114" s="94"/>
      <c r="S114" s="94"/>
      <c r="T114" s="94"/>
      <c r="U114" s="94"/>
      <c r="V114" s="94"/>
      <c r="W114" s="94"/>
    </row>
    <row r="115" spans="1:23">
      <c r="A115" s="94"/>
      <c r="B115" s="94"/>
      <c r="C115" s="94"/>
      <c r="D115" s="94"/>
      <c r="E115" s="94"/>
      <c r="F115" s="94"/>
      <c r="G115" s="94"/>
      <c r="H115" s="94"/>
      <c r="I115" s="94"/>
      <c r="J115" s="94"/>
      <c r="K115" s="94"/>
      <c r="L115" s="94"/>
      <c r="M115" s="94"/>
      <c r="N115" s="94"/>
      <c r="O115" s="94"/>
      <c r="P115" s="94"/>
      <c r="Q115" s="94"/>
      <c r="R115" s="94"/>
      <c r="S115" s="94"/>
      <c r="T115" s="94"/>
      <c r="U115" s="94"/>
      <c r="V115" s="94"/>
      <c r="W115" s="94"/>
    </row>
    <row r="116" spans="1:23">
      <c r="A116" s="94"/>
      <c r="B116" s="94"/>
      <c r="C116" s="94"/>
      <c r="D116" s="94"/>
      <c r="E116" s="94"/>
      <c r="F116" s="94"/>
      <c r="G116" s="94"/>
      <c r="H116" s="94"/>
      <c r="I116" s="94"/>
      <c r="J116" s="94"/>
      <c r="K116" s="94"/>
      <c r="L116" s="94"/>
      <c r="M116" s="94"/>
      <c r="N116" s="94"/>
      <c r="O116" s="94"/>
      <c r="P116" s="94"/>
      <c r="Q116" s="94"/>
      <c r="R116" s="94"/>
      <c r="S116" s="94"/>
      <c r="T116" s="94"/>
      <c r="U116" s="94"/>
      <c r="V116" s="94"/>
      <c r="W116" s="94"/>
    </row>
    <row r="117" spans="1:23">
      <c r="A117" s="94"/>
      <c r="B117" s="94"/>
      <c r="C117" s="94"/>
      <c r="D117" s="94"/>
      <c r="E117" s="94"/>
      <c r="F117" s="94"/>
      <c r="G117" s="94"/>
      <c r="H117" s="94"/>
      <c r="I117" s="94"/>
      <c r="J117" s="94"/>
      <c r="K117" s="94"/>
      <c r="L117" s="94"/>
      <c r="M117" s="94"/>
      <c r="N117" s="94"/>
      <c r="O117" s="94"/>
      <c r="P117" s="94"/>
      <c r="Q117" s="94"/>
      <c r="R117" s="94"/>
      <c r="S117" s="94"/>
      <c r="T117" s="94"/>
      <c r="U117" s="94"/>
      <c r="V117" s="94"/>
      <c r="W117" s="94"/>
    </row>
    <row r="118" spans="1:23">
      <c r="A118" s="94"/>
      <c r="B118" s="94"/>
      <c r="C118" s="94"/>
      <c r="D118" s="94"/>
      <c r="E118" s="94"/>
      <c r="F118" s="94"/>
      <c r="G118" s="94"/>
      <c r="H118" s="94"/>
      <c r="I118" s="94"/>
      <c r="J118" s="94"/>
      <c r="K118" s="94"/>
      <c r="L118" s="94"/>
      <c r="M118" s="94"/>
      <c r="N118" s="94"/>
      <c r="O118" s="94"/>
      <c r="P118" s="94"/>
      <c r="Q118" s="94"/>
      <c r="R118" s="94"/>
      <c r="S118" s="94"/>
      <c r="T118" s="94"/>
      <c r="U118" s="94"/>
      <c r="V118" s="94"/>
      <c r="W118" s="94"/>
    </row>
    <row r="119" spans="1:23">
      <c r="A119" s="94"/>
      <c r="B119" s="94"/>
      <c r="C119" s="94"/>
      <c r="D119" s="94"/>
      <c r="E119" s="94"/>
      <c r="F119" s="94"/>
      <c r="G119" s="94"/>
      <c r="H119" s="94"/>
      <c r="I119" s="94"/>
      <c r="J119" s="94"/>
      <c r="K119" s="94"/>
      <c r="L119" s="94"/>
      <c r="M119" s="94"/>
      <c r="N119" s="94"/>
      <c r="O119" s="94"/>
      <c r="P119" s="94"/>
      <c r="Q119" s="94"/>
      <c r="R119" s="94"/>
      <c r="S119" s="94"/>
      <c r="T119" s="94"/>
      <c r="U119" s="94"/>
      <c r="V119" s="94"/>
      <c r="W119" s="94"/>
    </row>
    <row r="120" spans="1:23">
      <c r="A120" s="94"/>
      <c r="B120" s="94"/>
      <c r="C120" s="94"/>
      <c r="D120" s="94"/>
      <c r="E120" s="94"/>
      <c r="F120" s="94"/>
      <c r="G120" s="94"/>
      <c r="H120" s="94"/>
      <c r="I120" s="94"/>
      <c r="J120" s="94"/>
      <c r="K120" s="94"/>
      <c r="L120" s="94"/>
      <c r="M120" s="94"/>
      <c r="N120" s="94"/>
      <c r="O120" s="94"/>
      <c r="P120" s="94"/>
      <c r="Q120" s="94"/>
      <c r="R120" s="94"/>
      <c r="S120" s="94"/>
      <c r="T120" s="94"/>
      <c r="U120" s="94"/>
      <c r="V120" s="94"/>
      <c r="W120" s="94"/>
    </row>
    <row r="121" spans="1:23">
      <c r="A121" s="94"/>
      <c r="B121" s="94"/>
      <c r="C121" s="94"/>
      <c r="D121" s="94"/>
      <c r="E121" s="94"/>
      <c r="F121" s="94"/>
      <c r="G121" s="94"/>
      <c r="H121" s="94"/>
      <c r="I121" s="94"/>
      <c r="J121" s="94"/>
      <c r="K121" s="94"/>
      <c r="L121" s="94"/>
      <c r="M121" s="94"/>
      <c r="N121" s="94"/>
      <c r="O121" s="94"/>
      <c r="P121" s="94"/>
      <c r="Q121" s="94"/>
      <c r="R121" s="94"/>
      <c r="S121" s="94"/>
      <c r="T121" s="94"/>
      <c r="U121" s="94"/>
      <c r="V121" s="94"/>
      <c r="W121" s="94"/>
    </row>
    <row r="122" spans="1:23">
      <c r="A122" s="94"/>
      <c r="B122" s="94"/>
      <c r="C122" s="94"/>
      <c r="D122" s="94"/>
      <c r="E122" s="94"/>
      <c r="F122" s="94"/>
      <c r="G122" s="94"/>
      <c r="H122" s="94"/>
      <c r="I122" s="94"/>
      <c r="J122" s="94"/>
      <c r="K122" s="94"/>
      <c r="L122" s="94"/>
      <c r="M122" s="94"/>
      <c r="N122" s="94"/>
      <c r="O122" s="94"/>
      <c r="P122" s="94"/>
      <c r="Q122" s="94"/>
      <c r="R122" s="94"/>
      <c r="S122" s="94"/>
      <c r="T122" s="94"/>
      <c r="U122" s="94"/>
      <c r="V122" s="94"/>
      <c r="W122" s="94"/>
    </row>
    <row r="123" spans="1:23">
      <c r="A123" s="94"/>
      <c r="B123" s="94"/>
      <c r="C123" s="94"/>
      <c r="D123" s="94"/>
      <c r="E123" s="94"/>
      <c r="F123" s="94"/>
      <c r="G123" s="94"/>
      <c r="H123" s="94"/>
      <c r="I123" s="94"/>
      <c r="J123" s="94"/>
      <c r="K123" s="94"/>
      <c r="L123" s="94"/>
      <c r="M123" s="94"/>
      <c r="N123" s="94"/>
      <c r="O123" s="94"/>
      <c r="P123" s="94"/>
      <c r="Q123" s="94"/>
      <c r="R123" s="94"/>
      <c r="S123" s="94"/>
      <c r="T123" s="94"/>
      <c r="U123" s="94"/>
      <c r="V123" s="94"/>
      <c r="W123" s="94"/>
    </row>
    <row r="124" spans="1:23">
      <c r="A124" s="94"/>
      <c r="B124" s="94"/>
      <c r="C124" s="94"/>
      <c r="D124" s="94"/>
      <c r="E124" s="94"/>
      <c r="F124" s="94"/>
      <c r="G124" s="94"/>
      <c r="H124" s="94"/>
      <c r="I124" s="94"/>
      <c r="J124" s="94"/>
      <c r="K124" s="94"/>
      <c r="L124" s="94"/>
      <c r="M124" s="94"/>
      <c r="N124" s="94"/>
      <c r="O124" s="94"/>
      <c r="P124" s="94"/>
      <c r="Q124" s="94"/>
      <c r="R124" s="94"/>
      <c r="S124" s="94"/>
      <c r="T124" s="94"/>
      <c r="U124" s="94"/>
      <c r="V124" s="94"/>
      <c r="W124" s="94"/>
    </row>
    <row r="125" spans="1:23">
      <c r="A125" s="94"/>
      <c r="B125" s="94"/>
      <c r="C125" s="94"/>
      <c r="D125" s="94"/>
      <c r="E125" s="94"/>
      <c r="F125" s="94"/>
      <c r="G125" s="94"/>
      <c r="H125" s="94"/>
      <c r="I125" s="94"/>
      <c r="J125" s="94"/>
      <c r="K125" s="94"/>
      <c r="L125" s="94"/>
      <c r="M125" s="94"/>
      <c r="N125" s="94"/>
      <c r="O125" s="94"/>
      <c r="P125" s="94"/>
      <c r="Q125" s="94"/>
      <c r="R125" s="94"/>
      <c r="S125" s="94"/>
      <c r="T125" s="94"/>
      <c r="U125" s="94"/>
      <c r="V125" s="94"/>
      <c r="W125" s="94"/>
    </row>
    <row r="126" spans="1:23">
      <c r="A126" s="94"/>
      <c r="B126" s="94"/>
      <c r="C126" s="94"/>
      <c r="D126" s="94"/>
      <c r="E126" s="94"/>
      <c r="F126" s="94"/>
      <c r="G126" s="94"/>
      <c r="H126" s="94"/>
      <c r="I126" s="94"/>
      <c r="J126" s="94"/>
      <c r="K126" s="94"/>
      <c r="L126" s="94"/>
      <c r="M126" s="94"/>
      <c r="N126" s="94"/>
      <c r="O126" s="94"/>
      <c r="P126" s="94"/>
      <c r="Q126" s="94"/>
      <c r="R126" s="94"/>
      <c r="S126" s="94"/>
      <c r="T126" s="94"/>
      <c r="U126" s="94"/>
      <c r="V126" s="94"/>
      <c r="W126" s="94"/>
    </row>
    <row r="127" spans="1:23">
      <c r="A127" s="94"/>
      <c r="B127" s="94"/>
      <c r="C127" s="94"/>
      <c r="D127" s="94"/>
      <c r="E127" s="94"/>
      <c r="F127" s="94"/>
      <c r="G127" s="94"/>
      <c r="H127" s="94"/>
      <c r="I127" s="94"/>
      <c r="J127" s="94"/>
      <c r="K127" s="94"/>
      <c r="L127" s="94"/>
      <c r="M127" s="94"/>
      <c r="N127" s="94"/>
      <c r="O127" s="94"/>
      <c r="P127" s="94"/>
      <c r="Q127" s="94"/>
      <c r="R127" s="94"/>
      <c r="S127" s="94"/>
      <c r="T127" s="94"/>
      <c r="U127" s="94"/>
      <c r="V127" s="94"/>
      <c r="W127" s="94"/>
    </row>
    <row r="128" spans="1:23">
      <c r="A128" s="94"/>
      <c r="B128" s="94"/>
      <c r="C128" s="94"/>
      <c r="D128" s="94"/>
      <c r="E128" s="94"/>
      <c r="F128" s="94"/>
      <c r="G128" s="94"/>
      <c r="H128" s="94"/>
      <c r="I128" s="94"/>
      <c r="J128" s="94"/>
      <c r="K128" s="94"/>
      <c r="L128" s="94"/>
      <c r="M128" s="94"/>
      <c r="N128" s="94"/>
      <c r="O128" s="94"/>
      <c r="P128" s="94"/>
      <c r="Q128" s="94"/>
      <c r="R128" s="94"/>
      <c r="S128" s="94"/>
      <c r="T128" s="94"/>
      <c r="U128" s="94"/>
      <c r="V128" s="94"/>
      <c r="W128" s="94"/>
    </row>
    <row r="129" spans="1:23">
      <c r="A129" s="94"/>
      <c r="B129" s="94"/>
      <c r="C129" s="94"/>
      <c r="D129" s="94"/>
      <c r="E129" s="94"/>
      <c r="F129" s="94"/>
      <c r="G129" s="94"/>
      <c r="H129" s="94"/>
      <c r="I129" s="94"/>
      <c r="J129" s="94"/>
      <c r="K129" s="94"/>
      <c r="L129" s="94"/>
      <c r="M129" s="94"/>
      <c r="N129" s="94"/>
      <c r="O129" s="94"/>
      <c r="P129" s="94"/>
      <c r="Q129" s="94"/>
      <c r="R129" s="94"/>
      <c r="S129" s="94"/>
      <c r="T129" s="94"/>
      <c r="U129" s="94"/>
      <c r="V129" s="94"/>
      <c r="W129" s="94"/>
    </row>
    <row r="130" spans="1:23">
      <c r="A130" s="94"/>
      <c r="B130" s="94"/>
      <c r="C130" s="94"/>
      <c r="D130" s="94"/>
      <c r="E130" s="94"/>
      <c r="F130" s="94"/>
      <c r="G130" s="94"/>
      <c r="H130" s="94"/>
      <c r="I130" s="94"/>
      <c r="J130" s="94"/>
      <c r="K130" s="94"/>
      <c r="L130" s="94"/>
      <c r="M130" s="94"/>
      <c r="N130" s="94"/>
      <c r="O130" s="94"/>
      <c r="P130" s="94"/>
      <c r="Q130" s="94"/>
      <c r="R130" s="94"/>
      <c r="S130" s="94"/>
      <c r="T130" s="94"/>
      <c r="U130" s="94"/>
      <c r="V130" s="94"/>
      <c r="W130" s="94"/>
    </row>
    <row r="131" spans="1:23">
      <c r="A131" s="94"/>
      <c r="B131" s="94"/>
      <c r="C131" s="94"/>
      <c r="D131" s="94"/>
      <c r="E131" s="94"/>
      <c r="F131" s="94"/>
      <c r="G131" s="94"/>
      <c r="H131" s="94"/>
      <c r="I131" s="94"/>
      <c r="J131" s="94"/>
      <c r="K131" s="94"/>
      <c r="L131" s="94"/>
      <c r="M131" s="94"/>
      <c r="N131" s="94"/>
      <c r="O131" s="94"/>
      <c r="P131" s="94"/>
      <c r="Q131" s="94"/>
      <c r="R131" s="94"/>
      <c r="S131" s="94"/>
      <c r="T131" s="94"/>
      <c r="U131" s="94"/>
      <c r="V131" s="94"/>
      <c r="W131" s="94"/>
    </row>
    <row r="132" spans="1:23">
      <c r="A132" s="94"/>
      <c r="B132" s="94"/>
      <c r="C132" s="94"/>
      <c r="D132" s="94"/>
      <c r="E132" s="94"/>
      <c r="F132" s="94"/>
      <c r="G132" s="94"/>
      <c r="H132" s="94"/>
      <c r="I132" s="94"/>
      <c r="J132" s="94"/>
      <c r="K132" s="94"/>
      <c r="L132" s="94"/>
      <c r="M132" s="94"/>
      <c r="N132" s="94"/>
      <c r="O132" s="94"/>
      <c r="P132" s="94"/>
      <c r="Q132" s="94"/>
      <c r="R132" s="94"/>
      <c r="S132" s="94"/>
      <c r="T132" s="94"/>
      <c r="U132" s="94"/>
      <c r="V132" s="94"/>
      <c r="W132" s="94"/>
    </row>
    <row r="133" spans="1:23">
      <c r="A133" s="94"/>
      <c r="B133" s="94"/>
      <c r="C133" s="94"/>
      <c r="D133" s="94"/>
      <c r="E133" s="94"/>
      <c r="F133" s="94"/>
      <c r="G133" s="94"/>
      <c r="H133" s="94"/>
      <c r="I133" s="94"/>
      <c r="J133" s="94"/>
      <c r="K133" s="94"/>
      <c r="L133" s="94"/>
      <c r="M133" s="94"/>
      <c r="N133" s="94"/>
      <c r="O133" s="94"/>
      <c r="P133" s="94"/>
      <c r="Q133" s="94"/>
      <c r="R133" s="94"/>
      <c r="S133" s="94"/>
      <c r="T133" s="94"/>
      <c r="U133" s="94"/>
      <c r="V133" s="94"/>
      <c r="W133" s="94"/>
    </row>
    <row r="134" spans="1:23">
      <c r="A134" s="94"/>
      <c r="B134" s="94"/>
      <c r="C134" s="94"/>
      <c r="D134" s="94"/>
      <c r="E134" s="94"/>
      <c r="F134" s="94"/>
      <c r="G134" s="94"/>
      <c r="H134" s="94"/>
      <c r="I134" s="94"/>
      <c r="J134" s="94"/>
      <c r="K134" s="94"/>
      <c r="L134" s="94"/>
      <c r="M134" s="94"/>
      <c r="N134" s="94"/>
      <c r="O134" s="94"/>
      <c r="P134" s="94"/>
      <c r="Q134" s="94"/>
      <c r="R134" s="94"/>
      <c r="S134" s="94"/>
      <c r="T134" s="94"/>
      <c r="U134" s="94"/>
      <c r="V134" s="94"/>
      <c r="W134" s="94"/>
    </row>
    <row r="135" spans="1:23">
      <c r="A135" s="94"/>
      <c r="B135" s="94"/>
      <c r="C135" s="94"/>
      <c r="D135" s="94"/>
      <c r="E135" s="94"/>
      <c r="F135" s="94"/>
      <c r="G135" s="94"/>
      <c r="H135" s="94"/>
      <c r="I135" s="94"/>
      <c r="J135" s="94"/>
      <c r="K135" s="94"/>
      <c r="L135" s="94"/>
      <c r="M135" s="94"/>
      <c r="N135" s="94"/>
      <c r="O135" s="94"/>
      <c r="P135" s="94"/>
      <c r="Q135" s="94"/>
      <c r="R135" s="94"/>
      <c r="S135" s="94"/>
      <c r="T135" s="94"/>
      <c r="U135" s="94"/>
      <c r="V135" s="94"/>
      <c r="W135" s="94"/>
    </row>
    <row r="136" spans="1:23">
      <c r="A136" s="94"/>
      <c r="B136" s="94"/>
      <c r="C136" s="94"/>
      <c r="D136" s="94"/>
      <c r="E136" s="94"/>
      <c r="F136" s="94"/>
      <c r="G136" s="94"/>
      <c r="H136" s="94"/>
      <c r="I136" s="94"/>
      <c r="J136" s="94"/>
      <c r="K136" s="94"/>
      <c r="L136" s="94"/>
      <c r="M136" s="94"/>
      <c r="N136" s="94"/>
      <c r="O136" s="94"/>
      <c r="P136" s="94"/>
      <c r="Q136" s="94"/>
      <c r="R136" s="94"/>
      <c r="S136" s="94"/>
      <c r="T136" s="94"/>
      <c r="U136" s="94"/>
      <c r="V136" s="94"/>
      <c r="W136" s="94"/>
    </row>
    <row r="137" spans="1:23">
      <c r="A137" s="94"/>
      <c r="B137" s="94"/>
      <c r="C137" s="94"/>
      <c r="D137" s="94"/>
      <c r="E137" s="94"/>
      <c r="F137" s="94"/>
      <c r="G137" s="94"/>
      <c r="H137" s="94"/>
      <c r="I137" s="94"/>
      <c r="J137" s="94"/>
      <c r="K137" s="94"/>
      <c r="L137" s="94"/>
      <c r="M137" s="94"/>
      <c r="N137" s="94"/>
      <c r="O137" s="94"/>
      <c r="P137" s="94"/>
      <c r="Q137" s="94"/>
      <c r="R137" s="94"/>
      <c r="S137" s="94"/>
      <c r="T137" s="94"/>
      <c r="U137" s="94"/>
      <c r="V137" s="94"/>
      <c r="W137" s="94"/>
    </row>
    <row r="138" spans="1:23">
      <c r="A138" s="94"/>
      <c r="B138" s="94"/>
      <c r="C138" s="94"/>
      <c r="D138" s="94"/>
      <c r="E138" s="94"/>
      <c r="F138" s="94"/>
      <c r="G138" s="94"/>
      <c r="H138" s="94"/>
      <c r="I138" s="94"/>
      <c r="J138" s="94"/>
      <c r="K138" s="94"/>
      <c r="L138" s="94"/>
      <c r="M138" s="94"/>
      <c r="N138" s="94"/>
      <c r="O138" s="94"/>
      <c r="P138" s="94"/>
      <c r="Q138" s="94"/>
      <c r="R138" s="94"/>
      <c r="S138" s="94"/>
      <c r="T138" s="94"/>
      <c r="U138" s="94"/>
      <c r="V138" s="94"/>
      <c r="W138" s="94"/>
    </row>
    <row r="139" spans="1:23">
      <c r="A139" s="94"/>
      <c r="B139" s="94"/>
      <c r="C139" s="94"/>
      <c r="D139" s="94"/>
      <c r="E139" s="94"/>
      <c r="F139" s="94"/>
      <c r="G139" s="94"/>
      <c r="H139" s="94"/>
      <c r="I139" s="94"/>
      <c r="J139" s="94"/>
      <c r="K139" s="94"/>
      <c r="L139" s="94"/>
      <c r="M139" s="94"/>
      <c r="N139" s="94"/>
      <c r="O139" s="94"/>
      <c r="P139" s="94"/>
      <c r="Q139" s="94"/>
      <c r="R139" s="94"/>
      <c r="S139" s="94"/>
      <c r="T139" s="94"/>
      <c r="U139" s="94"/>
      <c r="V139" s="94"/>
      <c r="W139" s="94"/>
    </row>
    <row r="140" spans="1:23">
      <c r="A140" s="94"/>
      <c r="B140" s="94"/>
      <c r="C140" s="94"/>
      <c r="D140" s="94"/>
      <c r="E140" s="94"/>
      <c r="F140" s="94"/>
      <c r="G140" s="94"/>
      <c r="H140" s="94"/>
      <c r="I140" s="94"/>
      <c r="J140" s="94"/>
      <c r="K140" s="94"/>
      <c r="L140" s="94"/>
      <c r="M140" s="94"/>
      <c r="N140" s="94"/>
      <c r="O140" s="94"/>
      <c r="P140" s="94"/>
      <c r="Q140" s="94"/>
      <c r="R140" s="94"/>
      <c r="S140" s="94"/>
      <c r="T140" s="94"/>
      <c r="U140" s="94"/>
      <c r="V140" s="94"/>
      <c r="W140" s="94"/>
    </row>
    <row r="141" spans="1:23">
      <c r="A141" s="94"/>
      <c r="B141" s="94"/>
      <c r="C141" s="94"/>
      <c r="D141" s="94"/>
      <c r="E141" s="94"/>
      <c r="F141" s="94"/>
      <c r="G141" s="94"/>
      <c r="H141" s="94"/>
      <c r="I141" s="94"/>
      <c r="J141" s="94"/>
      <c r="K141" s="94"/>
      <c r="L141" s="94"/>
      <c r="M141" s="94"/>
      <c r="N141" s="94"/>
      <c r="O141" s="94"/>
      <c r="P141" s="94"/>
      <c r="Q141" s="94"/>
      <c r="R141" s="94"/>
      <c r="S141" s="94"/>
      <c r="T141" s="94"/>
      <c r="U141" s="94"/>
      <c r="V141" s="94"/>
      <c r="W141" s="94"/>
    </row>
    <row r="142" spans="1:23">
      <c r="A142" s="94"/>
      <c r="B142" s="94"/>
      <c r="C142" s="94"/>
      <c r="D142" s="94"/>
      <c r="E142" s="94"/>
      <c r="F142" s="94"/>
      <c r="G142" s="94"/>
      <c r="H142" s="94"/>
      <c r="I142" s="94"/>
      <c r="J142" s="94"/>
      <c r="K142" s="94"/>
      <c r="L142" s="94"/>
      <c r="M142" s="94"/>
      <c r="N142" s="94"/>
      <c r="O142" s="94"/>
      <c r="P142" s="94"/>
      <c r="Q142" s="94"/>
      <c r="R142" s="94"/>
      <c r="S142" s="94"/>
      <c r="T142" s="94"/>
      <c r="U142" s="94"/>
      <c r="V142" s="94"/>
      <c r="W142" s="94"/>
    </row>
    <row r="143" spans="1:23">
      <c r="A143" s="94"/>
      <c r="B143" s="94"/>
      <c r="C143" s="94"/>
      <c r="D143" s="94"/>
      <c r="E143" s="94"/>
      <c r="F143" s="94"/>
      <c r="G143" s="94"/>
      <c r="H143" s="94"/>
      <c r="I143" s="94"/>
      <c r="J143" s="94"/>
      <c r="K143" s="94"/>
      <c r="L143" s="94"/>
      <c r="M143" s="94"/>
      <c r="N143" s="94"/>
      <c r="O143" s="94"/>
      <c r="P143" s="94"/>
      <c r="Q143" s="94"/>
      <c r="R143" s="94"/>
      <c r="S143" s="94"/>
      <c r="T143" s="94"/>
      <c r="U143" s="94"/>
      <c r="V143" s="94"/>
      <c r="W143" s="94"/>
    </row>
    <row r="144" spans="1:23">
      <c r="A144" s="94"/>
      <c r="B144" s="94"/>
      <c r="C144" s="94"/>
      <c r="D144" s="94"/>
      <c r="E144" s="94"/>
      <c r="F144" s="94"/>
      <c r="G144" s="94"/>
      <c r="H144" s="94"/>
      <c r="I144" s="94"/>
      <c r="J144" s="94"/>
      <c r="K144" s="94"/>
      <c r="L144" s="94"/>
      <c r="M144" s="94"/>
      <c r="N144" s="94"/>
      <c r="O144" s="94"/>
      <c r="P144" s="94"/>
      <c r="Q144" s="94"/>
      <c r="R144" s="94"/>
      <c r="S144" s="94"/>
      <c r="T144" s="94"/>
      <c r="U144" s="94"/>
      <c r="V144" s="94"/>
      <c r="W144" s="94"/>
    </row>
    <row r="145" spans="1:23">
      <c r="A145" s="94"/>
      <c r="B145" s="94"/>
      <c r="C145" s="94"/>
      <c r="D145" s="94"/>
      <c r="E145" s="94"/>
      <c r="F145" s="94"/>
      <c r="G145" s="94"/>
      <c r="H145" s="94"/>
      <c r="I145" s="94"/>
      <c r="J145" s="94"/>
      <c r="K145" s="94"/>
      <c r="L145" s="94"/>
      <c r="M145" s="94"/>
      <c r="N145" s="94"/>
      <c r="O145" s="94"/>
      <c r="P145" s="94"/>
      <c r="Q145" s="94"/>
      <c r="R145" s="94"/>
      <c r="S145" s="94"/>
      <c r="T145" s="94"/>
      <c r="U145" s="94"/>
      <c r="V145" s="94"/>
      <c r="W145" s="94"/>
    </row>
    <row r="146" spans="1:23">
      <c r="A146" s="94"/>
      <c r="B146" s="94"/>
      <c r="C146" s="94"/>
      <c r="D146" s="94"/>
      <c r="E146" s="94"/>
      <c r="F146" s="94"/>
      <c r="G146" s="94"/>
      <c r="H146" s="94"/>
      <c r="I146" s="94"/>
      <c r="J146" s="94"/>
      <c r="K146" s="94"/>
      <c r="L146" s="94"/>
      <c r="M146" s="94"/>
      <c r="N146" s="94"/>
      <c r="O146" s="94"/>
      <c r="P146" s="94"/>
      <c r="Q146" s="94"/>
      <c r="R146" s="94"/>
      <c r="S146" s="94"/>
      <c r="T146" s="94"/>
      <c r="U146" s="94"/>
      <c r="V146" s="94"/>
      <c r="W146" s="94"/>
    </row>
    <row r="147" spans="1:23">
      <c r="A147" s="94"/>
      <c r="B147" s="94"/>
      <c r="C147" s="94"/>
      <c r="D147" s="94"/>
      <c r="E147" s="94"/>
      <c r="F147" s="94"/>
      <c r="G147" s="94"/>
      <c r="H147" s="94"/>
      <c r="I147" s="94"/>
      <c r="J147" s="94"/>
      <c r="K147" s="94"/>
      <c r="L147" s="94"/>
      <c r="M147" s="94"/>
      <c r="N147" s="94"/>
      <c r="O147" s="94"/>
      <c r="P147" s="94"/>
      <c r="Q147" s="94"/>
      <c r="R147" s="94"/>
      <c r="S147" s="94"/>
      <c r="T147" s="94"/>
      <c r="U147" s="94"/>
      <c r="V147" s="94"/>
      <c r="W147" s="94"/>
    </row>
    <row r="148" spans="1:23">
      <c r="A148" s="94"/>
      <c r="B148" s="94"/>
      <c r="C148" s="94"/>
      <c r="D148" s="94"/>
      <c r="E148" s="94"/>
      <c r="F148" s="94"/>
      <c r="G148" s="94"/>
      <c r="H148" s="94"/>
      <c r="I148" s="94"/>
      <c r="J148" s="94"/>
      <c r="K148" s="94"/>
      <c r="L148" s="94"/>
      <c r="M148" s="94"/>
      <c r="N148" s="94"/>
      <c r="O148" s="94"/>
      <c r="P148" s="94"/>
      <c r="Q148" s="94"/>
      <c r="R148" s="94"/>
      <c r="S148" s="94"/>
      <c r="T148" s="94"/>
      <c r="U148" s="94"/>
      <c r="V148" s="94"/>
      <c r="W148" s="94"/>
    </row>
    <row r="149" spans="1:23">
      <c r="A149" s="94"/>
      <c r="B149" s="94"/>
      <c r="C149" s="94"/>
      <c r="D149" s="94"/>
      <c r="E149" s="94"/>
      <c r="F149" s="94"/>
      <c r="G149" s="94"/>
      <c r="H149" s="94"/>
      <c r="I149" s="94"/>
      <c r="J149" s="94"/>
      <c r="K149" s="94"/>
      <c r="L149" s="94"/>
      <c r="M149" s="94"/>
      <c r="N149" s="94"/>
      <c r="O149" s="94"/>
      <c r="P149" s="94"/>
      <c r="Q149" s="94"/>
      <c r="R149" s="94"/>
      <c r="S149" s="94"/>
      <c r="T149" s="94"/>
      <c r="U149" s="94"/>
      <c r="V149" s="94"/>
      <c r="W149" s="94"/>
    </row>
    <row r="150" spans="1:23">
      <c r="A150" s="94"/>
      <c r="B150" s="94"/>
      <c r="C150" s="94"/>
      <c r="D150" s="94"/>
      <c r="E150" s="94"/>
      <c r="F150" s="94"/>
      <c r="G150" s="94"/>
      <c r="H150" s="94"/>
      <c r="I150" s="94"/>
      <c r="J150" s="94"/>
      <c r="K150" s="94"/>
      <c r="L150" s="94"/>
      <c r="M150" s="94"/>
      <c r="N150" s="94"/>
      <c r="O150" s="94"/>
      <c r="P150" s="94"/>
      <c r="Q150" s="94"/>
      <c r="R150" s="94"/>
      <c r="S150" s="94"/>
      <c r="T150" s="94"/>
      <c r="U150" s="94"/>
      <c r="V150" s="94"/>
      <c r="W150" s="94"/>
    </row>
    <row r="151" spans="1:23">
      <c r="A151" s="94"/>
      <c r="B151" s="94"/>
      <c r="C151" s="94"/>
      <c r="D151" s="94"/>
      <c r="E151" s="94"/>
      <c r="F151" s="94"/>
      <c r="G151" s="94"/>
      <c r="H151" s="94"/>
      <c r="I151" s="94"/>
      <c r="J151" s="94"/>
      <c r="K151" s="94"/>
      <c r="L151" s="94"/>
      <c r="M151" s="94"/>
      <c r="N151" s="94"/>
      <c r="O151" s="94"/>
      <c r="P151" s="94"/>
      <c r="Q151" s="94"/>
      <c r="R151" s="94"/>
      <c r="S151" s="94"/>
      <c r="T151" s="94"/>
      <c r="U151" s="94"/>
      <c r="V151" s="94"/>
      <c r="W151" s="94"/>
    </row>
    <row r="152" spans="1:23">
      <c r="A152" s="94"/>
      <c r="B152" s="94"/>
      <c r="C152" s="94"/>
      <c r="D152" s="94"/>
      <c r="E152" s="94"/>
      <c r="F152" s="94"/>
      <c r="G152" s="94"/>
      <c r="H152" s="94"/>
      <c r="I152" s="94"/>
      <c r="J152" s="94"/>
      <c r="K152" s="94"/>
      <c r="L152" s="94"/>
      <c r="M152" s="94"/>
      <c r="N152" s="94"/>
      <c r="O152" s="94"/>
      <c r="P152" s="94"/>
      <c r="Q152" s="94"/>
      <c r="R152" s="94"/>
      <c r="S152" s="94"/>
      <c r="T152" s="94"/>
      <c r="U152" s="94"/>
      <c r="V152" s="94"/>
      <c r="W152" s="94"/>
    </row>
    <row r="153" spans="1:23">
      <c r="A153" s="94"/>
      <c r="B153" s="94"/>
      <c r="C153" s="94"/>
      <c r="D153" s="94"/>
      <c r="E153" s="94"/>
      <c r="F153" s="94"/>
      <c r="G153" s="94"/>
      <c r="H153" s="94"/>
      <c r="I153" s="94"/>
      <c r="J153" s="94"/>
      <c r="K153" s="94"/>
      <c r="L153" s="94"/>
      <c r="M153" s="94"/>
      <c r="N153" s="94"/>
      <c r="O153" s="94"/>
      <c r="P153" s="94"/>
      <c r="Q153" s="94"/>
      <c r="R153" s="94"/>
      <c r="S153" s="94"/>
      <c r="T153" s="94"/>
      <c r="U153" s="94"/>
      <c r="V153" s="94"/>
      <c r="W153" s="94"/>
    </row>
    <row r="154" spans="1:23">
      <c r="A154" s="94"/>
      <c r="B154" s="94"/>
      <c r="C154" s="94"/>
      <c r="D154" s="94"/>
      <c r="E154" s="94"/>
      <c r="F154" s="94"/>
      <c r="G154" s="94"/>
      <c r="H154" s="94"/>
      <c r="I154" s="94"/>
      <c r="J154" s="94"/>
      <c r="K154" s="94"/>
      <c r="L154" s="94"/>
      <c r="M154" s="94"/>
      <c r="N154" s="94"/>
      <c r="O154" s="94"/>
      <c r="P154" s="94"/>
      <c r="Q154" s="94"/>
      <c r="R154" s="94"/>
      <c r="S154" s="94"/>
      <c r="T154" s="94"/>
      <c r="U154" s="94"/>
      <c r="V154" s="94"/>
      <c r="W154" s="94"/>
    </row>
    <row r="155" spans="1:23">
      <c r="A155" s="94"/>
      <c r="B155" s="94"/>
      <c r="C155" s="94"/>
      <c r="D155" s="94"/>
      <c r="E155" s="94"/>
      <c r="F155" s="94"/>
      <c r="G155" s="94"/>
      <c r="H155" s="94"/>
      <c r="I155" s="94"/>
      <c r="J155" s="94"/>
      <c r="K155" s="94"/>
      <c r="L155" s="94"/>
      <c r="M155" s="94"/>
      <c r="N155" s="94"/>
      <c r="O155" s="94"/>
      <c r="P155" s="94"/>
      <c r="Q155" s="94"/>
      <c r="R155" s="94"/>
      <c r="S155" s="94"/>
      <c r="T155" s="94"/>
      <c r="U155" s="94"/>
      <c r="V155" s="94"/>
      <c r="W155" s="94"/>
    </row>
    <row r="156" spans="1:23">
      <c r="A156" s="94"/>
      <c r="B156" s="94"/>
      <c r="C156" s="94"/>
      <c r="D156" s="94"/>
      <c r="E156" s="94"/>
      <c r="F156" s="94"/>
      <c r="G156" s="94"/>
      <c r="H156" s="94"/>
      <c r="I156" s="94"/>
      <c r="J156" s="94"/>
      <c r="K156" s="94"/>
      <c r="L156" s="94"/>
      <c r="M156" s="94"/>
      <c r="N156" s="94"/>
      <c r="O156" s="94"/>
      <c r="P156" s="94"/>
      <c r="Q156" s="94"/>
      <c r="R156" s="94"/>
      <c r="S156" s="94"/>
      <c r="T156" s="94"/>
      <c r="U156" s="94"/>
      <c r="V156" s="94"/>
      <c r="W156" s="94"/>
    </row>
    <row r="157" spans="1:23">
      <c r="A157" s="94"/>
      <c r="B157" s="94"/>
      <c r="C157" s="94"/>
      <c r="D157" s="94"/>
      <c r="E157" s="94"/>
      <c r="F157" s="94"/>
      <c r="G157" s="94"/>
      <c r="H157" s="94"/>
      <c r="I157" s="94"/>
      <c r="J157" s="94"/>
      <c r="K157" s="94"/>
      <c r="L157" s="94"/>
      <c r="M157" s="94"/>
      <c r="N157" s="94"/>
      <c r="O157" s="94"/>
      <c r="P157" s="94"/>
      <c r="Q157" s="94"/>
      <c r="R157" s="94"/>
      <c r="S157" s="94"/>
      <c r="T157" s="94"/>
      <c r="U157" s="94"/>
      <c r="V157" s="94"/>
      <c r="W157" s="94"/>
    </row>
    <row r="158" spans="1:23">
      <c r="A158" s="94"/>
      <c r="B158" s="94"/>
      <c r="C158" s="94"/>
      <c r="D158" s="94"/>
      <c r="E158" s="94"/>
      <c r="F158" s="94"/>
      <c r="G158" s="94"/>
      <c r="H158" s="94"/>
      <c r="I158" s="94"/>
      <c r="J158" s="94"/>
      <c r="K158" s="94"/>
      <c r="L158" s="94"/>
      <c r="M158" s="94"/>
      <c r="N158" s="94"/>
      <c r="O158" s="94"/>
      <c r="P158" s="94"/>
      <c r="Q158" s="94"/>
      <c r="R158" s="94"/>
      <c r="S158" s="94"/>
      <c r="T158" s="94"/>
      <c r="U158" s="94"/>
      <c r="V158" s="94"/>
      <c r="W158" s="94"/>
    </row>
    <row r="159" spans="1:23">
      <c r="A159" s="94"/>
      <c r="B159" s="94"/>
      <c r="C159" s="94"/>
      <c r="D159" s="94"/>
      <c r="E159" s="94"/>
      <c r="F159" s="94"/>
      <c r="G159" s="94"/>
      <c r="H159" s="94"/>
      <c r="I159" s="94"/>
      <c r="J159" s="94"/>
      <c r="K159" s="94"/>
      <c r="L159" s="94"/>
      <c r="M159" s="94"/>
      <c r="N159" s="94"/>
      <c r="O159" s="94"/>
      <c r="P159" s="94"/>
      <c r="Q159" s="94"/>
      <c r="R159" s="94"/>
      <c r="S159" s="94"/>
      <c r="T159" s="94"/>
      <c r="U159" s="94"/>
      <c r="V159" s="94"/>
      <c r="W159" s="94"/>
    </row>
    <row r="160" spans="1:23">
      <c r="A160" s="94"/>
      <c r="B160" s="94"/>
      <c r="C160" s="94"/>
      <c r="D160" s="94"/>
      <c r="E160" s="94"/>
      <c r="F160" s="94"/>
      <c r="G160" s="94"/>
      <c r="H160" s="94"/>
      <c r="I160" s="94"/>
      <c r="J160" s="94"/>
      <c r="K160" s="94"/>
      <c r="L160" s="94"/>
      <c r="M160" s="94"/>
      <c r="N160" s="94"/>
      <c r="O160" s="94"/>
      <c r="P160" s="94"/>
      <c r="Q160" s="94"/>
      <c r="R160" s="94"/>
      <c r="S160" s="94"/>
      <c r="T160" s="94"/>
      <c r="U160" s="94"/>
      <c r="V160" s="94"/>
      <c r="W160" s="94"/>
    </row>
    <row r="161" spans="1:23">
      <c r="A161" s="94"/>
      <c r="B161" s="94"/>
      <c r="C161" s="94"/>
      <c r="D161" s="94"/>
      <c r="E161" s="94"/>
      <c r="F161" s="94"/>
      <c r="G161" s="94"/>
      <c r="H161" s="94"/>
      <c r="I161" s="94"/>
      <c r="J161" s="94"/>
      <c r="K161" s="94"/>
      <c r="L161" s="94"/>
      <c r="M161" s="94"/>
      <c r="N161" s="94"/>
      <c r="O161" s="94"/>
      <c r="P161" s="94"/>
      <c r="Q161" s="94"/>
      <c r="R161" s="94"/>
      <c r="S161" s="94"/>
      <c r="T161" s="94"/>
      <c r="U161" s="94"/>
      <c r="V161" s="94"/>
      <c r="W161" s="94"/>
    </row>
    <row r="162" spans="1:23">
      <c r="A162" s="94"/>
      <c r="B162" s="94"/>
      <c r="C162" s="94"/>
      <c r="D162" s="94"/>
      <c r="E162" s="94"/>
      <c r="F162" s="94"/>
      <c r="G162" s="94"/>
      <c r="H162" s="94"/>
      <c r="I162" s="94"/>
      <c r="J162" s="94"/>
      <c r="K162" s="94"/>
      <c r="L162" s="94"/>
      <c r="M162" s="94"/>
      <c r="N162" s="94"/>
      <c r="O162" s="94"/>
      <c r="P162" s="94"/>
      <c r="Q162" s="94"/>
      <c r="R162" s="94"/>
      <c r="S162" s="94"/>
      <c r="T162" s="94"/>
      <c r="U162" s="94"/>
      <c r="V162" s="94"/>
      <c r="W162" s="94"/>
    </row>
    <row r="163" spans="1:23">
      <c r="A163" s="94"/>
      <c r="B163" s="94"/>
      <c r="C163" s="94"/>
      <c r="D163" s="94"/>
      <c r="E163" s="94"/>
      <c r="F163" s="94"/>
      <c r="G163" s="94"/>
      <c r="H163" s="94"/>
      <c r="I163" s="94"/>
      <c r="J163" s="94"/>
      <c r="K163" s="94"/>
      <c r="L163" s="94"/>
      <c r="M163" s="94"/>
      <c r="N163" s="94"/>
      <c r="O163" s="94"/>
      <c r="P163" s="94"/>
      <c r="Q163" s="94"/>
      <c r="R163" s="94"/>
      <c r="S163" s="94"/>
      <c r="T163" s="94"/>
      <c r="U163" s="94"/>
      <c r="V163" s="94"/>
      <c r="W163" s="94"/>
    </row>
    <row r="164" spans="1:23">
      <c r="A164" s="94"/>
      <c r="B164" s="94"/>
      <c r="C164" s="94"/>
      <c r="D164" s="94"/>
      <c r="E164" s="94"/>
      <c r="F164" s="94"/>
      <c r="G164" s="94"/>
      <c r="H164" s="94"/>
      <c r="I164" s="94"/>
      <c r="J164" s="94"/>
      <c r="K164" s="94"/>
      <c r="L164" s="94"/>
      <c r="M164" s="94"/>
      <c r="N164" s="94"/>
      <c r="O164" s="94"/>
      <c r="P164" s="94"/>
      <c r="Q164" s="94"/>
      <c r="R164" s="94"/>
      <c r="S164" s="94"/>
      <c r="T164" s="94"/>
      <c r="U164" s="94"/>
      <c r="V164" s="94"/>
      <c r="W164" s="94"/>
    </row>
    <row r="165" spans="1:23">
      <c r="A165" s="94"/>
      <c r="B165" s="94"/>
      <c r="C165" s="94"/>
      <c r="D165" s="94"/>
      <c r="E165" s="94"/>
      <c r="F165" s="94"/>
      <c r="G165" s="94"/>
      <c r="H165" s="94"/>
      <c r="I165" s="94"/>
      <c r="J165" s="94"/>
      <c r="K165" s="94"/>
      <c r="L165" s="94"/>
      <c r="M165" s="94"/>
      <c r="N165" s="94"/>
      <c r="O165" s="94"/>
      <c r="P165" s="94"/>
      <c r="Q165" s="94"/>
      <c r="R165" s="94"/>
      <c r="S165" s="94"/>
      <c r="T165" s="94"/>
      <c r="U165" s="94"/>
      <c r="V165" s="94"/>
      <c r="W165" s="94"/>
    </row>
    <row r="166" spans="1:23">
      <c r="A166" s="94"/>
      <c r="B166" s="94"/>
      <c r="C166" s="94"/>
      <c r="D166" s="94"/>
      <c r="E166" s="94"/>
      <c r="F166" s="94"/>
      <c r="G166" s="94"/>
      <c r="H166" s="94"/>
      <c r="I166" s="94"/>
      <c r="J166" s="94"/>
      <c r="K166" s="94"/>
      <c r="L166" s="94"/>
      <c r="M166" s="94"/>
      <c r="N166" s="94"/>
      <c r="O166" s="94"/>
      <c r="P166" s="94"/>
      <c r="Q166" s="94"/>
      <c r="R166" s="94"/>
      <c r="S166" s="94"/>
      <c r="T166" s="94"/>
      <c r="U166" s="94"/>
      <c r="V166" s="94"/>
      <c r="W166" s="94"/>
    </row>
    <row r="167" spans="1:23">
      <c r="A167" s="94"/>
      <c r="B167" s="94"/>
      <c r="C167" s="94"/>
      <c r="D167" s="94"/>
      <c r="E167" s="94"/>
      <c r="F167" s="94"/>
      <c r="G167" s="94"/>
      <c r="H167" s="94"/>
      <c r="I167" s="94"/>
      <c r="J167" s="94"/>
      <c r="K167" s="94"/>
      <c r="L167" s="94"/>
      <c r="M167" s="94"/>
      <c r="N167" s="94"/>
      <c r="O167" s="94"/>
      <c r="P167" s="94"/>
      <c r="Q167" s="94"/>
      <c r="R167" s="94"/>
      <c r="S167" s="94"/>
      <c r="T167" s="94"/>
      <c r="U167" s="94"/>
      <c r="V167" s="94"/>
      <c r="W167" s="94"/>
    </row>
    <row r="168" spans="1:23">
      <c r="A168" s="94"/>
      <c r="B168" s="94"/>
      <c r="C168" s="94"/>
      <c r="D168" s="94"/>
      <c r="E168" s="94"/>
      <c r="F168" s="94"/>
      <c r="G168" s="94"/>
      <c r="H168" s="94"/>
      <c r="I168" s="94"/>
      <c r="J168" s="94"/>
      <c r="K168" s="94"/>
      <c r="L168" s="94"/>
      <c r="M168" s="94"/>
      <c r="N168" s="94"/>
      <c r="O168" s="94"/>
      <c r="P168" s="94"/>
      <c r="Q168" s="94"/>
      <c r="R168" s="94"/>
      <c r="S168" s="94"/>
      <c r="T168" s="94"/>
      <c r="U168" s="94"/>
      <c r="V168" s="94"/>
      <c r="W168" s="94"/>
    </row>
    <row r="169" spans="1:23">
      <c r="A169" s="94"/>
      <c r="B169" s="94"/>
      <c r="C169" s="94"/>
      <c r="D169" s="94"/>
      <c r="E169" s="94"/>
      <c r="F169" s="94"/>
      <c r="G169" s="94"/>
      <c r="H169" s="94"/>
      <c r="I169" s="94"/>
      <c r="J169" s="94"/>
      <c r="K169" s="94"/>
      <c r="L169" s="94"/>
      <c r="M169" s="94"/>
      <c r="N169" s="94"/>
      <c r="O169" s="94"/>
      <c r="P169" s="94"/>
      <c r="Q169" s="94"/>
      <c r="R169" s="94"/>
      <c r="S169" s="94"/>
      <c r="T169" s="94"/>
      <c r="U169" s="94"/>
      <c r="V169" s="94"/>
      <c r="W169" s="94"/>
    </row>
    <row r="170" spans="1:23">
      <c r="A170" s="94"/>
      <c r="B170" s="94"/>
      <c r="C170" s="94"/>
      <c r="D170" s="94"/>
      <c r="E170" s="94"/>
      <c r="F170" s="94"/>
      <c r="G170" s="94"/>
      <c r="H170" s="94"/>
      <c r="I170" s="94"/>
      <c r="J170" s="94"/>
      <c r="K170" s="94"/>
      <c r="L170" s="94"/>
      <c r="M170" s="94"/>
      <c r="N170" s="94"/>
      <c r="O170" s="94"/>
      <c r="P170" s="94"/>
      <c r="Q170" s="94"/>
      <c r="R170" s="94"/>
      <c r="S170" s="94"/>
      <c r="T170" s="94"/>
      <c r="U170" s="94"/>
      <c r="V170" s="94"/>
      <c r="W170" s="94"/>
    </row>
    <row r="171" spans="1:23">
      <c r="A171" s="94"/>
      <c r="B171" s="94"/>
      <c r="C171" s="94"/>
      <c r="D171" s="94"/>
      <c r="E171" s="94"/>
      <c r="F171" s="94"/>
      <c r="G171" s="94"/>
      <c r="H171" s="94"/>
      <c r="I171" s="94"/>
      <c r="J171" s="94"/>
      <c r="K171" s="94"/>
      <c r="L171" s="94"/>
      <c r="M171" s="94"/>
      <c r="N171" s="94"/>
      <c r="O171" s="94"/>
      <c r="P171" s="94"/>
      <c r="Q171" s="94"/>
      <c r="R171" s="94"/>
      <c r="S171" s="94"/>
      <c r="T171" s="94"/>
      <c r="U171" s="94"/>
      <c r="V171" s="94"/>
      <c r="W171" s="94"/>
    </row>
    <row r="172" spans="1:23">
      <c r="A172" s="94"/>
      <c r="B172" s="94"/>
      <c r="C172" s="94"/>
      <c r="D172" s="94"/>
      <c r="E172" s="94"/>
      <c r="F172" s="94"/>
      <c r="G172" s="94"/>
      <c r="H172" s="94"/>
      <c r="I172" s="94"/>
      <c r="J172" s="94"/>
      <c r="K172" s="94"/>
      <c r="L172" s="94"/>
      <c r="M172" s="94"/>
      <c r="N172" s="94"/>
      <c r="O172" s="94"/>
      <c r="P172" s="94"/>
      <c r="Q172" s="94"/>
      <c r="R172" s="94"/>
      <c r="S172" s="94"/>
      <c r="T172" s="94"/>
      <c r="U172" s="94"/>
      <c r="V172" s="94"/>
      <c r="W172" s="94"/>
    </row>
    <row r="173" spans="1:23">
      <c r="A173" s="94"/>
      <c r="B173" s="94"/>
      <c r="C173" s="94"/>
      <c r="D173" s="94"/>
      <c r="E173" s="94"/>
      <c r="F173" s="94"/>
      <c r="G173" s="94"/>
      <c r="H173" s="94"/>
      <c r="I173" s="94"/>
      <c r="J173" s="94"/>
      <c r="K173" s="94"/>
      <c r="L173" s="94"/>
      <c r="M173" s="94"/>
      <c r="N173" s="94"/>
      <c r="O173" s="94"/>
      <c r="P173" s="94"/>
      <c r="Q173" s="94"/>
      <c r="R173" s="94"/>
      <c r="S173" s="94"/>
      <c r="T173" s="94"/>
      <c r="U173" s="94"/>
      <c r="V173" s="94"/>
      <c r="W173" s="94"/>
    </row>
    <row r="174" spans="1:23">
      <c r="A174" s="94"/>
      <c r="B174" s="94"/>
      <c r="C174" s="94"/>
      <c r="D174" s="94"/>
      <c r="E174" s="94"/>
      <c r="F174" s="94"/>
      <c r="G174" s="94"/>
      <c r="H174" s="94"/>
      <c r="I174" s="94"/>
      <c r="J174" s="94"/>
      <c r="K174" s="94"/>
      <c r="L174" s="94"/>
      <c r="M174" s="94"/>
      <c r="N174" s="94"/>
      <c r="O174" s="94"/>
      <c r="P174" s="94"/>
      <c r="Q174" s="94"/>
      <c r="R174" s="94"/>
      <c r="S174" s="94"/>
      <c r="T174" s="94"/>
      <c r="U174" s="94"/>
      <c r="V174" s="94"/>
      <c r="W174" s="94"/>
    </row>
    <row r="175" spans="1:23">
      <c r="A175" s="94"/>
      <c r="B175" s="94"/>
      <c r="C175" s="94"/>
      <c r="D175" s="94"/>
      <c r="E175" s="94"/>
      <c r="F175" s="94"/>
      <c r="G175" s="94"/>
      <c r="H175" s="94"/>
      <c r="I175" s="94"/>
      <c r="J175" s="94"/>
      <c r="K175" s="94"/>
      <c r="L175" s="94"/>
      <c r="M175" s="94"/>
      <c r="N175" s="94"/>
      <c r="O175" s="94"/>
      <c r="P175" s="94"/>
      <c r="Q175" s="94"/>
      <c r="R175" s="94"/>
      <c r="S175" s="94"/>
      <c r="T175" s="94"/>
      <c r="U175" s="94"/>
      <c r="V175" s="94"/>
      <c r="W175" s="94"/>
    </row>
    <row r="176" spans="1:23">
      <c r="A176" s="94"/>
      <c r="B176" s="94"/>
      <c r="C176" s="94"/>
      <c r="D176" s="94"/>
      <c r="E176" s="94"/>
      <c r="F176" s="94"/>
      <c r="G176" s="94"/>
      <c r="H176" s="94"/>
      <c r="I176" s="94"/>
      <c r="J176" s="94"/>
      <c r="K176" s="94"/>
      <c r="L176" s="94"/>
      <c r="M176" s="94"/>
      <c r="N176" s="94"/>
      <c r="O176" s="94"/>
      <c r="P176" s="94"/>
      <c r="Q176" s="94"/>
      <c r="R176" s="94"/>
      <c r="S176" s="94"/>
      <c r="T176" s="94"/>
      <c r="U176" s="94"/>
      <c r="V176" s="94"/>
      <c r="W176" s="94"/>
    </row>
    <row r="177" spans="1:23">
      <c r="A177" s="94"/>
      <c r="B177" s="94"/>
      <c r="C177" s="94"/>
      <c r="D177" s="94"/>
      <c r="E177" s="94"/>
      <c r="F177" s="94"/>
      <c r="G177" s="94"/>
      <c r="H177" s="94"/>
      <c r="I177" s="94"/>
      <c r="J177" s="94"/>
      <c r="K177" s="94"/>
      <c r="L177" s="94"/>
      <c r="M177" s="94"/>
      <c r="N177" s="94"/>
      <c r="O177" s="94"/>
      <c r="P177" s="94"/>
      <c r="Q177" s="94"/>
      <c r="R177" s="94"/>
      <c r="S177" s="94"/>
      <c r="T177" s="94"/>
      <c r="U177" s="94"/>
      <c r="V177" s="94"/>
      <c r="W177" s="94"/>
    </row>
    <row r="178" spans="1:23">
      <c r="A178" s="94"/>
      <c r="B178" s="94"/>
      <c r="C178" s="94"/>
      <c r="D178" s="94"/>
      <c r="E178" s="94"/>
      <c r="F178" s="94"/>
      <c r="G178" s="94"/>
      <c r="H178" s="94"/>
      <c r="I178" s="94"/>
      <c r="J178" s="94"/>
      <c r="K178" s="94"/>
      <c r="L178" s="94"/>
      <c r="M178" s="94"/>
      <c r="N178" s="94"/>
      <c r="O178" s="94"/>
      <c r="P178" s="94"/>
      <c r="Q178" s="94"/>
      <c r="R178" s="94"/>
      <c r="S178" s="94"/>
      <c r="T178" s="94"/>
      <c r="U178" s="94"/>
      <c r="V178" s="94"/>
      <c r="W178" s="94"/>
    </row>
    <row r="179" spans="1:23">
      <c r="A179" s="94"/>
      <c r="B179" s="94"/>
      <c r="C179" s="94"/>
      <c r="D179" s="94"/>
      <c r="E179" s="94"/>
      <c r="F179" s="94"/>
      <c r="G179" s="94"/>
      <c r="H179" s="94"/>
      <c r="I179" s="94"/>
      <c r="J179" s="94"/>
      <c r="K179" s="94"/>
      <c r="L179" s="94"/>
      <c r="M179" s="94"/>
      <c r="N179" s="94"/>
      <c r="O179" s="94"/>
      <c r="P179" s="94"/>
      <c r="Q179" s="94"/>
      <c r="R179" s="94"/>
      <c r="S179" s="94"/>
      <c r="T179" s="94"/>
      <c r="U179" s="94"/>
      <c r="V179" s="94"/>
      <c r="W179" s="94"/>
    </row>
    <row r="180" spans="1:23">
      <c r="A180" s="94"/>
      <c r="B180" s="94"/>
      <c r="C180" s="94"/>
      <c r="D180" s="94"/>
      <c r="E180" s="94"/>
      <c r="F180" s="94"/>
      <c r="G180" s="94"/>
      <c r="H180" s="94"/>
      <c r="I180" s="94"/>
      <c r="J180" s="94"/>
      <c r="K180" s="94"/>
      <c r="L180" s="94"/>
      <c r="M180" s="94"/>
      <c r="N180" s="94"/>
      <c r="O180" s="94"/>
      <c r="P180" s="94"/>
      <c r="Q180" s="94"/>
      <c r="R180" s="94"/>
      <c r="S180" s="94"/>
      <c r="T180" s="94"/>
      <c r="U180" s="94"/>
      <c r="V180" s="94"/>
      <c r="W180" s="94"/>
    </row>
    <row r="181" spans="1:23">
      <c r="A181" s="94"/>
      <c r="B181" s="94"/>
      <c r="C181" s="94"/>
      <c r="D181" s="94"/>
      <c r="E181" s="94"/>
      <c r="F181" s="94"/>
      <c r="G181" s="94"/>
      <c r="H181" s="94"/>
      <c r="I181" s="94"/>
      <c r="J181" s="94"/>
      <c r="K181" s="94"/>
      <c r="L181" s="94"/>
      <c r="M181" s="94"/>
      <c r="N181" s="94"/>
      <c r="O181" s="94"/>
      <c r="P181" s="94"/>
      <c r="Q181" s="94"/>
      <c r="R181" s="94"/>
      <c r="S181" s="94"/>
      <c r="T181" s="94"/>
      <c r="U181" s="94"/>
      <c r="V181" s="94"/>
      <c r="W181" s="94"/>
    </row>
    <row r="182" spans="1:23">
      <c r="A182" s="94"/>
      <c r="B182" s="94"/>
      <c r="C182" s="94"/>
      <c r="D182" s="94"/>
      <c r="E182" s="94"/>
      <c r="F182" s="94"/>
      <c r="G182" s="94"/>
      <c r="H182" s="94"/>
      <c r="I182" s="94"/>
      <c r="J182" s="94"/>
      <c r="K182" s="94"/>
      <c r="L182" s="94"/>
      <c r="M182" s="94"/>
      <c r="N182" s="94"/>
      <c r="O182" s="94"/>
      <c r="P182" s="94"/>
      <c r="Q182" s="94"/>
      <c r="R182" s="94"/>
      <c r="S182" s="94"/>
      <c r="T182" s="94"/>
      <c r="U182" s="94"/>
      <c r="V182" s="94"/>
      <c r="W182" s="94"/>
    </row>
    <row r="183" spans="1:23">
      <c r="A183" s="94"/>
      <c r="B183" s="94"/>
      <c r="C183" s="94"/>
      <c r="D183" s="94"/>
      <c r="E183" s="94"/>
      <c r="F183" s="94"/>
      <c r="G183" s="94"/>
      <c r="H183" s="94"/>
      <c r="I183" s="94"/>
      <c r="J183" s="94"/>
      <c r="K183" s="94"/>
      <c r="L183" s="94"/>
      <c r="M183" s="94"/>
      <c r="N183" s="94"/>
      <c r="O183" s="94"/>
      <c r="P183" s="94"/>
      <c r="Q183" s="94"/>
      <c r="R183" s="94"/>
      <c r="S183" s="94"/>
      <c r="T183" s="94"/>
      <c r="U183" s="94"/>
      <c r="V183" s="94"/>
      <c r="W183" s="94"/>
    </row>
    <row r="184" spans="1:23">
      <c r="A184" s="94"/>
      <c r="B184" s="94"/>
      <c r="C184" s="94"/>
      <c r="D184" s="94"/>
      <c r="E184" s="94"/>
      <c r="F184" s="94"/>
      <c r="G184" s="94"/>
      <c r="H184" s="94"/>
      <c r="I184" s="94"/>
      <c r="J184" s="94"/>
      <c r="K184" s="94"/>
      <c r="L184" s="94"/>
      <c r="M184" s="94"/>
      <c r="N184" s="94"/>
      <c r="O184" s="94"/>
      <c r="P184" s="94"/>
      <c r="Q184" s="94"/>
      <c r="R184" s="94"/>
      <c r="S184" s="94"/>
      <c r="T184" s="94"/>
      <c r="U184" s="94"/>
      <c r="V184" s="94"/>
      <c r="W184" s="94"/>
    </row>
    <row r="185" spans="1:23">
      <c r="A185" s="94"/>
      <c r="B185" s="94"/>
      <c r="C185" s="94"/>
      <c r="D185" s="94"/>
      <c r="E185" s="94"/>
      <c r="F185" s="94"/>
      <c r="G185" s="94"/>
      <c r="H185" s="94"/>
      <c r="I185" s="94"/>
      <c r="J185" s="94"/>
      <c r="K185" s="94"/>
      <c r="L185" s="94"/>
      <c r="M185" s="94"/>
      <c r="N185" s="94"/>
      <c r="O185" s="94"/>
      <c r="P185" s="94"/>
      <c r="Q185" s="94"/>
      <c r="R185" s="94"/>
      <c r="S185" s="94"/>
      <c r="T185" s="94"/>
      <c r="U185" s="94"/>
      <c r="V185" s="94"/>
      <c r="W185" s="94"/>
    </row>
    <row r="186" spans="1:23">
      <c r="A186" s="94"/>
      <c r="B186" s="94"/>
      <c r="C186" s="94"/>
      <c r="D186" s="94"/>
      <c r="E186" s="94"/>
      <c r="F186" s="94"/>
      <c r="G186" s="94"/>
      <c r="H186" s="94"/>
      <c r="I186" s="94"/>
      <c r="J186" s="94"/>
      <c r="K186" s="94"/>
      <c r="L186" s="94"/>
      <c r="M186" s="94"/>
      <c r="N186" s="94"/>
      <c r="O186" s="94"/>
      <c r="P186" s="94"/>
      <c r="Q186" s="94"/>
      <c r="R186" s="94"/>
      <c r="S186" s="94"/>
      <c r="T186" s="94"/>
      <c r="U186" s="94"/>
      <c r="V186" s="94"/>
      <c r="W186" s="94"/>
    </row>
    <row r="187" spans="1:23">
      <c r="A187" s="94"/>
      <c r="B187" s="94"/>
      <c r="C187" s="94"/>
      <c r="D187" s="94"/>
      <c r="E187" s="94"/>
      <c r="F187" s="94"/>
      <c r="G187" s="94"/>
      <c r="H187" s="94"/>
      <c r="I187" s="94"/>
      <c r="J187" s="94"/>
      <c r="K187" s="94"/>
      <c r="L187" s="94"/>
      <c r="M187" s="94"/>
      <c r="N187" s="94"/>
      <c r="O187" s="94"/>
      <c r="P187" s="94"/>
      <c r="Q187" s="94"/>
      <c r="R187" s="94"/>
      <c r="S187" s="94"/>
      <c r="T187" s="94"/>
      <c r="U187" s="94"/>
      <c r="V187" s="94"/>
      <c r="W187" s="94"/>
    </row>
    <row r="188" spans="1:23">
      <c r="A188" s="94"/>
      <c r="B188" s="94"/>
      <c r="C188" s="94"/>
      <c r="D188" s="94"/>
      <c r="E188" s="94"/>
      <c r="F188" s="94"/>
      <c r="G188" s="94"/>
      <c r="H188" s="94"/>
      <c r="I188" s="94"/>
      <c r="J188" s="94"/>
      <c r="K188" s="94"/>
      <c r="L188" s="94"/>
      <c r="M188" s="94"/>
      <c r="N188" s="94"/>
      <c r="O188" s="94"/>
      <c r="P188" s="94"/>
      <c r="Q188" s="94"/>
      <c r="R188" s="94"/>
      <c r="S188" s="94"/>
      <c r="T188" s="94"/>
      <c r="U188" s="94"/>
      <c r="V188" s="94"/>
      <c r="W188" s="94"/>
    </row>
    <row r="189" spans="1:23">
      <c r="A189" s="94"/>
      <c r="B189" s="94"/>
      <c r="C189" s="94"/>
      <c r="D189" s="94"/>
      <c r="E189" s="94"/>
      <c r="F189" s="94"/>
      <c r="G189" s="94"/>
      <c r="H189" s="94"/>
      <c r="I189" s="94"/>
      <c r="J189" s="94"/>
      <c r="K189" s="94"/>
      <c r="L189" s="94"/>
      <c r="M189" s="94"/>
      <c r="N189" s="94"/>
      <c r="O189" s="94"/>
      <c r="P189" s="94"/>
      <c r="Q189" s="94"/>
      <c r="R189" s="94"/>
      <c r="S189" s="94"/>
      <c r="T189" s="94"/>
      <c r="U189" s="94"/>
      <c r="V189" s="94"/>
      <c r="W189" s="94"/>
    </row>
    <row r="190" spans="1:23">
      <c r="A190" s="94"/>
      <c r="B190" s="94"/>
      <c r="C190" s="94"/>
      <c r="D190" s="94"/>
      <c r="E190" s="94"/>
      <c r="F190" s="94"/>
      <c r="G190" s="94"/>
      <c r="H190" s="94"/>
      <c r="I190" s="94"/>
      <c r="J190" s="94"/>
      <c r="K190" s="94"/>
      <c r="L190" s="94"/>
      <c r="M190" s="94"/>
      <c r="N190" s="94"/>
      <c r="O190" s="94"/>
      <c r="P190" s="94"/>
      <c r="Q190" s="94"/>
      <c r="R190" s="94"/>
      <c r="S190" s="94"/>
      <c r="T190" s="94"/>
      <c r="U190" s="94"/>
      <c r="V190" s="94"/>
      <c r="W190" s="94"/>
    </row>
    <row r="191" spans="1:23">
      <c r="A191" s="94"/>
      <c r="B191" s="94"/>
      <c r="C191" s="94"/>
      <c r="D191" s="94"/>
      <c r="E191" s="94"/>
      <c r="F191" s="94"/>
      <c r="G191" s="94"/>
      <c r="H191" s="94"/>
      <c r="I191" s="94"/>
      <c r="J191" s="94"/>
      <c r="K191" s="94"/>
      <c r="L191" s="94"/>
      <c r="M191" s="94"/>
      <c r="N191" s="94"/>
      <c r="O191" s="94"/>
      <c r="P191" s="94"/>
      <c r="Q191" s="94"/>
      <c r="R191" s="94"/>
      <c r="S191" s="94"/>
      <c r="T191" s="94"/>
      <c r="U191" s="94"/>
      <c r="V191" s="94"/>
      <c r="W191" s="94"/>
    </row>
    <row r="192" spans="1:23">
      <c r="A192" s="94"/>
      <c r="B192" s="94"/>
      <c r="C192" s="94"/>
      <c r="D192" s="94"/>
      <c r="E192" s="94"/>
      <c r="F192" s="94"/>
      <c r="G192" s="94"/>
      <c r="H192" s="94"/>
      <c r="I192" s="94"/>
      <c r="J192" s="94"/>
      <c r="K192" s="94"/>
      <c r="L192" s="94"/>
      <c r="M192" s="94"/>
      <c r="N192" s="94"/>
      <c r="O192" s="94"/>
      <c r="P192" s="94"/>
      <c r="Q192" s="94"/>
      <c r="R192" s="94"/>
      <c r="S192" s="94"/>
      <c r="T192" s="94"/>
      <c r="U192" s="94"/>
      <c r="V192" s="94"/>
      <c r="W192" s="94"/>
    </row>
    <row r="193" spans="1:23">
      <c r="A193" s="94"/>
      <c r="B193" s="94"/>
      <c r="C193" s="94"/>
      <c r="D193" s="94"/>
      <c r="E193" s="94"/>
      <c r="F193" s="94"/>
      <c r="G193" s="94"/>
      <c r="H193" s="94"/>
      <c r="I193" s="94"/>
      <c r="J193" s="94"/>
      <c r="K193" s="94"/>
      <c r="L193" s="94"/>
      <c r="M193" s="94"/>
      <c r="N193" s="94"/>
      <c r="O193" s="94"/>
      <c r="P193" s="94"/>
      <c r="Q193" s="94"/>
      <c r="R193" s="94"/>
      <c r="S193" s="94"/>
      <c r="T193" s="94"/>
      <c r="U193" s="94"/>
      <c r="V193" s="94"/>
      <c r="W193" s="94"/>
    </row>
    <row r="194" spans="1:23">
      <c r="A194" s="94"/>
      <c r="B194" s="94"/>
      <c r="C194" s="94"/>
      <c r="D194" s="94"/>
      <c r="E194" s="94"/>
      <c r="F194" s="94"/>
      <c r="G194" s="94"/>
      <c r="H194" s="94"/>
      <c r="I194" s="94"/>
      <c r="J194" s="94"/>
      <c r="K194" s="94"/>
      <c r="L194" s="94"/>
      <c r="M194" s="94"/>
      <c r="N194" s="94"/>
      <c r="O194" s="94"/>
      <c r="P194" s="94"/>
      <c r="Q194" s="94"/>
      <c r="R194" s="94"/>
      <c r="S194" s="94"/>
      <c r="T194" s="94"/>
      <c r="U194" s="94"/>
      <c r="V194" s="94"/>
      <c r="W194" s="94"/>
    </row>
    <row r="195" spans="1:23">
      <c r="A195" s="94"/>
      <c r="B195" s="94"/>
      <c r="C195" s="94"/>
      <c r="D195" s="94"/>
      <c r="E195" s="94"/>
      <c r="F195" s="94"/>
      <c r="G195" s="94"/>
      <c r="H195" s="94"/>
      <c r="I195" s="94"/>
      <c r="J195" s="94"/>
      <c r="K195" s="94"/>
      <c r="L195" s="94"/>
      <c r="M195" s="94"/>
      <c r="N195" s="94"/>
      <c r="O195" s="94"/>
      <c r="P195" s="94"/>
      <c r="Q195" s="94"/>
      <c r="R195" s="94"/>
      <c r="S195" s="94"/>
      <c r="T195" s="94"/>
      <c r="U195" s="94"/>
      <c r="V195" s="94"/>
      <c r="W195" s="94"/>
    </row>
    <row r="196" spans="1:23">
      <c r="A196" s="94"/>
      <c r="B196" s="94"/>
      <c r="C196" s="94"/>
      <c r="D196" s="94"/>
      <c r="E196" s="94"/>
      <c r="F196" s="94"/>
      <c r="G196" s="94"/>
      <c r="H196" s="94"/>
      <c r="I196" s="94"/>
      <c r="J196" s="94"/>
      <c r="K196" s="94"/>
      <c r="L196" s="94"/>
      <c r="M196" s="94"/>
      <c r="N196" s="94"/>
      <c r="O196" s="94"/>
      <c r="P196" s="94"/>
      <c r="Q196" s="94"/>
      <c r="R196" s="94"/>
      <c r="S196" s="94"/>
      <c r="T196" s="94"/>
      <c r="U196" s="94"/>
      <c r="V196" s="94"/>
      <c r="W196" s="94"/>
    </row>
    <row r="197" spans="1:23">
      <c r="A197" s="94"/>
      <c r="B197" s="94"/>
      <c r="C197" s="94"/>
      <c r="D197" s="94"/>
      <c r="E197" s="94"/>
      <c r="F197" s="94"/>
      <c r="G197" s="94"/>
      <c r="H197" s="94"/>
      <c r="I197" s="94"/>
      <c r="J197" s="94"/>
      <c r="K197" s="94"/>
      <c r="L197" s="94"/>
      <c r="M197" s="94"/>
      <c r="N197" s="94"/>
      <c r="O197" s="94"/>
      <c r="P197" s="94"/>
      <c r="Q197" s="94"/>
      <c r="R197" s="94"/>
      <c r="S197" s="94"/>
      <c r="T197" s="94"/>
      <c r="U197" s="94"/>
      <c r="V197" s="94"/>
      <c r="W197" s="94"/>
    </row>
    <row r="198" spans="1:23">
      <c r="A198" s="94"/>
      <c r="B198" s="94"/>
      <c r="C198" s="94"/>
      <c r="D198" s="94"/>
      <c r="E198" s="94"/>
      <c r="F198" s="94"/>
      <c r="G198" s="94"/>
      <c r="H198" s="94"/>
      <c r="I198" s="94"/>
      <c r="J198" s="94"/>
      <c r="K198" s="94"/>
      <c r="L198" s="94"/>
      <c r="M198" s="94"/>
      <c r="N198" s="94"/>
      <c r="O198" s="94"/>
      <c r="P198" s="94"/>
      <c r="Q198" s="94"/>
      <c r="R198" s="94"/>
      <c r="S198" s="94"/>
      <c r="T198" s="94"/>
      <c r="U198" s="94"/>
      <c r="V198" s="94"/>
      <c r="W198" s="94"/>
    </row>
    <row r="199" spans="1:23">
      <c r="A199" s="94"/>
      <c r="B199" s="94"/>
      <c r="C199" s="94"/>
      <c r="D199" s="94"/>
      <c r="E199" s="94"/>
      <c r="F199" s="94"/>
      <c r="G199" s="94"/>
      <c r="H199" s="94"/>
      <c r="I199" s="94"/>
      <c r="J199" s="94"/>
      <c r="K199" s="94"/>
      <c r="L199" s="94"/>
      <c r="M199" s="94"/>
      <c r="N199" s="94"/>
      <c r="O199" s="94"/>
      <c r="P199" s="94"/>
      <c r="Q199" s="94"/>
      <c r="R199" s="94"/>
      <c r="S199" s="94"/>
      <c r="T199" s="94"/>
      <c r="U199" s="94"/>
      <c r="V199" s="94"/>
      <c r="W199" s="94"/>
    </row>
    <row r="200" spans="1:23">
      <c r="A200" s="94"/>
      <c r="B200" s="94"/>
      <c r="C200" s="94"/>
      <c r="D200" s="94"/>
      <c r="E200" s="94"/>
      <c r="F200" s="94"/>
      <c r="G200" s="94"/>
      <c r="H200" s="94"/>
      <c r="I200" s="94"/>
      <c r="J200" s="94"/>
      <c r="K200" s="94"/>
      <c r="L200" s="94"/>
      <c r="M200" s="94"/>
      <c r="N200" s="94"/>
      <c r="O200" s="94"/>
      <c r="P200" s="94"/>
      <c r="Q200" s="94"/>
      <c r="R200" s="94"/>
      <c r="S200" s="94"/>
      <c r="T200" s="94"/>
      <c r="U200" s="94"/>
      <c r="V200" s="94"/>
      <c r="W200" s="94"/>
    </row>
    <row r="201" spans="1:23">
      <c r="A201" s="94"/>
      <c r="B201" s="94"/>
      <c r="C201" s="94"/>
      <c r="D201" s="94"/>
      <c r="E201" s="94"/>
      <c r="F201" s="94"/>
      <c r="G201" s="94"/>
      <c r="H201" s="94"/>
      <c r="I201" s="94"/>
      <c r="J201" s="94"/>
      <c r="K201" s="94"/>
      <c r="L201" s="94"/>
      <c r="M201" s="94"/>
      <c r="N201" s="94"/>
      <c r="O201" s="94"/>
      <c r="P201" s="94"/>
      <c r="Q201" s="94"/>
      <c r="R201" s="94"/>
      <c r="S201" s="94"/>
      <c r="T201" s="94"/>
      <c r="U201" s="94"/>
      <c r="V201" s="94"/>
      <c r="W201" s="94"/>
    </row>
    <row r="202" spans="1:23">
      <c r="A202" s="94"/>
      <c r="B202" s="94"/>
      <c r="C202" s="94"/>
      <c r="D202" s="94"/>
      <c r="E202" s="94"/>
      <c r="F202" s="94"/>
      <c r="G202" s="94"/>
      <c r="H202" s="94"/>
      <c r="I202" s="94"/>
      <c r="J202" s="94"/>
      <c r="K202" s="94"/>
      <c r="L202" s="94"/>
      <c r="M202" s="94"/>
      <c r="N202" s="94"/>
      <c r="O202" s="94"/>
      <c r="P202" s="94"/>
      <c r="Q202" s="94"/>
      <c r="R202" s="94"/>
      <c r="S202" s="94"/>
      <c r="T202" s="94"/>
      <c r="U202" s="94"/>
      <c r="V202" s="94"/>
      <c r="W202" s="94"/>
    </row>
    <row r="203" spans="1:23">
      <c r="A203" s="94"/>
      <c r="B203" s="94"/>
      <c r="C203" s="94"/>
      <c r="D203" s="94"/>
      <c r="E203" s="94"/>
      <c r="F203" s="94"/>
      <c r="G203" s="94"/>
      <c r="H203" s="94"/>
      <c r="I203" s="94"/>
      <c r="J203" s="94"/>
      <c r="K203" s="94"/>
      <c r="L203" s="94"/>
      <c r="M203" s="94"/>
      <c r="N203" s="94"/>
      <c r="O203" s="94"/>
      <c r="P203" s="94"/>
      <c r="Q203" s="94"/>
      <c r="R203" s="94"/>
      <c r="S203" s="94"/>
      <c r="T203" s="94"/>
      <c r="U203" s="94"/>
      <c r="V203" s="94"/>
      <c r="W203" s="94"/>
    </row>
    <row r="204" spans="1:23">
      <c r="A204" s="94"/>
      <c r="B204" s="94"/>
      <c r="C204" s="94"/>
      <c r="D204" s="94"/>
      <c r="E204" s="94"/>
      <c r="F204" s="94"/>
      <c r="G204" s="94"/>
      <c r="H204" s="94"/>
      <c r="I204" s="94"/>
      <c r="J204" s="94"/>
      <c r="K204" s="94"/>
      <c r="L204" s="94"/>
      <c r="M204" s="94"/>
      <c r="N204" s="94"/>
      <c r="O204" s="94"/>
      <c r="P204" s="94"/>
      <c r="Q204" s="94"/>
      <c r="R204" s="94"/>
      <c r="S204" s="94"/>
      <c r="T204" s="94"/>
      <c r="U204" s="94"/>
      <c r="V204" s="94"/>
      <c r="W204" s="94"/>
    </row>
    <row r="205" spans="1:23">
      <c r="A205" s="94"/>
      <c r="B205" s="94"/>
      <c r="C205" s="94"/>
      <c r="D205" s="94"/>
      <c r="E205" s="94"/>
      <c r="F205" s="94"/>
      <c r="G205" s="94"/>
      <c r="H205" s="94"/>
      <c r="I205" s="94"/>
      <c r="J205" s="94"/>
      <c r="K205" s="94"/>
      <c r="L205" s="94"/>
      <c r="M205" s="94"/>
      <c r="N205" s="94"/>
      <c r="O205" s="94"/>
      <c r="P205" s="94"/>
      <c r="Q205" s="94"/>
      <c r="R205" s="94"/>
      <c r="S205" s="94"/>
      <c r="T205" s="94"/>
      <c r="U205" s="94"/>
      <c r="V205" s="94"/>
      <c r="W205" s="94"/>
    </row>
    <row r="206" spans="1:23">
      <c r="A206" s="94"/>
      <c r="B206" s="94"/>
      <c r="C206" s="94"/>
      <c r="D206" s="94"/>
      <c r="E206" s="94"/>
      <c r="F206" s="94"/>
      <c r="G206" s="94"/>
      <c r="H206" s="94"/>
      <c r="I206" s="94"/>
      <c r="J206" s="94"/>
      <c r="K206" s="94"/>
      <c r="L206" s="94"/>
      <c r="M206" s="94"/>
      <c r="N206" s="94"/>
      <c r="O206" s="94"/>
      <c r="P206" s="94"/>
      <c r="Q206" s="94"/>
      <c r="R206" s="94"/>
      <c r="S206" s="94"/>
      <c r="T206" s="94"/>
      <c r="U206" s="94"/>
      <c r="V206" s="94"/>
      <c r="W206" s="94"/>
    </row>
    <row r="207" spans="1:23">
      <c r="A207" s="94"/>
      <c r="B207" s="94"/>
      <c r="C207" s="94"/>
      <c r="D207" s="94"/>
      <c r="E207" s="94"/>
      <c r="F207" s="94"/>
      <c r="G207" s="94"/>
      <c r="H207" s="94"/>
      <c r="I207" s="94"/>
      <c r="J207" s="94"/>
      <c r="K207" s="94"/>
      <c r="L207" s="94"/>
      <c r="M207" s="94"/>
      <c r="N207" s="94"/>
      <c r="O207" s="94"/>
      <c r="P207" s="94"/>
      <c r="Q207" s="94"/>
      <c r="R207" s="94"/>
      <c r="S207" s="94"/>
      <c r="T207" s="94"/>
      <c r="U207" s="94"/>
      <c r="V207" s="94"/>
      <c r="W207" s="94"/>
    </row>
    <row r="208" spans="1:23">
      <c r="A208" s="94"/>
      <c r="B208" s="94"/>
      <c r="C208" s="94"/>
      <c r="D208" s="94"/>
      <c r="E208" s="94"/>
      <c r="F208" s="94"/>
      <c r="G208" s="94"/>
      <c r="H208" s="94"/>
      <c r="I208" s="94"/>
      <c r="J208" s="94"/>
      <c r="K208" s="94"/>
      <c r="L208" s="94"/>
      <c r="M208" s="94"/>
      <c r="N208" s="94"/>
      <c r="O208" s="94"/>
      <c r="P208" s="94"/>
      <c r="Q208" s="94"/>
      <c r="R208" s="94"/>
      <c r="S208" s="94"/>
      <c r="T208" s="94"/>
      <c r="U208" s="94"/>
      <c r="V208" s="94"/>
      <c r="W208" s="94"/>
    </row>
    <row r="209" spans="1:23">
      <c r="A209" s="94"/>
      <c r="B209" s="94"/>
      <c r="C209" s="94"/>
      <c r="D209" s="94"/>
      <c r="E209" s="94"/>
      <c r="F209" s="94"/>
      <c r="G209" s="94"/>
      <c r="H209" s="94"/>
      <c r="I209" s="94"/>
      <c r="J209" s="94"/>
      <c r="K209" s="94"/>
      <c r="L209" s="94"/>
      <c r="M209" s="94"/>
      <c r="N209" s="94"/>
      <c r="O209" s="94"/>
      <c r="P209" s="94"/>
      <c r="Q209" s="94"/>
      <c r="R209" s="94"/>
      <c r="S209" s="94"/>
      <c r="T209" s="94"/>
      <c r="U209" s="94"/>
      <c r="V209" s="94"/>
      <c r="W209" s="94"/>
    </row>
    <row r="210" spans="1:23">
      <c r="A210" s="94"/>
      <c r="B210" s="94"/>
      <c r="C210" s="94"/>
      <c r="D210" s="94"/>
      <c r="E210" s="94"/>
      <c r="F210" s="94"/>
      <c r="G210" s="94"/>
      <c r="H210" s="94"/>
      <c r="I210" s="94"/>
      <c r="J210" s="94"/>
      <c r="K210" s="94"/>
      <c r="L210" s="94"/>
      <c r="M210" s="94"/>
      <c r="N210" s="94"/>
      <c r="O210" s="94"/>
      <c r="P210" s="94"/>
      <c r="Q210" s="94"/>
      <c r="R210" s="94"/>
      <c r="S210" s="94"/>
      <c r="T210" s="94"/>
      <c r="U210" s="94"/>
      <c r="V210" s="94"/>
      <c r="W210" s="94"/>
    </row>
    <row r="211" spans="1:23">
      <c r="A211" s="94"/>
      <c r="B211" s="94"/>
      <c r="C211" s="94"/>
      <c r="D211" s="94"/>
      <c r="E211" s="94"/>
      <c r="F211" s="94"/>
      <c r="G211" s="94"/>
      <c r="H211" s="94"/>
      <c r="I211" s="94"/>
      <c r="J211" s="94"/>
      <c r="K211" s="94"/>
      <c r="L211" s="94"/>
      <c r="M211" s="94"/>
      <c r="N211" s="94"/>
      <c r="O211" s="94"/>
      <c r="P211" s="94"/>
      <c r="Q211" s="94"/>
      <c r="R211" s="94"/>
      <c r="S211" s="94"/>
      <c r="T211" s="94"/>
      <c r="U211" s="94"/>
      <c r="V211" s="94"/>
      <c r="W211" s="94"/>
    </row>
    <row r="212" spans="1:23">
      <c r="A212" s="94"/>
      <c r="B212" s="94"/>
      <c r="C212" s="94"/>
      <c r="D212" s="94"/>
      <c r="E212" s="94"/>
      <c r="F212" s="94"/>
      <c r="G212" s="94"/>
      <c r="H212" s="94"/>
      <c r="I212" s="94"/>
      <c r="J212" s="94"/>
      <c r="K212" s="94"/>
      <c r="L212" s="94"/>
      <c r="M212" s="94"/>
      <c r="N212" s="94"/>
      <c r="O212" s="94"/>
      <c r="P212" s="94"/>
      <c r="Q212" s="94"/>
      <c r="R212" s="94"/>
      <c r="S212" s="94"/>
      <c r="T212" s="94"/>
      <c r="U212" s="94"/>
      <c r="V212" s="94"/>
      <c r="W212" s="94"/>
    </row>
    <row r="213" spans="1:23">
      <c r="A213" s="94"/>
      <c r="B213" s="94"/>
      <c r="C213" s="94"/>
      <c r="D213" s="94"/>
      <c r="E213" s="94"/>
      <c r="F213" s="94"/>
      <c r="G213" s="94"/>
      <c r="H213" s="94"/>
      <c r="I213" s="94"/>
      <c r="J213" s="94"/>
      <c r="K213" s="94"/>
      <c r="L213" s="94"/>
      <c r="M213" s="94"/>
      <c r="N213" s="94"/>
      <c r="O213" s="94"/>
      <c r="P213" s="94"/>
      <c r="Q213" s="94"/>
      <c r="R213" s="94"/>
      <c r="S213" s="94"/>
      <c r="T213" s="94"/>
      <c r="U213" s="94"/>
      <c r="V213" s="94"/>
      <c r="W213" s="94"/>
    </row>
    <row r="214" spans="1:23">
      <c r="A214" s="94"/>
      <c r="B214" s="94"/>
      <c r="C214" s="94"/>
      <c r="D214" s="94"/>
      <c r="E214" s="94"/>
      <c r="F214" s="94"/>
      <c r="G214" s="94"/>
      <c r="H214" s="94"/>
      <c r="I214" s="94"/>
      <c r="J214" s="94"/>
      <c r="K214" s="94"/>
      <c r="L214" s="94"/>
      <c r="M214" s="94"/>
      <c r="N214" s="94"/>
      <c r="O214" s="94"/>
      <c r="P214" s="94"/>
      <c r="Q214" s="94"/>
      <c r="R214" s="94"/>
      <c r="S214" s="94"/>
      <c r="T214" s="94"/>
      <c r="U214" s="94"/>
      <c r="V214" s="94"/>
      <c r="W214" s="94"/>
    </row>
    <row r="215" spans="1:23">
      <c r="A215" s="94"/>
      <c r="B215" s="94"/>
      <c r="C215" s="94"/>
      <c r="D215" s="94"/>
      <c r="E215" s="94"/>
      <c r="F215" s="94"/>
      <c r="G215" s="94"/>
      <c r="H215" s="94"/>
      <c r="I215" s="94"/>
      <c r="J215" s="94"/>
      <c r="K215" s="94"/>
      <c r="L215" s="94"/>
      <c r="M215" s="94"/>
      <c r="N215" s="94"/>
      <c r="O215" s="94"/>
      <c r="P215" s="94"/>
      <c r="Q215" s="94"/>
      <c r="R215" s="94"/>
      <c r="S215" s="94"/>
      <c r="T215" s="94"/>
      <c r="U215" s="94"/>
      <c r="V215" s="94"/>
      <c r="W215" s="94"/>
    </row>
    <row r="216" spans="1:23">
      <c r="A216" s="94"/>
      <c r="B216" s="94"/>
      <c r="C216" s="94"/>
      <c r="D216" s="94"/>
      <c r="E216" s="94"/>
      <c r="F216" s="94"/>
      <c r="G216" s="94"/>
      <c r="H216" s="94"/>
      <c r="I216" s="94"/>
      <c r="J216" s="94"/>
      <c r="K216" s="94"/>
      <c r="L216" s="94"/>
      <c r="M216" s="94"/>
      <c r="N216" s="94"/>
      <c r="O216" s="94"/>
      <c r="P216" s="94"/>
      <c r="Q216" s="94"/>
      <c r="R216" s="94"/>
      <c r="S216" s="94"/>
      <c r="T216" s="94"/>
      <c r="U216" s="94"/>
      <c r="V216" s="94"/>
      <c r="W216" s="94"/>
    </row>
    <row r="217" spans="1:23">
      <c r="A217" s="94"/>
      <c r="B217" s="94"/>
      <c r="C217" s="94"/>
      <c r="D217" s="94"/>
      <c r="E217" s="94"/>
      <c r="F217" s="94"/>
      <c r="G217" s="94"/>
      <c r="H217" s="94"/>
      <c r="I217" s="94"/>
      <c r="J217" s="94"/>
      <c r="K217" s="94"/>
      <c r="L217" s="94"/>
      <c r="M217" s="94"/>
      <c r="N217" s="94"/>
      <c r="O217" s="94"/>
      <c r="P217" s="94"/>
      <c r="Q217" s="94"/>
      <c r="R217" s="94"/>
      <c r="S217" s="94"/>
      <c r="T217" s="94"/>
      <c r="U217" s="94"/>
      <c r="V217" s="94"/>
      <c r="W217" s="94"/>
    </row>
    <row r="218" spans="1:23">
      <c r="A218" s="94"/>
      <c r="B218" s="94"/>
      <c r="C218" s="94"/>
      <c r="D218" s="94"/>
      <c r="E218" s="94"/>
      <c r="F218" s="94"/>
      <c r="G218" s="94"/>
      <c r="H218" s="94"/>
      <c r="I218" s="94"/>
      <c r="J218" s="94"/>
      <c r="K218" s="94"/>
      <c r="L218" s="94"/>
      <c r="M218" s="94"/>
      <c r="N218" s="94"/>
      <c r="O218" s="94"/>
      <c r="P218" s="94"/>
      <c r="Q218" s="94"/>
      <c r="R218" s="94"/>
      <c r="S218" s="94"/>
      <c r="T218" s="94"/>
      <c r="U218" s="94"/>
      <c r="V218" s="94"/>
      <c r="W218" s="94"/>
    </row>
    <row r="219" spans="1:23">
      <c r="A219" s="94"/>
      <c r="B219" s="94"/>
      <c r="C219" s="94"/>
      <c r="D219" s="94"/>
      <c r="E219" s="94"/>
      <c r="F219" s="94"/>
      <c r="G219" s="94"/>
      <c r="H219" s="94"/>
      <c r="I219" s="94"/>
      <c r="J219" s="94"/>
      <c r="K219" s="94"/>
      <c r="L219" s="94"/>
      <c r="M219" s="94"/>
      <c r="N219" s="94"/>
      <c r="O219" s="94"/>
      <c r="P219" s="94"/>
      <c r="Q219" s="94"/>
      <c r="R219" s="94"/>
      <c r="S219" s="94"/>
      <c r="T219" s="94"/>
      <c r="U219" s="94"/>
      <c r="V219" s="94"/>
      <c r="W219" s="94"/>
    </row>
    <row r="220" spans="1:23">
      <c r="A220" s="94"/>
      <c r="B220" s="94"/>
      <c r="C220" s="94"/>
      <c r="D220" s="94"/>
      <c r="E220" s="94"/>
      <c r="F220" s="94"/>
      <c r="G220" s="94"/>
      <c r="H220" s="94"/>
      <c r="I220" s="94"/>
      <c r="J220" s="94"/>
      <c r="K220" s="94"/>
      <c r="L220" s="94"/>
      <c r="M220" s="94"/>
      <c r="N220" s="94"/>
      <c r="O220" s="94"/>
      <c r="P220" s="94"/>
      <c r="Q220" s="94"/>
      <c r="R220" s="94"/>
      <c r="S220" s="94"/>
      <c r="T220" s="94"/>
      <c r="U220" s="94"/>
      <c r="V220" s="94"/>
      <c r="W220" s="94"/>
    </row>
    <row r="221" spans="1:23">
      <c r="A221" s="94"/>
      <c r="B221" s="94"/>
      <c r="C221" s="94"/>
      <c r="D221" s="94"/>
      <c r="E221" s="94"/>
      <c r="F221" s="94"/>
      <c r="G221" s="94"/>
      <c r="H221" s="94"/>
      <c r="I221" s="94"/>
      <c r="J221" s="94"/>
      <c r="K221" s="94"/>
      <c r="L221" s="94"/>
      <c r="M221" s="94"/>
      <c r="N221" s="94"/>
      <c r="O221" s="94"/>
      <c r="P221" s="94"/>
      <c r="Q221" s="94"/>
      <c r="R221" s="94"/>
      <c r="S221" s="94"/>
      <c r="T221" s="94"/>
      <c r="U221" s="94"/>
      <c r="V221" s="94"/>
      <c r="W221" s="94"/>
    </row>
    <row r="222" spans="1:23">
      <c r="A222" s="94"/>
      <c r="B222" s="94"/>
      <c r="C222" s="94"/>
      <c r="D222" s="94"/>
      <c r="E222" s="94"/>
      <c r="F222" s="94"/>
      <c r="G222" s="94"/>
      <c r="H222" s="94"/>
      <c r="I222" s="94"/>
      <c r="J222" s="94"/>
      <c r="K222" s="94"/>
      <c r="L222" s="94"/>
      <c r="M222" s="94"/>
      <c r="N222" s="94"/>
      <c r="O222" s="94"/>
      <c r="P222" s="94"/>
      <c r="Q222" s="94"/>
      <c r="R222" s="94"/>
      <c r="S222" s="94"/>
      <c r="T222" s="94"/>
      <c r="U222" s="94"/>
      <c r="V222" s="94"/>
      <c r="W222" s="94"/>
    </row>
    <row r="223" spans="1:23">
      <c r="A223" s="94"/>
      <c r="B223" s="94"/>
      <c r="C223" s="94"/>
      <c r="D223" s="94"/>
      <c r="E223" s="94"/>
      <c r="F223" s="94"/>
      <c r="G223" s="94"/>
      <c r="H223" s="94"/>
      <c r="I223" s="94"/>
      <c r="J223" s="94"/>
      <c r="K223" s="94"/>
      <c r="L223" s="94"/>
      <c r="M223" s="94"/>
      <c r="N223" s="94"/>
      <c r="O223" s="94"/>
      <c r="P223" s="94"/>
      <c r="Q223" s="94"/>
      <c r="R223" s="94"/>
      <c r="S223" s="94"/>
      <c r="T223" s="94"/>
      <c r="U223" s="94"/>
      <c r="V223" s="94"/>
      <c r="W223" s="94"/>
    </row>
    <row r="224" spans="1:23">
      <c r="A224" s="94"/>
      <c r="B224" s="94"/>
      <c r="C224" s="94"/>
      <c r="D224" s="94"/>
      <c r="E224" s="94"/>
      <c r="F224" s="94"/>
      <c r="G224" s="94"/>
      <c r="H224" s="94"/>
      <c r="I224" s="94"/>
      <c r="J224" s="94"/>
      <c r="K224" s="94"/>
      <c r="L224" s="94"/>
      <c r="M224" s="94"/>
      <c r="N224" s="94"/>
      <c r="O224" s="94"/>
      <c r="P224" s="94"/>
      <c r="Q224" s="94"/>
      <c r="R224" s="94"/>
      <c r="S224" s="94"/>
      <c r="T224" s="94"/>
      <c r="U224" s="94"/>
      <c r="V224" s="94"/>
      <c r="W224" s="94"/>
    </row>
    <row r="225" spans="1:23">
      <c r="A225" s="94"/>
      <c r="B225" s="94"/>
      <c r="C225" s="94"/>
      <c r="D225" s="94"/>
      <c r="E225" s="94"/>
      <c r="F225" s="94"/>
      <c r="G225" s="94"/>
      <c r="H225" s="94"/>
      <c r="I225" s="94"/>
      <c r="J225" s="94"/>
      <c r="K225" s="94"/>
      <c r="L225" s="94"/>
      <c r="M225" s="94"/>
      <c r="N225" s="94"/>
      <c r="O225" s="94"/>
      <c r="P225" s="94"/>
      <c r="Q225" s="94"/>
      <c r="R225" s="94"/>
      <c r="S225" s="94"/>
      <c r="T225" s="94"/>
      <c r="U225" s="94"/>
      <c r="V225" s="94"/>
      <c r="W225" s="94"/>
    </row>
    <row r="226" spans="1:23">
      <c r="A226" s="94"/>
      <c r="B226" s="94"/>
      <c r="C226" s="94"/>
      <c r="D226" s="94"/>
      <c r="E226" s="94"/>
      <c r="F226" s="94"/>
      <c r="G226" s="94"/>
      <c r="H226" s="94"/>
      <c r="I226" s="94"/>
      <c r="J226" s="94"/>
      <c r="K226" s="94"/>
      <c r="L226" s="94"/>
      <c r="M226" s="94"/>
      <c r="N226" s="94"/>
      <c r="O226" s="94"/>
      <c r="P226" s="94"/>
      <c r="Q226" s="94"/>
      <c r="R226" s="94"/>
      <c r="S226" s="94"/>
      <c r="T226" s="94"/>
      <c r="U226" s="94"/>
      <c r="V226" s="94"/>
      <c r="W226" s="94"/>
    </row>
    <row r="227" spans="1:23">
      <c r="A227" s="94"/>
      <c r="B227" s="94"/>
      <c r="C227" s="94"/>
      <c r="D227" s="94"/>
      <c r="E227" s="94"/>
      <c r="F227" s="94"/>
      <c r="G227" s="94"/>
      <c r="H227" s="94"/>
      <c r="I227" s="94"/>
      <c r="J227" s="94"/>
      <c r="K227" s="94"/>
      <c r="L227" s="94"/>
      <c r="M227" s="94"/>
      <c r="N227" s="94"/>
      <c r="O227" s="94"/>
      <c r="P227" s="94"/>
      <c r="Q227" s="94"/>
      <c r="R227" s="94"/>
      <c r="S227" s="94"/>
      <c r="T227" s="94"/>
      <c r="U227" s="94"/>
      <c r="V227" s="94"/>
      <c r="W227" s="94"/>
    </row>
    <row r="228" spans="1:23">
      <c r="A228" s="94"/>
      <c r="B228" s="94"/>
      <c r="C228" s="94"/>
      <c r="D228" s="94"/>
      <c r="E228" s="94"/>
      <c r="F228" s="94"/>
      <c r="G228" s="94"/>
      <c r="H228" s="94"/>
      <c r="I228" s="94"/>
      <c r="J228" s="94"/>
      <c r="K228" s="94"/>
      <c r="L228" s="94"/>
      <c r="M228" s="94"/>
      <c r="N228" s="94"/>
      <c r="O228" s="94"/>
      <c r="P228" s="94"/>
      <c r="Q228" s="94"/>
      <c r="R228" s="94"/>
      <c r="S228" s="94"/>
      <c r="T228" s="94"/>
      <c r="U228" s="94"/>
      <c r="V228" s="94"/>
      <c r="W228" s="94"/>
    </row>
    <row r="229" spans="1:23">
      <c r="A229" s="94"/>
      <c r="B229" s="94"/>
      <c r="C229" s="94"/>
      <c r="D229" s="94"/>
      <c r="E229" s="94"/>
      <c r="F229" s="94"/>
      <c r="G229" s="94"/>
      <c r="H229" s="94"/>
      <c r="I229" s="94"/>
      <c r="J229" s="94"/>
      <c r="K229" s="94"/>
      <c r="L229" s="94"/>
      <c r="M229" s="94"/>
      <c r="N229" s="94"/>
      <c r="O229" s="94"/>
      <c r="P229" s="94"/>
      <c r="Q229" s="94"/>
      <c r="R229" s="94"/>
      <c r="S229" s="94"/>
      <c r="T229" s="94"/>
      <c r="U229" s="94"/>
      <c r="V229" s="94"/>
      <c r="W229" s="94"/>
    </row>
    <row r="230" spans="1:23">
      <c r="A230" s="94"/>
      <c r="B230" s="94"/>
      <c r="C230" s="94"/>
      <c r="D230" s="94"/>
      <c r="E230" s="94"/>
      <c r="F230" s="94"/>
      <c r="G230" s="94"/>
      <c r="H230" s="94"/>
      <c r="I230" s="94"/>
      <c r="J230" s="94"/>
      <c r="K230" s="94"/>
      <c r="L230" s="94"/>
      <c r="M230" s="94"/>
      <c r="N230" s="94"/>
      <c r="O230" s="94"/>
      <c r="P230" s="94"/>
      <c r="Q230" s="94"/>
      <c r="R230" s="94"/>
      <c r="S230" s="94"/>
      <c r="T230" s="94"/>
      <c r="U230" s="94"/>
      <c r="V230" s="94"/>
      <c r="W230" s="94"/>
    </row>
    <row r="231" spans="1:23">
      <c r="A231" s="94"/>
      <c r="B231" s="94"/>
      <c r="C231" s="94"/>
      <c r="D231" s="94"/>
      <c r="E231" s="94"/>
      <c r="F231" s="94"/>
      <c r="G231" s="94"/>
      <c r="H231" s="94"/>
      <c r="I231" s="94"/>
      <c r="J231" s="94"/>
      <c r="K231" s="94"/>
      <c r="L231" s="94"/>
      <c r="M231" s="94"/>
      <c r="N231" s="94"/>
      <c r="O231" s="94"/>
      <c r="P231" s="94"/>
      <c r="Q231" s="94"/>
      <c r="R231" s="94"/>
      <c r="S231" s="94"/>
      <c r="T231" s="94"/>
      <c r="U231" s="94"/>
      <c r="V231" s="94"/>
      <c r="W231" s="94"/>
    </row>
    <row r="232" spans="1:23">
      <c r="A232" s="94"/>
      <c r="B232" s="94"/>
      <c r="C232" s="94"/>
      <c r="D232" s="94"/>
      <c r="E232" s="94"/>
      <c r="F232" s="94"/>
      <c r="G232" s="94"/>
      <c r="H232" s="94"/>
      <c r="I232" s="94"/>
      <c r="J232" s="94"/>
      <c r="K232" s="94"/>
      <c r="L232" s="94"/>
      <c r="M232" s="94"/>
      <c r="N232" s="94"/>
      <c r="O232" s="94"/>
      <c r="P232" s="94"/>
      <c r="Q232" s="94"/>
      <c r="R232" s="94"/>
      <c r="S232" s="94"/>
      <c r="T232" s="94"/>
      <c r="U232" s="94"/>
      <c r="V232" s="94"/>
      <c r="W232" s="94"/>
    </row>
    <row r="233" spans="1:23">
      <c r="A233" s="94"/>
      <c r="B233" s="94"/>
      <c r="C233" s="94"/>
      <c r="D233" s="94"/>
      <c r="E233" s="94"/>
      <c r="F233" s="94"/>
      <c r="G233" s="94"/>
      <c r="H233" s="94"/>
      <c r="I233" s="94"/>
      <c r="J233" s="94"/>
      <c r="K233" s="94"/>
      <c r="L233" s="94"/>
      <c r="M233" s="94"/>
      <c r="N233" s="94"/>
      <c r="O233" s="94"/>
      <c r="P233" s="94"/>
      <c r="Q233" s="94"/>
      <c r="R233" s="94"/>
      <c r="S233" s="94"/>
      <c r="T233" s="94"/>
      <c r="U233" s="94"/>
      <c r="V233" s="94"/>
      <c r="W233" s="94"/>
    </row>
    <row r="234" spans="1:23">
      <c r="A234" s="94"/>
      <c r="B234" s="94"/>
      <c r="C234" s="94"/>
      <c r="D234" s="94"/>
      <c r="E234" s="94"/>
      <c r="F234" s="94"/>
      <c r="G234" s="94"/>
      <c r="H234" s="94"/>
      <c r="I234" s="94"/>
      <c r="J234" s="94"/>
      <c r="K234" s="94"/>
      <c r="L234" s="94"/>
      <c r="M234" s="94"/>
      <c r="N234" s="94"/>
      <c r="O234" s="94"/>
      <c r="P234" s="94"/>
      <c r="Q234" s="94"/>
      <c r="R234" s="94"/>
      <c r="S234" s="94"/>
      <c r="T234" s="94"/>
      <c r="U234" s="94"/>
      <c r="V234" s="94"/>
      <c r="W234" s="94"/>
    </row>
    <row r="235" spans="1:23">
      <c r="A235" s="94"/>
      <c r="B235" s="94"/>
      <c r="C235" s="94"/>
      <c r="D235" s="94"/>
      <c r="E235" s="94"/>
      <c r="F235" s="94"/>
      <c r="G235" s="94"/>
      <c r="H235" s="94"/>
      <c r="I235" s="94"/>
      <c r="J235" s="94"/>
      <c r="K235" s="94"/>
      <c r="L235" s="94"/>
      <c r="M235" s="94"/>
      <c r="N235" s="94"/>
      <c r="O235" s="94"/>
      <c r="P235" s="94"/>
      <c r="Q235" s="94"/>
      <c r="R235" s="94"/>
      <c r="S235" s="94"/>
      <c r="T235" s="94"/>
      <c r="U235" s="94"/>
      <c r="V235" s="94"/>
      <c r="W235" s="94"/>
    </row>
    <row r="236" spans="1:23">
      <c r="A236" s="94"/>
      <c r="B236" s="94"/>
      <c r="C236" s="94"/>
      <c r="D236" s="94"/>
      <c r="E236" s="94"/>
      <c r="F236" s="94"/>
      <c r="G236" s="94"/>
      <c r="H236" s="94"/>
      <c r="I236" s="94"/>
      <c r="J236" s="94"/>
      <c r="K236" s="94"/>
      <c r="L236" s="94"/>
      <c r="M236" s="94"/>
      <c r="N236" s="94"/>
      <c r="O236" s="94"/>
      <c r="P236" s="94"/>
      <c r="Q236" s="94"/>
      <c r="R236" s="94"/>
      <c r="S236" s="94"/>
      <c r="T236" s="94"/>
      <c r="U236" s="94"/>
      <c r="V236" s="94"/>
      <c r="W236" s="94"/>
    </row>
    <row r="237" spans="1:23">
      <c r="A237" s="94"/>
      <c r="B237" s="94"/>
      <c r="C237" s="94"/>
      <c r="D237" s="94"/>
      <c r="E237" s="94"/>
      <c r="F237" s="94"/>
      <c r="G237" s="94"/>
      <c r="H237" s="94"/>
      <c r="I237" s="94"/>
      <c r="J237" s="94"/>
      <c r="K237" s="94"/>
      <c r="L237" s="94"/>
      <c r="M237" s="94"/>
      <c r="N237" s="94"/>
      <c r="O237" s="94"/>
      <c r="P237" s="94"/>
      <c r="Q237" s="94"/>
      <c r="R237" s="94"/>
      <c r="S237" s="94"/>
      <c r="T237" s="94"/>
      <c r="U237" s="94"/>
      <c r="V237" s="94"/>
      <c r="W237" s="94"/>
    </row>
    <row r="238" spans="1:23">
      <c r="A238" s="94"/>
      <c r="B238" s="94"/>
      <c r="C238" s="94"/>
      <c r="D238" s="94"/>
      <c r="E238" s="94"/>
      <c r="F238" s="94"/>
      <c r="G238" s="94"/>
      <c r="H238" s="94"/>
      <c r="I238" s="94"/>
      <c r="J238" s="94"/>
      <c r="K238" s="94"/>
      <c r="L238" s="94"/>
      <c r="M238" s="94"/>
      <c r="N238" s="94"/>
      <c r="O238" s="94"/>
      <c r="P238" s="94"/>
      <c r="Q238" s="94"/>
      <c r="R238" s="94"/>
      <c r="S238" s="94"/>
      <c r="T238" s="94"/>
      <c r="U238" s="94"/>
      <c r="V238" s="94"/>
      <c r="W238" s="94"/>
    </row>
    <row r="239" spans="1:23">
      <c r="A239" s="94"/>
      <c r="B239" s="94"/>
      <c r="C239" s="94"/>
      <c r="D239" s="94"/>
      <c r="E239" s="94"/>
      <c r="F239" s="94"/>
      <c r="G239" s="94"/>
      <c r="H239" s="94"/>
      <c r="I239" s="94"/>
      <c r="J239" s="94"/>
      <c r="K239" s="94"/>
      <c r="L239" s="94"/>
      <c r="M239" s="94"/>
      <c r="N239" s="94"/>
      <c r="O239" s="94"/>
      <c r="P239" s="94"/>
      <c r="Q239" s="94"/>
      <c r="R239" s="94"/>
      <c r="S239" s="94"/>
      <c r="T239" s="94"/>
      <c r="U239" s="94"/>
      <c r="V239" s="94"/>
      <c r="W239" s="94"/>
    </row>
    <row r="240" spans="1:23">
      <c r="A240" s="94"/>
      <c r="B240" s="94"/>
      <c r="C240" s="94"/>
      <c r="D240" s="94"/>
      <c r="E240" s="94"/>
      <c r="F240" s="94"/>
      <c r="G240" s="94"/>
      <c r="H240" s="94"/>
      <c r="I240" s="94"/>
      <c r="J240" s="94"/>
      <c r="K240" s="94"/>
      <c r="L240" s="94"/>
      <c r="M240" s="94"/>
      <c r="N240" s="94"/>
      <c r="O240" s="94"/>
      <c r="P240" s="94"/>
      <c r="Q240" s="94"/>
      <c r="R240" s="94"/>
      <c r="S240" s="94"/>
      <c r="T240" s="94"/>
      <c r="U240" s="94"/>
      <c r="V240" s="94"/>
      <c r="W240" s="94"/>
    </row>
    <row r="241" spans="1:23">
      <c r="A241" s="94"/>
      <c r="B241" s="94"/>
      <c r="C241" s="94"/>
      <c r="D241" s="94"/>
      <c r="E241" s="94"/>
      <c r="F241" s="94"/>
      <c r="G241" s="94"/>
      <c r="H241" s="94"/>
      <c r="I241" s="94"/>
      <c r="J241" s="94"/>
      <c r="K241" s="94"/>
      <c r="L241" s="94"/>
      <c r="M241" s="94"/>
      <c r="N241" s="94"/>
      <c r="O241" s="94"/>
      <c r="P241" s="94"/>
      <c r="Q241" s="94"/>
      <c r="R241" s="94"/>
      <c r="S241" s="94"/>
      <c r="T241" s="94"/>
      <c r="U241" s="94"/>
      <c r="V241" s="94"/>
      <c r="W241" s="94"/>
    </row>
    <row r="242" spans="1:23">
      <c r="A242" s="94"/>
      <c r="B242" s="94"/>
      <c r="C242" s="94"/>
      <c r="D242" s="94"/>
      <c r="E242" s="94"/>
      <c r="F242" s="94"/>
      <c r="G242" s="94"/>
      <c r="H242" s="94"/>
      <c r="I242" s="94"/>
      <c r="J242" s="94"/>
      <c r="K242" s="94"/>
      <c r="L242" s="94"/>
      <c r="M242" s="94"/>
      <c r="N242" s="94"/>
      <c r="O242" s="94"/>
      <c r="P242" s="94"/>
      <c r="Q242" s="94"/>
      <c r="R242" s="94"/>
      <c r="S242" s="94"/>
      <c r="T242" s="94"/>
      <c r="U242" s="94"/>
      <c r="V242" s="94"/>
      <c r="W242" s="94"/>
    </row>
    <row r="243" spans="1:23">
      <c r="A243" s="94"/>
      <c r="B243" s="94"/>
      <c r="C243" s="94"/>
      <c r="D243" s="94"/>
      <c r="E243" s="94"/>
      <c r="F243" s="94"/>
      <c r="G243" s="94"/>
      <c r="H243" s="94"/>
      <c r="I243" s="94"/>
      <c r="J243" s="94"/>
      <c r="K243" s="94"/>
      <c r="L243" s="94"/>
      <c r="M243" s="94"/>
      <c r="N243" s="94"/>
      <c r="O243" s="94"/>
      <c r="P243" s="94"/>
      <c r="Q243" s="94"/>
      <c r="R243" s="94"/>
      <c r="S243" s="94"/>
      <c r="T243" s="94"/>
      <c r="U243" s="94"/>
      <c r="V243" s="94"/>
      <c r="W243" s="94"/>
    </row>
    <row r="244" spans="1:23">
      <c r="A244" s="94"/>
      <c r="B244" s="94"/>
      <c r="C244" s="94"/>
      <c r="D244" s="94"/>
      <c r="E244" s="94"/>
      <c r="F244" s="94"/>
      <c r="G244" s="94"/>
      <c r="H244" s="94"/>
      <c r="I244" s="94"/>
      <c r="J244" s="94"/>
      <c r="K244" s="94"/>
      <c r="L244" s="94"/>
      <c r="M244" s="94"/>
      <c r="N244" s="94"/>
      <c r="O244" s="94"/>
      <c r="P244" s="94"/>
      <c r="Q244" s="94"/>
      <c r="R244" s="94"/>
      <c r="S244" s="94"/>
      <c r="T244" s="94"/>
      <c r="U244" s="94"/>
      <c r="V244" s="94"/>
      <c r="W244" s="94"/>
    </row>
    <row r="245" spans="1:23">
      <c r="A245" s="94"/>
      <c r="B245" s="94"/>
      <c r="C245" s="94"/>
      <c r="D245" s="94"/>
      <c r="E245" s="94"/>
      <c r="F245" s="94"/>
      <c r="G245" s="94"/>
      <c r="H245" s="94"/>
      <c r="I245" s="94"/>
      <c r="J245" s="94"/>
      <c r="K245" s="94"/>
      <c r="L245" s="94"/>
      <c r="M245" s="94"/>
      <c r="N245" s="94"/>
      <c r="O245" s="94"/>
      <c r="P245" s="94"/>
      <c r="Q245" s="94"/>
      <c r="R245" s="94"/>
      <c r="S245" s="94"/>
      <c r="T245" s="94"/>
      <c r="U245" s="94"/>
      <c r="V245" s="94"/>
      <c r="W245" s="94"/>
    </row>
    <row r="246" spans="1:23">
      <c r="A246" s="94"/>
      <c r="B246" s="94"/>
      <c r="C246" s="94"/>
      <c r="D246" s="94"/>
      <c r="E246" s="94"/>
      <c r="F246" s="94"/>
      <c r="G246" s="94"/>
      <c r="H246" s="94"/>
      <c r="I246" s="94"/>
      <c r="J246" s="94"/>
      <c r="K246" s="94"/>
      <c r="L246" s="94"/>
      <c r="M246" s="94"/>
      <c r="N246" s="94"/>
      <c r="O246" s="94"/>
      <c r="P246" s="94"/>
      <c r="Q246" s="94"/>
      <c r="R246" s="94"/>
      <c r="S246" s="94"/>
      <c r="T246" s="94"/>
      <c r="U246" s="94"/>
      <c r="V246" s="94"/>
      <c r="W246" s="94"/>
    </row>
    <row r="247" spans="1:23">
      <c r="A247" s="94"/>
      <c r="B247" s="94"/>
      <c r="C247" s="94"/>
      <c r="D247" s="94"/>
      <c r="E247" s="94"/>
      <c r="F247" s="94"/>
      <c r="G247" s="94"/>
      <c r="H247" s="94"/>
      <c r="I247" s="94"/>
      <c r="J247" s="94"/>
      <c r="K247" s="94"/>
      <c r="L247" s="94"/>
      <c r="M247" s="94"/>
      <c r="N247" s="94"/>
      <c r="O247" s="94"/>
      <c r="P247" s="94"/>
      <c r="Q247" s="94"/>
      <c r="R247" s="94"/>
      <c r="S247" s="94"/>
      <c r="T247" s="94"/>
      <c r="U247" s="94"/>
      <c r="V247" s="94"/>
      <c r="W247" s="94"/>
    </row>
    <row r="248" spans="1:23">
      <c r="A248" s="94"/>
      <c r="B248" s="94"/>
      <c r="C248" s="94"/>
      <c r="D248" s="94"/>
      <c r="E248" s="94"/>
      <c r="F248" s="94"/>
      <c r="G248" s="94"/>
      <c r="H248" s="94"/>
      <c r="I248" s="94"/>
      <c r="J248" s="94"/>
      <c r="K248" s="94"/>
      <c r="L248" s="94"/>
      <c r="M248" s="94"/>
      <c r="N248" s="94"/>
      <c r="O248" s="94"/>
      <c r="P248" s="94"/>
      <c r="Q248" s="94"/>
      <c r="R248" s="94"/>
      <c r="S248" s="94"/>
      <c r="T248" s="94"/>
      <c r="U248" s="94"/>
      <c r="V248" s="94"/>
      <c r="W248" s="94"/>
    </row>
    <row r="249" spans="1:23">
      <c r="A249" s="94"/>
      <c r="B249" s="94"/>
      <c r="C249" s="94"/>
      <c r="D249" s="94"/>
      <c r="E249" s="94"/>
      <c r="F249" s="94"/>
      <c r="G249" s="94"/>
      <c r="H249" s="94"/>
      <c r="I249" s="94"/>
      <c r="J249" s="94"/>
      <c r="K249" s="94"/>
      <c r="L249" s="94"/>
      <c r="M249" s="94"/>
      <c r="N249" s="94"/>
      <c r="O249" s="94"/>
      <c r="P249" s="94"/>
      <c r="Q249" s="94"/>
      <c r="R249" s="94"/>
      <c r="S249" s="94"/>
      <c r="T249" s="94"/>
      <c r="U249" s="94"/>
      <c r="V249" s="94"/>
      <c r="W249" s="94"/>
    </row>
    <row r="250" spans="1:23">
      <c r="A250" s="94"/>
      <c r="B250" s="94"/>
      <c r="C250" s="94"/>
      <c r="D250" s="94"/>
      <c r="E250" s="94"/>
      <c r="F250" s="94"/>
      <c r="G250" s="94"/>
      <c r="H250" s="94"/>
      <c r="I250" s="94"/>
      <c r="J250" s="94"/>
      <c r="K250" s="94"/>
      <c r="L250" s="94"/>
      <c r="M250" s="94"/>
      <c r="N250" s="94"/>
      <c r="O250" s="94"/>
      <c r="P250" s="94"/>
      <c r="Q250" s="94"/>
      <c r="R250" s="94"/>
      <c r="S250" s="94"/>
      <c r="T250" s="94"/>
      <c r="U250" s="94"/>
      <c r="V250" s="94"/>
      <c r="W250" s="94"/>
    </row>
    <row r="251" spans="1:23">
      <c r="A251" s="94"/>
      <c r="B251" s="94"/>
      <c r="C251" s="94"/>
      <c r="D251" s="94"/>
      <c r="E251" s="94"/>
      <c r="F251" s="94"/>
      <c r="G251" s="94"/>
      <c r="H251" s="94"/>
      <c r="I251" s="94"/>
      <c r="J251" s="94"/>
      <c r="K251" s="94"/>
      <c r="L251" s="94"/>
      <c r="M251" s="94"/>
      <c r="N251" s="94"/>
      <c r="O251" s="94"/>
      <c r="P251" s="94"/>
      <c r="Q251" s="94"/>
      <c r="R251" s="94"/>
      <c r="S251" s="94"/>
      <c r="T251" s="94"/>
      <c r="U251" s="94"/>
      <c r="V251" s="94"/>
      <c r="W251" s="94"/>
    </row>
    <row r="252" spans="1:23">
      <c r="A252" s="94"/>
      <c r="B252" s="94"/>
      <c r="C252" s="94"/>
      <c r="D252" s="94"/>
      <c r="E252" s="94"/>
      <c r="F252" s="94"/>
      <c r="G252" s="94"/>
      <c r="H252" s="94"/>
      <c r="I252" s="94"/>
      <c r="J252" s="94"/>
      <c r="K252" s="94"/>
      <c r="L252" s="94"/>
      <c r="M252" s="94"/>
      <c r="N252" s="94"/>
      <c r="O252" s="94"/>
      <c r="P252" s="94"/>
      <c r="Q252" s="94"/>
      <c r="R252" s="94"/>
      <c r="S252" s="94"/>
      <c r="T252" s="94"/>
      <c r="U252" s="94"/>
      <c r="V252" s="94"/>
      <c r="W252" s="94"/>
    </row>
    <row r="253" spans="1:23">
      <c r="A253" s="94"/>
      <c r="B253" s="94"/>
      <c r="C253" s="94"/>
      <c r="D253" s="94"/>
      <c r="E253" s="94"/>
      <c r="F253" s="94"/>
      <c r="G253" s="94"/>
      <c r="H253" s="94"/>
      <c r="I253" s="94"/>
      <c r="J253" s="94"/>
      <c r="K253" s="94"/>
      <c r="L253" s="94"/>
      <c r="M253" s="94"/>
      <c r="N253" s="94"/>
      <c r="O253" s="94"/>
      <c r="P253" s="94"/>
      <c r="Q253" s="94"/>
      <c r="R253" s="94"/>
      <c r="S253" s="94"/>
      <c r="T253" s="94"/>
      <c r="U253" s="94"/>
      <c r="V253" s="94"/>
      <c r="W253" s="94"/>
    </row>
    <row r="254" spans="1:23">
      <c r="A254" s="94"/>
      <c r="B254" s="94"/>
      <c r="C254" s="94"/>
      <c r="D254" s="94"/>
      <c r="E254" s="94"/>
      <c r="F254" s="94"/>
      <c r="G254" s="94"/>
      <c r="H254" s="94"/>
      <c r="I254" s="94"/>
      <c r="J254" s="94"/>
      <c r="K254" s="94"/>
      <c r="L254" s="94"/>
      <c r="M254" s="94"/>
      <c r="N254" s="94"/>
      <c r="O254" s="94"/>
      <c r="P254" s="94"/>
      <c r="Q254" s="94"/>
      <c r="R254" s="94"/>
      <c r="S254" s="94"/>
      <c r="T254" s="94"/>
      <c r="U254" s="94"/>
      <c r="V254" s="94"/>
      <c r="W254" s="94"/>
    </row>
    <row r="255" spans="1:23">
      <c r="A255" s="94"/>
      <c r="B255" s="94"/>
      <c r="C255" s="94"/>
      <c r="D255" s="94"/>
      <c r="E255" s="94"/>
      <c r="F255" s="94"/>
      <c r="G255" s="94"/>
      <c r="H255" s="94"/>
      <c r="I255" s="94"/>
      <c r="J255" s="94"/>
      <c r="K255" s="94"/>
      <c r="L255" s="94"/>
      <c r="M255" s="94"/>
      <c r="N255" s="94"/>
      <c r="O255" s="94"/>
      <c r="P255" s="94"/>
      <c r="Q255" s="94"/>
      <c r="R255" s="94"/>
      <c r="S255" s="94"/>
      <c r="T255" s="94"/>
      <c r="U255" s="94"/>
      <c r="V255" s="94"/>
      <c r="W255" s="94"/>
    </row>
    <row r="256" spans="1:23">
      <c r="A256" s="94"/>
      <c r="B256" s="94"/>
      <c r="C256" s="94"/>
      <c r="D256" s="94"/>
      <c r="E256" s="94"/>
      <c r="F256" s="94"/>
      <c r="G256" s="94"/>
      <c r="H256" s="94"/>
      <c r="I256" s="94"/>
      <c r="J256" s="94"/>
      <c r="K256" s="94"/>
      <c r="L256" s="94"/>
      <c r="M256" s="94"/>
      <c r="N256" s="94"/>
      <c r="O256" s="94"/>
      <c r="P256" s="94"/>
      <c r="Q256" s="94"/>
      <c r="R256" s="94"/>
      <c r="S256" s="94"/>
      <c r="T256" s="94"/>
      <c r="U256" s="94"/>
      <c r="V256" s="94"/>
      <c r="W256" s="94"/>
    </row>
    <row r="257" spans="1:23">
      <c r="A257" s="94"/>
      <c r="B257" s="94"/>
      <c r="C257" s="94"/>
      <c r="D257" s="94"/>
      <c r="E257" s="94"/>
      <c r="F257" s="94"/>
      <c r="G257" s="94"/>
      <c r="H257" s="94"/>
      <c r="I257" s="94"/>
      <c r="J257" s="94"/>
      <c r="K257" s="94"/>
      <c r="L257" s="94"/>
      <c r="M257" s="94"/>
      <c r="N257" s="94"/>
      <c r="O257" s="94"/>
      <c r="P257" s="94"/>
      <c r="Q257" s="94"/>
      <c r="R257" s="94"/>
      <c r="S257" s="94"/>
      <c r="T257" s="94"/>
      <c r="U257" s="94"/>
      <c r="V257" s="94"/>
      <c r="W257" s="94"/>
    </row>
    <row r="258" spans="1:23">
      <c r="A258" s="94"/>
      <c r="B258" s="94"/>
      <c r="C258" s="94"/>
      <c r="D258" s="94"/>
      <c r="E258" s="94"/>
      <c r="F258" s="94"/>
      <c r="G258" s="94"/>
      <c r="H258" s="94"/>
      <c r="I258" s="94"/>
      <c r="J258" s="94"/>
      <c r="K258" s="94"/>
      <c r="L258" s="94"/>
      <c r="M258" s="94"/>
      <c r="N258" s="94"/>
      <c r="O258" s="94"/>
      <c r="P258" s="94"/>
      <c r="Q258" s="94"/>
      <c r="R258" s="94"/>
      <c r="S258" s="94"/>
      <c r="T258" s="94"/>
      <c r="U258" s="94"/>
      <c r="V258" s="94"/>
      <c r="W258" s="94"/>
    </row>
    <row r="259" spans="1:23">
      <c r="A259" s="94"/>
      <c r="B259" s="94"/>
      <c r="C259" s="94"/>
      <c r="D259" s="94"/>
      <c r="E259" s="94"/>
      <c r="F259" s="94"/>
      <c r="G259" s="94"/>
      <c r="H259" s="94"/>
      <c r="I259" s="94"/>
      <c r="J259" s="94"/>
      <c r="K259" s="94"/>
      <c r="L259" s="94"/>
      <c r="M259" s="94"/>
      <c r="N259" s="94"/>
      <c r="O259" s="94"/>
      <c r="P259" s="94"/>
      <c r="Q259" s="94"/>
      <c r="R259" s="94"/>
      <c r="S259" s="94"/>
      <c r="T259" s="94"/>
      <c r="U259" s="94"/>
      <c r="V259" s="94"/>
      <c r="W259" s="94"/>
    </row>
    <row r="260" spans="1:23">
      <c r="A260" s="94"/>
      <c r="B260" s="94"/>
      <c r="C260" s="94"/>
      <c r="D260" s="94"/>
      <c r="E260" s="94"/>
      <c r="F260" s="94"/>
      <c r="G260" s="94"/>
      <c r="H260" s="94"/>
      <c r="I260" s="94"/>
      <c r="J260" s="94"/>
      <c r="K260" s="94"/>
      <c r="L260" s="94"/>
      <c r="M260" s="94"/>
      <c r="N260" s="94"/>
      <c r="O260" s="94"/>
      <c r="P260" s="94"/>
      <c r="Q260" s="94"/>
      <c r="R260" s="94"/>
      <c r="S260" s="94"/>
      <c r="T260" s="94"/>
      <c r="U260" s="94"/>
      <c r="V260" s="94"/>
      <c r="W260" s="94"/>
    </row>
    <row r="261" spans="1:23">
      <c r="A261" s="94"/>
      <c r="B261" s="94"/>
      <c r="C261" s="94"/>
      <c r="D261" s="94"/>
      <c r="E261" s="94"/>
      <c r="F261" s="94"/>
      <c r="G261" s="94"/>
      <c r="H261" s="94"/>
      <c r="I261" s="94"/>
      <c r="J261" s="94"/>
      <c r="K261" s="94"/>
      <c r="L261" s="94"/>
      <c r="M261" s="94"/>
      <c r="N261" s="94"/>
      <c r="O261" s="94"/>
      <c r="P261" s="94"/>
      <c r="Q261" s="94"/>
      <c r="R261" s="94"/>
      <c r="S261" s="94"/>
      <c r="T261" s="94"/>
      <c r="U261" s="94"/>
      <c r="V261" s="94"/>
      <c r="W261" s="94"/>
    </row>
    <row r="262" spans="1:23">
      <c r="A262" s="94"/>
      <c r="B262" s="94"/>
      <c r="C262" s="94"/>
      <c r="D262" s="94"/>
      <c r="E262" s="94"/>
      <c r="F262" s="94"/>
      <c r="G262" s="94"/>
      <c r="H262" s="94"/>
      <c r="I262" s="94"/>
      <c r="J262" s="94"/>
      <c r="K262" s="94"/>
      <c r="L262" s="94"/>
      <c r="M262" s="94"/>
      <c r="N262" s="94"/>
      <c r="O262" s="94"/>
      <c r="P262" s="94"/>
      <c r="Q262" s="94"/>
      <c r="R262" s="94"/>
      <c r="S262" s="94"/>
      <c r="T262" s="94"/>
      <c r="U262" s="94"/>
      <c r="V262" s="94"/>
      <c r="W262" s="94"/>
    </row>
    <row r="263" spans="1:23">
      <c r="A263" s="94"/>
      <c r="B263" s="94"/>
      <c r="C263" s="94"/>
      <c r="D263" s="94"/>
      <c r="E263" s="94"/>
      <c r="F263" s="94"/>
      <c r="G263" s="94"/>
      <c r="H263" s="94"/>
      <c r="I263" s="94"/>
      <c r="J263" s="94"/>
      <c r="K263" s="94"/>
      <c r="L263" s="94"/>
      <c r="M263" s="94"/>
      <c r="N263" s="94"/>
      <c r="O263" s="94"/>
      <c r="P263" s="94"/>
      <c r="Q263" s="94"/>
      <c r="R263" s="94"/>
      <c r="S263" s="94"/>
      <c r="T263" s="94"/>
      <c r="U263" s="94"/>
      <c r="V263" s="94"/>
      <c r="W263" s="94"/>
    </row>
    <row r="264" spans="1:23">
      <c r="A264" s="94"/>
      <c r="B264" s="94"/>
      <c r="C264" s="94"/>
      <c r="D264" s="94"/>
      <c r="E264" s="94"/>
      <c r="F264" s="94"/>
      <c r="G264" s="94"/>
      <c r="H264" s="94"/>
      <c r="I264" s="94"/>
      <c r="J264" s="94"/>
      <c r="K264" s="94"/>
      <c r="L264" s="94"/>
      <c r="M264" s="94"/>
      <c r="N264" s="94"/>
      <c r="O264" s="94"/>
      <c r="P264" s="94"/>
      <c r="Q264" s="94"/>
      <c r="R264" s="94"/>
      <c r="S264" s="94"/>
      <c r="T264" s="94"/>
      <c r="U264" s="94"/>
      <c r="V264" s="94"/>
      <c r="W264" s="94"/>
    </row>
    <row r="265" spans="1:23">
      <c r="A265" s="94"/>
      <c r="B265" s="94"/>
      <c r="C265" s="94"/>
      <c r="D265" s="94"/>
      <c r="E265" s="94"/>
      <c r="F265" s="94"/>
      <c r="G265" s="94"/>
      <c r="H265" s="94"/>
      <c r="I265" s="94"/>
      <c r="J265" s="94"/>
      <c r="K265" s="94"/>
      <c r="L265" s="94"/>
      <c r="M265" s="94"/>
      <c r="N265" s="94"/>
      <c r="O265" s="94"/>
      <c r="P265" s="94"/>
      <c r="Q265" s="94"/>
      <c r="R265" s="94"/>
      <c r="S265" s="94"/>
      <c r="T265" s="94"/>
      <c r="U265" s="94"/>
      <c r="V265" s="94"/>
      <c r="W265" s="94"/>
    </row>
    <row r="266" spans="1:23">
      <c r="A266" s="94"/>
      <c r="B266" s="94"/>
      <c r="C266" s="94"/>
      <c r="D266" s="94"/>
      <c r="E266" s="94"/>
      <c r="F266" s="94"/>
      <c r="G266" s="94"/>
      <c r="H266" s="94"/>
      <c r="I266" s="94"/>
      <c r="J266" s="94"/>
      <c r="K266" s="94"/>
      <c r="L266" s="94"/>
      <c r="M266" s="94"/>
      <c r="N266" s="94"/>
      <c r="O266" s="94"/>
      <c r="P266" s="94"/>
      <c r="Q266" s="94"/>
      <c r="R266" s="94"/>
      <c r="S266" s="94"/>
      <c r="T266" s="94"/>
      <c r="U266" s="94"/>
      <c r="V266" s="94"/>
      <c r="W266" s="94"/>
    </row>
    <row r="267" spans="1:23">
      <c r="A267" s="94"/>
      <c r="B267" s="94"/>
      <c r="C267" s="94"/>
      <c r="D267" s="94"/>
      <c r="E267" s="94"/>
      <c r="F267" s="94"/>
      <c r="G267" s="94"/>
      <c r="H267" s="94"/>
      <c r="I267" s="94"/>
      <c r="J267" s="94"/>
      <c r="K267" s="94"/>
      <c r="L267" s="94"/>
      <c r="M267" s="94"/>
      <c r="N267" s="94"/>
      <c r="O267" s="94"/>
      <c r="P267" s="94"/>
      <c r="Q267" s="94"/>
      <c r="R267" s="94"/>
      <c r="S267" s="94"/>
      <c r="T267" s="94"/>
      <c r="U267" s="94"/>
      <c r="V267" s="94"/>
      <c r="W267" s="94"/>
    </row>
    <row r="268" spans="1:23">
      <c r="A268" s="94"/>
      <c r="B268" s="94"/>
      <c r="C268" s="94"/>
      <c r="D268" s="94"/>
      <c r="E268" s="94"/>
      <c r="F268" s="94"/>
      <c r="G268" s="94"/>
      <c r="H268" s="94"/>
      <c r="I268" s="94"/>
      <c r="J268" s="94"/>
      <c r="K268" s="94"/>
      <c r="L268" s="94"/>
      <c r="M268" s="94"/>
      <c r="N268" s="94"/>
      <c r="O268" s="94"/>
      <c r="P268" s="94"/>
      <c r="Q268" s="94"/>
      <c r="R268" s="94"/>
      <c r="S268" s="94"/>
      <c r="T268" s="94"/>
      <c r="U268" s="94"/>
      <c r="V268" s="94"/>
      <c r="W268" s="94"/>
    </row>
    <row r="269" spans="1:23">
      <c r="A269" s="94"/>
      <c r="B269" s="94"/>
      <c r="C269" s="94"/>
      <c r="D269" s="94"/>
      <c r="E269" s="94"/>
      <c r="F269" s="94"/>
      <c r="G269" s="94"/>
      <c r="H269" s="94"/>
      <c r="I269" s="94"/>
      <c r="J269" s="94"/>
      <c r="K269" s="94"/>
      <c r="L269" s="94"/>
      <c r="M269" s="94"/>
      <c r="N269" s="94"/>
      <c r="O269" s="94"/>
      <c r="P269" s="94"/>
      <c r="Q269" s="94"/>
      <c r="R269" s="94"/>
      <c r="S269" s="94"/>
      <c r="T269" s="94"/>
      <c r="U269" s="94"/>
      <c r="V269" s="94"/>
      <c r="W269" s="94"/>
    </row>
    <row r="270" spans="1:23">
      <c r="A270" s="94"/>
      <c r="B270" s="94"/>
      <c r="C270" s="94"/>
      <c r="D270" s="94"/>
      <c r="E270" s="94"/>
      <c r="F270" s="94"/>
      <c r="G270" s="94"/>
      <c r="H270" s="94"/>
      <c r="I270" s="94"/>
      <c r="J270" s="94"/>
      <c r="K270" s="94"/>
      <c r="L270" s="94"/>
      <c r="M270" s="94"/>
      <c r="N270" s="94"/>
      <c r="O270" s="94"/>
      <c r="P270" s="94"/>
      <c r="Q270" s="94"/>
      <c r="R270" s="94"/>
      <c r="S270" s="94"/>
      <c r="T270" s="94"/>
      <c r="U270" s="94"/>
      <c r="V270" s="94"/>
      <c r="W270" s="94"/>
    </row>
    <row r="271" spans="1:23">
      <c r="A271" s="94"/>
      <c r="B271" s="94"/>
      <c r="C271" s="94"/>
      <c r="D271" s="94"/>
      <c r="E271" s="94"/>
      <c r="F271" s="94"/>
      <c r="G271" s="94"/>
      <c r="H271" s="94"/>
      <c r="I271" s="94"/>
      <c r="J271" s="94"/>
      <c r="K271" s="94"/>
      <c r="L271" s="94"/>
      <c r="M271" s="94"/>
      <c r="N271" s="94"/>
      <c r="O271" s="94"/>
      <c r="P271" s="94"/>
      <c r="Q271" s="94"/>
      <c r="R271" s="94"/>
      <c r="S271" s="94"/>
      <c r="T271" s="94"/>
      <c r="U271" s="94"/>
      <c r="V271" s="94"/>
      <c r="W271" s="94"/>
    </row>
    <row r="272" spans="1:23">
      <c r="A272" s="94"/>
      <c r="B272" s="94"/>
      <c r="C272" s="94"/>
      <c r="D272" s="94"/>
      <c r="E272" s="94"/>
      <c r="F272" s="94"/>
      <c r="G272" s="94"/>
      <c r="H272" s="94"/>
      <c r="I272" s="94"/>
      <c r="J272" s="94"/>
      <c r="K272" s="94"/>
      <c r="L272" s="94"/>
      <c r="M272" s="94"/>
      <c r="N272" s="94"/>
      <c r="O272" s="94"/>
      <c r="P272" s="94"/>
      <c r="Q272" s="94"/>
      <c r="R272" s="94"/>
      <c r="S272" s="94"/>
      <c r="T272" s="94"/>
      <c r="U272" s="94"/>
      <c r="V272" s="94"/>
      <c r="W272" s="94"/>
    </row>
    <row r="273" spans="1:23">
      <c r="A273" s="94"/>
      <c r="B273" s="94"/>
      <c r="C273" s="94"/>
      <c r="D273" s="94"/>
      <c r="E273" s="94"/>
      <c r="F273" s="94"/>
      <c r="G273" s="94"/>
      <c r="H273" s="94"/>
      <c r="I273" s="94"/>
      <c r="J273" s="94"/>
      <c r="K273" s="94"/>
      <c r="L273" s="94"/>
      <c r="M273" s="94"/>
      <c r="N273" s="94"/>
      <c r="O273" s="94"/>
      <c r="P273" s="94"/>
      <c r="Q273" s="94"/>
      <c r="R273" s="94"/>
      <c r="S273" s="94"/>
      <c r="T273" s="94"/>
      <c r="U273" s="94"/>
      <c r="V273" s="94"/>
      <c r="W273" s="94"/>
    </row>
    <row r="274" spans="1:23">
      <c r="A274" s="94"/>
      <c r="B274" s="94"/>
      <c r="C274" s="94"/>
      <c r="D274" s="94"/>
      <c r="E274" s="94"/>
      <c r="F274" s="94"/>
      <c r="G274" s="94"/>
      <c r="H274" s="94"/>
      <c r="I274" s="94"/>
      <c r="J274" s="94"/>
      <c r="K274" s="94"/>
      <c r="L274" s="94"/>
      <c r="M274" s="94"/>
      <c r="N274" s="94"/>
      <c r="O274" s="94"/>
      <c r="P274" s="94"/>
      <c r="Q274" s="94"/>
      <c r="R274" s="94"/>
      <c r="S274" s="94"/>
      <c r="T274" s="94"/>
      <c r="U274" s="94"/>
      <c r="V274" s="94"/>
      <c r="W274" s="94"/>
    </row>
    <row r="275" spans="1:23">
      <c r="A275" s="94"/>
      <c r="B275" s="94"/>
      <c r="C275" s="94"/>
      <c r="D275" s="94"/>
      <c r="E275" s="94"/>
      <c r="F275" s="94"/>
      <c r="G275" s="94"/>
      <c r="H275" s="94"/>
      <c r="I275" s="94"/>
      <c r="J275" s="94"/>
      <c r="K275" s="94"/>
      <c r="L275" s="94"/>
      <c r="M275" s="94"/>
      <c r="N275" s="94"/>
      <c r="O275" s="94"/>
      <c r="P275" s="94"/>
      <c r="Q275" s="94"/>
      <c r="R275" s="94"/>
      <c r="S275" s="94"/>
      <c r="T275" s="94"/>
      <c r="U275" s="94"/>
      <c r="V275" s="94"/>
      <c r="W275" s="94"/>
    </row>
    <row r="276" spans="1:23">
      <c r="A276" s="94"/>
      <c r="B276" s="94"/>
      <c r="C276" s="94"/>
      <c r="D276" s="94"/>
      <c r="E276" s="94"/>
      <c r="F276" s="94"/>
      <c r="G276" s="94"/>
      <c r="H276" s="94"/>
      <c r="I276" s="94"/>
      <c r="J276" s="94"/>
      <c r="K276" s="94"/>
      <c r="L276" s="94"/>
      <c r="M276" s="94"/>
      <c r="N276" s="94"/>
      <c r="O276" s="94"/>
      <c r="P276" s="94"/>
      <c r="Q276" s="94"/>
      <c r="R276" s="94"/>
      <c r="S276" s="94"/>
      <c r="T276" s="94"/>
      <c r="U276" s="94"/>
      <c r="V276" s="94"/>
      <c r="W276" s="94"/>
    </row>
    <row r="277" spans="1:23">
      <c r="A277" s="94"/>
      <c r="B277" s="94"/>
      <c r="C277" s="94"/>
      <c r="D277" s="94"/>
      <c r="E277" s="94"/>
      <c r="F277" s="94"/>
      <c r="G277" s="94"/>
      <c r="H277" s="94"/>
      <c r="I277" s="94"/>
      <c r="J277" s="94"/>
      <c r="K277" s="94"/>
      <c r="L277" s="94"/>
      <c r="M277" s="94"/>
      <c r="N277" s="94"/>
      <c r="O277" s="94"/>
      <c r="P277" s="94"/>
      <c r="Q277" s="94"/>
      <c r="R277" s="94"/>
      <c r="S277" s="94"/>
      <c r="T277" s="94"/>
      <c r="U277" s="94"/>
      <c r="V277" s="94"/>
      <c r="W277" s="94"/>
    </row>
    <row r="278" spans="1:23">
      <c r="A278" s="94"/>
      <c r="B278" s="94"/>
      <c r="C278" s="94"/>
      <c r="D278" s="94"/>
      <c r="E278" s="94"/>
      <c r="F278" s="94"/>
      <c r="G278" s="94"/>
      <c r="H278" s="94"/>
      <c r="I278" s="94"/>
      <c r="J278" s="94"/>
      <c r="K278" s="94"/>
      <c r="L278" s="94"/>
      <c r="M278" s="94"/>
      <c r="N278" s="94"/>
      <c r="O278" s="94"/>
      <c r="P278" s="94"/>
      <c r="Q278" s="94"/>
      <c r="R278" s="94"/>
      <c r="S278" s="94"/>
      <c r="T278" s="94"/>
      <c r="U278" s="94"/>
      <c r="V278" s="94"/>
      <c r="W278" s="94"/>
    </row>
    <row r="279" spans="1:23">
      <c r="A279" s="94"/>
      <c r="B279" s="94"/>
      <c r="C279" s="94"/>
      <c r="D279" s="94"/>
      <c r="E279" s="94"/>
      <c r="F279" s="94"/>
      <c r="G279" s="94"/>
      <c r="H279" s="94"/>
      <c r="I279" s="94"/>
      <c r="J279" s="94"/>
      <c r="K279" s="94"/>
      <c r="L279" s="94"/>
      <c r="M279" s="94"/>
      <c r="N279" s="94"/>
      <c r="O279" s="94"/>
      <c r="P279" s="94"/>
      <c r="Q279" s="94"/>
      <c r="R279" s="94"/>
      <c r="S279" s="94"/>
      <c r="T279" s="94"/>
      <c r="U279" s="94"/>
      <c r="V279" s="94"/>
      <c r="W279" s="94"/>
    </row>
    <row r="280" spans="1:23">
      <c r="A280" s="94"/>
      <c r="B280" s="94"/>
      <c r="C280" s="94"/>
      <c r="D280" s="94"/>
      <c r="E280" s="94"/>
      <c r="F280" s="94"/>
      <c r="G280" s="94"/>
      <c r="H280" s="94"/>
      <c r="I280" s="94"/>
      <c r="J280" s="94"/>
      <c r="K280" s="94"/>
      <c r="L280" s="94"/>
      <c r="M280" s="94"/>
      <c r="N280" s="94"/>
      <c r="O280" s="94"/>
      <c r="P280" s="94"/>
      <c r="Q280" s="94"/>
      <c r="R280" s="94"/>
      <c r="S280" s="94"/>
      <c r="T280" s="94"/>
      <c r="U280" s="94"/>
      <c r="V280" s="94"/>
      <c r="W280" s="94"/>
    </row>
    <row r="281" spans="1:23">
      <c r="A281" s="94"/>
      <c r="B281" s="94"/>
      <c r="C281" s="94"/>
      <c r="D281" s="94"/>
      <c r="E281" s="94"/>
      <c r="F281" s="94"/>
      <c r="G281" s="94"/>
      <c r="H281" s="94"/>
      <c r="I281" s="94"/>
      <c r="J281" s="94"/>
      <c r="K281" s="94"/>
      <c r="L281" s="94"/>
      <c r="M281" s="94"/>
      <c r="N281" s="94"/>
      <c r="O281" s="94"/>
      <c r="P281" s="94"/>
      <c r="Q281" s="94"/>
      <c r="R281" s="94"/>
      <c r="S281" s="94"/>
      <c r="T281" s="94"/>
      <c r="U281" s="94"/>
      <c r="V281" s="94"/>
      <c r="W281" s="94"/>
    </row>
    <row r="282" spans="1:23">
      <c r="A282" s="94"/>
      <c r="B282" s="94"/>
      <c r="C282" s="94"/>
      <c r="D282" s="94"/>
      <c r="E282" s="94"/>
      <c r="F282" s="94"/>
      <c r="G282" s="94"/>
      <c r="H282" s="94"/>
      <c r="I282" s="94"/>
      <c r="J282" s="94"/>
      <c r="K282" s="94"/>
      <c r="L282" s="94"/>
      <c r="M282" s="94"/>
      <c r="N282" s="94"/>
      <c r="O282" s="94"/>
      <c r="P282" s="94"/>
      <c r="Q282" s="94"/>
      <c r="R282" s="94"/>
      <c r="S282" s="94"/>
      <c r="T282" s="94"/>
      <c r="U282" s="94"/>
      <c r="V282" s="94"/>
      <c r="W282" s="94"/>
    </row>
    <row r="283" spans="1:23">
      <c r="A283" s="94"/>
      <c r="B283" s="94"/>
      <c r="C283" s="94"/>
      <c r="D283" s="94"/>
      <c r="E283" s="94"/>
      <c r="F283" s="94"/>
      <c r="G283" s="94"/>
      <c r="H283" s="94"/>
      <c r="I283" s="94"/>
      <c r="J283" s="94"/>
      <c r="K283" s="94"/>
      <c r="L283" s="94"/>
      <c r="M283" s="94"/>
      <c r="N283" s="94"/>
      <c r="O283" s="94"/>
      <c r="P283" s="94"/>
      <c r="Q283" s="94"/>
      <c r="R283" s="94"/>
      <c r="S283" s="94"/>
      <c r="T283" s="94"/>
      <c r="U283" s="94"/>
      <c r="V283" s="94"/>
      <c r="W283" s="94"/>
    </row>
    <row r="284" spans="1:23">
      <c r="A284" s="94"/>
      <c r="B284" s="94"/>
      <c r="C284" s="94"/>
      <c r="D284" s="94"/>
      <c r="E284" s="94"/>
      <c r="F284" s="94"/>
      <c r="G284" s="94"/>
      <c r="H284" s="94"/>
      <c r="I284" s="94"/>
      <c r="J284" s="94"/>
      <c r="K284" s="94"/>
      <c r="L284" s="94"/>
      <c r="M284" s="94"/>
      <c r="N284" s="94"/>
      <c r="O284" s="94"/>
      <c r="P284" s="94"/>
      <c r="Q284" s="94"/>
      <c r="R284" s="94"/>
      <c r="S284" s="94"/>
      <c r="T284" s="94"/>
      <c r="U284" s="94"/>
      <c r="V284" s="94"/>
      <c r="W284" s="94"/>
    </row>
    <row r="285" spans="1:23">
      <c r="A285" s="94"/>
      <c r="B285" s="94"/>
      <c r="C285" s="94"/>
      <c r="D285" s="94"/>
      <c r="E285" s="94"/>
      <c r="F285" s="94"/>
      <c r="G285" s="94"/>
      <c r="H285" s="94"/>
      <c r="I285" s="94"/>
      <c r="J285" s="94"/>
      <c r="K285" s="94"/>
      <c r="L285" s="94"/>
      <c r="M285" s="94"/>
      <c r="N285" s="94"/>
      <c r="O285" s="94"/>
      <c r="P285" s="94"/>
      <c r="Q285" s="94"/>
      <c r="R285" s="94"/>
      <c r="S285" s="94"/>
      <c r="T285" s="94"/>
      <c r="U285" s="94"/>
      <c r="V285" s="94"/>
      <c r="W285" s="94"/>
    </row>
    <row r="286" spans="1:23">
      <c r="A286" s="94"/>
      <c r="B286" s="94"/>
      <c r="C286" s="94"/>
      <c r="D286" s="94"/>
      <c r="E286" s="94"/>
      <c r="F286" s="94"/>
      <c r="G286" s="94"/>
      <c r="H286" s="94"/>
      <c r="I286" s="94"/>
      <c r="J286" s="94"/>
      <c r="K286" s="94"/>
      <c r="L286" s="94"/>
      <c r="M286" s="94"/>
      <c r="N286" s="94"/>
      <c r="O286" s="94"/>
      <c r="P286" s="94"/>
      <c r="Q286" s="94"/>
      <c r="R286" s="94"/>
      <c r="S286" s="94"/>
      <c r="T286" s="94"/>
      <c r="U286" s="94"/>
      <c r="V286" s="94"/>
      <c r="W286" s="94"/>
    </row>
    <row r="287" spans="1:23">
      <c r="A287" s="94"/>
      <c r="B287" s="94"/>
      <c r="C287" s="94"/>
      <c r="D287" s="94"/>
      <c r="E287" s="94"/>
      <c r="F287" s="94"/>
      <c r="G287" s="94"/>
      <c r="H287" s="94"/>
      <c r="I287" s="94"/>
      <c r="J287" s="94"/>
      <c r="K287" s="94"/>
      <c r="L287" s="94"/>
      <c r="M287" s="94"/>
      <c r="N287" s="94"/>
      <c r="O287" s="94"/>
      <c r="P287" s="94"/>
      <c r="Q287" s="94"/>
      <c r="R287" s="94"/>
      <c r="S287" s="94"/>
      <c r="T287" s="94"/>
      <c r="U287" s="94"/>
      <c r="V287" s="94"/>
      <c r="W287" s="94"/>
    </row>
    <row r="288" spans="1:23">
      <c r="A288" s="94"/>
      <c r="B288" s="94"/>
      <c r="C288" s="94"/>
      <c r="D288" s="94"/>
      <c r="E288" s="94"/>
      <c r="F288" s="94"/>
      <c r="G288" s="94"/>
      <c r="H288" s="94"/>
      <c r="I288" s="94"/>
      <c r="J288" s="94"/>
      <c r="K288" s="94"/>
      <c r="L288" s="94"/>
      <c r="M288" s="94"/>
      <c r="N288" s="94"/>
      <c r="O288" s="94"/>
      <c r="P288" s="94"/>
      <c r="Q288" s="94"/>
      <c r="R288" s="94"/>
      <c r="S288" s="94"/>
      <c r="T288" s="94"/>
      <c r="U288" s="94"/>
      <c r="V288" s="94"/>
      <c r="W288" s="94"/>
    </row>
    <row r="289" spans="1:23">
      <c r="A289" s="94"/>
      <c r="B289" s="94"/>
      <c r="C289" s="94"/>
      <c r="D289" s="94"/>
      <c r="E289" s="94"/>
      <c r="F289" s="94"/>
      <c r="G289" s="94"/>
      <c r="H289" s="94"/>
      <c r="I289" s="94"/>
      <c r="J289" s="94"/>
      <c r="K289" s="94"/>
      <c r="L289" s="94"/>
      <c r="M289" s="94"/>
      <c r="N289" s="94"/>
      <c r="O289" s="94"/>
      <c r="P289" s="94"/>
      <c r="Q289" s="94"/>
      <c r="R289" s="94"/>
      <c r="S289" s="94"/>
      <c r="T289" s="94"/>
      <c r="U289" s="94"/>
      <c r="V289" s="94"/>
      <c r="W289" s="94"/>
    </row>
    <row r="290" spans="1:23">
      <c r="A290" s="94"/>
      <c r="B290" s="94"/>
      <c r="C290" s="94"/>
      <c r="D290" s="94"/>
      <c r="E290" s="94"/>
      <c r="F290" s="94"/>
      <c r="G290" s="94"/>
      <c r="H290" s="94"/>
      <c r="I290" s="94"/>
      <c r="J290" s="94"/>
      <c r="K290" s="94"/>
      <c r="L290" s="94"/>
      <c r="M290" s="94"/>
      <c r="N290" s="94"/>
      <c r="O290" s="94"/>
      <c r="P290" s="94"/>
      <c r="Q290" s="94"/>
      <c r="R290" s="94"/>
      <c r="S290" s="94"/>
      <c r="T290" s="94"/>
      <c r="U290" s="94"/>
      <c r="V290" s="94"/>
      <c r="W290" s="94"/>
    </row>
    <row r="291" spans="1:23">
      <c r="A291" s="94"/>
      <c r="B291" s="94"/>
      <c r="C291" s="94"/>
      <c r="D291" s="94"/>
      <c r="E291" s="94"/>
      <c r="F291" s="94"/>
      <c r="G291" s="94"/>
      <c r="H291" s="94"/>
      <c r="I291" s="94"/>
      <c r="J291" s="94"/>
      <c r="K291" s="94"/>
      <c r="L291" s="94"/>
      <c r="M291" s="94"/>
      <c r="N291" s="94"/>
      <c r="O291" s="94"/>
      <c r="P291" s="94"/>
      <c r="Q291" s="94"/>
      <c r="R291" s="94"/>
      <c r="S291" s="94"/>
      <c r="T291" s="94"/>
      <c r="U291" s="94"/>
      <c r="V291" s="94"/>
      <c r="W291" s="94"/>
    </row>
    <row r="292" spans="1:23">
      <c r="A292" s="94"/>
      <c r="B292" s="94"/>
      <c r="C292" s="94"/>
      <c r="D292" s="94"/>
      <c r="E292" s="94"/>
      <c r="F292" s="94"/>
      <c r="G292" s="94"/>
      <c r="H292" s="94"/>
      <c r="I292" s="94"/>
      <c r="J292" s="94"/>
      <c r="K292" s="94"/>
      <c r="L292" s="94"/>
      <c r="M292" s="94"/>
      <c r="N292" s="94"/>
      <c r="O292" s="94"/>
      <c r="P292" s="94"/>
      <c r="Q292" s="94"/>
      <c r="R292" s="94"/>
      <c r="S292" s="94"/>
      <c r="T292" s="94"/>
      <c r="U292" s="94"/>
      <c r="V292" s="94"/>
      <c r="W292" s="94"/>
    </row>
    <row r="293" spans="1:23">
      <c r="A293" s="94"/>
      <c r="B293" s="94"/>
      <c r="C293" s="94"/>
      <c r="D293" s="94"/>
      <c r="E293" s="94"/>
      <c r="F293" s="94"/>
      <c r="G293" s="94"/>
      <c r="H293" s="94"/>
      <c r="I293" s="94"/>
      <c r="J293" s="94"/>
      <c r="K293" s="94"/>
      <c r="L293" s="94"/>
      <c r="M293" s="94"/>
      <c r="N293" s="94"/>
      <c r="O293" s="94"/>
      <c r="P293" s="94"/>
      <c r="Q293" s="94"/>
      <c r="R293" s="94"/>
      <c r="S293" s="94"/>
      <c r="T293" s="94"/>
      <c r="U293" s="94"/>
      <c r="V293" s="94"/>
      <c r="W293" s="94"/>
    </row>
    <row r="294" spans="1:23">
      <c r="A294" s="94"/>
      <c r="B294" s="94"/>
      <c r="C294" s="94"/>
      <c r="D294" s="94"/>
      <c r="E294" s="94"/>
      <c r="F294" s="94"/>
      <c r="G294" s="94"/>
      <c r="H294" s="94"/>
      <c r="I294" s="94"/>
      <c r="J294" s="94"/>
      <c r="K294" s="94"/>
      <c r="L294" s="94"/>
      <c r="M294" s="94"/>
      <c r="N294" s="94"/>
      <c r="O294" s="94"/>
      <c r="P294" s="94"/>
      <c r="Q294" s="94"/>
      <c r="R294" s="94"/>
      <c r="S294" s="94"/>
      <c r="T294" s="94"/>
      <c r="U294" s="94"/>
      <c r="V294" s="94"/>
      <c r="W294" s="94"/>
    </row>
    <row r="295" spans="1:23">
      <c r="A295" s="94"/>
      <c r="B295" s="94"/>
      <c r="C295" s="94"/>
      <c r="D295" s="94"/>
      <c r="E295" s="94"/>
      <c r="F295" s="94"/>
      <c r="G295" s="94"/>
      <c r="H295" s="94"/>
      <c r="I295" s="94"/>
      <c r="J295" s="94"/>
      <c r="K295" s="94"/>
      <c r="L295" s="94"/>
      <c r="M295" s="94"/>
      <c r="N295" s="94"/>
      <c r="O295" s="94"/>
      <c r="P295" s="94"/>
      <c r="Q295" s="94"/>
      <c r="R295" s="94"/>
      <c r="S295" s="94"/>
      <c r="T295" s="94"/>
      <c r="U295" s="94"/>
      <c r="V295" s="94"/>
      <c r="W295" s="94"/>
    </row>
    <row r="296" spans="1:23">
      <c r="A296" s="94"/>
      <c r="B296" s="94"/>
      <c r="C296" s="94"/>
      <c r="D296" s="94"/>
      <c r="E296" s="94"/>
      <c r="F296" s="94"/>
      <c r="G296" s="94"/>
      <c r="H296" s="94"/>
      <c r="I296" s="94"/>
      <c r="J296" s="94"/>
      <c r="K296" s="94"/>
      <c r="L296" s="94"/>
      <c r="M296" s="94"/>
      <c r="N296" s="94"/>
      <c r="O296" s="94"/>
      <c r="P296" s="94"/>
      <c r="Q296" s="94"/>
      <c r="R296" s="94"/>
      <c r="S296" s="94"/>
      <c r="T296" s="94"/>
      <c r="U296" s="94"/>
      <c r="V296" s="94"/>
      <c r="W296" s="94"/>
    </row>
    <row r="297" spans="1:23">
      <c r="A297" s="94"/>
      <c r="B297" s="94"/>
      <c r="C297" s="94"/>
      <c r="D297" s="94"/>
      <c r="E297" s="94"/>
      <c r="F297" s="94"/>
      <c r="G297" s="94"/>
      <c r="H297" s="94"/>
      <c r="I297" s="94"/>
      <c r="J297" s="94"/>
      <c r="K297" s="94"/>
      <c r="L297" s="94"/>
      <c r="M297" s="94"/>
      <c r="N297" s="94"/>
      <c r="O297" s="94"/>
      <c r="P297" s="94"/>
      <c r="Q297" s="94"/>
      <c r="R297" s="94"/>
      <c r="S297" s="94"/>
      <c r="T297" s="94"/>
      <c r="U297" s="94"/>
      <c r="V297" s="94"/>
      <c r="W297" s="94"/>
    </row>
    <row r="298" spans="1:23">
      <c r="A298" s="94"/>
      <c r="B298" s="94"/>
      <c r="C298" s="94"/>
      <c r="D298" s="94"/>
      <c r="E298" s="94"/>
      <c r="F298" s="94"/>
      <c r="G298" s="94"/>
      <c r="H298" s="94"/>
      <c r="I298" s="94"/>
      <c r="J298" s="94"/>
      <c r="K298" s="94"/>
      <c r="L298" s="94"/>
      <c r="M298" s="94"/>
      <c r="N298" s="94"/>
      <c r="O298" s="94"/>
      <c r="P298" s="94"/>
      <c r="Q298" s="94"/>
      <c r="R298" s="94"/>
      <c r="S298" s="94"/>
      <c r="T298" s="94"/>
      <c r="U298" s="94"/>
      <c r="V298" s="94"/>
      <c r="W298" s="94"/>
    </row>
    <row r="299" spans="1:23">
      <c r="A299" s="94"/>
      <c r="B299" s="94"/>
      <c r="C299" s="94"/>
      <c r="D299" s="94"/>
      <c r="E299" s="94"/>
      <c r="F299" s="94"/>
      <c r="G299" s="94"/>
      <c r="H299" s="94"/>
      <c r="I299" s="94"/>
      <c r="J299" s="94"/>
      <c r="K299" s="94"/>
      <c r="L299" s="94"/>
      <c r="M299" s="94"/>
      <c r="N299" s="94"/>
      <c r="O299" s="94"/>
      <c r="P299" s="94"/>
      <c r="Q299" s="94"/>
      <c r="R299" s="94"/>
      <c r="S299" s="94"/>
      <c r="T299" s="94"/>
      <c r="U299" s="94"/>
      <c r="V299" s="94"/>
      <c r="W299" s="94"/>
    </row>
    <row r="300" spans="1:23">
      <c r="A300" s="94"/>
      <c r="B300" s="94"/>
      <c r="C300" s="94"/>
      <c r="D300" s="94"/>
      <c r="E300" s="94"/>
      <c r="F300" s="94"/>
      <c r="G300" s="94"/>
      <c r="H300" s="94"/>
      <c r="I300" s="94"/>
      <c r="J300" s="94"/>
      <c r="K300" s="94"/>
      <c r="L300" s="94"/>
      <c r="M300" s="94"/>
      <c r="N300" s="94"/>
      <c r="O300" s="94"/>
      <c r="P300" s="94"/>
      <c r="Q300" s="94"/>
      <c r="R300" s="94"/>
      <c r="S300" s="94"/>
      <c r="T300" s="94"/>
      <c r="U300" s="94"/>
      <c r="V300" s="94"/>
      <c r="W300" s="94"/>
    </row>
    <row r="301" spans="1:23">
      <c r="A301" s="94"/>
      <c r="B301" s="94"/>
      <c r="C301" s="94"/>
      <c r="D301" s="94"/>
      <c r="E301" s="94"/>
      <c r="F301" s="94"/>
      <c r="G301" s="94"/>
      <c r="H301" s="94"/>
      <c r="I301" s="94"/>
      <c r="J301" s="94"/>
      <c r="K301" s="94"/>
      <c r="L301" s="94"/>
      <c r="M301" s="94"/>
      <c r="N301" s="94"/>
      <c r="O301" s="94"/>
      <c r="P301" s="94"/>
      <c r="Q301" s="94"/>
      <c r="R301" s="94"/>
      <c r="S301" s="94"/>
      <c r="T301" s="94"/>
      <c r="U301" s="94"/>
      <c r="V301" s="94"/>
      <c r="W301" s="94"/>
    </row>
    <row r="302" spans="1:23">
      <c r="A302" s="94"/>
      <c r="B302" s="94"/>
      <c r="C302" s="94"/>
      <c r="D302" s="94"/>
      <c r="E302" s="94"/>
      <c r="F302" s="94"/>
      <c r="G302" s="94"/>
      <c r="H302" s="94"/>
      <c r="I302" s="94"/>
      <c r="J302" s="94"/>
      <c r="K302" s="94"/>
      <c r="L302" s="94"/>
      <c r="M302" s="94"/>
      <c r="N302" s="94"/>
      <c r="O302" s="94"/>
      <c r="P302" s="94"/>
      <c r="Q302" s="94"/>
      <c r="R302" s="94"/>
      <c r="S302" s="94"/>
      <c r="T302" s="94"/>
      <c r="U302" s="94"/>
      <c r="V302" s="94"/>
      <c r="W302" s="94"/>
    </row>
    <row r="303" spans="1:23">
      <c r="A303" s="94"/>
      <c r="B303" s="94"/>
      <c r="C303" s="94"/>
      <c r="D303" s="94"/>
      <c r="E303" s="94"/>
      <c r="F303" s="94"/>
      <c r="G303" s="94"/>
      <c r="H303" s="94"/>
      <c r="I303" s="94"/>
      <c r="J303" s="94"/>
      <c r="K303" s="94"/>
      <c r="L303" s="94"/>
      <c r="M303" s="94"/>
      <c r="N303" s="94"/>
      <c r="O303" s="94"/>
      <c r="P303" s="94"/>
      <c r="Q303" s="94"/>
      <c r="R303" s="94"/>
      <c r="S303" s="94"/>
      <c r="T303" s="94"/>
      <c r="U303" s="94"/>
      <c r="V303" s="94"/>
      <c r="W303" s="94"/>
    </row>
    <row r="304" spans="1:23">
      <c r="A304" s="94"/>
      <c r="B304" s="94"/>
      <c r="C304" s="94"/>
      <c r="D304" s="94"/>
      <c r="E304" s="94"/>
      <c r="F304" s="94"/>
      <c r="G304" s="94"/>
      <c r="H304" s="94"/>
      <c r="I304" s="94"/>
      <c r="J304" s="94"/>
      <c r="K304" s="94"/>
      <c r="L304" s="94"/>
      <c r="M304" s="94"/>
      <c r="N304" s="94"/>
      <c r="O304" s="94"/>
      <c r="P304" s="94"/>
      <c r="Q304" s="94"/>
      <c r="R304" s="94"/>
      <c r="S304" s="94"/>
      <c r="T304" s="94"/>
      <c r="U304" s="94"/>
      <c r="V304" s="94"/>
      <c r="W304" s="94"/>
    </row>
    <row r="305" spans="1:23">
      <c r="A305" s="94"/>
      <c r="B305" s="94"/>
      <c r="C305" s="94"/>
      <c r="D305" s="94"/>
      <c r="E305" s="94"/>
      <c r="F305" s="94"/>
      <c r="G305" s="94"/>
      <c r="H305" s="94"/>
      <c r="I305" s="94"/>
      <c r="J305" s="94"/>
      <c r="K305" s="94"/>
      <c r="L305" s="94"/>
      <c r="M305" s="94"/>
      <c r="N305" s="94"/>
      <c r="O305" s="94"/>
      <c r="P305" s="94"/>
      <c r="Q305" s="94"/>
      <c r="R305" s="94"/>
      <c r="S305" s="94"/>
      <c r="T305" s="94"/>
      <c r="U305" s="94"/>
      <c r="V305" s="94"/>
      <c r="W305" s="94"/>
    </row>
    <row r="306" spans="1:23">
      <c r="A306" s="94"/>
      <c r="B306" s="94"/>
      <c r="C306" s="94"/>
      <c r="D306" s="94"/>
      <c r="E306" s="94"/>
      <c r="F306" s="94"/>
      <c r="G306" s="94"/>
      <c r="H306" s="94"/>
      <c r="I306" s="94"/>
      <c r="J306" s="94"/>
      <c r="K306" s="94"/>
      <c r="L306" s="94"/>
      <c r="M306" s="94"/>
      <c r="N306" s="94"/>
      <c r="O306" s="94"/>
      <c r="P306" s="94"/>
      <c r="Q306" s="94"/>
      <c r="R306" s="94"/>
      <c r="S306" s="94"/>
      <c r="T306" s="94"/>
      <c r="U306" s="94"/>
      <c r="V306" s="94"/>
      <c r="W306" s="94"/>
    </row>
    <row r="307" spans="1:23">
      <c r="A307" s="94"/>
      <c r="B307" s="94"/>
      <c r="C307" s="94"/>
      <c r="D307" s="94"/>
      <c r="E307" s="94"/>
      <c r="F307" s="94"/>
      <c r="G307" s="94"/>
      <c r="H307" s="94"/>
      <c r="I307" s="94"/>
      <c r="J307" s="94"/>
      <c r="K307" s="94"/>
      <c r="L307" s="94"/>
      <c r="M307" s="94"/>
      <c r="N307" s="94"/>
      <c r="O307" s="94"/>
      <c r="P307" s="94"/>
      <c r="Q307" s="94"/>
      <c r="R307" s="94"/>
      <c r="S307" s="94"/>
      <c r="T307" s="94"/>
      <c r="U307" s="94"/>
      <c r="V307" s="94"/>
      <c r="W307" s="94"/>
    </row>
    <row r="308" spans="1:23">
      <c r="A308" s="94"/>
      <c r="B308" s="94"/>
      <c r="C308" s="94"/>
      <c r="D308" s="94"/>
      <c r="E308" s="94"/>
      <c r="F308" s="94"/>
      <c r="G308" s="94"/>
      <c r="H308" s="94"/>
      <c r="I308" s="94"/>
      <c r="J308" s="94"/>
      <c r="K308" s="94"/>
      <c r="L308" s="94"/>
      <c r="M308" s="94"/>
      <c r="N308" s="94"/>
      <c r="O308" s="94"/>
      <c r="P308" s="94"/>
      <c r="Q308" s="94"/>
      <c r="R308" s="94"/>
      <c r="S308" s="94"/>
      <c r="T308" s="94"/>
      <c r="U308" s="94"/>
      <c r="V308" s="94"/>
      <c r="W308" s="94"/>
    </row>
    <row r="309" spans="1:23">
      <c r="A309" s="94"/>
      <c r="B309" s="94"/>
      <c r="C309" s="94"/>
      <c r="D309" s="94"/>
      <c r="E309" s="94"/>
      <c r="F309" s="94"/>
      <c r="G309" s="94"/>
      <c r="H309" s="94"/>
      <c r="I309" s="94"/>
      <c r="J309" s="94"/>
      <c r="K309" s="94"/>
      <c r="L309" s="94"/>
      <c r="M309" s="94"/>
      <c r="N309" s="94"/>
      <c r="O309" s="94"/>
      <c r="P309" s="94"/>
      <c r="Q309" s="94"/>
      <c r="R309" s="94"/>
      <c r="S309" s="94"/>
      <c r="T309" s="94"/>
      <c r="U309" s="94"/>
      <c r="V309" s="94"/>
      <c r="W309" s="94"/>
    </row>
    <row r="310" spans="1:23">
      <c r="A310" s="94"/>
      <c r="B310" s="94"/>
      <c r="C310" s="94"/>
      <c r="D310" s="94"/>
      <c r="E310" s="94"/>
      <c r="F310" s="94"/>
      <c r="G310" s="94"/>
      <c r="H310" s="94"/>
      <c r="I310" s="94"/>
      <c r="J310" s="94"/>
      <c r="K310" s="94"/>
      <c r="L310" s="94"/>
      <c r="M310" s="94"/>
      <c r="N310" s="94"/>
      <c r="O310" s="94"/>
      <c r="P310" s="94"/>
      <c r="Q310" s="94"/>
      <c r="R310" s="94"/>
      <c r="S310" s="94"/>
      <c r="T310" s="94"/>
      <c r="U310" s="94"/>
      <c r="V310" s="94"/>
      <c r="W310" s="94"/>
    </row>
    <row r="311" spans="1:23">
      <c r="A311" s="94"/>
      <c r="B311" s="94"/>
      <c r="C311" s="94"/>
      <c r="D311" s="94"/>
      <c r="E311" s="94"/>
      <c r="F311" s="94"/>
      <c r="G311" s="94"/>
      <c r="H311" s="94"/>
      <c r="I311" s="94"/>
      <c r="J311" s="94"/>
      <c r="K311" s="94"/>
      <c r="L311" s="94"/>
      <c r="M311" s="94"/>
      <c r="N311" s="94"/>
      <c r="O311" s="94"/>
      <c r="P311" s="94"/>
      <c r="Q311" s="94"/>
      <c r="R311" s="94"/>
      <c r="S311" s="94"/>
      <c r="T311" s="94"/>
      <c r="U311" s="94"/>
      <c r="V311" s="94"/>
      <c r="W311" s="94"/>
    </row>
    <row r="312" spans="1:23">
      <c r="A312" s="94"/>
      <c r="B312" s="94"/>
      <c r="C312" s="94"/>
      <c r="D312" s="94"/>
      <c r="E312" s="94"/>
      <c r="F312" s="94"/>
      <c r="G312" s="94"/>
      <c r="H312" s="94"/>
      <c r="I312" s="94"/>
      <c r="J312" s="94"/>
      <c r="K312" s="94"/>
      <c r="L312" s="94"/>
      <c r="M312" s="94"/>
      <c r="N312" s="94"/>
      <c r="O312" s="94"/>
      <c r="P312" s="94"/>
      <c r="Q312" s="94"/>
      <c r="R312" s="94"/>
      <c r="S312" s="94"/>
      <c r="T312" s="94"/>
      <c r="U312" s="94"/>
      <c r="V312" s="94"/>
      <c r="W312" s="94"/>
    </row>
    <row r="313" spans="1:23">
      <c r="A313" s="94"/>
      <c r="B313" s="94"/>
      <c r="C313" s="94"/>
      <c r="D313" s="94"/>
      <c r="E313" s="94"/>
      <c r="F313" s="94"/>
      <c r="G313" s="94"/>
      <c r="H313" s="94"/>
      <c r="I313" s="94"/>
      <c r="J313" s="94"/>
      <c r="K313" s="94"/>
      <c r="L313" s="94"/>
      <c r="M313" s="94"/>
      <c r="N313" s="94"/>
      <c r="O313" s="94"/>
      <c r="P313" s="94"/>
      <c r="Q313" s="94"/>
      <c r="R313" s="94"/>
      <c r="S313" s="94"/>
      <c r="T313" s="94"/>
      <c r="U313" s="94"/>
      <c r="V313" s="94"/>
      <c r="W313" s="94"/>
    </row>
    <row r="314" spans="1:23">
      <c r="A314" s="94"/>
      <c r="B314" s="94"/>
      <c r="C314" s="94"/>
      <c r="D314" s="94"/>
      <c r="E314" s="94"/>
      <c r="F314" s="94"/>
      <c r="G314" s="94"/>
      <c r="H314" s="94"/>
      <c r="I314" s="94"/>
      <c r="J314" s="94"/>
      <c r="K314" s="94"/>
      <c r="L314" s="94"/>
      <c r="M314" s="94"/>
      <c r="N314" s="94"/>
      <c r="O314" s="94"/>
      <c r="P314" s="94"/>
      <c r="Q314" s="94"/>
      <c r="R314" s="94"/>
      <c r="S314" s="94"/>
      <c r="T314" s="94"/>
      <c r="U314" s="94"/>
      <c r="V314" s="94"/>
      <c r="W314" s="94"/>
    </row>
    <row r="315" spans="1:23">
      <c r="A315" s="94"/>
      <c r="B315" s="94"/>
      <c r="C315" s="94"/>
      <c r="D315" s="94"/>
      <c r="E315" s="94"/>
      <c r="F315" s="94"/>
      <c r="G315" s="94"/>
      <c r="H315" s="94"/>
      <c r="I315" s="94"/>
      <c r="J315" s="94"/>
      <c r="K315" s="94"/>
      <c r="L315" s="94"/>
      <c r="M315" s="94"/>
      <c r="N315" s="94"/>
      <c r="O315" s="94"/>
      <c r="P315" s="94"/>
      <c r="Q315" s="94"/>
      <c r="R315" s="94"/>
      <c r="S315" s="94"/>
      <c r="T315" s="94"/>
      <c r="U315" s="94"/>
      <c r="V315" s="94"/>
      <c r="W315" s="94"/>
    </row>
    <row r="316" spans="1:23">
      <c r="A316" s="94"/>
      <c r="B316" s="94"/>
      <c r="C316" s="94"/>
      <c r="D316" s="94"/>
      <c r="E316" s="94"/>
      <c r="F316" s="94"/>
      <c r="G316" s="94"/>
      <c r="H316" s="94"/>
      <c r="I316" s="94"/>
      <c r="J316" s="94"/>
      <c r="K316" s="94"/>
      <c r="L316" s="94"/>
      <c r="M316" s="94"/>
      <c r="N316" s="94"/>
      <c r="O316" s="94"/>
      <c r="P316" s="94"/>
      <c r="Q316" s="94"/>
      <c r="R316" s="94"/>
      <c r="S316" s="94"/>
      <c r="T316" s="94"/>
      <c r="U316" s="94"/>
      <c r="V316" s="94"/>
      <c r="W316" s="94"/>
    </row>
    <row r="317" spans="1:23">
      <c r="A317" s="94"/>
      <c r="B317" s="94"/>
      <c r="C317" s="94"/>
      <c r="D317" s="94"/>
      <c r="E317" s="94"/>
      <c r="F317" s="94"/>
      <c r="G317" s="94"/>
      <c r="H317" s="94"/>
      <c r="I317" s="94"/>
      <c r="J317" s="94"/>
      <c r="K317" s="94"/>
      <c r="L317" s="94"/>
      <c r="M317" s="94"/>
      <c r="N317" s="94"/>
      <c r="O317" s="94"/>
      <c r="P317" s="94"/>
      <c r="Q317" s="94"/>
      <c r="R317" s="94"/>
      <c r="S317" s="94"/>
      <c r="T317" s="94"/>
      <c r="U317" s="94"/>
      <c r="V317" s="94"/>
      <c r="W317" s="94"/>
    </row>
    <row r="318" spans="1:23">
      <c r="A318" s="94"/>
      <c r="B318" s="94"/>
      <c r="C318" s="94"/>
      <c r="D318" s="94"/>
      <c r="E318" s="94"/>
      <c r="F318" s="94"/>
      <c r="G318" s="94"/>
      <c r="H318" s="94"/>
      <c r="I318" s="94"/>
      <c r="J318" s="94"/>
      <c r="K318" s="94"/>
      <c r="L318" s="94"/>
      <c r="M318" s="94"/>
      <c r="N318" s="94"/>
      <c r="O318" s="94"/>
      <c r="P318" s="94"/>
      <c r="Q318" s="94"/>
      <c r="R318" s="94"/>
      <c r="S318" s="94"/>
      <c r="T318" s="94"/>
      <c r="U318" s="94"/>
      <c r="V318" s="94"/>
      <c r="W318" s="94"/>
    </row>
    <row r="319" spans="1:23">
      <c r="A319" s="94"/>
      <c r="B319" s="94"/>
      <c r="C319" s="94"/>
      <c r="D319" s="94"/>
      <c r="E319" s="94"/>
      <c r="F319" s="94"/>
      <c r="G319" s="94"/>
      <c r="H319" s="94"/>
      <c r="I319" s="94"/>
      <c r="J319" s="94"/>
      <c r="K319" s="94"/>
      <c r="L319" s="94"/>
      <c r="M319" s="94"/>
      <c r="N319" s="94"/>
      <c r="O319" s="94"/>
      <c r="P319" s="94"/>
      <c r="Q319" s="94"/>
      <c r="R319" s="94"/>
      <c r="S319" s="94"/>
      <c r="T319" s="94"/>
      <c r="U319" s="94"/>
      <c r="V319" s="94"/>
      <c r="W319" s="94"/>
    </row>
    <row r="320" spans="1:23">
      <c r="A320" s="94"/>
      <c r="B320" s="94"/>
      <c r="C320" s="94"/>
      <c r="D320" s="94"/>
      <c r="E320" s="94"/>
      <c r="F320" s="94"/>
      <c r="G320" s="94"/>
      <c r="H320" s="94"/>
      <c r="I320" s="94"/>
      <c r="J320" s="94"/>
      <c r="K320" s="94"/>
      <c r="L320" s="94"/>
      <c r="M320" s="94"/>
      <c r="N320" s="94"/>
      <c r="O320" s="94"/>
      <c r="P320" s="94"/>
      <c r="Q320" s="94"/>
      <c r="R320" s="94"/>
      <c r="S320" s="94"/>
      <c r="T320" s="94"/>
      <c r="U320" s="94"/>
      <c r="V320" s="94"/>
      <c r="W320" s="94"/>
    </row>
    <row r="321" spans="1:23">
      <c r="A321" s="94"/>
      <c r="B321" s="94"/>
      <c r="C321" s="94"/>
      <c r="D321" s="94"/>
      <c r="E321" s="94"/>
      <c r="F321" s="94"/>
      <c r="G321" s="94"/>
      <c r="H321" s="94"/>
      <c r="I321" s="94"/>
      <c r="J321" s="94"/>
      <c r="K321" s="94"/>
      <c r="L321" s="94"/>
      <c r="M321" s="94"/>
      <c r="N321" s="94"/>
      <c r="O321" s="94"/>
      <c r="P321" s="94"/>
      <c r="Q321" s="94"/>
      <c r="R321" s="94"/>
      <c r="S321" s="94"/>
      <c r="T321" s="94"/>
      <c r="U321" s="94"/>
      <c r="V321" s="94"/>
      <c r="W321" s="94"/>
    </row>
    <row r="322" spans="1:23">
      <c r="A322" s="94"/>
      <c r="B322" s="94"/>
      <c r="C322" s="94"/>
      <c r="D322" s="94"/>
      <c r="E322" s="94"/>
      <c r="F322" s="94"/>
      <c r="G322" s="94"/>
      <c r="H322" s="94"/>
      <c r="I322" s="94"/>
      <c r="J322" s="94"/>
      <c r="K322" s="94"/>
      <c r="L322" s="94"/>
      <c r="M322" s="94"/>
      <c r="N322" s="94"/>
      <c r="O322" s="94"/>
      <c r="P322" s="94"/>
      <c r="Q322" s="94"/>
      <c r="R322" s="94"/>
      <c r="S322" s="94"/>
      <c r="T322" s="94"/>
      <c r="U322" s="94"/>
      <c r="V322" s="94"/>
      <c r="W322" s="94"/>
    </row>
    <row r="323" spans="1:23">
      <c r="A323" s="94"/>
      <c r="B323" s="94"/>
      <c r="C323" s="94"/>
      <c r="D323" s="94"/>
      <c r="E323" s="94"/>
      <c r="F323" s="94"/>
      <c r="G323" s="94"/>
      <c r="H323" s="94"/>
      <c r="I323" s="94"/>
      <c r="J323" s="94"/>
      <c r="K323" s="94"/>
      <c r="L323" s="94"/>
      <c r="M323" s="94"/>
      <c r="N323" s="94"/>
      <c r="O323" s="94"/>
      <c r="P323" s="94"/>
      <c r="Q323" s="94"/>
      <c r="R323" s="94"/>
      <c r="S323" s="94"/>
      <c r="T323" s="94"/>
      <c r="U323" s="94"/>
      <c r="V323" s="94"/>
      <c r="W323" s="94"/>
    </row>
    <row r="324" spans="1:23">
      <c r="A324" s="94"/>
      <c r="B324" s="94"/>
      <c r="C324" s="94"/>
      <c r="D324" s="94"/>
      <c r="E324" s="94"/>
      <c r="F324" s="94"/>
      <c r="G324" s="94"/>
      <c r="H324" s="94"/>
      <c r="I324" s="94"/>
      <c r="J324" s="94"/>
      <c r="K324" s="94"/>
      <c r="L324" s="94"/>
      <c r="M324" s="94"/>
      <c r="N324" s="94"/>
      <c r="O324" s="94"/>
      <c r="P324" s="94"/>
      <c r="Q324" s="94"/>
      <c r="R324" s="94"/>
      <c r="S324" s="94"/>
      <c r="T324" s="94"/>
      <c r="U324" s="94"/>
      <c r="V324" s="94"/>
      <c r="W324" s="94"/>
    </row>
    <row r="325" spans="1:23">
      <c r="A325" s="94"/>
      <c r="B325" s="94"/>
      <c r="C325" s="94"/>
      <c r="D325" s="94"/>
      <c r="E325" s="94"/>
      <c r="F325" s="94"/>
      <c r="G325" s="94"/>
      <c r="H325" s="94"/>
      <c r="I325" s="94"/>
      <c r="J325" s="94"/>
      <c r="K325" s="94"/>
      <c r="L325" s="94"/>
      <c r="M325" s="94"/>
      <c r="N325" s="94"/>
      <c r="O325" s="94"/>
      <c r="P325" s="94"/>
      <c r="Q325" s="94"/>
      <c r="R325" s="94"/>
      <c r="S325" s="94"/>
      <c r="T325" s="94"/>
      <c r="U325" s="94"/>
      <c r="V325" s="94"/>
      <c r="W325" s="94"/>
    </row>
    <row r="326" spans="1:23">
      <c r="A326" s="94"/>
      <c r="B326" s="94"/>
      <c r="C326" s="94"/>
      <c r="D326" s="94"/>
      <c r="E326" s="94"/>
      <c r="F326" s="94"/>
      <c r="G326" s="94"/>
      <c r="H326" s="94"/>
      <c r="I326" s="94"/>
      <c r="J326" s="94"/>
      <c r="K326" s="94"/>
      <c r="L326" s="94"/>
      <c r="M326" s="94"/>
      <c r="N326" s="94"/>
      <c r="O326" s="94"/>
      <c r="P326" s="94"/>
      <c r="Q326" s="94"/>
      <c r="R326" s="94"/>
      <c r="S326" s="94"/>
      <c r="T326" s="94"/>
      <c r="U326" s="94"/>
      <c r="V326" s="94"/>
      <c r="W326" s="94"/>
    </row>
    <row r="327" spans="1:23">
      <c r="A327" s="94"/>
      <c r="B327" s="94"/>
      <c r="C327" s="94"/>
      <c r="D327" s="94"/>
      <c r="E327" s="94"/>
      <c r="F327" s="94"/>
      <c r="G327" s="94"/>
      <c r="H327" s="94"/>
      <c r="I327" s="94"/>
      <c r="J327" s="94"/>
      <c r="K327" s="94"/>
      <c r="L327" s="94"/>
      <c r="M327" s="94"/>
      <c r="N327" s="94"/>
      <c r="O327" s="94"/>
      <c r="P327" s="94"/>
      <c r="Q327" s="94"/>
      <c r="R327" s="94"/>
      <c r="S327" s="94"/>
      <c r="T327" s="94"/>
      <c r="U327" s="94"/>
      <c r="V327" s="94"/>
      <c r="W327" s="94"/>
    </row>
    <row r="328" spans="1:23">
      <c r="A328" s="94"/>
      <c r="B328" s="94"/>
      <c r="C328" s="94"/>
      <c r="D328" s="94"/>
      <c r="E328" s="94"/>
      <c r="F328" s="94"/>
      <c r="G328" s="94"/>
      <c r="H328" s="94"/>
      <c r="I328" s="94"/>
      <c r="J328" s="94"/>
      <c r="K328" s="94"/>
      <c r="L328" s="94"/>
      <c r="M328" s="94"/>
      <c r="N328" s="94"/>
      <c r="O328" s="94"/>
      <c r="P328" s="94"/>
      <c r="Q328" s="94"/>
      <c r="R328" s="94"/>
      <c r="S328" s="94"/>
      <c r="T328" s="94"/>
      <c r="U328" s="94"/>
      <c r="V328" s="94"/>
      <c r="W328" s="94"/>
    </row>
    <row r="329" spans="1:23">
      <c r="A329" s="94"/>
      <c r="B329" s="94"/>
      <c r="C329" s="94"/>
      <c r="D329" s="94"/>
      <c r="E329" s="94"/>
      <c r="F329" s="94"/>
      <c r="G329" s="94"/>
      <c r="H329" s="94"/>
      <c r="I329" s="94"/>
      <c r="J329" s="94"/>
      <c r="K329" s="94"/>
      <c r="L329" s="94"/>
      <c r="M329" s="94"/>
      <c r="N329" s="94"/>
      <c r="O329" s="94"/>
      <c r="P329" s="94"/>
      <c r="Q329" s="94"/>
      <c r="R329" s="94"/>
      <c r="S329" s="94"/>
      <c r="T329" s="94"/>
      <c r="U329" s="94"/>
      <c r="V329" s="94"/>
      <c r="W329" s="94"/>
    </row>
    <row r="330" spans="1:23">
      <c r="A330" s="94"/>
      <c r="B330" s="94"/>
      <c r="C330" s="94"/>
      <c r="D330" s="94"/>
      <c r="E330" s="94"/>
      <c r="F330" s="94"/>
      <c r="G330" s="94"/>
      <c r="H330" s="94"/>
      <c r="I330" s="94"/>
      <c r="J330" s="94"/>
      <c r="K330" s="94"/>
      <c r="L330" s="94"/>
      <c r="M330" s="94"/>
      <c r="N330" s="94"/>
      <c r="O330" s="94"/>
      <c r="P330" s="94"/>
      <c r="Q330" s="94"/>
      <c r="R330" s="94"/>
      <c r="S330" s="94"/>
      <c r="T330" s="94"/>
      <c r="U330" s="94"/>
      <c r="V330" s="94"/>
      <c r="W330" s="94"/>
    </row>
    <row r="331" spans="1:23">
      <c r="A331" s="94"/>
      <c r="B331" s="94"/>
      <c r="C331" s="94"/>
      <c r="D331" s="94"/>
      <c r="E331" s="94"/>
      <c r="F331" s="94"/>
      <c r="G331" s="94"/>
      <c r="H331" s="94"/>
      <c r="I331" s="94"/>
      <c r="J331" s="94"/>
      <c r="K331" s="94"/>
      <c r="L331" s="94"/>
      <c r="M331" s="94"/>
      <c r="N331" s="94"/>
      <c r="O331" s="94"/>
      <c r="P331" s="94"/>
      <c r="Q331" s="94"/>
      <c r="R331" s="94"/>
      <c r="S331" s="94"/>
      <c r="T331" s="94"/>
      <c r="U331" s="94"/>
      <c r="V331" s="94"/>
      <c r="W331" s="94"/>
    </row>
    <row r="332" spans="1:23">
      <c r="A332" s="94"/>
      <c r="B332" s="94"/>
      <c r="C332" s="94"/>
      <c r="D332" s="94"/>
      <c r="E332" s="94"/>
      <c r="F332" s="94"/>
      <c r="G332" s="94"/>
      <c r="H332" s="94"/>
      <c r="I332" s="94"/>
      <c r="J332" s="94"/>
      <c r="K332" s="94"/>
      <c r="L332" s="94"/>
      <c r="M332" s="94"/>
      <c r="N332" s="94"/>
      <c r="O332" s="94"/>
      <c r="P332" s="94"/>
      <c r="Q332" s="94"/>
      <c r="R332" s="94"/>
      <c r="S332" s="94"/>
      <c r="T332" s="94"/>
      <c r="U332" s="94"/>
      <c r="V332" s="94"/>
      <c r="W332" s="94"/>
    </row>
    <row r="333" spans="1:23">
      <c r="A333" s="94"/>
      <c r="B333" s="94"/>
      <c r="C333" s="94"/>
      <c r="D333" s="94"/>
      <c r="E333" s="94"/>
      <c r="F333" s="94"/>
      <c r="G333" s="94"/>
      <c r="H333" s="94"/>
      <c r="I333" s="94"/>
      <c r="J333" s="94"/>
      <c r="K333" s="94"/>
      <c r="L333" s="94"/>
      <c r="M333" s="94"/>
      <c r="N333" s="94"/>
      <c r="O333" s="94"/>
      <c r="P333" s="94"/>
      <c r="Q333" s="94"/>
      <c r="R333" s="94"/>
      <c r="S333" s="94"/>
      <c r="T333" s="94"/>
      <c r="U333" s="94"/>
      <c r="V333" s="94"/>
      <c r="W333" s="94"/>
    </row>
    <row r="334" spans="1:23">
      <c r="A334" s="94"/>
      <c r="B334" s="94"/>
      <c r="C334" s="94"/>
      <c r="D334" s="94"/>
      <c r="E334" s="94"/>
      <c r="F334" s="94"/>
      <c r="G334" s="94"/>
      <c r="H334" s="94"/>
      <c r="I334" s="94"/>
      <c r="J334" s="94"/>
      <c r="K334" s="94"/>
      <c r="L334" s="94"/>
      <c r="M334" s="94"/>
      <c r="N334" s="94"/>
      <c r="O334" s="94"/>
      <c r="P334" s="94"/>
      <c r="Q334" s="94"/>
      <c r="R334" s="94"/>
      <c r="S334" s="94"/>
      <c r="T334" s="94"/>
      <c r="U334" s="94"/>
      <c r="V334" s="94"/>
      <c r="W334" s="94"/>
    </row>
    <row r="335" spans="1:23">
      <c r="A335" s="94"/>
      <c r="B335" s="94"/>
      <c r="C335" s="94"/>
      <c r="D335" s="94"/>
      <c r="E335" s="94"/>
      <c r="F335" s="94"/>
      <c r="G335" s="94"/>
      <c r="H335" s="94"/>
      <c r="I335" s="94"/>
      <c r="J335" s="94"/>
      <c r="K335" s="94"/>
      <c r="L335" s="94"/>
      <c r="M335" s="94"/>
      <c r="N335" s="94"/>
      <c r="O335" s="94"/>
      <c r="P335" s="94"/>
      <c r="Q335" s="94"/>
      <c r="R335" s="94"/>
      <c r="S335" s="94"/>
      <c r="T335" s="94"/>
      <c r="U335" s="94"/>
      <c r="V335" s="94"/>
      <c r="W335" s="94"/>
    </row>
    <row r="336" spans="1:23">
      <c r="A336" s="94"/>
      <c r="B336" s="94"/>
      <c r="C336" s="94"/>
      <c r="D336" s="94"/>
      <c r="E336" s="94"/>
      <c r="F336" s="94"/>
      <c r="G336" s="94"/>
      <c r="H336" s="94"/>
      <c r="I336" s="94"/>
      <c r="J336" s="94"/>
      <c r="K336" s="94"/>
      <c r="L336" s="94"/>
      <c r="M336" s="94"/>
      <c r="N336" s="94"/>
      <c r="O336" s="94"/>
      <c r="P336" s="94"/>
      <c r="Q336" s="94"/>
      <c r="R336" s="94"/>
      <c r="S336" s="94"/>
      <c r="T336" s="94"/>
      <c r="U336" s="94"/>
      <c r="V336" s="94"/>
      <c r="W336" s="94"/>
    </row>
    <row r="337" spans="1:23">
      <c r="A337" s="94"/>
      <c r="B337" s="94"/>
      <c r="C337" s="94"/>
      <c r="D337" s="94"/>
      <c r="E337" s="94"/>
      <c r="F337" s="94"/>
      <c r="G337" s="94"/>
      <c r="H337" s="94"/>
      <c r="I337" s="94"/>
      <c r="J337" s="94"/>
      <c r="K337" s="94"/>
      <c r="L337" s="94"/>
      <c r="M337" s="94"/>
      <c r="N337" s="94"/>
      <c r="O337" s="94"/>
      <c r="P337" s="94"/>
      <c r="Q337" s="94"/>
      <c r="R337" s="94"/>
      <c r="S337" s="94"/>
      <c r="T337" s="94"/>
      <c r="U337" s="94"/>
      <c r="V337" s="94"/>
      <c r="W337" s="94"/>
    </row>
    <row r="338" spans="1:23">
      <c r="A338" s="94"/>
      <c r="B338" s="94"/>
      <c r="C338" s="94"/>
      <c r="D338" s="94"/>
      <c r="E338" s="94"/>
      <c r="F338" s="94"/>
      <c r="G338" s="94"/>
      <c r="H338" s="94"/>
      <c r="I338" s="94"/>
      <c r="J338" s="94"/>
      <c r="K338" s="94"/>
      <c r="L338" s="94"/>
      <c r="M338" s="94"/>
      <c r="N338" s="94"/>
      <c r="O338" s="94"/>
      <c r="P338" s="94"/>
      <c r="Q338" s="94"/>
      <c r="R338" s="94"/>
      <c r="S338" s="94"/>
      <c r="T338" s="94"/>
      <c r="U338" s="94"/>
      <c r="V338" s="94"/>
      <c r="W338" s="94"/>
    </row>
    <row r="339" spans="1:23">
      <c r="A339" s="94"/>
      <c r="B339" s="94"/>
      <c r="C339" s="94"/>
      <c r="D339" s="94"/>
      <c r="E339" s="94"/>
      <c r="F339" s="94"/>
      <c r="G339" s="94"/>
      <c r="H339" s="94"/>
      <c r="I339" s="94"/>
      <c r="J339" s="94"/>
      <c r="K339" s="94"/>
      <c r="L339" s="94"/>
      <c r="M339" s="94"/>
      <c r="N339" s="94"/>
      <c r="O339" s="94"/>
      <c r="P339" s="94"/>
      <c r="Q339" s="94"/>
      <c r="R339" s="94"/>
      <c r="S339" s="94"/>
      <c r="T339" s="94"/>
      <c r="U339" s="94"/>
      <c r="V339" s="94"/>
      <c r="W339" s="94"/>
    </row>
    <row r="340" spans="1:23">
      <c r="A340" s="94"/>
      <c r="B340" s="94"/>
      <c r="C340" s="94"/>
      <c r="D340" s="94"/>
      <c r="E340" s="94"/>
      <c r="F340" s="94"/>
      <c r="G340" s="94"/>
      <c r="H340" s="94"/>
      <c r="I340" s="94"/>
      <c r="J340" s="94"/>
      <c r="K340" s="94"/>
      <c r="L340" s="94"/>
      <c r="M340" s="94"/>
      <c r="N340" s="94"/>
      <c r="O340" s="94"/>
      <c r="P340" s="94"/>
      <c r="Q340" s="94"/>
      <c r="R340" s="94"/>
      <c r="S340" s="94"/>
      <c r="T340" s="94"/>
      <c r="U340" s="94"/>
      <c r="V340" s="94"/>
      <c r="W340" s="94"/>
    </row>
    <row r="341" spans="1:23">
      <c r="A341" s="94"/>
      <c r="B341" s="94"/>
      <c r="C341" s="94"/>
      <c r="D341" s="94"/>
      <c r="E341" s="94"/>
      <c r="F341" s="94"/>
      <c r="G341" s="94"/>
      <c r="H341" s="94"/>
      <c r="I341" s="94"/>
      <c r="J341" s="94"/>
      <c r="K341" s="94"/>
      <c r="L341" s="94"/>
      <c r="M341" s="94"/>
      <c r="N341" s="94"/>
      <c r="O341" s="94"/>
      <c r="P341" s="94"/>
      <c r="Q341" s="94"/>
      <c r="R341" s="94"/>
      <c r="S341" s="94"/>
      <c r="T341" s="94"/>
      <c r="U341" s="94"/>
      <c r="V341" s="94"/>
      <c r="W341" s="94"/>
    </row>
    <row r="342" spans="1:23">
      <c r="A342" s="94"/>
      <c r="B342" s="94"/>
      <c r="C342" s="94"/>
      <c r="D342" s="94"/>
      <c r="E342" s="94"/>
      <c r="F342" s="94"/>
      <c r="G342" s="94"/>
      <c r="H342" s="94"/>
      <c r="I342" s="94"/>
      <c r="J342" s="94"/>
      <c r="K342" s="94"/>
      <c r="L342" s="94"/>
      <c r="M342" s="94"/>
      <c r="N342" s="94"/>
      <c r="O342" s="94"/>
      <c r="P342" s="94"/>
      <c r="Q342" s="94"/>
      <c r="R342" s="94"/>
      <c r="S342" s="94"/>
      <c r="T342" s="94"/>
      <c r="U342" s="94"/>
      <c r="V342" s="94"/>
      <c r="W342" s="94"/>
    </row>
    <row r="343" spans="1:23">
      <c r="A343" s="94"/>
      <c r="B343" s="94"/>
      <c r="C343" s="94"/>
      <c r="D343" s="94"/>
      <c r="E343" s="94"/>
      <c r="F343" s="94"/>
      <c r="G343" s="94"/>
      <c r="H343" s="94"/>
      <c r="I343" s="94"/>
      <c r="J343" s="94"/>
      <c r="K343" s="94"/>
      <c r="L343" s="94"/>
      <c r="M343" s="94"/>
      <c r="N343" s="94"/>
      <c r="O343" s="94"/>
      <c r="P343" s="94"/>
      <c r="Q343" s="94"/>
      <c r="R343" s="94"/>
      <c r="S343" s="94"/>
      <c r="T343" s="94"/>
      <c r="U343" s="94"/>
      <c r="V343" s="94"/>
      <c r="W343" s="94"/>
    </row>
    <row r="344" spans="1:23">
      <c r="A344" s="94"/>
      <c r="B344" s="94"/>
      <c r="C344" s="94"/>
      <c r="D344" s="94"/>
      <c r="E344" s="94"/>
      <c r="F344" s="94"/>
      <c r="G344" s="94"/>
      <c r="H344" s="94"/>
      <c r="I344" s="94"/>
      <c r="J344" s="94"/>
      <c r="K344" s="94"/>
      <c r="L344" s="94"/>
      <c r="M344" s="94"/>
      <c r="N344" s="94"/>
      <c r="O344" s="94"/>
      <c r="P344" s="94"/>
      <c r="Q344" s="94"/>
      <c r="R344" s="94"/>
      <c r="S344" s="94"/>
      <c r="T344" s="94"/>
      <c r="U344" s="94"/>
      <c r="V344" s="94"/>
      <c r="W344" s="94"/>
    </row>
    <row r="345" spans="1:23">
      <c r="A345" s="94"/>
      <c r="B345" s="94"/>
      <c r="C345" s="94"/>
      <c r="D345" s="94"/>
      <c r="E345" s="94"/>
      <c r="F345" s="94"/>
      <c r="G345" s="94"/>
      <c r="H345" s="94"/>
      <c r="I345" s="94"/>
      <c r="J345" s="94"/>
      <c r="K345" s="94"/>
      <c r="L345" s="94"/>
      <c r="M345" s="94"/>
      <c r="N345" s="94"/>
      <c r="O345" s="94"/>
      <c r="P345" s="94"/>
      <c r="Q345" s="94"/>
      <c r="R345" s="94"/>
      <c r="S345" s="94"/>
      <c r="T345" s="94"/>
      <c r="U345" s="94"/>
      <c r="V345" s="94"/>
      <c r="W345" s="94"/>
    </row>
    <row r="346" spans="1:23">
      <c r="A346" s="94"/>
      <c r="B346" s="94"/>
      <c r="C346" s="94"/>
      <c r="D346" s="94"/>
      <c r="E346" s="94"/>
      <c r="F346" s="94"/>
      <c r="G346" s="94"/>
      <c r="H346" s="94"/>
      <c r="I346" s="94"/>
      <c r="J346" s="94"/>
      <c r="K346" s="94"/>
      <c r="L346" s="94"/>
      <c r="M346" s="94"/>
      <c r="N346" s="94"/>
      <c r="O346" s="94"/>
      <c r="P346" s="94"/>
      <c r="Q346" s="94"/>
      <c r="R346" s="94"/>
      <c r="S346" s="94"/>
      <c r="T346" s="94"/>
      <c r="U346" s="94"/>
      <c r="V346" s="94"/>
      <c r="W346" s="94"/>
    </row>
    <row r="347" spans="1:23">
      <c r="A347" s="94"/>
      <c r="B347" s="94"/>
      <c r="C347" s="94"/>
      <c r="D347" s="94"/>
      <c r="E347" s="94"/>
      <c r="F347" s="94"/>
      <c r="G347" s="94"/>
      <c r="H347" s="94"/>
      <c r="I347" s="94"/>
      <c r="J347" s="94"/>
      <c r="K347" s="94"/>
      <c r="L347" s="94"/>
      <c r="M347" s="94"/>
      <c r="N347" s="94"/>
      <c r="O347" s="94"/>
      <c r="P347" s="94"/>
      <c r="Q347" s="94"/>
      <c r="R347" s="94"/>
      <c r="S347" s="94"/>
      <c r="T347" s="94"/>
      <c r="U347" s="94"/>
      <c r="V347" s="94"/>
      <c r="W347" s="94"/>
    </row>
    <row r="348" spans="1:23">
      <c r="A348" s="94"/>
      <c r="B348" s="94"/>
      <c r="C348" s="94"/>
      <c r="D348" s="94"/>
      <c r="E348" s="94"/>
      <c r="F348" s="94"/>
      <c r="G348" s="94"/>
      <c r="H348" s="94"/>
      <c r="I348" s="94"/>
      <c r="J348" s="94"/>
      <c r="K348" s="94"/>
      <c r="L348" s="94"/>
      <c r="M348" s="94"/>
      <c r="N348" s="94"/>
      <c r="O348" s="94"/>
      <c r="P348" s="94"/>
      <c r="Q348" s="94"/>
      <c r="R348" s="94"/>
      <c r="S348" s="94"/>
      <c r="T348" s="94"/>
      <c r="U348" s="94"/>
      <c r="V348" s="94"/>
      <c r="W348" s="94"/>
    </row>
    <row r="349" spans="1:23">
      <c r="A349" s="94"/>
      <c r="B349" s="94"/>
      <c r="C349" s="94"/>
      <c r="D349" s="94"/>
      <c r="E349" s="94"/>
      <c r="F349" s="94"/>
      <c r="G349" s="94"/>
      <c r="H349" s="94"/>
      <c r="I349" s="94"/>
      <c r="J349" s="94"/>
      <c r="K349" s="94"/>
      <c r="L349" s="94"/>
      <c r="M349" s="94"/>
      <c r="N349" s="94"/>
      <c r="O349" s="94"/>
      <c r="P349" s="94"/>
      <c r="Q349" s="94"/>
      <c r="R349" s="94"/>
      <c r="S349" s="94"/>
      <c r="T349" s="94"/>
      <c r="U349" s="94"/>
      <c r="V349" s="94"/>
      <c r="W349" s="94"/>
    </row>
    <row r="350" spans="1:23">
      <c r="A350" s="94"/>
      <c r="B350" s="94"/>
      <c r="C350" s="94"/>
      <c r="D350" s="94"/>
      <c r="E350" s="94"/>
      <c r="F350" s="94"/>
      <c r="G350" s="94"/>
      <c r="H350" s="94"/>
      <c r="I350" s="94"/>
      <c r="J350" s="94"/>
      <c r="K350" s="94"/>
      <c r="L350" s="94"/>
      <c r="M350" s="94"/>
      <c r="N350" s="94"/>
      <c r="O350" s="94"/>
      <c r="P350" s="94"/>
      <c r="Q350" s="94"/>
      <c r="R350" s="94"/>
      <c r="S350" s="94"/>
      <c r="T350" s="94"/>
      <c r="U350" s="94"/>
      <c r="V350" s="94"/>
      <c r="W350" s="94"/>
    </row>
    <row r="351" spans="1:23">
      <c r="A351" s="94"/>
      <c r="B351" s="94"/>
      <c r="C351" s="94"/>
      <c r="D351" s="94"/>
      <c r="E351" s="94"/>
      <c r="F351" s="94"/>
      <c r="G351" s="94"/>
      <c r="H351" s="94"/>
      <c r="I351" s="94"/>
      <c r="J351" s="94"/>
      <c r="K351" s="94"/>
      <c r="L351" s="94"/>
      <c r="M351" s="94"/>
      <c r="N351" s="94"/>
      <c r="O351" s="94"/>
      <c r="P351" s="94"/>
      <c r="Q351" s="94"/>
      <c r="R351" s="94"/>
      <c r="S351" s="94"/>
      <c r="T351" s="94"/>
      <c r="U351" s="94"/>
      <c r="V351" s="94"/>
      <c r="W351" s="94"/>
    </row>
    <row r="352" spans="1:23">
      <c r="A352" s="94"/>
      <c r="B352" s="94"/>
      <c r="C352" s="94"/>
      <c r="D352" s="94"/>
      <c r="E352" s="94"/>
      <c r="F352" s="94"/>
      <c r="G352" s="94"/>
      <c r="H352" s="94"/>
      <c r="I352" s="94"/>
      <c r="J352" s="94"/>
      <c r="K352" s="94"/>
      <c r="L352" s="94"/>
      <c r="M352" s="94"/>
      <c r="N352" s="94"/>
      <c r="O352" s="94"/>
      <c r="P352" s="94"/>
      <c r="Q352" s="94"/>
      <c r="R352" s="94"/>
      <c r="S352" s="94"/>
      <c r="T352" s="94"/>
      <c r="U352" s="94"/>
      <c r="V352" s="94"/>
      <c r="W352" s="94"/>
    </row>
    <row r="353" spans="1:23">
      <c r="A353" s="94"/>
      <c r="B353" s="94"/>
      <c r="C353" s="94"/>
      <c r="D353" s="94"/>
      <c r="E353" s="94"/>
      <c r="F353" s="94"/>
      <c r="G353" s="94"/>
      <c r="H353" s="94"/>
      <c r="I353" s="94"/>
      <c r="J353" s="94"/>
      <c r="K353" s="94"/>
      <c r="L353" s="94"/>
      <c r="M353" s="94"/>
      <c r="N353" s="94"/>
      <c r="O353" s="94"/>
      <c r="P353" s="94"/>
      <c r="Q353" s="94"/>
      <c r="R353" s="94"/>
      <c r="S353" s="94"/>
      <c r="T353" s="94"/>
      <c r="U353" s="94"/>
      <c r="V353" s="94"/>
      <c r="W353" s="94"/>
    </row>
    <row r="354" spans="1:23">
      <c r="A354" s="94"/>
      <c r="B354" s="94"/>
      <c r="C354" s="94"/>
      <c r="D354" s="94"/>
      <c r="E354" s="94"/>
      <c r="F354" s="94"/>
      <c r="G354" s="94"/>
      <c r="H354" s="94"/>
      <c r="I354" s="94"/>
      <c r="J354" s="94"/>
      <c r="K354" s="94"/>
      <c r="L354" s="94"/>
      <c r="M354" s="94"/>
      <c r="N354" s="94"/>
      <c r="O354" s="94"/>
      <c r="P354" s="94"/>
      <c r="Q354" s="94"/>
      <c r="R354" s="94"/>
      <c r="S354" s="94"/>
      <c r="T354" s="94"/>
      <c r="U354" s="94"/>
      <c r="V354" s="94"/>
      <c r="W354" s="94"/>
    </row>
    <row r="355" spans="1:23">
      <c r="A355" s="94"/>
      <c r="B355" s="94"/>
      <c r="C355" s="94"/>
      <c r="D355" s="94"/>
      <c r="E355" s="94"/>
      <c r="F355" s="94"/>
      <c r="G355" s="94"/>
      <c r="H355" s="94"/>
      <c r="I355" s="94"/>
      <c r="J355" s="94"/>
      <c r="K355" s="94"/>
      <c r="L355" s="94"/>
      <c r="M355" s="94"/>
      <c r="N355" s="94"/>
      <c r="O355" s="94"/>
      <c r="P355" s="94"/>
      <c r="Q355" s="94"/>
      <c r="R355" s="94"/>
      <c r="S355" s="94"/>
      <c r="T355" s="94"/>
      <c r="U355" s="94"/>
      <c r="V355" s="94"/>
      <c r="W355" s="94"/>
    </row>
    <row r="356" spans="1:23">
      <c r="A356" s="94"/>
      <c r="B356" s="94"/>
      <c r="C356" s="94"/>
      <c r="D356" s="94"/>
      <c r="E356" s="94"/>
      <c r="F356" s="94"/>
      <c r="G356" s="94"/>
      <c r="H356" s="94"/>
      <c r="I356" s="94"/>
      <c r="J356" s="94"/>
      <c r="K356" s="94"/>
      <c r="L356" s="94"/>
      <c r="M356" s="94"/>
      <c r="N356" s="94"/>
      <c r="O356" s="94"/>
      <c r="P356" s="94"/>
      <c r="Q356" s="94"/>
      <c r="R356" s="94"/>
      <c r="S356" s="94"/>
      <c r="T356" s="94"/>
      <c r="U356" s="94"/>
      <c r="V356" s="94"/>
      <c r="W356" s="94"/>
    </row>
    <row r="357" spans="1:23">
      <c r="A357" s="94"/>
      <c r="B357" s="94"/>
      <c r="C357" s="94"/>
      <c r="D357" s="94"/>
      <c r="E357" s="94"/>
      <c r="F357" s="94"/>
      <c r="G357" s="94"/>
      <c r="H357" s="94"/>
      <c r="I357" s="94"/>
      <c r="J357" s="94"/>
      <c r="K357" s="94"/>
      <c r="L357" s="94"/>
      <c r="M357" s="94"/>
      <c r="N357" s="94"/>
      <c r="O357" s="94"/>
      <c r="P357" s="94"/>
      <c r="Q357" s="94"/>
      <c r="R357" s="94"/>
      <c r="S357" s="94"/>
      <c r="T357" s="94"/>
      <c r="U357" s="94"/>
      <c r="V357" s="94"/>
      <c r="W357" s="94"/>
    </row>
    <row r="358" spans="1:23">
      <c r="A358" s="94"/>
      <c r="B358" s="94"/>
      <c r="C358" s="94"/>
      <c r="D358" s="94"/>
      <c r="E358" s="94"/>
      <c r="F358" s="94"/>
      <c r="G358" s="94"/>
      <c r="H358" s="94"/>
      <c r="I358" s="94"/>
      <c r="J358" s="94"/>
      <c r="K358" s="94"/>
      <c r="L358" s="94"/>
      <c r="M358" s="94"/>
      <c r="N358" s="94"/>
      <c r="O358" s="94"/>
      <c r="P358" s="94"/>
      <c r="Q358" s="94"/>
      <c r="R358" s="94"/>
      <c r="S358" s="94"/>
      <c r="T358" s="94"/>
      <c r="U358" s="94"/>
      <c r="V358" s="94"/>
      <c r="W358" s="94"/>
    </row>
    <row r="359" spans="1:23">
      <c r="A359" s="94"/>
      <c r="B359" s="94"/>
      <c r="C359" s="94"/>
      <c r="D359" s="94"/>
      <c r="E359" s="94"/>
      <c r="F359" s="94"/>
      <c r="G359" s="94"/>
      <c r="H359" s="94"/>
      <c r="I359" s="94"/>
      <c r="J359" s="94"/>
      <c r="K359" s="94"/>
      <c r="L359" s="94"/>
      <c r="M359" s="94"/>
      <c r="N359" s="94"/>
      <c r="O359" s="94"/>
      <c r="P359" s="94"/>
      <c r="Q359" s="94"/>
      <c r="R359" s="94"/>
      <c r="S359" s="94"/>
      <c r="T359" s="94"/>
      <c r="U359" s="94"/>
      <c r="V359" s="94"/>
      <c r="W359" s="94"/>
    </row>
    <row r="360" spans="1:23">
      <c r="A360" s="94"/>
      <c r="B360" s="94"/>
      <c r="C360" s="94"/>
      <c r="D360" s="94"/>
      <c r="E360" s="94"/>
      <c r="F360" s="94"/>
      <c r="G360" s="94"/>
      <c r="H360" s="94"/>
      <c r="I360" s="94"/>
      <c r="J360" s="94"/>
      <c r="K360" s="94"/>
      <c r="L360" s="94"/>
      <c r="M360" s="94"/>
      <c r="N360" s="94"/>
      <c r="O360" s="94"/>
      <c r="P360" s="94"/>
      <c r="Q360" s="94"/>
      <c r="R360" s="94"/>
      <c r="S360" s="94"/>
      <c r="T360" s="94"/>
      <c r="U360" s="94"/>
      <c r="V360" s="94"/>
      <c r="W360" s="94"/>
    </row>
    <row r="361" spans="1:23">
      <c r="A361" s="94"/>
      <c r="B361" s="94"/>
      <c r="C361" s="94"/>
      <c r="D361" s="94"/>
      <c r="E361" s="94"/>
      <c r="F361" s="94"/>
      <c r="G361" s="94"/>
      <c r="H361" s="94"/>
      <c r="I361" s="94"/>
      <c r="J361" s="94"/>
      <c r="K361" s="94"/>
      <c r="L361" s="94"/>
      <c r="M361" s="94"/>
      <c r="N361" s="94"/>
      <c r="O361" s="94"/>
      <c r="P361" s="94"/>
      <c r="Q361" s="94"/>
      <c r="R361" s="94"/>
      <c r="S361" s="94"/>
      <c r="T361" s="94"/>
      <c r="U361" s="94"/>
      <c r="V361" s="94"/>
      <c r="W361" s="94"/>
    </row>
    <row r="362" spans="1:23">
      <c r="A362" s="94"/>
      <c r="B362" s="94"/>
      <c r="C362" s="94"/>
      <c r="D362" s="94"/>
      <c r="E362" s="94"/>
      <c r="F362" s="94"/>
      <c r="G362" s="94"/>
      <c r="H362" s="94"/>
      <c r="I362" s="94"/>
      <c r="J362" s="94"/>
      <c r="K362" s="94"/>
      <c r="L362" s="94"/>
      <c r="M362" s="94"/>
      <c r="N362" s="94"/>
      <c r="O362" s="94"/>
      <c r="P362" s="94"/>
      <c r="Q362" s="94"/>
      <c r="R362" s="94"/>
      <c r="S362" s="94"/>
      <c r="T362" s="94"/>
      <c r="U362" s="94"/>
      <c r="V362" s="94"/>
      <c r="W362" s="94"/>
    </row>
    <row r="363" spans="1:23">
      <c r="A363" s="94"/>
      <c r="B363" s="94"/>
      <c r="C363" s="94"/>
      <c r="D363" s="94"/>
      <c r="E363" s="94"/>
      <c r="F363" s="94"/>
      <c r="G363" s="94"/>
      <c r="H363" s="94"/>
      <c r="I363" s="94"/>
      <c r="J363" s="94"/>
      <c r="K363" s="94"/>
      <c r="L363" s="94"/>
      <c r="M363" s="94"/>
      <c r="N363" s="94"/>
      <c r="O363" s="94"/>
      <c r="P363" s="94"/>
      <c r="Q363" s="94"/>
      <c r="R363" s="94"/>
      <c r="S363" s="94"/>
      <c r="T363" s="94"/>
      <c r="U363" s="94"/>
      <c r="V363" s="94"/>
      <c r="W363" s="94"/>
    </row>
    <row r="364" spans="1:23">
      <c r="A364" s="94"/>
      <c r="B364" s="94"/>
      <c r="C364" s="94"/>
      <c r="D364" s="94"/>
      <c r="E364" s="94"/>
      <c r="F364" s="94"/>
      <c r="G364" s="94"/>
      <c r="H364" s="94"/>
      <c r="I364" s="94"/>
      <c r="J364" s="94"/>
      <c r="K364" s="94"/>
      <c r="L364" s="94"/>
      <c r="M364" s="94"/>
      <c r="N364" s="94"/>
      <c r="O364" s="94"/>
      <c r="P364" s="94"/>
      <c r="Q364" s="94"/>
      <c r="R364" s="94"/>
      <c r="S364" s="94"/>
      <c r="T364" s="94"/>
      <c r="U364" s="94"/>
      <c r="V364" s="94"/>
      <c r="W364" s="94"/>
    </row>
    <row r="365" spans="1:23">
      <c r="A365" s="94"/>
      <c r="B365" s="94"/>
      <c r="C365" s="94"/>
      <c r="D365" s="94"/>
      <c r="E365" s="94"/>
      <c r="F365" s="94"/>
      <c r="G365" s="94"/>
      <c r="H365" s="94"/>
      <c r="I365" s="94"/>
      <c r="J365" s="94"/>
      <c r="K365" s="94"/>
      <c r="L365" s="94"/>
      <c r="M365" s="94"/>
      <c r="N365" s="94"/>
      <c r="O365" s="94"/>
      <c r="P365" s="94"/>
      <c r="Q365" s="94"/>
      <c r="R365" s="94"/>
      <c r="S365" s="94"/>
      <c r="T365" s="94"/>
      <c r="U365" s="94"/>
      <c r="V365" s="94"/>
      <c r="W365" s="94"/>
    </row>
    <row r="366" spans="1:23">
      <c r="A366" s="94"/>
      <c r="B366" s="94"/>
      <c r="C366" s="94"/>
      <c r="D366" s="94"/>
      <c r="E366" s="94"/>
      <c r="F366" s="94"/>
      <c r="G366" s="94"/>
      <c r="H366" s="94"/>
      <c r="I366" s="94"/>
      <c r="J366" s="94"/>
      <c r="K366" s="94"/>
      <c r="L366" s="94"/>
      <c r="M366" s="94"/>
      <c r="N366" s="94"/>
      <c r="O366" s="94"/>
      <c r="P366" s="94"/>
      <c r="Q366" s="94"/>
      <c r="R366" s="94"/>
      <c r="S366" s="94"/>
      <c r="T366" s="94"/>
      <c r="U366" s="94"/>
      <c r="V366" s="94"/>
      <c r="W366" s="94"/>
    </row>
    <row r="367" spans="1:23">
      <c r="A367" s="94"/>
      <c r="B367" s="94"/>
      <c r="C367" s="94"/>
      <c r="D367" s="94"/>
      <c r="E367" s="94"/>
      <c r="F367" s="94"/>
      <c r="G367" s="94"/>
      <c r="H367" s="94"/>
      <c r="I367" s="94"/>
      <c r="J367" s="94"/>
      <c r="K367" s="94"/>
      <c r="L367" s="94"/>
      <c r="M367" s="94"/>
      <c r="N367" s="94"/>
      <c r="O367" s="94"/>
      <c r="P367" s="94"/>
      <c r="Q367" s="94"/>
      <c r="R367" s="94"/>
      <c r="S367" s="94"/>
      <c r="T367" s="94"/>
      <c r="U367" s="94"/>
      <c r="V367" s="94"/>
      <c r="W367" s="94"/>
    </row>
    <row r="368" spans="1:23">
      <c r="A368" s="94"/>
      <c r="B368" s="94"/>
      <c r="C368" s="94"/>
      <c r="D368" s="94"/>
      <c r="E368" s="94"/>
      <c r="F368" s="94"/>
      <c r="G368" s="94"/>
      <c r="H368" s="94"/>
      <c r="I368" s="94"/>
      <c r="J368" s="94"/>
      <c r="K368" s="94"/>
      <c r="L368" s="94"/>
      <c r="M368" s="94"/>
      <c r="N368" s="94"/>
      <c r="O368" s="94"/>
      <c r="P368" s="94"/>
      <c r="Q368" s="94"/>
      <c r="R368" s="94"/>
      <c r="S368" s="94"/>
      <c r="T368" s="94"/>
      <c r="U368" s="94"/>
      <c r="V368" s="94"/>
      <c r="W368" s="94"/>
    </row>
    <row r="369" spans="1:23">
      <c r="A369" s="94"/>
      <c r="B369" s="94"/>
      <c r="C369" s="94"/>
      <c r="D369" s="94"/>
      <c r="E369" s="94"/>
      <c r="F369" s="94"/>
      <c r="G369" s="94"/>
      <c r="H369" s="94"/>
      <c r="I369" s="94"/>
      <c r="J369" s="94"/>
      <c r="K369" s="94"/>
      <c r="L369" s="94"/>
      <c r="M369" s="94"/>
      <c r="N369" s="94"/>
      <c r="O369" s="94"/>
      <c r="P369" s="94"/>
      <c r="Q369" s="94"/>
      <c r="R369" s="94"/>
      <c r="S369" s="94"/>
      <c r="T369" s="94"/>
      <c r="U369" s="94"/>
      <c r="V369" s="94"/>
      <c r="W369" s="94"/>
    </row>
    <row r="370" spans="1:23">
      <c r="A370" s="94"/>
      <c r="B370" s="94"/>
      <c r="C370" s="94"/>
      <c r="D370" s="94"/>
      <c r="E370" s="94"/>
      <c r="F370" s="94"/>
      <c r="G370" s="94"/>
      <c r="H370" s="94"/>
      <c r="I370" s="94"/>
      <c r="J370" s="94"/>
      <c r="K370" s="94"/>
      <c r="L370" s="94"/>
      <c r="M370" s="94"/>
      <c r="N370" s="94"/>
      <c r="O370" s="94"/>
      <c r="P370" s="94"/>
      <c r="Q370" s="94"/>
      <c r="R370" s="94"/>
      <c r="S370" s="94"/>
      <c r="T370" s="94"/>
      <c r="U370" s="94"/>
      <c r="V370" s="94"/>
      <c r="W370" s="94"/>
    </row>
    <row r="371" spans="1:23">
      <c r="A371" s="94"/>
      <c r="B371" s="94"/>
      <c r="C371" s="94"/>
      <c r="D371" s="94"/>
      <c r="E371" s="94"/>
      <c r="F371" s="94"/>
      <c r="G371" s="94"/>
      <c r="H371" s="94"/>
      <c r="I371" s="94"/>
      <c r="J371" s="94"/>
      <c r="K371" s="94"/>
      <c r="L371" s="94"/>
      <c r="M371" s="94"/>
      <c r="N371" s="94"/>
      <c r="O371" s="94"/>
      <c r="P371" s="94"/>
      <c r="Q371" s="94"/>
      <c r="R371" s="94"/>
      <c r="S371" s="94"/>
      <c r="T371" s="94"/>
      <c r="U371" s="94"/>
      <c r="V371" s="94"/>
      <c r="W371" s="94"/>
    </row>
    <row r="372" spans="1:23">
      <c r="A372" s="94"/>
      <c r="B372" s="94"/>
      <c r="C372" s="94"/>
      <c r="D372" s="94"/>
      <c r="E372" s="94"/>
      <c r="F372" s="94"/>
      <c r="G372" s="94"/>
      <c r="H372" s="94"/>
      <c r="I372" s="94"/>
      <c r="J372" s="94"/>
      <c r="K372" s="94"/>
      <c r="L372" s="94"/>
      <c r="M372" s="94"/>
      <c r="N372" s="94"/>
      <c r="O372" s="94"/>
      <c r="P372" s="94"/>
      <c r="Q372" s="94"/>
      <c r="R372" s="94"/>
      <c r="S372" s="94"/>
      <c r="T372" s="94"/>
      <c r="U372" s="94"/>
      <c r="V372" s="94"/>
      <c r="W372" s="94"/>
    </row>
    <row r="373" spans="1:23">
      <c r="A373" s="94"/>
      <c r="B373" s="94"/>
      <c r="C373" s="94"/>
      <c r="D373" s="94"/>
      <c r="E373" s="94"/>
      <c r="F373" s="94"/>
      <c r="G373" s="94"/>
      <c r="H373" s="94"/>
      <c r="I373" s="94"/>
      <c r="J373" s="94"/>
      <c r="K373" s="94"/>
      <c r="L373" s="94"/>
      <c r="M373" s="94"/>
      <c r="N373" s="94"/>
      <c r="O373" s="94"/>
      <c r="P373" s="94"/>
      <c r="Q373" s="94"/>
      <c r="R373" s="94"/>
      <c r="S373" s="94"/>
      <c r="T373" s="94"/>
      <c r="U373" s="94"/>
      <c r="V373" s="94"/>
      <c r="W373" s="94"/>
    </row>
    <row r="374" spans="1:23">
      <c r="A374" s="94"/>
      <c r="B374" s="94"/>
      <c r="C374" s="94"/>
      <c r="D374" s="94"/>
      <c r="E374" s="94"/>
      <c r="F374" s="94"/>
      <c r="G374" s="94"/>
      <c r="H374" s="94"/>
      <c r="I374" s="94"/>
      <c r="J374" s="94"/>
      <c r="K374" s="94"/>
      <c r="L374" s="94"/>
      <c r="M374" s="94"/>
      <c r="N374" s="94"/>
      <c r="O374" s="94"/>
      <c r="P374" s="94"/>
      <c r="Q374" s="94"/>
      <c r="R374" s="94"/>
      <c r="S374" s="94"/>
      <c r="T374" s="94"/>
      <c r="U374" s="94"/>
      <c r="V374" s="94"/>
      <c r="W374" s="94"/>
    </row>
    <row r="375" spans="1:23">
      <c r="A375" s="94"/>
      <c r="B375" s="94"/>
      <c r="C375" s="94"/>
      <c r="D375" s="94"/>
      <c r="E375" s="94"/>
      <c r="F375" s="94"/>
      <c r="G375" s="94"/>
      <c r="H375" s="94"/>
      <c r="I375" s="94"/>
      <c r="J375" s="94"/>
      <c r="K375" s="94"/>
      <c r="L375" s="94"/>
      <c r="M375" s="94"/>
      <c r="N375" s="94"/>
      <c r="O375" s="94"/>
      <c r="P375" s="94"/>
      <c r="Q375" s="94"/>
      <c r="R375" s="94"/>
      <c r="S375" s="94"/>
      <c r="T375" s="94"/>
      <c r="U375" s="94"/>
      <c r="V375" s="94"/>
      <c r="W375" s="94"/>
    </row>
    <row r="376" spans="1:23">
      <c r="A376" s="94"/>
      <c r="B376" s="94"/>
      <c r="C376" s="94"/>
      <c r="D376" s="94"/>
      <c r="E376" s="94"/>
      <c r="F376" s="94"/>
      <c r="G376" s="94"/>
      <c r="H376" s="94"/>
      <c r="I376" s="94"/>
      <c r="J376" s="94"/>
      <c r="K376" s="94"/>
      <c r="L376" s="94"/>
      <c r="M376" s="94"/>
      <c r="N376" s="94"/>
      <c r="O376" s="94"/>
      <c r="P376" s="94"/>
      <c r="Q376" s="94"/>
      <c r="R376" s="94"/>
      <c r="S376" s="94"/>
      <c r="T376" s="94"/>
      <c r="U376" s="94"/>
      <c r="V376" s="94"/>
      <c r="W376" s="94"/>
    </row>
    <row r="377" spans="1:23">
      <c r="A377" s="94"/>
      <c r="B377" s="94"/>
      <c r="C377" s="94"/>
      <c r="D377" s="94"/>
      <c r="E377" s="94"/>
      <c r="F377" s="94"/>
      <c r="G377" s="94"/>
      <c r="H377" s="94"/>
      <c r="I377" s="94"/>
      <c r="J377" s="94"/>
      <c r="K377" s="94"/>
      <c r="L377" s="94"/>
      <c r="M377" s="94"/>
      <c r="N377" s="94"/>
      <c r="O377" s="94"/>
      <c r="P377" s="94"/>
      <c r="Q377" s="94"/>
      <c r="R377" s="94"/>
      <c r="S377" s="94"/>
      <c r="T377" s="94"/>
      <c r="U377" s="94"/>
      <c r="V377" s="94"/>
      <c r="W377" s="94"/>
    </row>
    <row r="378" spans="1:23">
      <c r="A378" s="94"/>
      <c r="B378" s="94"/>
      <c r="C378" s="94"/>
      <c r="D378" s="94"/>
      <c r="E378" s="94"/>
      <c r="F378" s="94"/>
      <c r="G378" s="94"/>
      <c r="H378" s="94"/>
      <c r="I378" s="94"/>
      <c r="J378" s="94"/>
      <c r="K378" s="94"/>
      <c r="L378" s="94"/>
      <c r="M378" s="94"/>
      <c r="N378" s="94"/>
      <c r="O378" s="94"/>
      <c r="P378" s="94"/>
      <c r="Q378" s="94"/>
      <c r="R378" s="94"/>
      <c r="S378" s="94"/>
      <c r="T378" s="94"/>
      <c r="U378" s="94"/>
      <c r="V378" s="94"/>
      <c r="W378" s="94"/>
    </row>
    <row r="379" spans="1:23">
      <c r="A379" s="94"/>
      <c r="B379" s="94"/>
      <c r="C379" s="94"/>
      <c r="D379" s="94"/>
      <c r="E379" s="94"/>
      <c r="F379" s="94"/>
      <c r="G379" s="94"/>
      <c r="H379" s="94"/>
      <c r="I379" s="94"/>
      <c r="J379" s="94"/>
      <c r="K379" s="94"/>
      <c r="L379" s="94"/>
      <c r="M379" s="94"/>
      <c r="N379" s="94"/>
      <c r="O379" s="94"/>
      <c r="P379" s="94"/>
      <c r="Q379" s="94"/>
      <c r="R379" s="94"/>
      <c r="S379" s="94"/>
      <c r="T379" s="94"/>
      <c r="U379" s="94"/>
      <c r="V379" s="94"/>
      <c r="W379" s="94"/>
    </row>
    <row r="380" spans="1:23">
      <c r="A380" s="94"/>
      <c r="B380" s="94"/>
      <c r="C380" s="94"/>
      <c r="D380" s="94"/>
      <c r="E380" s="94"/>
      <c r="F380" s="94"/>
      <c r="G380" s="94"/>
      <c r="H380" s="94"/>
      <c r="I380" s="94"/>
      <c r="J380" s="94"/>
      <c r="K380" s="94"/>
      <c r="L380" s="94"/>
      <c r="M380" s="94"/>
      <c r="N380" s="94"/>
      <c r="O380" s="94"/>
      <c r="P380" s="94"/>
      <c r="Q380" s="94"/>
      <c r="R380" s="94"/>
      <c r="S380" s="94"/>
      <c r="T380" s="94"/>
      <c r="U380" s="94"/>
      <c r="V380" s="94"/>
      <c r="W380" s="94"/>
    </row>
    <row r="381" spans="1:23">
      <c r="A381" s="94"/>
      <c r="B381" s="94"/>
      <c r="C381" s="94"/>
      <c r="D381" s="94"/>
      <c r="E381" s="94"/>
      <c r="F381" s="94"/>
      <c r="G381" s="94"/>
      <c r="H381" s="94"/>
      <c r="I381" s="94"/>
      <c r="J381" s="94"/>
      <c r="K381" s="94"/>
      <c r="L381" s="94"/>
      <c r="M381" s="94"/>
      <c r="N381" s="94"/>
      <c r="O381" s="94"/>
      <c r="P381" s="94"/>
      <c r="Q381" s="94"/>
      <c r="R381" s="94"/>
      <c r="S381" s="94"/>
      <c r="T381" s="94"/>
      <c r="U381" s="94"/>
      <c r="V381" s="94"/>
      <c r="W381" s="94"/>
    </row>
    <row r="382" spans="1:23">
      <c r="A382" s="94"/>
      <c r="B382" s="94"/>
      <c r="C382" s="94"/>
      <c r="D382" s="94"/>
      <c r="E382" s="94"/>
      <c r="F382" s="94"/>
      <c r="G382" s="94"/>
      <c r="H382" s="94"/>
      <c r="I382" s="94"/>
      <c r="J382" s="94"/>
      <c r="K382" s="94"/>
      <c r="L382" s="94"/>
      <c r="M382" s="94"/>
      <c r="N382" s="94"/>
      <c r="O382" s="94"/>
      <c r="P382" s="94"/>
      <c r="Q382" s="94"/>
      <c r="R382" s="94"/>
      <c r="S382" s="94"/>
      <c r="T382" s="94"/>
      <c r="U382" s="94"/>
      <c r="V382" s="94"/>
      <c r="W382" s="94"/>
    </row>
    <row r="383" spans="1:23">
      <c r="A383" s="94"/>
      <c r="B383" s="94"/>
      <c r="C383" s="94"/>
      <c r="D383" s="94"/>
      <c r="E383" s="94"/>
      <c r="F383" s="94"/>
      <c r="G383" s="94"/>
      <c r="H383" s="94"/>
      <c r="I383" s="94"/>
      <c r="J383" s="94"/>
      <c r="K383" s="94"/>
      <c r="L383" s="94"/>
      <c r="M383" s="94"/>
      <c r="N383" s="94"/>
      <c r="O383" s="94"/>
      <c r="P383" s="94"/>
      <c r="Q383" s="94"/>
      <c r="R383" s="94"/>
      <c r="S383" s="94"/>
      <c r="T383" s="94"/>
      <c r="U383" s="94"/>
      <c r="V383" s="94"/>
      <c r="W383" s="94"/>
    </row>
    <row r="384" spans="1:23">
      <c r="A384" s="94"/>
      <c r="B384" s="94"/>
      <c r="C384" s="94"/>
      <c r="D384" s="94"/>
      <c r="E384" s="94"/>
      <c r="F384" s="94"/>
      <c r="G384" s="94"/>
      <c r="H384" s="94"/>
      <c r="I384" s="94"/>
      <c r="J384" s="94"/>
      <c r="K384" s="94"/>
      <c r="L384" s="94"/>
      <c r="M384" s="94"/>
      <c r="N384" s="94"/>
      <c r="O384" s="94"/>
      <c r="P384" s="94"/>
      <c r="Q384" s="94"/>
      <c r="R384" s="94"/>
      <c r="S384" s="94"/>
      <c r="T384" s="94"/>
      <c r="U384" s="94"/>
      <c r="V384" s="94"/>
      <c r="W384" s="94"/>
    </row>
    <row r="385" spans="1:23">
      <c r="A385" s="94"/>
      <c r="B385" s="94"/>
      <c r="C385" s="94"/>
      <c r="D385" s="94"/>
      <c r="E385" s="94"/>
      <c r="F385" s="94"/>
      <c r="G385" s="94"/>
      <c r="H385" s="94"/>
      <c r="I385" s="94"/>
      <c r="J385" s="94"/>
      <c r="K385" s="94"/>
      <c r="L385" s="94"/>
      <c r="M385" s="94"/>
      <c r="N385" s="94"/>
      <c r="O385" s="94"/>
      <c r="P385" s="94"/>
      <c r="Q385" s="94"/>
      <c r="R385" s="94"/>
      <c r="S385" s="94"/>
      <c r="T385" s="94"/>
      <c r="U385" s="94"/>
      <c r="V385" s="94"/>
      <c r="W385" s="94"/>
    </row>
    <row r="386" spans="1:23">
      <c r="A386" s="94"/>
      <c r="B386" s="94"/>
      <c r="C386" s="94"/>
      <c r="D386" s="94"/>
      <c r="E386" s="94"/>
      <c r="F386" s="94"/>
      <c r="G386" s="94"/>
      <c r="H386" s="94"/>
      <c r="I386" s="94"/>
      <c r="J386" s="94"/>
      <c r="K386" s="94"/>
      <c r="L386" s="94"/>
      <c r="M386" s="94"/>
      <c r="N386" s="94"/>
      <c r="O386" s="94"/>
      <c r="P386" s="94"/>
      <c r="Q386" s="94"/>
      <c r="R386" s="94"/>
      <c r="S386" s="94"/>
      <c r="T386" s="94"/>
      <c r="U386" s="94"/>
      <c r="V386" s="94"/>
      <c r="W386" s="94"/>
    </row>
    <row r="387" spans="1:23">
      <c r="A387" s="94"/>
      <c r="B387" s="94"/>
      <c r="C387" s="94"/>
      <c r="D387" s="94"/>
      <c r="E387" s="94"/>
      <c r="F387" s="94"/>
      <c r="G387" s="94"/>
      <c r="H387" s="94"/>
      <c r="I387" s="94"/>
      <c r="J387" s="94"/>
      <c r="K387" s="94"/>
      <c r="L387" s="94"/>
      <c r="M387" s="94"/>
      <c r="N387" s="94"/>
      <c r="O387" s="94"/>
      <c r="P387" s="94"/>
      <c r="Q387" s="94"/>
      <c r="R387" s="94"/>
      <c r="S387" s="94"/>
      <c r="T387" s="94"/>
      <c r="U387" s="94"/>
      <c r="V387" s="94"/>
      <c r="W387" s="94"/>
    </row>
    <row r="388" spans="1:23">
      <c r="A388" s="94"/>
      <c r="B388" s="94"/>
      <c r="C388" s="94"/>
      <c r="D388" s="94"/>
      <c r="E388" s="94"/>
      <c r="F388" s="94"/>
      <c r="G388" s="94"/>
      <c r="H388" s="94"/>
      <c r="I388" s="94"/>
      <c r="J388" s="94"/>
      <c r="K388" s="94"/>
      <c r="L388" s="94"/>
      <c r="M388" s="94"/>
      <c r="N388" s="94"/>
      <c r="O388" s="94"/>
      <c r="P388" s="94"/>
      <c r="Q388" s="94"/>
      <c r="R388" s="94"/>
      <c r="S388" s="94"/>
      <c r="T388" s="94"/>
      <c r="U388" s="94"/>
      <c r="V388" s="94"/>
      <c r="W388" s="94"/>
    </row>
    <row r="389" spans="1:23">
      <c r="A389" s="94"/>
      <c r="B389" s="94"/>
      <c r="C389" s="94"/>
      <c r="D389" s="94"/>
      <c r="E389" s="94"/>
      <c r="F389" s="94"/>
      <c r="G389" s="94"/>
      <c r="H389" s="94"/>
      <c r="I389" s="94"/>
      <c r="J389" s="94"/>
      <c r="K389" s="94"/>
      <c r="L389" s="94"/>
      <c r="M389" s="94"/>
      <c r="N389" s="94"/>
      <c r="O389" s="94"/>
      <c r="P389" s="94"/>
      <c r="Q389" s="94"/>
      <c r="R389" s="94"/>
      <c r="S389" s="94"/>
      <c r="T389" s="94"/>
      <c r="U389" s="94"/>
      <c r="V389" s="94"/>
      <c r="W389" s="94"/>
    </row>
    <row r="390" spans="1:23">
      <c r="A390" s="94"/>
      <c r="B390" s="94"/>
      <c r="C390" s="94"/>
      <c r="D390" s="94"/>
      <c r="E390" s="94"/>
      <c r="F390" s="94"/>
      <c r="G390" s="94"/>
      <c r="H390" s="94"/>
      <c r="I390" s="94"/>
      <c r="J390" s="94"/>
      <c r="K390" s="94"/>
      <c r="L390" s="94"/>
      <c r="M390" s="94"/>
      <c r="N390" s="94"/>
      <c r="O390" s="94"/>
      <c r="P390" s="94"/>
      <c r="Q390" s="94"/>
      <c r="R390" s="94"/>
      <c r="S390" s="94"/>
      <c r="T390" s="94"/>
      <c r="U390" s="94"/>
      <c r="V390" s="94"/>
      <c r="W390" s="94"/>
    </row>
    <row r="391" spans="1:23">
      <c r="A391" s="94"/>
      <c r="B391" s="94"/>
      <c r="C391" s="94"/>
      <c r="D391" s="94"/>
      <c r="E391" s="94"/>
      <c r="F391" s="94"/>
      <c r="G391" s="94"/>
      <c r="H391" s="94"/>
      <c r="I391" s="94"/>
      <c r="J391" s="94"/>
      <c r="K391" s="94"/>
      <c r="L391" s="94"/>
      <c r="M391" s="94"/>
      <c r="N391" s="94"/>
      <c r="O391" s="94"/>
      <c r="P391" s="94"/>
      <c r="Q391" s="94"/>
      <c r="R391" s="94"/>
      <c r="S391" s="94"/>
      <c r="T391" s="94"/>
      <c r="U391" s="94"/>
      <c r="V391" s="94"/>
      <c r="W391" s="94"/>
    </row>
    <row r="392" spans="1:23">
      <c r="A392" s="94"/>
      <c r="B392" s="94"/>
      <c r="C392" s="94"/>
      <c r="D392" s="94"/>
      <c r="E392" s="94"/>
      <c r="F392" s="94"/>
      <c r="G392" s="94"/>
      <c r="H392" s="94"/>
      <c r="I392" s="94"/>
      <c r="J392" s="94"/>
      <c r="K392" s="94"/>
      <c r="L392" s="94"/>
      <c r="M392" s="94"/>
      <c r="N392" s="94"/>
      <c r="O392" s="94"/>
      <c r="P392" s="94"/>
      <c r="Q392" s="94"/>
      <c r="R392" s="94"/>
      <c r="S392" s="94"/>
      <c r="T392" s="94"/>
      <c r="U392" s="94"/>
      <c r="V392" s="94"/>
      <c r="W392" s="94"/>
    </row>
    <row r="393" spans="1:23">
      <c r="A393" s="94"/>
      <c r="B393" s="94"/>
      <c r="C393" s="94"/>
      <c r="D393" s="94"/>
      <c r="E393" s="94"/>
      <c r="F393" s="94"/>
      <c r="G393" s="94"/>
      <c r="H393" s="94"/>
      <c r="I393" s="94"/>
      <c r="J393" s="94"/>
      <c r="K393" s="94"/>
      <c r="L393" s="94"/>
      <c r="M393" s="94"/>
      <c r="N393" s="94"/>
      <c r="O393" s="94"/>
      <c r="P393" s="94"/>
      <c r="Q393" s="94"/>
      <c r="R393" s="94"/>
      <c r="S393" s="94"/>
      <c r="T393" s="94"/>
      <c r="U393" s="94"/>
      <c r="V393" s="94"/>
      <c r="W393" s="94"/>
    </row>
    <row r="394" spans="1:23">
      <c r="A394" s="94"/>
      <c r="B394" s="94"/>
      <c r="C394" s="94"/>
      <c r="D394" s="94"/>
      <c r="E394" s="94"/>
      <c r="F394" s="94"/>
      <c r="G394" s="94"/>
      <c r="H394" s="94"/>
      <c r="I394" s="94"/>
      <c r="J394" s="94"/>
      <c r="K394" s="94"/>
      <c r="L394" s="94"/>
      <c r="M394" s="94"/>
      <c r="N394" s="94"/>
      <c r="O394" s="94"/>
      <c r="P394" s="94"/>
      <c r="Q394" s="94"/>
      <c r="R394" s="94"/>
      <c r="S394" s="94"/>
      <c r="T394" s="94"/>
      <c r="U394" s="94"/>
      <c r="V394" s="94"/>
      <c r="W394" s="94"/>
    </row>
    <row r="395" spans="1:23">
      <c r="A395" s="94"/>
      <c r="B395" s="94"/>
      <c r="C395" s="94"/>
      <c r="D395" s="94"/>
      <c r="E395" s="94"/>
      <c r="F395" s="94"/>
      <c r="G395" s="94"/>
      <c r="H395" s="94"/>
      <c r="I395" s="94"/>
      <c r="J395" s="94"/>
      <c r="K395" s="94"/>
      <c r="L395" s="94"/>
      <c r="M395" s="94"/>
      <c r="N395" s="94"/>
      <c r="O395" s="94"/>
      <c r="P395" s="94"/>
      <c r="Q395" s="94"/>
      <c r="R395" s="94"/>
      <c r="S395" s="94"/>
      <c r="T395" s="94"/>
      <c r="U395" s="94"/>
      <c r="V395" s="94"/>
      <c r="W395" s="94"/>
    </row>
    <row r="396" spans="1:23">
      <c r="A396" s="94"/>
      <c r="B396" s="94"/>
      <c r="C396" s="94"/>
      <c r="D396" s="94"/>
      <c r="E396" s="94"/>
      <c r="F396" s="94"/>
      <c r="G396" s="94"/>
      <c r="H396" s="94"/>
      <c r="I396" s="94"/>
      <c r="J396" s="94"/>
      <c r="K396" s="94"/>
      <c r="L396" s="94"/>
      <c r="M396" s="94"/>
      <c r="N396" s="94"/>
      <c r="O396" s="94"/>
      <c r="P396" s="94"/>
      <c r="Q396" s="94"/>
      <c r="R396" s="94"/>
      <c r="S396" s="94"/>
      <c r="T396" s="94"/>
      <c r="U396" s="94"/>
      <c r="V396" s="94"/>
      <c r="W396" s="94"/>
    </row>
    <row r="397" spans="1:23">
      <c r="A397" s="94"/>
      <c r="B397" s="94"/>
      <c r="C397" s="94"/>
      <c r="D397" s="94"/>
      <c r="E397" s="94"/>
      <c r="F397" s="94"/>
      <c r="G397" s="94"/>
      <c r="H397" s="94"/>
      <c r="I397" s="94"/>
      <c r="J397" s="94"/>
      <c r="K397" s="94"/>
      <c r="L397" s="94"/>
      <c r="M397" s="94"/>
      <c r="N397" s="94"/>
      <c r="O397" s="94"/>
      <c r="P397" s="94"/>
      <c r="Q397" s="94"/>
      <c r="R397" s="94"/>
      <c r="S397" s="94"/>
      <c r="T397" s="94"/>
      <c r="U397" s="94"/>
      <c r="V397" s="94"/>
      <c r="W397" s="94"/>
    </row>
    <row r="398" spans="1:23">
      <c r="A398" s="94"/>
      <c r="B398" s="94"/>
      <c r="C398" s="94"/>
      <c r="D398" s="94"/>
      <c r="E398" s="94"/>
      <c r="F398" s="94"/>
      <c r="G398" s="94"/>
      <c r="H398" s="94"/>
      <c r="I398" s="94"/>
      <c r="J398" s="94"/>
      <c r="K398" s="94"/>
      <c r="L398" s="94"/>
      <c r="M398" s="94"/>
      <c r="N398" s="94"/>
      <c r="O398" s="94"/>
      <c r="P398" s="94"/>
      <c r="Q398" s="94"/>
      <c r="R398" s="94"/>
      <c r="S398" s="94"/>
      <c r="T398" s="94"/>
      <c r="U398" s="94"/>
      <c r="V398" s="94"/>
      <c r="W398" s="94"/>
    </row>
    <row r="399" spans="1:23">
      <c r="A399" s="94"/>
      <c r="B399" s="94"/>
      <c r="C399" s="94"/>
      <c r="D399" s="94"/>
      <c r="E399" s="94"/>
      <c r="F399" s="94"/>
      <c r="G399" s="94"/>
      <c r="H399" s="94"/>
      <c r="I399" s="94"/>
      <c r="J399" s="94"/>
      <c r="K399" s="94"/>
      <c r="L399" s="94"/>
      <c r="M399" s="94"/>
      <c r="N399" s="94"/>
      <c r="O399" s="94"/>
      <c r="P399" s="94"/>
      <c r="Q399" s="94"/>
      <c r="R399" s="94"/>
      <c r="S399" s="94"/>
      <c r="T399" s="94"/>
      <c r="U399" s="94"/>
      <c r="V399" s="94"/>
      <c r="W399" s="94"/>
    </row>
    <row r="400" spans="1:23">
      <c r="A400" s="94"/>
      <c r="B400" s="94"/>
      <c r="C400" s="94"/>
      <c r="D400" s="94"/>
      <c r="E400" s="94"/>
      <c r="F400" s="94"/>
      <c r="G400" s="94"/>
      <c r="H400" s="94"/>
      <c r="I400" s="94"/>
      <c r="J400" s="94"/>
      <c r="K400" s="94"/>
      <c r="L400" s="94"/>
      <c r="M400" s="94"/>
      <c r="N400" s="94"/>
      <c r="O400" s="94"/>
      <c r="P400" s="94"/>
      <c r="Q400" s="94"/>
      <c r="R400" s="94"/>
      <c r="S400" s="94"/>
      <c r="T400" s="94"/>
      <c r="U400" s="94"/>
      <c r="V400" s="94"/>
      <c r="W400" s="94"/>
    </row>
    <row r="401" spans="1:23">
      <c r="A401" s="94"/>
      <c r="B401" s="94"/>
      <c r="C401" s="94"/>
      <c r="D401" s="94"/>
      <c r="E401" s="94"/>
      <c r="F401" s="94"/>
      <c r="G401" s="94"/>
      <c r="H401" s="94"/>
      <c r="I401" s="94"/>
      <c r="J401" s="94"/>
      <c r="K401" s="94"/>
      <c r="L401" s="94"/>
      <c r="M401" s="94"/>
      <c r="N401" s="94"/>
      <c r="O401" s="94"/>
      <c r="P401" s="94"/>
      <c r="Q401" s="94"/>
      <c r="R401" s="94"/>
      <c r="S401" s="94"/>
      <c r="T401" s="94"/>
      <c r="U401" s="94"/>
      <c r="V401" s="94"/>
      <c r="W401" s="94"/>
    </row>
    <row r="402" spans="1:23">
      <c r="A402" s="94"/>
      <c r="B402" s="94"/>
      <c r="C402" s="94"/>
      <c r="D402" s="94"/>
      <c r="E402" s="94"/>
      <c r="F402" s="94"/>
      <c r="G402" s="94"/>
      <c r="H402" s="94"/>
      <c r="I402" s="94"/>
      <c r="J402" s="94"/>
      <c r="K402" s="94"/>
      <c r="L402" s="94"/>
      <c r="M402" s="94"/>
      <c r="N402" s="94"/>
      <c r="O402" s="94"/>
      <c r="P402" s="94"/>
      <c r="Q402" s="94"/>
      <c r="R402" s="94"/>
      <c r="S402" s="94"/>
      <c r="T402" s="94"/>
      <c r="U402" s="94"/>
      <c r="V402" s="94"/>
      <c r="W402" s="94"/>
    </row>
    <row r="403" spans="1:23">
      <c r="A403" s="94"/>
      <c r="B403" s="94"/>
      <c r="C403" s="94"/>
      <c r="D403" s="94"/>
      <c r="E403" s="94"/>
      <c r="F403" s="94"/>
      <c r="G403" s="94"/>
      <c r="H403" s="94"/>
      <c r="I403" s="94"/>
      <c r="J403" s="94"/>
      <c r="K403" s="94"/>
      <c r="L403" s="94"/>
      <c r="M403" s="94"/>
      <c r="N403" s="94"/>
      <c r="O403" s="94"/>
      <c r="P403" s="94"/>
      <c r="Q403" s="94"/>
      <c r="R403" s="94"/>
      <c r="S403" s="94"/>
      <c r="T403" s="94"/>
      <c r="U403" s="94"/>
      <c r="V403" s="94"/>
      <c r="W403" s="94"/>
    </row>
    <row r="404" spans="1:23">
      <c r="A404" s="94"/>
      <c r="B404" s="94"/>
      <c r="C404" s="94"/>
      <c r="D404" s="94"/>
      <c r="E404" s="94"/>
      <c r="F404" s="94"/>
      <c r="G404" s="94"/>
      <c r="H404" s="94"/>
      <c r="I404" s="94"/>
      <c r="J404" s="94"/>
      <c r="K404" s="94"/>
      <c r="L404" s="94"/>
      <c r="M404" s="94"/>
      <c r="N404" s="94"/>
      <c r="O404" s="94"/>
      <c r="P404" s="94"/>
      <c r="Q404" s="94"/>
      <c r="R404" s="94"/>
      <c r="S404" s="94"/>
      <c r="T404" s="94"/>
      <c r="U404" s="94"/>
      <c r="V404" s="94"/>
      <c r="W404" s="94"/>
    </row>
    <row r="405" spans="1:23">
      <c r="A405" s="94"/>
      <c r="B405" s="94"/>
      <c r="C405" s="94"/>
      <c r="D405" s="94"/>
      <c r="E405" s="94"/>
      <c r="F405" s="94"/>
      <c r="G405" s="94"/>
      <c r="H405" s="94"/>
      <c r="I405" s="94"/>
      <c r="J405" s="94"/>
      <c r="K405" s="94"/>
      <c r="L405" s="94"/>
      <c r="M405" s="94"/>
      <c r="N405" s="94"/>
      <c r="O405" s="94"/>
      <c r="P405" s="94"/>
      <c r="Q405" s="94"/>
      <c r="R405" s="94"/>
      <c r="S405" s="94"/>
      <c r="T405" s="94"/>
      <c r="U405" s="94"/>
      <c r="V405" s="94"/>
      <c r="W405" s="94"/>
    </row>
    <row r="406" spans="1:23">
      <c r="A406" s="94"/>
      <c r="B406" s="94"/>
      <c r="C406" s="94"/>
      <c r="D406" s="94"/>
      <c r="E406" s="94"/>
      <c r="F406" s="94"/>
      <c r="G406" s="94"/>
      <c r="H406" s="94"/>
      <c r="I406" s="94"/>
      <c r="J406" s="94"/>
      <c r="K406" s="94"/>
      <c r="L406" s="94"/>
      <c r="M406" s="94"/>
      <c r="N406" s="94"/>
      <c r="O406" s="94"/>
      <c r="P406" s="94"/>
      <c r="Q406" s="94"/>
      <c r="R406" s="94"/>
      <c r="S406" s="94"/>
      <c r="T406" s="94"/>
      <c r="U406" s="94"/>
      <c r="V406" s="94"/>
      <c r="W406" s="94"/>
    </row>
    <row r="407" spans="1:23">
      <c r="A407" s="94"/>
      <c r="B407" s="94"/>
      <c r="C407" s="94"/>
      <c r="D407" s="94"/>
      <c r="E407" s="94"/>
      <c r="F407" s="94"/>
      <c r="G407" s="94"/>
      <c r="H407" s="94"/>
      <c r="I407" s="94"/>
      <c r="J407" s="94"/>
      <c r="K407" s="94"/>
      <c r="L407" s="94"/>
      <c r="M407" s="94"/>
      <c r="N407" s="94"/>
      <c r="O407" s="94"/>
      <c r="P407" s="94"/>
      <c r="Q407" s="94"/>
      <c r="R407" s="94"/>
      <c r="S407" s="94"/>
      <c r="T407" s="94"/>
      <c r="U407" s="94"/>
      <c r="V407" s="94"/>
      <c r="W407" s="94"/>
    </row>
    <row r="408" spans="1:23">
      <c r="A408" s="94"/>
      <c r="B408" s="94"/>
      <c r="C408" s="94"/>
      <c r="D408" s="94"/>
      <c r="E408" s="94"/>
      <c r="F408" s="94"/>
      <c r="G408" s="94"/>
      <c r="H408" s="94"/>
      <c r="I408" s="94"/>
      <c r="J408" s="94"/>
      <c r="K408" s="94"/>
      <c r="L408" s="94"/>
      <c r="M408" s="94"/>
      <c r="N408" s="94"/>
      <c r="O408" s="94"/>
      <c r="P408" s="94"/>
      <c r="Q408" s="94"/>
      <c r="R408" s="94"/>
      <c r="S408" s="94"/>
      <c r="T408" s="94"/>
      <c r="U408" s="94"/>
      <c r="V408" s="94"/>
      <c r="W408" s="94"/>
    </row>
    <row r="409" spans="1:23">
      <c r="A409" s="94"/>
      <c r="B409" s="94"/>
      <c r="C409" s="94"/>
      <c r="D409" s="94"/>
      <c r="E409" s="94"/>
      <c r="F409" s="94"/>
      <c r="G409" s="94"/>
      <c r="H409" s="94"/>
      <c r="I409" s="94"/>
      <c r="J409" s="94"/>
      <c r="K409" s="94"/>
      <c r="L409" s="94"/>
      <c r="M409" s="94"/>
      <c r="N409" s="94"/>
      <c r="O409" s="94"/>
      <c r="P409" s="94"/>
      <c r="Q409" s="94"/>
      <c r="R409" s="94"/>
      <c r="S409" s="94"/>
      <c r="T409" s="94"/>
      <c r="U409" s="94"/>
      <c r="V409" s="94"/>
      <c r="W409" s="94"/>
    </row>
    <row r="410" spans="1:23">
      <c r="A410" s="94"/>
      <c r="B410" s="94"/>
      <c r="C410" s="94"/>
      <c r="D410" s="94"/>
      <c r="E410" s="94"/>
      <c r="F410" s="94"/>
      <c r="G410" s="94"/>
      <c r="H410" s="94"/>
      <c r="I410" s="94"/>
      <c r="J410" s="94"/>
      <c r="K410" s="94"/>
      <c r="L410" s="94"/>
      <c r="M410" s="94"/>
      <c r="N410" s="94"/>
      <c r="O410" s="94"/>
      <c r="P410" s="94"/>
      <c r="Q410" s="94"/>
      <c r="R410" s="94"/>
      <c r="S410" s="94"/>
      <c r="T410" s="94"/>
      <c r="U410" s="94"/>
      <c r="V410" s="94"/>
      <c r="W410" s="94"/>
    </row>
    <row r="411" spans="1:23">
      <c r="A411" s="94"/>
      <c r="B411" s="94"/>
      <c r="C411" s="94"/>
      <c r="D411" s="94"/>
      <c r="E411" s="94"/>
      <c r="F411" s="94"/>
      <c r="G411" s="94"/>
      <c r="H411" s="94"/>
      <c r="I411" s="94"/>
      <c r="J411" s="94"/>
      <c r="K411" s="94"/>
      <c r="L411" s="94"/>
      <c r="M411" s="94"/>
      <c r="N411" s="94"/>
      <c r="O411" s="94"/>
      <c r="P411" s="94"/>
      <c r="Q411" s="94"/>
      <c r="R411" s="94"/>
      <c r="S411" s="94"/>
      <c r="T411" s="94"/>
      <c r="U411" s="94"/>
      <c r="V411" s="94"/>
      <c r="W411" s="94"/>
    </row>
    <row r="412" spans="1:23">
      <c r="A412" s="94"/>
      <c r="B412" s="94"/>
      <c r="C412" s="94"/>
      <c r="D412" s="94"/>
      <c r="E412" s="94"/>
      <c r="F412" s="94"/>
      <c r="G412" s="94"/>
      <c r="H412" s="94"/>
      <c r="I412" s="94"/>
      <c r="J412" s="94"/>
      <c r="K412" s="94"/>
      <c r="L412" s="94"/>
      <c r="M412" s="94"/>
      <c r="N412" s="94"/>
      <c r="O412" s="94"/>
      <c r="P412" s="94"/>
      <c r="Q412" s="94"/>
      <c r="R412" s="94"/>
      <c r="S412" s="94"/>
      <c r="T412" s="94"/>
      <c r="U412" s="94"/>
      <c r="V412" s="94"/>
      <c r="W412" s="94"/>
    </row>
    <row r="413" spans="1:23">
      <c r="A413" s="94"/>
      <c r="B413" s="94"/>
      <c r="C413" s="94"/>
      <c r="D413" s="94"/>
      <c r="E413" s="94"/>
      <c r="F413" s="94"/>
      <c r="G413" s="94"/>
      <c r="H413" s="94"/>
      <c r="I413" s="94"/>
      <c r="J413" s="94"/>
      <c r="K413" s="94"/>
      <c r="L413" s="94"/>
      <c r="M413" s="94"/>
      <c r="N413" s="94"/>
      <c r="O413" s="94"/>
      <c r="P413" s="94"/>
      <c r="Q413" s="94"/>
      <c r="R413" s="94"/>
      <c r="S413" s="94"/>
      <c r="T413" s="94"/>
      <c r="U413" s="94"/>
      <c r="V413" s="94"/>
      <c r="W413" s="94"/>
    </row>
    <row r="414" spans="1:23">
      <c r="A414" s="94"/>
      <c r="B414" s="94"/>
      <c r="C414" s="94"/>
      <c r="D414" s="94"/>
      <c r="E414" s="94"/>
      <c r="F414" s="94"/>
      <c r="G414" s="94"/>
      <c r="H414" s="94"/>
      <c r="I414" s="94"/>
      <c r="J414" s="94"/>
      <c r="K414" s="94"/>
      <c r="L414" s="94"/>
      <c r="M414" s="94"/>
      <c r="N414" s="94"/>
      <c r="O414" s="94"/>
      <c r="P414" s="94"/>
      <c r="Q414" s="94"/>
      <c r="R414" s="94"/>
      <c r="S414" s="94"/>
      <c r="T414" s="94"/>
      <c r="U414" s="94"/>
      <c r="V414" s="94"/>
      <c r="W414" s="94"/>
    </row>
    <row r="415" spans="1:23">
      <c r="A415" s="94"/>
      <c r="B415" s="94"/>
      <c r="C415" s="94"/>
      <c r="D415" s="94"/>
      <c r="E415" s="94"/>
      <c r="F415" s="94"/>
      <c r="G415" s="94"/>
      <c r="H415" s="94"/>
      <c r="I415" s="94"/>
      <c r="J415" s="94"/>
      <c r="K415" s="94"/>
      <c r="L415" s="94"/>
      <c r="M415" s="94"/>
      <c r="N415" s="94"/>
      <c r="O415" s="94"/>
      <c r="P415" s="94"/>
      <c r="Q415" s="94"/>
      <c r="R415" s="94"/>
      <c r="S415" s="94"/>
      <c r="T415" s="94"/>
      <c r="U415" s="94"/>
      <c r="V415" s="94"/>
      <c r="W415" s="94"/>
    </row>
    <row r="416" spans="1:23">
      <c r="A416" s="94"/>
      <c r="B416" s="94"/>
      <c r="C416" s="94"/>
      <c r="D416" s="94"/>
      <c r="E416" s="94"/>
      <c r="F416" s="94"/>
      <c r="G416" s="94"/>
      <c r="H416" s="94"/>
      <c r="I416" s="94"/>
      <c r="J416" s="94"/>
      <c r="K416" s="94"/>
      <c r="L416" s="94"/>
      <c r="M416" s="94"/>
      <c r="N416" s="94"/>
      <c r="O416" s="94"/>
      <c r="P416" s="94"/>
      <c r="Q416" s="94"/>
      <c r="R416" s="94"/>
      <c r="S416" s="94"/>
      <c r="T416" s="94"/>
      <c r="U416" s="94"/>
      <c r="V416" s="94"/>
      <c r="W416" s="94"/>
    </row>
    <row r="417" spans="1:23">
      <c r="A417" s="94"/>
      <c r="B417" s="94"/>
      <c r="C417" s="94"/>
      <c r="D417" s="94"/>
      <c r="E417" s="94"/>
      <c r="F417" s="94"/>
      <c r="G417" s="94"/>
      <c r="H417" s="94"/>
      <c r="I417" s="94"/>
      <c r="J417" s="94"/>
      <c r="K417" s="94"/>
      <c r="L417" s="94"/>
      <c r="M417" s="94"/>
      <c r="N417" s="94"/>
      <c r="O417" s="94"/>
      <c r="P417" s="94"/>
      <c r="Q417" s="94"/>
      <c r="R417" s="94"/>
      <c r="S417" s="94"/>
      <c r="T417" s="94"/>
      <c r="U417" s="94"/>
      <c r="V417" s="94"/>
      <c r="W417" s="94"/>
    </row>
    <row r="418" spans="1:23">
      <c r="A418" s="94"/>
      <c r="B418" s="94"/>
      <c r="C418" s="94"/>
      <c r="D418" s="94"/>
      <c r="E418" s="94"/>
      <c r="F418" s="94"/>
      <c r="G418" s="94"/>
      <c r="H418" s="94"/>
      <c r="I418" s="94"/>
      <c r="J418" s="94"/>
      <c r="K418" s="94"/>
      <c r="L418" s="94"/>
      <c r="M418" s="94"/>
      <c r="N418" s="94"/>
      <c r="O418" s="94"/>
      <c r="P418" s="94"/>
      <c r="Q418" s="94"/>
      <c r="R418" s="94"/>
      <c r="S418" s="94"/>
      <c r="T418" s="94"/>
      <c r="U418" s="94"/>
      <c r="V418" s="94"/>
      <c r="W418" s="94"/>
    </row>
    <row r="419" spans="1:23">
      <c r="A419" s="94"/>
      <c r="B419" s="94"/>
      <c r="C419" s="94"/>
      <c r="D419" s="94"/>
      <c r="E419" s="94"/>
      <c r="F419" s="94"/>
      <c r="G419" s="94"/>
      <c r="H419" s="94"/>
      <c r="I419" s="94"/>
      <c r="J419" s="94"/>
      <c r="K419" s="94"/>
      <c r="L419" s="94"/>
      <c r="M419" s="94"/>
      <c r="N419" s="94"/>
      <c r="O419" s="94"/>
      <c r="P419" s="94"/>
      <c r="Q419" s="94"/>
      <c r="R419" s="94"/>
      <c r="S419" s="94"/>
      <c r="T419" s="94"/>
      <c r="U419" s="94"/>
      <c r="V419" s="94"/>
      <c r="W419" s="94"/>
    </row>
    <row r="420" spans="1:23">
      <c r="A420" s="94"/>
      <c r="B420" s="94"/>
      <c r="C420" s="94"/>
      <c r="D420" s="94"/>
      <c r="E420" s="94"/>
      <c r="F420" s="94"/>
      <c r="G420" s="94"/>
      <c r="H420" s="94"/>
      <c r="I420" s="94"/>
      <c r="J420" s="94"/>
      <c r="K420" s="94"/>
      <c r="L420" s="94"/>
      <c r="M420" s="94"/>
      <c r="N420" s="94"/>
      <c r="O420" s="94"/>
      <c r="P420" s="94"/>
      <c r="Q420" s="94"/>
      <c r="R420" s="94"/>
      <c r="S420" s="94"/>
      <c r="T420" s="94"/>
      <c r="U420" s="94"/>
      <c r="V420" s="94"/>
      <c r="W420" s="94"/>
    </row>
    <row r="421" spans="1:23">
      <c r="A421" s="94"/>
      <c r="B421" s="94"/>
      <c r="C421" s="94"/>
      <c r="D421" s="94"/>
      <c r="E421" s="94"/>
      <c r="F421" s="94"/>
      <c r="G421" s="94"/>
      <c r="H421" s="94"/>
      <c r="I421" s="94"/>
      <c r="J421" s="94"/>
      <c r="K421" s="94"/>
      <c r="L421" s="94"/>
      <c r="M421" s="94"/>
      <c r="N421" s="94"/>
      <c r="O421" s="94"/>
      <c r="P421" s="94"/>
      <c r="Q421" s="94"/>
      <c r="R421" s="94"/>
      <c r="S421" s="94"/>
      <c r="T421" s="94"/>
      <c r="U421" s="94"/>
      <c r="V421" s="94"/>
      <c r="W421" s="94"/>
    </row>
    <row r="422" spans="1:23">
      <c r="A422" s="94"/>
      <c r="B422" s="94"/>
      <c r="C422" s="94"/>
      <c r="D422" s="94"/>
      <c r="E422" s="94"/>
      <c r="F422" s="94"/>
      <c r="G422" s="94"/>
      <c r="H422" s="94"/>
      <c r="I422" s="94"/>
      <c r="J422" s="94"/>
      <c r="K422" s="94"/>
      <c r="L422" s="94"/>
      <c r="M422" s="94"/>
      <c r="N422" s="94"/>
      <c r="O422" s="94"/>
      <c r="P422" s="94"/>
      <c r="Q422" s="94"/>
      <c r="R422" s="94"/>
      <c r="S422" s="94"/>
      <c r="T422" s="94"/>
      <c r="U422" s="94"/>
      <c r="V422" s="94"/>
      <c r="W422" s="94"/>
    </row>
    <row r="423" spans="1:23">
      <c r="A423" s="94"/>
      <c r="B423" s="94"/>
      <c r="C423" s="94"/>
      <c r="D423" s="94"/>
      <c r="E423" s="94"/>
      <c r="F423" s="94"/>
      <c r="G423" s="94"/>
      <c r="H423" s="94"/>
      <c r="I423" s="94"/>
      <c r="J423" s="94"/>
      <c r="K423" s="94"/>
      <c r="L423" s="94"/>
      <c r="M423" s="94"/>
      <c r="N423" s="94"/>
      <c r="O423" s="94"/>
      <c r="P423" s="94"/>
      <c r="Q423" s="94"/>
      <c r="R423" s="94"/>
      <c r="S423" s="94"/>
      <c r="T423" s="94"/>
      <c r="U423" s="94"/>
      <c r="V423" s="94"/>
      <c r="W423" s="94"/>
    </row>
    <row r="424" spans="1:23">
      <c r="A424" s="94"/>
      <c r="B424" s="94"/>
      <c r="C424" s="94"/>
      <c r="D424" s="94"/>
      <c r="E424" s="94"/>
      <c r="F424" s="94"/>
      <c r="G424" s="94"/>
      <c r="H424" s="94"/>
      <c r="I424" s="94"/>
      <c r="J424" s="94"/>
      <c r="K424" s="94"/>
      <c r="L424" s="94"/>
      <c r="M424" s="94"/>
      <c r="N424" s="94"/>
      <c r="O424" s="94"/>
      <c r="P424" s="94"/>
      <c r="Q424" s="94"/>
      <c r="R424" s="94"/>
      <c r="S424" s="94"/>
      <c r="T424" s="94"/>
      <c r="U424" s="94"/>
      <c r="V424" s="94"/>
      <c r="W424" s="94"/>
    </row>
    <row r="425" spans="1:23">
      <c r="A425" s="94"/>
      <c r="B425" s="94"/>
      <c r="C425" s="94"/>
      <c r="D425" s="94"/>
      <c r="E425" s="94"/>
      <c r="F425" s="94"/>
      <c r="G425" s="94"/>
      <c r="H425" s="94"/>
      <c r="I425" s="94"/>
      <c r="J425" s="94"/>
      <c r="K425" s="94"/>
      <c r="L425" s="94"/>
      <c r="M425" s="94"/>
      <c r="N425" s="94"/>
      <c r="O425" s="94"/>
      <c r="P425" s="94"/>
      <c r="Q425" s="94"/>
      <c r="R425" s="94"/>
      <c r="S425" s="94"/>
      <c r="T425" s="94"/>
      <c r="U425" s="94"/>
      <c r="V425" s="94"/>
      <c r="W425" s="94"/>
    </row>
    <row r="426" spans="1:23">
      <c r="A426" s="94"/>
      <c r="B426" s="94"/>
      <c r="C426" s="94"/>
      <c r="D426" s="94"/>
      <c r="E426" s="94"/>
      <c r="F426" s="94"/>
      <c r="G426" s="94"/>
      <c r="H426" s="94"/>
      <c r="I426" s="94"/>
      <c r="J426" s="94"/>
      <c r="K426" s="94"/>
      <c r="L426" s="94"/>
      <c r="M426" s="94"/>
      <c r="N426" s="94"/>
      <c r="O426" s="94"/>
      <c r="P426" s="94"/>
      <c r="Q426" s="94"/>
      <c r="R426" s="94"/>
      <c r="S426" s="94"/>
      <c r="T426" s="94"/>
      <c r="U426" s="94"/>
      <c r="V426" s="94"/>
      <c r="W426" s="94"/>
    </row>
    <row r="427" spans="1:23">
      <c r="A427" s="94"/>
      <c r="B427" s="94"/>
      <c r="C427" s="94"/>
      <c r="D427" s="94"/>
      <c r="E427" s="94"/>
      <c r="F427" s="94"/>
      <c r="G427" s="94"/>
      <c r="H427" s="94"/>
      <c r="I427" s="94"/>
      <c r="J427" s="94"/>
      <c r="K427" s="94"/>
      <c r="L427" s="94"/>
      <c r="M427" s="94"/>
      <c r="N427" s="94"/>
      <c r="O427" s="94"/>
      <c r="P427" s="94"/>
      <c r="Q427" s="94"/>
      <c r="R427" s="94"/>
      <c r="S427" s="94"/>
      <c r="T427" s="94"/>
      <c r="U427" s="94"/>
      <c r="V427" s="94"/>
      <c r="W427" s="94"/>
    </row>
    <row r="428" spans="1:23">
      <c r="A428" s="94"/>
      <c r="B428" s="94"/>
      <c r="C428" s="94"/>
      <c r="D428" s="94"/>
      <c r="E428" s="94"/>
      <c r="F428" s="94"/>
      <c r="G428" s="94"/>
      <c r="H428" s="94"/>
      <c r="I428" s="94"/>
      <c r="J428" s="94"/>
      <c r="K428" s="94"/>
      <c r="L428" s="94"/>
      <c r="M428" s="94"/>
      <c r="N428" s="94"/>
      <c r="O428" s="94"/>
      <c r="P428" s="94"/>
      <c r="Q428" s="94"/>
      <c r="R428" s="94"/>
      <c r="S428" s="94"/>
      <c r="T428" s="94"/>
      <c r="U428" s="94"/>
      <c r="V428" s="94"/>
      <c r="W428" s="94"/>
    </row>
    <row r="429" spans="1:23">
      <c r="A429" s="94"/>
      <c r="B429" s="94"/>
      <c r="C429" s="94"/>
      <c r="D429" s="94"/>
      <c r="E429" s="94"/>
      <c r="F429" s="94"/>
      <c r="G429" s="94"/>
      <c r="H429" s="94"/>
      <c r="I429" s="94"/>
      <c r="J429" s="94"/>
      <c r="K429" s="94"/>
      <c r="L429" s="94"/>
      <c r="M429" s="94"/>
      <c r="N429" s="94"/>
      <c r="O429" s="94"/>
      <c r="P429" s="94"/>
      <c r="Q429" s="94"/>
      <c r="R429" s="94"/>
      <c r="S429" s="94"/>
      <c r="T429" s="94"/>
      <c r="U429" s="94"/>
      <c r="V429" s="94"/>
      <c r="W429" s="94"/>
    </row>
    <row r="430" spans="1:23">
      <c r="A430" s="94"/>
      <c r="B430" s="94"/>
      <c r="C430" s="94"/>
      <c r="D430" s="94"/>
      <c r="E430" s="94"/>
      <c r="F430" s="94"/>
      <c r="G430" s="94"/>
      <c r="H430" s="94"/>
      <c r="I430" s="94"/>
      <c r="J430" s="94"/>
      <c r="K430" s="94"/>
      <c r="L430" s="94"/>
      <c r="M430" s="94"/>
      <c r="N430" s="94"/>
      <c r="O430" s="94"/>
      <c r="P430" s="94"/>
      <c r="Q430" s="94"/>
      <c r="R430" s="94"/>
      <c r="S430" s="94"/>
      <c r="T430" s="94"/>
      <c r="U430" s="94"/>
      <c r="V430" s="94"/>
      <c r="W430" s="94"/>
    </row>
    <row r="431" spans="1:23">
      <c r="A431" s="94"/>
      <c r="B431" s="94"/>
      <c r="C431" s="94"/>
      <c r="D431" s="94"/>
      <c r="E431" s="94"/>
      <c r="F431" s="94"/>
      <c r="G431" s="94"/>
      <c r="H431" s="94"/>
      <c r="I431" s="94"/>
      <c r="J431" s="94"/>
      <c r="K431" s="94"/>
      <c r="L431" s="94"/>
      <c r="M431" s="94"/>
      <c r="N431" s="94"/>
      <c r="O431" s="94"/>
      <c r="P431" s="94"/>
      <c r="Q431" s="94"/>
      <c r="R431" s="94"/>
      <c r="S431" s="94"/>
      <c r="T431" s="94"/>
      <c r="U431" s="94"/>
      <c r="V431" s="94"/>
      <c r="W431" s="94"/>
    </row>
    <row r="432" spans="1:23">
      <c r="A432" s="94"/>
      <c r="B432" s="94"/>
      <c r="C432" s="94"/>
      <c r="D432" s="94"/>
      <c r="E432" s="94"/>
      <c r="F432" s="94"/>
      <c r="G432" s="94"/>
      <c r="H432" s="94"/>
      <c r="I432" s="94"/>
      <c r="J432" s="94"/>
      <c r="K432" s="94"/>
      <c r="L432" s="94"/>
      <c r="M432" s="94"/>
      <c r="N432" s="94"/>
      <c r="O432" s="94"/>
      <c r="P432" s="94"/>
      <c r="Q432" s="94"/>
      <c r="R432" s="94"/>
      <c r="S432" s="94"/>
      <c r="T432" s="94"/>
      <c r="U432" s="94"/>
      <c r="V432" s="94"/>
      <c r="W432" s="94"/>
    </row>
    <row r="433" spans="1:23">
      <c r="A433" s="94"/>
      <c r="B433" s="94"/>
      <c r="C433" s="94"/>
      <c r="D433" s="94"/>
      <c r="E433" s="94"/>
      <c r="F433" s="94"/>
      <c r="G433" s="94"/>
      <c r="H433" s="94"/>
      <c r="I433" s="94"/>
      <c r="J433" s="94"/>
      <c r="K433" s="94"/>
      <c r="L433" s="94"/>
      <c r="M433" s="94"/>
      <c r="N433" s="94"/>
      <c r="O433" s="94"/>
      <c r="P433" s="94"/>
      <c r="Q433" s="94"/>
      <c r="R433" s="94"/>
      <c r="S433" s="94"/>
      <c r="T433" s="94"/>
      <c r="U433" s="94"/>
      <c r="V433" s="94"/>
      <c r="W433" s="94"/>
    </row>
    <row r="434" spans="1:23">
      <c r="A434" s="94"/>
      <c r="B434" s="94"/>
      <c r="C434" s="94"/>
      <c r="D434" s="94"/>
      <c r="E434" s="94"/>
      <c r="F434" s="94"/>
      <c r="G434" s="94"/>
      <c r="H434" s="94"/>
      <c r="I434" s="94"/>
      <c r="J434" s="94"/>
      <c r="K434" s="94"/>
      <c r="L434" s="94"/>
      <c r="M434" s="94"/>
      <c r="N434" s="94"/>
      <c r="O434" s="94"/>
      <c r="P434" s="94"/>
      <c r="Q434" s="94"/>
      <c r="R434" s="94"/>
      <c r="S434" s="94"/>
      <c r="T434" s="94"/>
      <c r="U434" s="94"/>
      <c r="V434" s="94"/>
      <c r="W434" s="94"/>
    </row>
    <row r="435" spans="1:23">
      <c r="A435" s="94"/>
      <c r="B435" s="94"/>
      <c r="C435" s="94"/>
      <c r="D435" s="94"/>
      <c r="E435" s="94"/>
      <c r="F435" s="94"/>
      <c r="G435" s="94"/>
      <c r="H435" s="94"/>
      <c r="I435" s="94"/>
      <c r="J435" s="94"/>
      <c r="K435" s="94"/>
      <c r="L435" s="94"/>
      <c r="M435" s="94"/>
      <c r="N435" s="94"/>
      <c r="O435" s="94"/>
      <c r="P435" s="94"/>
      <c r="Q435" s="94"/>
      <c r="R435" s="94"/>
      <c r="S435" s="94"/>
      <c r="T435" s="94"/>
      <c r="U435" s="94"/>
      <c r="V435" s="94"/>
      <c r="W435" s="94"/>
    </row>
    <row r="436" spans="1:23">
      <c r="A436" s="94"/>
      <c r="B436" s="94"/>
      <c r="C436" s="94"/>
      <c r="D436" s="94"/>
      <c r="E436" s="94"/>
      <c r="F436" s="94"/>
      <c r="G436" s="94"/>
      <c r="H436" s="94"/>
      <c r="I436" s="94"/>
      <c r="J436" s="94"/>
      <c r="K436" s="94"/>
      <c r="L436" s="94"/>
      <c r="M436" s="94"/>
      <c r="N436" s="94"/>
      <c r="O436" s="94"/>
      <c r="P436" s="94"/>
      <c r="Q436" s="94"/>
      <c r="R436" s="94"/>
      <c r="S436" s="94"/>
      <c r="T436" s="94"/>
      <c r="U436" s="94"/>
      <c r="V436" s="94"/>
      <c r="W436" s="94"/>
    </row>
    <row r="437" spans="1:23">
      <c r="A437" s="94"/>
      <c r="B437" s="94"/>
      <c r="C437" s="94"/>
      <c r="D437" s="94"/>
      <c r="E437" s="94"/>
      <c r="F437" s="94"/>
      <c r="G437" s="94"/>
      <c r="H437" s="94"/>
      <c r="I437" s="94"/>
      <c r="J437" s="94"/>
      <c r="K437" s="94"/>
      <c r="L437" s="94"/>
      <c r="M437" s="94"/>
      <c r="N437" s="94"/>
      <c r="O437" s="94"/>
      <c r="P437" s="94"/>
      <c r="Q437" s="94"/>
      <c r="R437" s="94"/>
      <c r="S437" s="94"/>
      <c r="T437" s="94"/>
      <c r="U437" s="94"/>
      <c r="V437" s="94"/>
      <c r="W437" s="94"/>
    </row>
    <row r="438" spans="1:23">
      <c r="A438" s="94"/>
      <c r="B438" s="94"/>
      <c r="C438" s="94"/>
      <c r="D438" s="94"/>
      <c r="E438" s="94"/>
      <c r="F438" s="94"/>
      <c r="G438" s="94"/>
      <c r="H438" s="94"/>
      <c r="I438" s="94"/>
      <c r="J438" s="94"/>
      <c r="K438" s="94"/>
      <c r="L438" s="94"/>
      <c r="M438" s="94"/>
      <c r="N438" s="94"/>
      <c r="O438" s="94"/>
      <c r="P438" s="94"/>
      <c r="Q438" s="94"/>
      <c r="R438" s="94"/>
      <c r="S438" s="94"/>
      <c r="T438" s="94"/>
      <c r="U438" s="94"/>
      <c r="V438" s="94"/>
      <c r="W438" s="94"/>
    </row>
    <row r="439" spans="1:23">
      <c r="A439" s="94"/>
      <c r="B439" s="94"/>
      <c r="C439" s="94"/>
      <c r="D439" s="94"/>
      <c r="E439" s="94"/>
      <c r="F439" s="94"/>
      <c r="G439" s="94"/>
      <c r="H439" s="94"/>
      <c r="I439" s="94"/>
      <c r="J439" s="94"/>
      <c r="K439" s="94"/>
      <c r="L439" s="94"/>
      <c r="M439" s="94"/>
      <c r="N439" s="94"/>
      <c r="O439" s="94"/>
      <c r="P439" s="94"/>
      <c r="Q439" s="94"/>
      <c r="R439" s="94"/>
      <c r="S439" s="94"/>
      <c r="T439" s="94"/>
      <c r="U439" s="94"/>
      <c r="V439" s="94"/>
      <c r="W439" s="94"/>
    </row>
    <row r="440" spans="1:23">
      <c r="A440" s="94"/>
      <c r="B440" s="94"/>
      <c r="C440" s="94"/>
      <c r="D440" s="94"/>
      <c r="E440" s="94"/>
      <c r="F440" s="94"/>
      <c r="G440" s="94"/>
      <c r="H440" s="94"/>
      <c r="I440" s="94"/>
      <c r="J440" s="94"/>
      <c r="K440" s="94"/>
      <c r="L440" s="94"/>
      <c r="M440" s="94"/>
      <c r="N440" s="94"/>
      <c r="O440" s="94"/>
      <c r="P440" s="94"/>
      <c r="Q440" s="94"/>
      <c r="R440" s="94"/>
      <c r="S440" s="94"/>
      <c r="T440" s="94"/>
      <c r="U440" s="94"/>
      <c r="V440" s="94"/>
      <c r="W440" s="94"/>
    </row>
    <row r="441" spans="1:23">
      <c r="A441" s="94"/>
      <c r="B441" s="94"/>
      <c r="C441" s="94"/>
      <c r="D441" s="94"/>
      <c r="E441" s="94"/>
      <c r="F441" s="94"/>
      <c r="G441" s="94"/>
      <c r="H441" s="94"/>
      <c r="I441" s="94"/>
      <c r="J441" s="94"/>
      <c r="K441" s="94"/>
      <c r="L441" s="94"/>
      <c r="M441" s="94"/>
      <c r="N441" s="94"/>
      <c r="O441" s="94"/>
      <c r="P441" s="94"/>
      <c r="Q441" s="94"/>
      <c r="R441" s="94"/>
      <c r="S441" s="94"/>
      <c r="T441" s="94"/>
      <c r="U441" s="94"/>
      <c r="V441" s="94"/>
      <c r="W441" s="94"/>
    </row>
    <row r="442" spans="1:23">
      <c r="A442" s="94"/>
      <c r="B442" s="94"/>
      <c r="C442" s="94"/>
      <c r="D442" s="94"/>
      <c r="E442" s="94"/>
      <c r="F442" s="94"/>
      <c r="G442" s="94"/>
      <c r="H442" s="94"/>
      <c r="I442" s="94"/>
      <c r="J442" s="94"/>
      <c r="K442" s="94"/>
      <c r="L442" s="94"/>
      <c r="M442" s="94"/>
      <c r="N442" s="94"/>
      <c r="O442" s="94"/>
      <c r="P442" s="94"/>
      <c r="Q442" s="94"/>
      <c r="R442" s="94"/>
      <c r="S442" s="94"/>
      <c r="T442" s="94"/>
      <c r="U442" s="94"/>
      <c r="V442" s="94"/>
      <c r="W442" s="94"/>
    </row>
    <row r="443" spans="1:23">
      <c r="A443" s="94"/>
      <c r="B443" s="94"/>
      <c r="C443" s="94"/>
      <c r="D443" s="94"/>
      <c r="E443" s="94"/>
      <c r="F443" s="94"/>
      <c r="G443" s="94"/>
      <c r="H443" s="94"/>
      <c r="I443" s="94"/>
      <c r="J443" s="94"/>
      <c r="K443" s="94"/>
      <c r="L443" s="94"/>
      <c r="M443" s="94"/>
      <c r="N443" s="94"/>
      <c r="O443" s="94"/>
      <c r="P443" s="94"/>
      <c r="Q443" s="94"/>
      <c r="R443" s="94"/>
      <c r="S443" s="94"/>
      <c r="T443" s="94"/>
      <c r="U443" s="94"/>
      <c r="V443" s="94"/>
      <c r="W443" s="94"/>
    </row>
    <row r="444" spans="1:23">
      <c r="A444" s="94"/>
      <c r="B444" s="94"/>
      <c r="C444" s="94"/>
      <c r="D444" s="94"/>
      <c r="E444" s="94"/>
      <c r="F444" s="94"/>
      <c r="G444" s="94"/>
      <c r="H444" s="94"/>
      <c r="I444" s="94"/>
      <c r="J444" s="94"/>
      <c r="K444" s="94"/>
      <c r="L444" s="94"/>
      <c r="M444" s="94"/>
      <c r="N444" s="94"/>
      <c r="O444" s="94"/>
      <c r="P444" s="94"/>
      <c r="Q444" s="94"/>
      <c r="R444" s="94"/>
      <c r="S444" s="94"/>
      <c r="T444" s="94"/>
      <c r="U444" s="94"/>
      <c r="V444" s="94"/>
      <c r="W444" s="94"/>
    </row>
    <row r="445" spans="1:23">
      <c r="A445" s="94"/>
      <c r="B445" s="94"/>
      <c r="C445" s="94"/>
      <c r="D445" s="94"/>
      <c r="E445" s="94"/>
      <c r="F445" s="94"/>
      <c r="G445" s="94"/>
      <c r="H445" s="94"/>
      <c r="I445" s="94"/>
      <c r="J445" s="94"/>
      <c r="K445" s="94"/>
      <c r="L445" s="94"/>
      <c r="M445" s="94"/>
      <c r="N445" s="94"/>
      <c r="O445" s="94"/>
      <c r="P445" s="94"/>
      <c r="Q445" s="94"/>
      <c r="R445" s="94"/>
      <c r="S445" s="94"/>
      <c r="T445" s="94"/>
      <c r="U445" s="94"/>
      <c r="V445" s="94"/>
      <c r="W445" s="94"/>
    </row>
    <row r="446" spans="1:23">
      <c r="A446" s="94"/>
      <c r="B446" s="94"/>
      <c r="C446" s="94"/>
      <c r="D446" s="94"/>
      <c r="E446" s="94"/>
      <c r="F446" s="94"/>
      <c r="G446" s="94"/>
      <c r="H446" s="94"/>
      <c r="I446" s="94"/>
      <c r="J446" s="94"/>
      <c r="K446" s="94"/>
      <c r="L446" s="94"/>
      <c r="M446" s="94"/>
      <c r="N446" s="94"/>
      <c r="O446" s="94"/>
      <c r="P446" s="94"/>
      <c r="Q446" s="94"/>
      <c r="R446" s="94"/>
      <c r="S446" s="94"/>
      <c r="T446" s="94"/>
      <c r="U446" s="94"/>
      <c r="V446" s="94"/>
      <c r="W446" s="94"/>
    </row>
    <row r="447" spans="1:23">
      <c r="A447" s="94"/>
      <c r="B447" s="94"/>
      <c r="C447" s="94"/>
      <c r="D447" s="94"/>
      <c r="E447" s="94"/>
      <c r="F447" s="94"/>
      <c r="G447" s="94"/>
      <c r="H447" s="94"/>
      <c r="I447" s="94"/>
      <c r="J447" s="94"/>
      <c r="K447" s="94"/>
      <c r="L447" s="94"/>
      <c r="M447" s="94"/>
      <c r="N447" s="94"/>
      <c r="O447" s="94"/>
      <c r="P447" s="94"/>
      <c r="Q447" s="94"/>
      <c r="R447" s="94"/>
      <c r="S447" s="94"/>
      <c r="T447" s="94"/>
      <c r="U447" s="94"/>
      <c r="V447" s="94"/>
      <c r="W447" s="94"/>
    </row>
    <row r="448" spans="1:23">
      <c r="A448" s="94"/>
      <c r="B448" s="94"/>
      <c r="C448" s="94"/>
      <c r="D448" s="94"/>
      <c r="E448" s="94"/>
      <c r="F448" s="94"/>
      <c r="G448" s="94"/>
      <c r="H448" s="94"/>
      <c r="I448" s="94"/>
      <c r="J448" s="94"/>
      <c r="K448" s="94"/>
      <c r="L448" s="94"/>
      <c r="M448" s="94"/>
      <c r="N448" s="94"/>
      <c r="O448" s="94"/>
      <c r="P448" s="94"/>
      <c r="Q448" s="94"/>
      <c r="R448" s="94"/>
      <c r="S448" s="94"/>
      <c r="T448" s="94"/>
      <c r="U448" s="94"/>
      <c r="V448" s="94"/>
      <c r="W448" s="94"/>
    </row>
    <row r="449" spans="1:23">
      <c r="A449" s="94"/>
      <c r="B449" s="94"/>
      <c r="C449" s="94"/>
      <c r="D449" s="94"/>
      <c r="E449" s="94"/>
      <c r="F449" s="94"/>
      <c r="G449" s="94"/>
      <c r="H449" s="94"/>
      <c r="I449" s="94"/>
      <c r="J449" s="94"/>
      <c r="K449" s="94"/>
      <c r="L449" s="94"/>
      <c r="M449" s="94"/>
      <c r="N449" s="94"/>
      <c r="O449" s="94"/>
      <c r="P449" s="94"/>
      <c r="Q449" s="94"/>
      <c r="R449" s="94"/>
      <c r="S449" s="94"/>
      <c r="T449" s="94"/>
      <c r="U449" s="94"/>
      <c r="V449" s="94"/>
      <c r="W449" s="94"/>
    </row>
    <row r="450" spans="1:23">
      <c r="A450" s="94"/>
      <c r="B450" s="94"/>
      <c r="C450" s="94"/>
      <c r="D450" s="94"/>
      <c r="E450" s="94"/>
      <c r="F450" s="94"/>
      <c r="G450" s="94"/>
      <c r="H450" s="94"/>
      <c r="I450" s="94"/>
      <c r="J450" s="94"/>
      <c r="K450" s="94"/>
      <c r="L450" s="94"/>
      <c r="M450" s="94"/>
      <c r="N450" s="94"/>
      <c r="O450" s="94"/>
      <c r="P450" s="94"/>
      <c r="Q450" s="94"/>
      <c r="R450" s="94"/>
      <c r="S450" s="94"/>
      <c r="T450" s="94"/>
      <c r="U450" s="94"/>
      <c r="V450" s="94"/>
      <c r="W450" s="94"/>
    </row>
    <row r="451" spans="1:23">
      <c r="A451" s="94"/>
      <c r="B451" s="94"/>
      <c r="C451" s="94"/>
      <c r="D451" s="94"/>
      <c r="E451" s="94"/>
      <c r="F451" s="94"/>
      <c r="G451" s="94"/>
      <c r="H451" s="94"/>
      <c r="I451" s="94"/>
      <c r="J451" s="94"/>
      <c r="K451" s="94"/>
      <c r="L451" s="94"/>
      <c r="M451" s="94"/>
      <c r="N451" s="94"/>
      <c r="O451" s="94"/>
      <c r="P451" s="94"/>
      <c r="Q451" s="94"/>
      <c r="R451" s="94"/>
      <c r="S451" s="94"/>
      <c r="T451" s="94"/>
      <c r="U451" s="94"/>
      <c r="V451" s="94"/>
      <c r="W451" s="94"/>
    </row>
    <row r="452" spans="1:23">
      <c r="A452" s="94"/>
      <c r="B452" s="94"/>
      <c r="C452" s="94"/>
      <c r="D452" s="94"/>
      <c r="E452" s="94"/>
      <c r="F452" s="94"/>
      <c r="G452" s="94"/>
      <c r="H452" s="94"/>
      <c r="I452" s="94"/>
      <c r="J452" s="94"/>
      <c r="K452" s="94"/>
      <c r="L452" s="94"/>
      <c r="M452" s="94"/>
      <c r="N452" s="94"/>
      <c r="O452" s="94"/>
      <c r="P452" s="94"/>
      <c r="Q452" s="94"/>
      <c r="R452" s="94"/>
      <c r="S452" s="94"/>
      <c r="T452" s="94"/>
      <c r="U452" s="94"/>
      <c r="V452" s="94"/>
      <c r="W452" s="94"/>
    </row>
    <row r="453" spans="1:23">
      <c r="A453" s="94"/>
      <c r="B453" s="94"/>
      <c r="C453" s="94"/>
      <c r="D453" s="94"/>
      <c r="E453" s="94"/>
      <c r="F453" s="94"/>
      <c r="G453" s="94"/>
      <c r="H453" s="94"/>
      <c r="I453" s="94"/>
      <c r="J453" s="94"/>
      <c r="K453" s="94"/>
      <c r="L453" s="94"/>
      <c r="M453" s="94"/>
      <c r="N453" s="94"/>
      <c r="O453" s="94"/>
      <c r="P453" s="94"/>
      <c r="Q453" s="94"/>
      <c r="R453" s="94"/>
      <c r="S453" s="94"/>
      <c r="T453" s="94"/>
      <c r="U453" s="94"/>
      <c r="V453" s="94"/>
      <c r="W453" s="94"/>
    </row>
    <row r="454" spans="1:23">
      <c r="A454" s="94"/>
      <c r="B454" s="94"/>
      <c r="C454" s="94"/>
      <c r="D454" s="94"/>
      <c r="E454" s="94"/>
      <c r="F454" s="94"/>
      <c r="G454" s="94"/>
      <c r="H454" s="94"/>
      <c r="I454" s="94"/>
      <c r="J454" s="94"/>
      <c r="K454" s="94"/>
      <c r="L454" s="94"/>
      <c r="M454" s="94"/>
      <c r="N454" s="94"/>
      <c r="O454" s="94"/>
      <c r="P454" s="94"/>
      <c r="Q454" s="94"/>
      <c r="R454" s="94"/>
      <c r="S454" s="94"/>
      <c r="T454" s="94"/>
      <c r="U454" s="94"/>
      <c r="V454" s="94"/>
      <c r="W454" s="94"/>
    </row>
    <row r="455" spans="1:23">
      <c r="A455" s="94"/>
      <c r="B455" s="94"/>
      <c r="C455" s="94"/>
      <c r="D455" s="94"/>
      <c r="E455" s="94"/>
      <c r="F455" s="94"/>
      <c r="G455" s="94"/>
      <c r="H455" s="94"/>
      <c r="I455" s="94"/>
      <c r="J455" s="94"/>
      <c r="K455" s="94"/>
      <c r="L455" s="94"/>
      <c r="M455" s="94"/>
      <c r="N455" s="94"/>
      <c r="O455" s="94"/>
      <c r="P455" s="94"/>
      <c r="Q455" s="94"/>
      <c r="R455" s="94"/>
      <c r="S455" s="94"/>
      <c r="T455" s="94"/>
      <c r="U455" s="94"/>
      <c r="V455" s="94"/>
      <c r="W455" s="94"/>
    </row>
    <row r="456" spans="1:23">
      <c r="A456" s="94"/>
      <c r="B456" s="94"/>
      <c r="C456" s="94"/>
      <c r="D456" s="94"/>
      <c r="E456" s="94"/>
      <c r="F456" s="94"/>
      <c r="G456" s="94"/>
      <c r="H456" s="94"/>
      <c r="I456" s="94"/>
      <c r="J456" s="94"/>
      <c r="K456" s="94"/>
      <c r="L456" s="94"/>
      <c r="M456" s="94"/>
      <c r="N456" s="94"/>
      <c r="O456" s="94"/>
      <c r="P456" s="94"/>
      <c r="Q456" s="94"/>
      <c r="R456" s="94"/>
      <c r="S456" s="94"/>
      <c r="T456" s="94"/>
      <c r="U456" s="94"/>
      <c r="V456" s="94"/>
      <c r="W456" s="94"/>
    </row>
    <row r="457" spans="1:23">
      <c r="A457" s="94"/>
      <c r="B457" s="94"/>
      <c r="C457" s="94"/>
      <c r="D457" s="94"/>
      <c r="E457" s="94"/>
      <c r="F457" s="94"/>
      <c r="G457" s="94"/>
      <c r="H457" s="94"/>
      <c r="I457" s="94"/>
      <c r="J457" s="94"/>
      <c r="K457" s="94"/>
      <c r="L457" s="94"/>
      <c r="M457" s="94"/>
      <c r="N457" s="94"/>
      <c r="O457" s="94"/>
      <c r="P457" s="94"/>
      <c r="Q457" s="94"/>
      <c r="R457" s="94"/>
      <c r="S457" s="94"/>
      <c r="T457" s="94"/>
      <c r="U457" s="94"/>
      <c r="V457" s="94"/>
      <c r="W457" s="94"/>
    </row>
    <row r="458" spans="1:23">
      <c r="A458" s="94"/>
      <c r="B458" s="94"/>
      <c r="C458" s="94"/>
      <c r="D458" s="94"/>
      <c r="E458" s="94"/>
      <c r="F458" s="94"/>
      <c r="G458" s="94"/>
      <c r="H458" s="94"/>
      <c r="I458" s="94"/>
      <c r="J458" s="94"/>
      <c r="K458" s="94"/>
      <c r="L458" s="94"/>
      <c r="M458" s="94"/>
      <c r="N458" s="94"/>
      <c r="O458" s="94"/>
      <c r="P458" s="94"/>
      <c r="Q458" s="94"/>
      <c r="R458" s="94"/>
      <c r="S458" s="94"/>
      <c r="T458" s="94"/>
      <c r="U458" s="94"/>
      <c r="V458" s="94"/>
      <c r="W458" s="94"/>
    </row>
    <row r="459" spans="1:23">
      <c r="A459" s="94"/>
      <c r="B459" s="94"/>
      <c r="C459" s="94"/>
      <c r="D459" s="94"/>
      <c r="E459" s="94"/>
      <c r="F459" s="94"/>
      <c r="G459" s="94"/>
      <c r="H459" s="94"/>
      <c r="I459" s="94"/>
      <c r="J459" s="94"/>
      <c r="K459" s="94"/>
      <c r="L459" s="94"/>
      <c r="M459" s="94"/>
      <c r="N459" s="94"/>
      <c r="O459" s="94"/>
      <c r="P459" s="94"/>
      <c r="Q459" s="94"/>
      <c r="R459" s="94"/>
      <c r="S459" s="94"/>
      <c r="T459" s="94"/>
      <c r="U459" s="94"/>
      <c r="V459" s="94"/>
      <c r="W459" s="94"/>
    </row>
    <row r="460" spans="1:23">
      <c r="A460" s="94"/>
      <c r="B460" s="94"/>
      <c r="C460" s="94"/>
      <c r="D460" s="94"/>
      <c r="E460" s="94"/>
      <c r="F460" s="94"/>
      <c r="G460" s="94"/>
      <c r="H460" s="94"/>
      <c r="I460" s="94"/>
      <c r="J460" s="94"/>
      <c r="K460" s="94"/>
      <c r="L460" s="94"/>
      <c r="M460" s="94"/>
      <c r="N460" s="94"/>
      <c r="O460" s="94"/>
      <c r="P460" s="94"/>
      <c r="Q460" s="94"/>
      <c r="R460" s="94"/>
      <c r="S460" s="94"/>
      <c r="T460" s="94"/>
      <c r="U460" s="94"/>
      <c r="V460" s="94"/>
      <c r="W460" s="94"/>
    </row>
    <row r="461" spans="1:23">
      <c r="A461" s="94"/>
      <c r="B461" s="94"/>
      <c r="C461" s="94"/>
      <c r="D461" s="94"/>
      <c r="E461" s="94"/>
      <c r="F461" s="94"/>
      <c r="G461" s="94"/>
      <c r="H461" s="94"/>
      <c r="I461" s="94"/>
      <c r="J461" s="94"/>
      <c r="K461" s="94"/>
      <c r="L461" s="94"/>
      <c r="M461" s="94"/>
      <c r="N461" s="94"/>
      <c r="O461" s="94"/>
      <c r="P461" s="94"/>
      <c r="Q461" s="94"/>
      <c r="R461" s="94"/>
      <c r="S461" s="94"/>
      <c r="T461" s="94"/>
      <c r="U461" s="94"/>
      <c r="V461" s="94"/>
      <c r="W461" s="94"/>
    </row>
    <row r="462" spans="1:23">
      <c r="A462" s="94"/>
      <c r="B462" s="94"/>
      <c r="C462" s="94"/>
      <c r="D462" s="94"/>
      <c r="E462" s="94"/>
      <c r="F462" s="94"/>
      <c r="G462" s="94"/>
      <c r="H462" s="94"/>
      <c r="I462" s="94"/>
      <c r="J462" s="94"/>
      <c r="K462" s="94"/>
      <c r="L462" s="94"/>
      <c r="M462" s="94"/>
      <c r="N462" s="94"/>
      <c r="O462" s="94"/>
      <c r="P462" s="94"/>
      <c r="Q462" s="94"/>
      <c r="R462" s="94"/>
      <c r="S462" s="94"/>
      <c r="T462" s="94"/>
      <c r="U462" s="94"/>
      <c r="V462" s="94"/>
      <c r="W462" s="94"/>
    </row>
    <row r="463" spans="1:23">
      <c r="A463" s="94"/>
      <c r="B463" s="94"/>
      <c r="C463" s="94"/>
      <c r="D463" s="94"/>
      <c r="E463" s="94"/>
      <c r="F463" s="94"/>
      <c r="G463" s="94"/>
      <c r="H463" s="94"/>
      <c r="I463" s="94"/>
      <c r="J463" s="94"/>
      <c r="K463" s="94"/>
      <c r="L463" s="94"/>
      <c r="M463" s="94"/>
      <c r="N463" s="94"/>
      <c r="O463" s="94"/>
      <c r="P463" s="94"/>
      <c r="Q463" s="94"/>
      <c r="R463" s="94"/>
      <c r="S463" s="94"/>
      <c r="T463" s="94"/>
      <c r="U463" s="94"/>
      <c r="V463" s="94"/>
      <c r="W463" s="94"/>
    </row>
    <row r="464" spans="1:23">
      <c r="A464" s="94"/>
      <c r="B464" s="94"/>
      <c r="C464" s="94"/>
      <c r="D464" s="94"/>
      <c r="E464" s="94"/>
      <c r="F464" s="94"/>
      <c r="G464" s="94"/>
      <c r="H464" s="94"/>
      <c r="I464" s="94"/>
      <c r="J464" s="94"/>
      <c r="K464" s="94"/>
      <c r="L464" s="94"/>
      <c r="M464" s="94"/>
      <c r="N464" s="94"/>
      <c r="O464" s="94"/>
      <c r="P464" s="94"/>
      <c r="Q464" s="94"/>
      <c r="R464" s="94"/>
      <c r="S464" s="94"/>
      <c r="T464" s="94"/>
      <c r="U464" s="94"/>
      <c r="V464" s="94"/>
      <c r="W464" s="94"/>
    </row>
    <row r="465" spans="1:23">
      <c r="A465" s="94"/>
      <c r="B465" s="94"/>
      <c r="C465" s="94"/>
      <c r="D465" s="94"/>
      <c r="E465" s="94"/>
      <c r="F465" s="94"/>
      <c r="G465" s="94"/>
      <c r="H465" s="94"/>
      <c r="I465" s="94"/>
      <c r="J465" s="94"/>
      <c r="K465" s="94"/>
      <c r="L465" s="94"/>
      <c r="M465" s="94"/>
      <c r="N465" s="94"/>
      <c r="O465" s="94"/>
      <c r="P465" s="94"/>
      <c r="Q465" s="94"/>
      <c r="R465" s="94"/>
      <c r="S465" s="94"/>
      <c r="T465" s="94"/>
      <c r="U465" s="94"/>
      <c r="V465" s="94"/>
      <c r="W465" s="94"/>
    </row>
    <row r="466" spans="1:23">
      <c r="A466" s="94"/>
      <c r="B466" s="94"/>
      <c r="C466" s="94"/>
      <c r="D466" s="94"/>
      <c r="E466" s="94"/>
      <c r="F466" s="94"/>
      <c r="G466" s="94"/>
      <c r="H466" s="94"/>
      <c r="I466" s="94"/>
      <c r="J466" s="94"/>
      <c r="K466" s="94"/>
      <c r="L466" s="94"/>
      <c r="M466" s="94"/>
      <c r="N466" s="94"/>
      <c r="O466" s="94"/>
      <c r="P466" s="94"/>
      <c r="Q466" s="94"/>
      <c r="R466" s="94"/>
      <c r="S466" s="94"/>
      <c r="T466" s="94"/>
      <c r="U466" s="94"/>
      <c r="V466" s="94"/>
      <c r="W466" s="94"/>
    </row>
    <row r="467" spans="1:23">
      <c r="A467" s="94"/>
      <c r="B467" s="94"/>
      <c r="C467" s="94"/>
      <c r="D467" s="94"/>
      <c r="E467" s="94"/>
      <c r="F467" s="94"/>
      <c r="G467" s="94"/>
      <c r="H467" s="94"/>
      <c r="I467" s="94"/>
      <c r="J467" s="94"/>
      <c r="K467" s="94"/>
      <c r="L467" s="94"/>
      <c r="M467" s="94"/>
      <c r="N467" s="94"/>
      <c r="O467" s="94"/>
      <c r="P467" s="94"/>
      <c r="Q467" s="94"/>
      <c r="R467" s="94"/>
      <c r="S467" s="94"/>
      <c r="T467" s="94"/>
      <c r="U467" s="94"/>
      <c r="V467" s="94"/>
      <c r="W467" s="94"/>
    </row>
    <row r="468" spans="1:23">
      <c r="A468" s="94"/>
      <c r="B468" s="94"/>
      <c r="C468" s="94"/>
      <c r="D468" s="94"/>
      <c r="E468" s="94"/>
      <c r="F468" s="94"/>
      <c r="G468" s="94"/>
      <c r="H468" s="94"/>
      <c r="I468" s="94"/>
      <c r="J468" s="94"/>
      <c r="K468" s="94"/>
      <c r="L468" s="94"/>
      <c r="M468" s="94"/>
      <c r="N468" s="94"/>
      <c r="O468" s="94"/>
      <c r="P468" s="94"/>
      <c r="Q468" s="94"/>
      <c r="R468" s="94"/>
      <c r="S468" s="94"/>
      <c r="T468" s="94"/>
      <c r="U468" s="94"/>
      <c r="V468" s="94"/>
      <c r="W468" s="94"/>
    </row>
    <row r="469" spans="1:23">
      <c r="A469" s="94"/>
      <c r="B469" s="94"/>
      <c r="C469" s="94"/>
      <c r="D469" s="94"/>
      <c r="E469" s="94"/>
      <c r="F469" s="94"/>
      <c r="G469" s="94"/>
      <c r="H469" s="94"/>
      <c r="I469" s="94"/>
      <c r="J469" s="94"/>
      <c r="K469" s="94"/>
      <c r="L469" s="94"/>
      <c r="M469" s="94"/>
      <c r="N469" s="94"/>
      <c r="O469" s="94"/>
      <c r="P469" s="94"/>
      <c r="Q469" s="94"/>
      <c r="R469" s="94"/>
      <c r="S469" s="94"/>
      <c r="T469" s="94"/>
      <c r="U469" s="94"/>
      <c r="V469" s="94"/>
      <c r="W469" s="94"/>
    </row>
    <row r="470" spans="1:23">
      <c r="A470" s="94"/>
      <c r="B470" s="94"/>
      <c r="C470" s="94"/>
      <c r="D470" s="94"/>
      <c r="E470" s="94"/>
      <c r="F470" s="94"/>
      <c r="G470" s="94"/>
      <c r="H470" s="94"/>
      <c r="I470" s="94"/>
      <c r="J470" s="94"/>
      <c r="K470" s="94"/>
      <c r="L470" s="94"/>
      <c r="M470" s="94"/>
      <c r="N470" s="94"/>
      <c r="O470" s="94"/>
      <c r="P470" s="94"/>
      <c r="Q470" s="94"/>
      <c r="R470" s="94"/>
      <c r="S470" s="94"/>
      <c r="T470" s="94"/>
      <c r="U470" s="94"/>
      <c r="V470" s="94"/>
      <c r="W470" s="94"/>
    </row>
    <row r="471" spans="1:23">
      <c r="A471" s="94"/>
      <c r="B471" s="94"/>
      <c r="C471" s="94"/>
      <c r="D471" s="94"/>
      <c r="E471" s="94"/>
      <c r="F471" s="94"/>
      <c r="G471" s="94"/>
      <c r="H471" s="94"/>
      <c r="I471" s="94"/>
      <c r="J471" s="94"/>
      <c r="K471" s="94"/>
      <c r="L471" s="94"/>
      <c r="M471" s="94"/>
      <c r="N471" s="94"/>
      <c r="O471" s="94"/>
      <c r="P471" s="94"/>
      <c r="Q471" s="94"/>
      <c r="R471" s="94"/>
      <c r="S471" s="94"/>
      <c r="T471" s="94"/>
      <c r="U471" s="94"/>
      <c r="V471" s="94"/>
      <c r="W471" s="94"/>
    </row>
    <row r="472" spans="1:23">
      <c r="A472" s="94"/>
      <c r="B472" s="94"/>
      <c r="C472" s="94"/>
      <c r="D472" s="94"/>
      <c r="E472" s="94"/>
      <c r="F472" s="94"/>
      <c r="G472" s="94"/>
      <c r="H472" s="94"/>
      <c r="I472" s="94"/>
      <c r="J472" s="94"/>
      <c r="K472" s="94"/>
      <c r="L472" s="94"/>
      <c r="M472" s="94"/>
      <c r="N472" s="94"/>
      <c r="O472" s="94"/>
      <c r="P472" s="94"/>
      <c r="Q472" s="94"/>
      <c r="R472" s="94"/>
      <c r="S472" s="94"/>
      <c r="T472" s="94"/>
      <c r="U472" s="94"/>
      <c r="V472" s="94"/>
      <c r="W472" s="94"/>
    </row>
    <row r="473" spans="1:23">
      <c r="A473" s="94"/>
      <c r="B473" s="94"/>
      <c r="C473" s="94"/>
      <c r="D473" s="94"/>
      <c r="E473" s="94"/>
      <c r="F473" s="94"/>
      <c r="G473" s="94"/>
      <c r="H473" s="94"/>
      <c r="I473" s="94"/>
      <c r="J473" s="94"/>
      <c r="K473" s="94"/>
      <c r="L473" s="94"/>
      <c r="M473" s="94"/>
      <c r="N473" s="94"/>
      <c r="O473" s="94"/>
      <c r="P473" s="94"/>
      <c r="Q473" s="94"/>
      <c r="R473" s="94"/>
      <c r="S473" s="94"/>
      <c r="T473" s="94"/>
      <c r="U473" s="94"/>
      <c r="V473" s="94"/>
      <c r="W473" s="94"/>
    </row>
    <row r="474" spans="1:23">
      <c r="A474" s="94"/>
      <c r="B474" s="94"/>
      <c r="C474" s="94"/>
      <c r="D474" s="94"/>
      <c r="E474" s="94"/>
      <c r="F474" s="94"/>
      <c r="G474" s="94"/>
      <c r="H474" s="94"/>
      <c r="I474" s="94"/>
      <c r="J474" s="94"/>
      <c r="K474" s="94"/>
      <c r="L474" s="94"/>
      <c r="M474" s="94"/>
      <c r="N474" s="94"/>
      <c r="O474" s="94"/>
      <c r="P474" s="94"/>
      <c r="Q474" s="94"/>
      <c r="R474" s="94"/>
      <c r="S474" s="94"/>
      <c r="T474" s="94"/>
      <c r="U474" s="94"/>
      <c r="V474" s="94"/>
      <c r="W474" s="94"/>
    </row>
    <row r="475" spans="1:23">
      <c r="A475" s="94"/>
      <c r="B475" s="94"/>
      <c r="C475" s="94"/>
      <c r="D475" s="94"/>
      <c r="E475" s="94"/>
      <c r="F475" s="94"/>
      <c r="G475" s="94"/>
      <c r="H475" s="94"/>
      <c r="I475" s="94"/>
      <c r="J475" s="94"/>
      <c r="K475" s="94"/>
      <c r="L475" s="94"/>
      <c r="M475" s="94"/>
      <c r="N475" s="94"/>
      <c r="O475" s="94"/>
      <c r="P475" s="94"/>
      <c r="Q475" s="94"/>
      <c r="R475" s="94"/>
      <c r="S475" s="94"/>
      <c r="T475" s="94"/>
      <c r="U475" s="94"/>
      <c r="V475" s="94"/>
      <c r="W475" s="94"/>
    </row>
    <row r="476" spans="1:23">
      <c r="A476" s="94"/>
      <c r="B476" s="94"/>
      <c r="C476" s="94"/>
      <c r="D476" s="94"/>
      <c r="E476" s="94"/>
      <c r="F476" s="94"/>
      <c r="G476" s="94"/>
      <c r="H476" s="94"/>
      <c r="I476" s="94"/>
      <c r="J476" s="94"/>
      <c r="K476" s="94"/>
      <c r="L476" s="94"/>
      <c r="M476" s="94"/>
      <c r="N476" s="94"/>
      <c r="O476" s="94"/>
      <c r="P476" s="94"/>
      <c r="Q476" s="94"/>
      <c r="R476" s="94"/>
      <c r="S476" s="94"/>
      <c r="T476" s="94"/>
      <c r="U476" s="94"/>
      <c r="V476" s="94"/>
      <c r="W476" s="94"/>
    </row>
    <row r="477" spans="1:23">
      <c r="A477" s="94"/>
      <c r="B477" s="94"/>
      <c r="C477" s="94"/>
      <c r="D477" s="94"/>
      <c r="E477" s="94"/>
      <c r="F477" s="94"/>
      <c r="G477" s="94"/>
      <c r="H477" s="94"/>
      <c r="I477" s="94"/>
      <c r="J477" s="94"/>
      <c r="K477" s="94"/>
      <c r="L477" s="94"/>
      <c r="M477" s="94"/>
      <c r="N477" s="94"/>
      <c r="O477" s="94"/>
      <c r="P477" s="94"/>
      <c r="Q477" s="94"/>
      <c r="R477" s="94"/>
      <c r="S477" s="94"/>
      <c r="T477" s="94"/>
      <c r="U477" s="94"/>
      <c r="V477" s="94"/>
      <c r="W477" s="94"/>
    </row>
    <row r="478" spans="1:23">
      <c r="A478" s="94"/>
      <c r="B478" s="94"/>
      <c r="C478" s="94"/>
      <c r="D478" s="94"/>
      <c r="E478" s="94"/>
      <c r="F478" s="94"/>
      <c r="G478" s="94"/>
      <c r="H478" s="94"/>
      <c r="I478" s="94"/>
      <c r="J478" s="94"/>
      <c r="K478" s="94"/>
      <c r="L478" s="94"/>
      <c r="M478" s="94"/>
      <c r="N478" s="94"/>
      <c r="O478" s="94"/>
      <c r="P478" s="94"/>
      <c r="Q478" s="94"/>
      <c r="R478" s="94"/>
      <c r="S478" s="94"/>
      <c r="T478" s="94"/>
      <c r="U478" s="94"/>
      <c r="V478" s="94"/>
      <c r="W478" s="94"/>
    </row>
    <row r="479" spans="1:23">
      <c r="A479" s="94"/>
      <c r="B479" s="94"/>
      <c r="C479" s="94"/>
      <c r="D479" s="94"/>
      <c r="E479" s="94"/>
      <c r="F479" s="94"/>
      <c r="G479" s="94"/>
      <c r="H479" s="94"/>
      <c r="I479" s="94"/>
      <c r="J479" s="94"/>
      <c r="K479" s="94"/>
      <c r="L479" s="94"/>
      <c r="M479" s="94"/>
      <c r="N479" s="94"/>
      <c r="O479" s="94"/>
      <c r="P479" s="94"/>
      <c r="Q479" s="94"/>
      <c r="R479" s="94"/>
      <c r="S479" s="94"/>
      <c r="T479" s="94"/>
      <c r="U479" s="94"/>
      <c r="V479" s="94"/>
      <c r="W479" s="94"/>
    </row>
    <row r="480" spans="1:23">
      <c r="A480" s="94"/>
      <c r="B480" s="94"/>
      <c r="C480" s="94"/>
      <c r="D480" s="94"/>
      <c r="E480" s="94"/>
      <c r="F480" s="94"/>
      <c r="G480" s="94"/>
      <c r="H480" s="94"/>
      <c r="I480" s="94"/>
      <c r="J480" s="94"/>
      <c r="K480" s="94"/>
      <c r="L480" s="94"/>
      <c r="M480" s="94"/>
      <c r="N480" s="94"/>
      <c r="O480" s="94"/>
      <c r="P480" s="94"/>
      <c r="Q480" s="94"/>
      <c r="R480" s="94"/>
      <c r="S480" s="94"/>
      <c r="T480" s="94"/>
      <c r="U480" s="94"/>
      <c r="V480" s="94"/>
      <c r="W480" s="94"/>
    </row>
    <row r="481" spans="1:23">
      <c r="A481" s="94"/>
      <c r="B481" s="94"/>
      <c r="C481" s="94"/>
      <c r="D481" s="94"/>
      <c r="E481" s="94"/>
      <c r="F481" s="94"/>
      <c r="G481" s="94"/>
      <c r="H481" s="94"/>
      <c r="I481" s="94"/>
      <c r="J481" s="94"/>
      <c r="K481" s="94"/>
      <c r="L481" s="94"/>
      <c r="M481" s="94"/>
      <c r="N481" s="94"/>
      <c r="O481" s="94"/>
      <c r="P481" s="94"/>
      <c r="Q481" s="94"/>
      <c r="R481" s="94"/>
      <c r="S481" s="94"/>
      <c r="T481" s="94"/>
      <c r="U481" s="94"/>
      <c r="V481" s="94"/>
      <c r="W481" s="94"/>
    </row>
    <row r="482" spans="1:23">
      <c r="A482" s="94"/>
      <c r="B482" s="94"/>
      <c r="C482" s="94"/>
      <c r="D482" s="94"/>
      <c r="E482" s="94"/>
      <c r="F482" s="94"/>
      <c r="G482" s="94"/>
      <c r="H482" s="94"/>
      <c r="I482" s="94"/>
      <c r="J482" s="94"/>
      <c r="K482" s="94"/>
      <c r="L482" s="94"/>
      <c r="M482" s="94"/>
      <c r="N482" s="94"/>
      <c r="O482" s="94"/>
      <c r="P482" s="94"/>
      <c r="Q482" s="94"/>
      <c r="R482" s="94"/>
      <c r="S482" s="94"/>
      <c r="T482" s="94"/>
      <c r="U482" s="94"/>
      <c r="V482" s="94"/>
      <c r="W482" s="94"/>
    </row>
    <row r="483" spans="1:23">
      <c r="A483" s="94"/>
      <c r="B483" s="94"/>
      <c r="C483" s="94"/>
      <c r="D483" s="94"/>
      <c r="E483" s="94"/>
      <c r="F483" s="94"/>
      <c r="G483" s="94"/>
      <c r="H483" s="94"/>
      <c r="I483" s="94"/>
      <c r="J483" s="94"/>
      <c r="K483" s="94"/>
      <c r="L483" s="94"/>
      <c r="M483" s="94"/>
      <c r="N483" s="94"/>
      <c r="O483" s="94"/>
      <c r="P483" s="94"/>
      <c r="Q483" s="94"/>
      <c r="R483" s="94"/>
      <c r="S483" s="94"/>
      <c r="T483" s="94"/>
      <c r="U483" s="94"/>
      <c r="V483" s="94"/>
      <c r="W483" s="94"/>
    </row>
    <row r="484" spans="1:23">
      <c r="A484" s="94"/>
      <c r="B484" s="94"/>
      <c r="C484" s="94"/>
      <c r="D484" s="94"/>
      <c r="E484" s="94"/>
      <c r="F484" s="94"/>
      <c r="G484" s="94"/>
      <c r="H484" s="94"/>
      <c r="I484" s="94"/>
      <c r="J484" s="94"/>
      <c r="K484" s="94"/>
      <c r="L484" s="94"/>
      <c r="M484" s="94"/>
      <c r="N484" s="94"/>
      <c r="O484" s="94"/>
      <c r="P484" s="94"/>
      <c r="Q484" s="94"/>
      <c r="R484" s="94"/>
      <c r="S484" s="94"/>
      <c r="T484" s="94"/>
      <c r="U484" s="94"/>
      <c r="V484" s="94"/>
      <c r="W484" s="94"/>
    </row>
    <row r="485" spans="1:23">
      <c r="A485" s="94"/>
      <c r="B485" s="94"/>
      <c r="C485" s="94"/>
      <c r="D485" s="94"/>
      <c r="E485" s="94"/>
      <c r="F485" s="94"/>
      <c r="G485" s="94"/>
      <c r="H485" s="94"/>
      <c r="I485" s="94"/>
      <c r="J485" s="94"/>
      <c r="K485" s="94"/>
      <c r="L485" s="94"/>
      <c r="M485" s="94"/>
      <c r="N485" s="94"/>
      <c r="O485" s="94"/>
      <c r="P485" s="94"/>
      <c r="Q485" s="94"/>
      <c r="R485" s="94"/>
      <c r="S485" s="94"/>
      <c r="T485" s="94"/>
      <c r="U485" s="94"/>
      <c r="V485" s="94"/>
      <c r="W485" s="94"/>
    </row>
    <row r="486" spans="1:23">
      <c r="A486" s="94"/>
      <c r="B486" s="94"/>
      <c r="C486" s="94"/>
      <c r="D486" s="94"/>
      <c r="E486" s="94"/>
      <c r="F486" s="94"/>
      <c r="G486" s="94"/>
      <c r="H486" s="94"/>
      <c r="I486" s="94"/>
      <c r="J486" s="94"/>
      <c r="K486" s="94"/>
      <c r="L486" s="94"/>
      <c r="M486" s="94"/>
      <c r="N486" s="94"/>
      <c r="O486" s="94"/>
      <c r="P486" s="94"/>
      <c r="Q486" s="94"/>
      <c r="R486" s="94"/>
      <c r="S486" s="94"/>
      <c r="T486" s="94"/>
      <c r="U486" s="94"/>
      <c r="V486" s="94"/>
      <c r="W486" s="94"/>
    </row>
    <row r="487" spans="1:23">
      <c r="A487" s="94"/>
      <c r="B487" s="94"/>
      <c r="C487" s="94"/>
      <c r="D487" s="94"/>
      <c r="E487" s="94"/>
      <c r="F487" s="94"/>
      <c r="G487" s="94"/>
      <c r="H487" s="94"/>
      <c r="I487" s="94"/>
      <c r="J487" s="94"/>
      <c r="K487" s="94"/>
      <c r="L487" s="94"/>
      <c r="M487" s="94"/>
      <c r="N487" s="94"/>
      <c r="O487" s="94"/>
      <c r="P487" s="94"/>
      <c r="Q487" s="94"/>
      <c r="R487" s="94"/>
      <c r="S487" s="94"/>
      <c r="T487" s="94"/>
      <c r="U487" s="94"/>
      <c r="V487" s="94"/>
      <c r="W487" s="94"/>
    </row>
    <row r="488" spans="1:23">
      <c r="A488" s="94"/>
      <c r="B488" s="94"/>
      <c r="C488" s="94"/>
      <c r="D488" s="94"/>
      <c r="E488" s="94"/>
      <c r="F488" s="94"/>
      <c r="G488" s="94"/>
      <c r="H488" s="94"/>
      <c r="I488" s="94"/>
      <c r="J488" s="94"/>
      <c r="K488" s="94"/>
      <c r="L488" s="94"/>
      <c r="M488" s="94"/>
      <c r="N488" s="94"/>
      <c r="O488" s="94"/>
      <c r="P488" s="94"/>
      <c r="Q488" s="94"/>
      <c r="R488" s="94"/>
      <c r="S488" s="94"/>
      <c r="T488" s="94"/>
      <c r="U488" s="94"/>
      <c r="V488" s="94"/>
      <c r="W488" s="94"/>
    </row>
    <row r="489" spans="1:23">
      <c r="A489" s="94"/>
      <c r="B489" s="94"/>
      <c r="C489" s="94"/>
      <c r="D489" s="94"/>
      <c r="E489" s="94"/>
      <c r="F489" s="94"/>
      <c r="G489" s="94"/>
      <c r="H489" s="94"/>
      <c r="I489" s="94"/>
      <c r="J489" s="94"/>
      <c r="K489" s="94"/>
      <c r="L489" s="94"/>
      <c r="M489" s="94"/>
      <c r="N489" s="94"/>
      <c r="O489" s="94"/>
      <c r="P489" s="94"/>
      <c r="Q489" s="94"/>
      <c r="R489" s="94"/>
      <c r="S489" s="94"/>
      <c r="T489" s="94"/>
      <c r="U489" s="94"/>
      <c r="V489" s="94"/>
      <c r="W489" s="94"/>
    </row>
    <row r="490" spans="1:23">
      <c r="A490" s="94"/>
      <c r="B490" s="94"/>
      <c r="C490" s="94"/>
      <c r="D490" s="94"/>
      <c r="E490" s="94"/>
      <c r="F490" s="94"/>
      <c r="G490" s="94"/>
      <c r="H490" s="94"/>
      <c r="I490" s="94"/>
      <c r="J490" s="94"/>
      <c r="K490" s="94"/>
      <c r="L490" s="94"/>
      <c r="M490" s="94"/>
      <c r="N490" s="94"/>
      <c r="O490" s="94"/>
      <c r="P490" s="94"/>
      <c r="Q490" s="94"/>
      <c r="R490" s="94"/>
      <c r="S490" s="94"/>
      <c r="T490" s="94"/>
      <c r="U490" s="94"/>
      <c r="V490" s="94"/>
      <c r="W490" s="94"/>
    </row>
    <row r="491" spans="1:23">
      <c r="A491" s="94"/>
      <c r="B491" s="94"/>
      <c r="C491" s="94"/>
      <c r="D491" s="94"/>
      <c r="E491" s="94"/>
      <c r="F491" s="94"/>
      <c r="G491" s="94"/>
      <c r="H491" s="94"/>
      <c r="I491" s="94"/>
      <c r="J491" s="94"/>
      <c r="K491" s="94"/>
      <c r="L491" s="94"/>
      <c r="M491" s="94"/>
      <c r="N491" s="94"/>
      <c r="O491" s="94"/>
      <c r="P491" s="94"/>
      <c r="Q491" s="94"/>
      <c r="R491" s="94"/>
      <c r="S491" s="94"/>
      <c r="T491" s="94"/>
      <c r="U491" s="94"/>
      <c r="V491" s="94"/>
      <c r="W491" s="94"/>
    </row>
    <row r="492" spans="1:23">
      <c r="A492" s="94"/>
      <c r="B492" s="94"/>
      <c r="C492" s="94"/>
      <c r="D492" s="94"/>
      <c r="E492" s="94"/>
      <c r="F492" s="94"/>
      <c r="G492" s="94"/>
      <c r="H492" s="94"/>
      <c r="I492" s="94"/>
      <c r="J492" s="94"/>
      <c r="K492" s="94"/>
      <c r="L492" s="94"/>
      <c r="M492" s="94"/>
      <c r="N492" s="94"/>
      <c r="O492" s="94"/>
      <c r="P492" s="94"/>
      <c r="Q492" s="94"/>
      <c r="R492" s="94"/>
      <c r="S492" s="94"/>
      <c r="T492" s="94"/>
      <c r="U492" s="94"/>
      <c r="V492" s="94"/>
      <c r="W492" s="94"/>
    </row>
    <row r="493" spans="1:23">
      <c r="A493" s="94"/>
      <c r="B493" s="94"/>
      <c r="C493" s="94"/>
      <c r="D493" s="94"/>
      <c r="E493" s="94"/>
      <c r="F493" s="94"/>
      <c r="G493" s="94"/>
      <c r="H493" s="94"/>
      <c r="I493" s="94"/>
      <c r="J493" s="94"/>
      <c r="K493" s="94"/>
      <c r="L493" s="94"/>
      <c r="M493" s="94"/>
      <c r="N493" s="94"/>
      <c r="O493" s="94"/>
      <c r="P493" s="94"/>
      <c r="Q493" s="94"/>
      <c r="R493" s="94"/>
      <c r="S493" s="94"/>
      <c r="T493" s="94"/>
      <c r="U493" s="94"/>
      <c r="V493" s="94"/>
      <c r="W493" s="94"/>
    </row>
    <row r="494" spans="1:23">
      <c r="A494" s="94"/>
      <c r="B494" s="94"/>
      <c r="C494" s="94"/>
      <c r="D494" s="94"/>
      <c r="E494" s="94"/>
      <c r="F494" s="94"/>
      <c r="G494" s="94"/>
      <c r="H494" s="94"/>
      <c r="I494" s="94"/>
      <c r="J494" s="94"/>
      <c r="K494" s="94"/>
      <c r="L494" s="94"/>
      <c r="M494" s="94"/>
      <c r="N494" s="94"/>
      <c r="O494" s="94"/>
      <c r="P494" s="94"/>
      <c r="Q494" s="94"/>
      <c r="R494" s="94"/>
      <c r="S494" s="94"/>
      <c r="T494" s="94"/>
      <c r="U494" s="94"/>
      <c r="V494" s="94"/>
      <c r="W494" s="94"/>
    </row>
    <row r="495" spans="1:23">
      <c r="A495" s="94"/>
      <c r="B495" s="94"/>
      <c r="C495" s="94"/>
      <c r="D495" s="94"/>
      <c r="E495" s="94"/>
      <c r="F495" s="94"/>
      <c r="G495" s="94"/>
      <c r="H495" s="94"/>
      <c r="I495" s="94"/>
      <c r="J495" s="94"/>
      <c r="K495" s="94"/>
      <c r="L495" s="94"/>
      <c r="M495" s="94"/>
      <c r="N495" s="94"/>
      <c r="O495" s="94"/>
      <c r="P495" s="94"/>
      <c r="Q495" s="94"/>
      <c r="R495" s="94"/>
      <c r="S495" s="94"/>
      <c r="T495" s="94"/>
      <c r="U495" s="94"/>
      <c r="V495" s="94"/>
      <c r="W495" s="94"/>
    </row>
    <row r="496" spans="1:23">
      <c r="A496" s="94"/>
      <c r="B496" s="94"/>
      <c r="C496" s="94"/>
      <c r="D496" s="94"/>
      <c r="E496" s="94"/>
      <c r="F496" s="94"/>
      <c r="G496" s="94"/>
      <c r="H496" s="94"/>
      <c r="I496" s="94"/>
      <c r="J496" s="94"/>
      <c r="K496" s="94"/>
      <c r="L496" s="94"/>
      <c r="M496" s="94"/>
      <c r="N496" s="94"/>
      <c r="O496" s="94"/>
      <c r="P496" s="94"/>
      <c r="Q496" s="94"/>
      <c r="R496" s="94"/>
      <c r="S496" s="94"/>
      <c r="T496" s="94"/>
      <c r="U496" s="94"/>
      <c r="V496" s="94"/>
      <c r="W496" s="94"/>
    </row>
    <row r="497" spans="1:23">
      <c r="A497" s="94"/>
      <c r="B497" s="94"/>
      <c r="C497" s="94"/>
      <c r="D497" s="94"/>
      <c r="E497" s="94"/>
      <c r="F497" s="94"/>
      <c r="G497" s="94"/>
      <c r="H497" s="94"/>
      <c r="I497" s="94"/>
      <c r="J497" s="94"/>
      <c r="K497" s="94"/>
      <c r="L497" s="94"/>
      <c r="M497" s="94"/>
      <c r="N497" s="94"/>
      <c r="O497" s="94"/>
      <c r="P497" s="94"/>
      <c r="Q497" s="94"/>
      <c r="R497" s="94"/>
      <c r="S497" s="94"/>
      <c r="T497" s="94"/>
      <c r="U497" s="94"/>
      <c r="V497" s="94"/>
      <c r="W497" s="94"/>
    </row>
    <row r="498" spans="1:23">
      <c r="A498" s="94"/>
      <c r="B498" s="94"/>
      <c r="C498" s="94"/>
      <c r="D498" s="94"/>
      <c r="E498" s="94"/>
      <c r="F498" s="94"/>
      <c r="G498" s="94"/>
      <c r="H498" s="94"/>
      <c r="I498" s="94"/>
      <c r="J498" s="94"/>
      <c r="K498" s="94"/>
      <c r="L498" s="94"/>
      <c r="M498" s="94"/>
      <c r="N498" s="94"/>
      <c r="O498" s="94"/>
      <c r="P498" s="94"/>
      <c r="Q498" s="94"/>
      <c r="R498" s="94"/>
      <c r="S498" s="94"/>
      <c r="T498" s="94"/>
      <c r="U498" s="94"/>
      <c r="V498" s="94"/>
      <c r="W498" s="94"/>
    </row>
    <row r="499" spans="1:23">
      <c r="A499" s="94"/>
      <c r="B499" s="94"/>
      <c r="C499" s="94"/>
      <c r="D499" s="94"/>
      <c r="E499" s="94"/>
      <c r="F499" s="94"/>
      <c r="G499" s="94"/>
      <c r="H499" s="94"/>
      <c r="I499" s="94"/>
      <c r="J499" s="94"/>
      <c r="K499" s="94"/>
      <c r="L499" s="94"/>
      <c r="M499" s="94"/>
      <c r="N499" s="94"/>
      <c r="O499" s="94"/>
      <c r="P499" s="94"/>
      <c r="Q499" s="94"/>
      <c r="R499" s="94"/>
      <c r="S499" s="94"/>
      <c r="T499" s="94"/>
      <c r="U499" s="94"/>
      <c r="V499" s="94"/>
      <c r="W499" s="94"/>
    </row>
    <row r="500" spans="1:23">
      <c r="A500" s="94"/>
      <c r="B500" s="94"/>
      <c r="C500" s="94"/>
      <c r="D500" s="94"/>
      <c r="E500" s="94"/>
      <c r="F500" s="94"/>
      <c r="G500" s="94"/>
      <c r="H500" s="94"/>
      <c r="I500" s="94"/>
      <c r="J500" s="94"/>
      <c r="K500" s="94"/>
      <c r="L500" s="94"/>
      <c r="M500" s="94"/>
      <c r="N500" s="94"/>
      <c r="O500" s="94"/>
      <c r="P500" s="94"/>
      <c r="Q500" s="94"/>
      <c r="R500" s="94"/>
      <c r="S500" s="94"/>
      <c r="T500" s="94"/>
      <c r="U500" s="94"/>
      <c r="V500" s="94"/>
      <c r="W500" s="94"/>
    </row>
    <row r="501" spans="1:23">
      <c r="A501" s="94"/>
      <c r="B501" s="94"/>
      <c r="C501" s="94"/>
      <c r="D501" s="94"/>
      <c r="E501" s="94"/>
      <c r="F501" s="94"/>
      <c r="G501" s="94"/>
      <c r="H501" s="94"/>
      <c r="I501" s="94"/>
      <c r="J501" s="94"/>
      <c r="K501" s="94"/>
      <c r="L501" s="94"/>
      <c r="M501" s="94"/>
      <c r="N501" s="94"/>
      <c r="O501" s="94"/>
      <c r="P501" s="94"/>
      <c r="Q501" s="94"/>
      <c r="R501" s="94"/>
      <c r="S501" s="94"/>
      <c r="T501" s="94"/>
      <c r="U501" s="94"/>
      <c r="V501" s="94"/>
      <c r="W501" s="94"/>
    </row>
    <row r="502" spans="1:23">
      <c r="A502" s="94"/>
      <c r="B502" s="94"/>
      <c r="C502" s="94"/>
      <c r="D502" s="94"/>
      <c r="E502" s="94"/>
      <c r="F502" s="94"/>
      <c r="G502" s="94"/>
      <c r="H502" s="94"/>
      <c r="I502" s="94"/>
      <c r="J502" s="94"/>
      <c r="K502" s="94"/>
      <c r="L502" s="94"/>
      <c r="M502" s="94"/>
      <c r="N502" s="94"/>
      <c r="O502" s="94"/>
      <c r="P502" s="94"/>
      <c r="Q502" s="94"/>
      <c r="R502" s="94"/>
      <c r="S502" s="94"/>
      <c r="T502" s="94"/>
      <c r="U502" s="94"/>
      <c r="V502" s="94"/>
      <c r="W502" s="94"/>
    </row>
    <row r="503" spans="1:23">
      <c r="A503" s="94"/>
      <c r="B503" s="94"/>
      <c r="C503" s="94"/>
      <c r="D503" s="94"/>
      <c r="E503" s="94"/>
      <c r="F503" s="94"/>
      <c r="G503" s="94"/>
      <c r="H503" s="94"/>
      <c r="I503" s="94"/>
      <c r="J503" s="94"/>
      <c r="K503" s="94"/>
      <c r="L503" s="94"/>
      <c r="M503" s="94"/>
      <c r="N503" s="94"/>
      <c r="O503" s="94"/>
      <c r="P503" s="94"/>
      <c r="Q503" s="94"/>
      <c r="R503" s="94"/>
      <c r="S503" s="94"/>
      <c r="T503" s="94"/>
      <c r="U503" s="94"/>
      <c r="V503" s="94"/>
      <c r="W503" s="94"/>
    </row>
    <row r="504" spans="1:23">
      <c r="A504" s="94"/>
      <c r="B504" s="94"/>
      <c r="C504" s="94"/>
      <c r="D504" s="94"/>
      <c r="E504" s="94"/>
      <c r="F504" s="94"/>
      <c r="G504" s="94"/>
      <c r="H504" s="94"/>
      <c r="I504" s="94"/>
      <c r="J504" s="94"/>
      <c r="K504" s="94"/>
      <c r="L504" s="94"/>
      <c r="M504" s="94"/>
      <c r="N504" s="94"/>
      <c r="O504" s="94"/>
      <c r="P504" s="94"/>
      <c r="Q504" s="94"/>
      <c r="R504" s="94"/>
      <c r="S504" s="94"/>
      <c r="T504" s="94"/>
      <c r="U504" s="94"/>
      <c r="V504" s="94"/>
      <c r="W504" s="94"/>
    </row>
    <row r="505" spans="1:23">
      <c r="A505" s="94"/>
      <c r="B505" s="94"/>
      <c r="C505" s="94"/>
      <c r="D505" s="94"/>
      <c r="E505" s="94"/>
      <c r="F505" s="94"/>
      <c r="G505" s="94"/>
      <c r="H505" s="94"/>
      <c r="I505" s="94"/>
      <c r="J505" s="94"/>
      <c r="K505" s="94"/>
      <c r="L505" s="94"/>
      <c r="M505" s="94"/>
      <c r="N505" s="94"/>
      <c r="O505" s="94"/>
      <c r="P505" s="94"/>
      <c r="Q505" s="94"/>
      <c r="R505" s="94"/>
      <c r="S505" s="94"/>
      <c r="T505" s="94"/>
      <c r="U505" s="94"/>
      <c r="V505" s="94"/>
      <c r="W505" s="94"/>
    </row>
    <row r="506" spans="1:23">
      <c r="A506" s="94"/>
      <c r="B506" s="94"/>
      <c r="C506" s="94"/>
      <c r="D506" s="94"/>
      <c r="E506" s="94"/>
      <c r="F506" s="94"/>
      <c r="G506" s="94"/>
      <c r="H506" s="94"/>
      <c r="I506" s="94"/>
      <c r="J506" s="94"/>
      <c r="K506" s="94"/>
      <c r="L506" s="94"/>
      <c r="M506" s="94"/>
      <c r="N506" s="94"/>
      <c r="O506" s="94"/>
      <c r="P506" s="94"/>
      <c r="Q506" s="94"/>
      <c r="R506" s="94"/>
      <c r="S506" s="94"/>
      <c r="T506" s="94"/>
      <c r="U506" s="94"/>
      <c r="V506" s="94"/>
      <c r="W506" s="94"/>
    </row>
    <row r="507" spans="1:23">
      <c r="A507" s="94"/>
      <c r="B507" s="94"/>
      <c r="C507" s="94"/>
      <c r="D507" s="94"/>
      <c r="E507" s="94"/>
      <c r="F507" s="94"/>
      <c r="G507" s="94"/>
      <c r="H507" s="94"/>
      <c r="I507" s="94"/>
      <c r="J507" s="94"/>
      <c r="K507" s="94"/>
      <c r="L507" s="94"/>
      <c r="M507" s="94"/>
      <c r="N507" s="94"/>
      <c r="O507" s="94"/>
      <c r="P507" s="94"/>
      <c r="Q507" s="94"/>
      <c r="R507" s="94"/>
      <c r="S507" s="94"/>
      <c r="T507" s="94"/>
      <c r="U507" s="94"/>
      <c r="V507" s="94"/>
      <c r="W507" s="94"/>
    </row>
    <row r="508" spans="1:23">
      <c r="A508" s="94"/>
      <c r="B508" s="94"/>
      <c r="C508" s="94"/>
      <c r="D508" s="94"/>
      <c r="E508" s="94"/>
      <c r="F508" s="94"/>
      <c r="G508" s="94"/>
      <c r="H508" s="94"/>
      <c r="I508" s="94"/>
      <c r="J508" s="94"/>
      <c r="K508" s="94"/>
      <c r="L508" s="94"/>
      <c r="M508" s="94"/>
      <c r="N508" s="94"/>
      <c r="O508" s="94"/>
      <c r="P508" s="94"/>
      <c r="Q508" s="94"/>
      <c r="R508" s="94"/>
      <c r="S508" s="94"/>
      <c r="T508" s="94"/>
      <c r="U508" s="94"/>
      <c r="V508" s="94"/>
      <c r="W508" s="94"/>
    </row>
    <row r="509" spans="1:23">
      <c r="A509" s="94"/>
      <c r="B509" s="94"/>
      <c r="C509" s="94"/>
      <c r="D509" s="94"/>
      <c r="E509" s="94"/>
      <c r="F509" s="94"/>
      <c r="G509" s="94"/>
      <c r="H509" s="94"/>
      <c r="I509" s="94"/>
      <c r="J509" s="94"/>
      <c r="K509" s="94"/>
      <c r="L509" s="94"/>
      <c r="M509" s="94"/>
      <c r="N509" s="94"/>
      <c r="O509" s="94"/>
      <c r="P509" s="94"/>
      <c r="Q509" s="94"/>
      <c r="R509" s="94"/>
      <c r="S509" s="94"/>
      <c r="T509" s="94"/>
      <c r="U509" s="94"/>
      <c r="V509" s="94"/>
      <c r="W509" s="94"/>
    </row>
    <row r="510" spans="1:23">
      <c r="A510" s="94"/>
      <c r="B510" s="94"/>
      <c r="C510" s="94"/>
      <c r="D510" s="94"/>
      <c r="E510" s="94"/>
      <c r="F510" s="94"/>
      <c r="G510" s="94"/>
      <c r="H510" s="94"/>
      <c r="I510" s="94"/>
      <c r="J510" s="94"/>
      <c r="K510" s="94"/>
      <c r="L510" s="94"/>
      <c r="M510" s="94"/>
      <c r="N510" s="94"/>
      <c r="O510" s="94"/>
      <c r="P510" s="94"/>
      <c r="Q510" s="94"/>
      <c r="R510" s="94"/>
      <c r="S510" s="94"/>
      <c r="T510" s="94"/>
      <c r="U510" s="94"/>
      <c r="V510" s="94"/>
      <c r="W510" s="94"/>
    </row>
    <row r="511" spans="1:23">
      <c r="A511" s="94"/>
      <c r="B511" s="94"/>
      <c r="C511" s="94"/>
      <c r="D511" s="94"/>
      <c r="E511" s="94"/>
      <c r="F511" s="94"/>
      <c r="G511" s="94"/>
      <c r="H511" s="94"/>
      <c r="I511" s="94"/>
      <c r="J511" s="94"/>
      <c r="K511" s="94"/>
      <c r="L511" s="94"/>
      <c r="M511" s="94"/>
      <c r="N511" s="94"/>
      <c r="O511" s="94"/>
      <c r="P511" s="94"/>
      <c r="Q511" s="94"/>
      <c r="R511" s="94"/>
      <c r="S511" s="94"/>
      <c r="T511" s="94"/>
      <c r="U511" s="94"/>
      <c r="V511" s="94"/>
      <c r="W511" s="94"/>
    </row>
    <row r="512" spans="1:23">
      <c r="A512" s="94"/>
      <c r="B512" s="94"/>
      <c r="C512" s="94"/>
      <c r="D512" s="94"/>
      <c r="E512" s="94"/>
      <c r="F512" s="94"/>
      <c r="G512" s="94"/>
      <c r="H512" s="94"/>
      <c r="I512" s="94"/>
      <c r="J512" s="94"/>
      <c r="K512" s="94"/>
      <c r="L512" s="94"/>
      <c r="M512" s="94"/>
      <c r="N512" s="94"/>
      <c r="O512" s="94"/>
      <c r="P512" s="94"/>
      <c r="Q512" s="94"/>
      <c r="R512" s="94"/>
      <c r="S512" s="94"/>
      <c r="T512" s="94"/>
      <c r="U512" s="94"/>
      <c r="V512" s="94"/>
      <c r="W512" s="94"/>
    </row>
    <row r="513" spans="1:23">
      <c r="A513" s="94"/>
      <c r="B513" s="94"/>
      <c r="C513" s="94"/>
      <c r="D513" s="94"/>
      <c r="E513" s="94"/>
      <c r="F513" s="94"/>
      <c r="G513" s="94"/>
      <c r="H513" s="94"/>
      <c r="I513" s="94"/>
      <c r="J513" s="94"/>
      <c r="K513" s="94"/>
      <c r="L513" s="94"/>
      <c r="M513" s="94"/>
      <c r="N513" s="94"/>
      <c r="O513" s="94"/>
      <c r="P513" s="94"/>
      <c r="Q513" s="94"/>
      <c r="R513" s="94"/>
      <c r="S513" s="94"/>
      <c r="T513" s="94"/>
      <c r="U513" s="94"/>
      <c r="V513" s="94"/>
      <c r="W513" s="94"/>
    </row>
    <row r="514" spans="1:23">
      <c r="A514" s="94"/>
      <c r="B514" s="94"/>
      <c r="C514" s="94"/>
      <c r="D514" s="94"/>
      <c r="E514" s="94"/>
      <c r="F514" s="94"/>
      <c r="G514" s="94"/>
      <c r="H514" s="94"/>
      <c r="I514" s="94"/>
      <c r="J514" s="94"/>
      <c r="K514" s="94"/>
      <c r="L514" s="94"/>
      <c r="M514" s="94"/>
      <c r="N514" s="94"/>
      <c r="O514" s="94"/>
      <c r="P514" s="94"/>
      <c r="Q514" s="94"/>
      <c r="R514" s="94"/>
      <c r="S514" s="94"/>
      <c r="T514" s="94"/>
      <c r="U514" s="94"/>
      <c r="V514" s="94"/>
      <c r="W514" s="94"/>
    </row>
    <row r="515" spans="1:23">
      <c r="A515" s="94"/>
      <c r="B515" s="94"/>
      <c r="C515" s="94"/>
      <c r="D515" s="94"/>
      <c r="E515" s="94"/>
      <c r="F515" s="94"/>
      <c r="G515" s="94"/>
      <c r="H515" s="94"/>
      <c r="I515" s="94"/>
      <c r="J515" s="94"/>
      <c r="K515" s="94"/>
      <c r="L515" s="94"/>
      <c r="M515" s="94"/>
      <c r="N515" s="94"/>
      <c r="O515" s="94"/>
      <c r="P515" s="94"/>
      <c r="Q515" s="94"/>
      <c r="R515" s="94"/>
      <c r="S515" s="94"/>
      <c r="T515" s="94"/>
      <c r="U515" s="94"/>
      <c r="V515" s="94"/>
      <c r="W515" s="94"/>
    </row>
    <row r="516" spans="1:23">
      <c r="A516" s="94"/>
      <c r="B516" s="94"/>
      <c r="C516" s="94"/>
      <c r="D516" s="94"/>
      <c r="E516" s="94"/>
      <c r="F516" s="94"/>
      <c r="G516" s="94"/>
      <c r="H516" s="94"/>
      <c r="I516" s="94"/>
      <c r="J516" s="94"/>
      <c r="K516" s="94"/>
      <c r="L516" s="94"/>
      <c r="M516" s="94"/>
      <c r="N516" s="94"/>
      <c r="O516" s="94"/>
      <c r="P516" s="94"/>
      <c r="Q516" s="94"/>
      <c r="R516" s="94"/>
      <c r="S516" s="94"/>
      <c r="T516" s="94"/>
      <c r="U516" s="94"/>
      <c r="V516" s="94"/>
      <c r="W516" s="94"/>
    </row>
    <row r="517" spans="1:23">
      <c r="A517" s="94"/>
      <c r="B517" s="94"/>
      <c r="C517" s="94"/>
      <c r="D517" s="94"/>
      <c r="E517" s="94"/>
      <c r="F517" s="94"/>
      <c r="G517" s="94"/>
      <c r="H517" s="94"/>
      <c r="I517" s="94"/>
      <c r="J517" s="94"/>
      <c r="K517" s="94"/>
      <c r="L517" s="94"/>
      <c r="M517" s="94"/>
      <c r="N517" s="94"/>
      <c r="O517" s="94"/>
      <c r="P517" s="94"/>
      <c r="Q517" s="94"/>
      <c r="R517" s="94"/>
      <c r="S517" s="94"/>
      <c r="T517" s="94"/>
      <c r="U517" s="94"/>
      <c r="V517" s="94"/>
      <c r="W517" s="94"/>
    </row>
    <row r="518" spans="1:23">
      <c r="A518" s="94"/>
      <c r="B518" s="94"/>
      <c r="C518" s="94"/>
      <c r="D518" s="94"/>
      <c r="E518" s="94"/>
      <c r="F518" s="94"/>
      <c r="G518" s="94"/>
      <c r="H518" s="94"/>
      <c r="I518" s="94"/>
      <c r="J518" s="94"/>
      <c r="K518" s="94"/>
      <c r="L518" s="94"/>
      <c r="M518" s="94"/>
      <c r="N518" s="94"/>
      <c r="O518" s="94"/>
      <c r="P518" s="94"/>
      <c r="Q518" s="94"/>
      <c r="R518" s="94"/>
      <c r="S518" s="94"/>
      <c r="T518" s="94"/>
      <c r="U518" s="94"/>
      <c r="V518" s="94"/>
      <c r="W518" s="94"/>
    </row>
    <row r="519" spans="1:23">
      <c r="A519" s="94"/>
      <c r="B519" s="94"/>
      <c r="C519" s="94"/>
      <c r="D519" s="94"/>
      <c r="E519" s="94"/>
      <c r="F519" s="94"/>
      <c r="G519" s="94"/>
      <c r="H519" s="94"/>
      <c r="I519" s="94"/>
      <c r="J519" s="94"/>
      <c r="K519" s="94"/>
      <c r="L519" s="94"/>
      <c r="M519" s="94"/>
      <c r="N519" s="94"/>
      <c r="O519" s="94"/>
      <c r="P519" s="94"/>
      <c r="Q519" s="94"/>
      <c r="R519" s="94"/>
      <c r="S519" s="94"/>
      <c r="T519" s="94"/>
      <c r="U519" s="94"/>
      <c r="V519" s="94"/>
      <c r="W519" s="94"/>
    </row>
    <row r="520" spans="1:23">
      <c r="A520" s="94"/>
      <c r="B520" s="94"/>
      <c r="C520" s="94"/>
      <c r="D520" s="94"/>
      <c r="E520" s="94"/>
      <c r="F520" s="94"/>
      <c r="G520" s="94"/>
      <c r="H520" s="94"/>
      <c r="I520" s="94"/>
      <c r="J520" s="94"/>
      <c r="K520" s="94"/>
      <c r="L520" s="94"/>
      <c r="M520" s="94"/>
      <c r="N520" s="94"/>
      <c r="O520" s="94"/>
      <c r="P520" s="94"/>
      <c r="Q520" s="94"/>
      <c r="R520" s="94"/>
      <c r="S520" s="94"/>
      <c r="T520" s="94"/>
      <c r="U520" s="94"/>
      <c r="V520" s="94"/>
      <c r="W520" s="94"/>
    </row>
    <row r="521" spans="1:23">
      <c r="A521" s="94"/>
      <c r="B521" s="94"/>
      <c r="C521" s="94"/>
      <c r="D521" s="94"/>
      <c r="E521" s="94"/>
      <c r="F521" s="94"/>
      <c r="G521" s="94"/>
      <c r="H521" s="94"/>
      <c r="I521" s="94"/>
      <c r="J521" s="94"/>
      <c r="K521" s="94"/>
      <c r="L521" s="94"/>
      <c r="M521" s="94"/>
      <c r="N521" s="94"/>
      <c r="O521" s="94"/>
      <c r="P521" s="94"/>
      <c r="Q521" s="94"/>
      <c r="R521" s="94"/>
      <c r="S521" s="94"/>
      <c r="T521" s="94"/>
      <c r="U521" s="94"/>
      <c r="V521" s="94"/>
      <c r="W521" s="94"/>
    </row>
    <row r="522" spans="1:23">
      <c r="A522" s="94"/>
      <c r="B522" s="94"/>
      <c r="C522" s="94"/>
      <c r="D522" s="94"/>
      <c r="E522" s="94"/>
      <c r="F522" s="94"/>
      <c r="G522" s="94"/>
      <c r="H522" s="94"/>
      <c r="I522" s="94"/>
      <c r="J522" s="94"/>
      <c r="K522" s="94"/>
      <c r="L522" s="94"/>
      <c r="M522" s="94"/>
      <c r="N522" s="94"/>
      <c r="O522" s="94"/>
      <c r="P522" s="94"/>
      <c r="Q522" s="94"/>
      <c r="R522" s="94"/>
      <c r="S522" s="94"/>
      <c r="T522" s="94"/>
      <c r="U522" s="94"/>
      <c r="V522" s="94"/>
      <c r="W522" s="94"/>
    </row>
    <row r="523" spans="1:23">
      <c r="A523" s="94"/>
      <c r="B523" s="94"/>
      <c r="C523" s="94"/>
      <c r="D523" s="94"/>
      <c r="E523" s="94"/>
      <c r="F523" s="94"/>
      <c r="G523" s="94"/>
      <c r="H523" s="94"/>
      <c r="I523" s="94"/>
      <c r="J523" s="94"/>
      <c r="K523" s="94"/>
      <c r="L523" s="94"/>
      <c r="M523" s="94"/>
      <c r="N523" s="94"/>
      <c r="O523" s="94"/>
      <c r="P523" s="94"/>
      <c r="Q523" s="94"/>
      <c r="R523" s="94"/>
      <c r="S523" s="94"/>
      <c r="T523" s="94"/>
      <c r="U523" s="94"/>
      <c r="V523" s="94"/>
      <c r="W523" s="94"/>
    </row>
    <row r="524" spans="1:23">
      <c r="A524" s="94"/>
      <c r="B524" s="94"/>
      <c r="C524" s="94"/>
      <c r="D524" s="94"/>
      <c r="E524" s="94"/>
      <c r="F524" s="94"/>
      <c r="G524" s="94"/>
      <c r="H524" s="94"/>
      <c r="I524" s="94"/>
      <c r="J524" s="94"/>
      <c r="K524" s="94"/>
      <c r="L524" s="94"/>
      <c r="M524" s="94"/>
      <c r="N524" s="94"/>
      <c r="O524" s="94"/>
      <c r="P524" s="94"/>
      <c r="Q524" s="94"/>
      <c r="R524" s="94"/>
      <c r="S524" s="94"/>
      <c r="T524" s="94"/>
      <c r="U524" s="94"/>
      <c r="V524" s="94"/>
      <c r="W524" s="94"/>
    </row>
    <row r="525" spans="1:23">
      <c r="A525" s="94"/>
      <c r="B525" s="94"/>
      <c r="C525" s="94"/>
      <c r="D525" s="94"/>
      <c r="E525" s="94"/>
      <c r="F525" s="94"/>
      <c r="G525" s="94"/>
      <c r="H525" s="94"/>
      <c r="I525" s="94"/>
      <c r="J525" s="94"/>
      <c r="K525" s="94"/>
      <c r="L525" s="94"/>
      <c r="M525" s="94"/>
      <c r="N525" s="94"/>
      <c r="O525" s="94"/>
      <c r="P525" s="94"/>
      <c r="Q525" s="94"/>
      <c r="R525" s="94"/>
      <c r="S525" s="94"/>
      <c r="T525" s="94"/>
      <c r="U525" s="94"/>
      <c r="V525" s="94"/>
      <c r="W525" s="94"/>
    </row>
    <row r="526" spans="1:23">
      <c r="A526" s="94"/>
      <c r="B526" s="94"/>
      <c r="C526" s="94"/>
      <c r="D526" s="94"/>
      <c r="E526" s="94"/>
      <c r="F526" s="94"/>
      <c r="G526" s="94"/>
      <c r="H526" s="94"/>
      <c r="I526" s="94"/>
      <c r="J526" s="94"/>
      <c r="K526" s="94"/>
      <c r="L526" s="94"/>
      <c r="M526" s="94"/>
      <c r="N526" s="94"/>
      <c r="O526" s="94"/>
      <c r="P526" s="94"/>
      <c r="Q526" s="94"/>
      <c r="R526" s="94"/>
      <c r="S526" s="94"/>
      <c r="T526" s="94"/>
      <c r="U526" s="94"/>
      <c r="V526" s="94"/>
      <c r="W526" s="94"/>
    </row>
    <row r="527" spans="1:23">
      <c r="A527" s="94"/>
      <c r="B527" s="94"/>
      <c r="C527" s="94"/>
      <c r="D527" s="94"/>
      <c r="E527" s="94"/>
      <c r="F527" s="94"/>
      <c r="G527" s="94"/>
      <c r="H527" s="94"/>
      <c r="I527" s="94"/>
      <c r="J527" s="94"/>
      <c r="K527" s="94"/>
      <c r="L527" s="94"/>
      <c r="M527" s="94"/>
      <c r="N527" s="94"/>
      <c r="O527" s="94"/>
      <c r="P527" s="94"/>
      <c r="Q527" s="94"/>
      <c r="R527" s="94"/>
      <c r="S527" s="94"/>
      <c r="T527" s="94"/>
      <c r="U527" s="94"/>
      <c r="V527" s="94"/>
      <c r="W527" s="94"/>
    </row>
    <row r="528" spans="1:23">
      <c r="A528" s="94"/>
      <c r="B528" s="94"/>
      <c r="C528" s="94"/>
      <c r="D528" s="94"/>
      <c r="E528" s="94"/>
      <c r="F528" s="94"/>
      <c r="G528" s="94"/>
      <c r="H528" s="94"/>
      <c r="I528" s="94"/>
      <c r="J528" s="94"/>
      <c r="K528" s="94"/>
      <c r="L528" s="94"/>
      <c r="M528" s="94"/>
      <c r="N528" s="94"/>
      <c r="O528" s="94"/>
      <c r="P528" s="94"/>
      <c r="Q528" s="94"/>
      <c r="R528" s="94"/>
      <c r="S528" s="94"/>
      <c r="T528" s="94"/>
      <c r="U528" s="94"/>
      <c r="V528" s="94"/>
      <c r="W528" s="94"/>
    </row>
    <row r="529" spans="1:23">
      <c r="A529" s="94"/>
      <c r="B529" s="94"/>
      <c r="C529" s="94"/>
      <c r="D529" s="94"/>
      <c r="E529" s="94"/>
      <c r="F529" s="94"/>
      <c r="G529" s="94"/>
      <c r="H529" s="94"/>
      <c r="I529" s="94"/>
      <c r="J529" s="94"/>
      <c r="K529" s="94"/>
      <c r="L529" s="94"/>
      <c r="M529" s="94"/>
      <c r="N529" s="94"/>
      <c r="O529" s="94"/>
      <c r="P529" s="94"/>
      <c r="Q529" s="94"/>
      <c r="R529" s="94"/>
      <c r="S529" s="94"/>
      <c r="T529" s="94"/>
      <c r="U529" s="94"/>
      <c r="V529" s="94"/>
      <c r="W529" s="94"/>
    </row>
    <row r="530" spans="1:23">
      <c r="A530" s="94"/>
      <c r="B530" s="94"/>
      <c r="C530" s="94"/>
      <c r="D530" s="94"/>
      <c r="E530" s="94"/>
      <c r="F530" s="94"/>
      <c r="G530" s="94"/>
      <c r="H530" s="94"/>
      <c r="I530" s="94"/>
      <c r="J530" s="94"/>
      <c r="K530" s="94"/>
      <c r="L530" s="94"/>
      <c r="M530" s="94"/>
      <c r="N530" s="94"/>
      <c r="O530" s="94"/>
      <c r="P530" s="94"/>
      <c r="Q530" s="94"/>
      <c r="R530" s="94"/>
      <c r="S530" s="94"/>
      <c r="T530" s="94"/>
      <c r="U530" s="94"/>
      <c r="V530" s="94"/>
      <c r="W530" s="94"/>
    </row>
    <row r="531" spans="1:23">
      <c r="A531" s="94"/>
      <c r="B531" s="94"/>
      <c r="C531" s="94"/>
      <c r="D531" s="94"/>
      <c r="E531" s="94"/>
      <c r="F531" s="94"/>
      <c r="G531" s="94"/>
      <c r="H531" s="94"/>
      <c r="I531" s="94"/>
      <c r="J531" s="94"/>
      <c r="K531" s="94"/>
      <c r="L531" s="94"/>
      <c r="M531" s="94"/>
      <c r="N531" s="94"/>
      <c r="O531" s="94"/>
      <c r="P531" s="94"/>
      <c r="Q531" s="94"/>
      <c r="R531" s="94"/>
      <c r="S531" s="94"/>
      <c r="T531" s="94"/>
      <c r="U531" s="94"/>
      <c r="V531" s="94"/>
      <c r="W531" s="94"/>
    </row>
    <row r="532" spans="1:23">
      <c r="A532" s="94"/>
      <c r="B532" s="94"/>
      <c r="C532" s="94"/>
      <c r="D532" s="94"/>
      <c r="E532" s="94"/>
      <c r="F532" s="94"/>
      <c r="G532" s="94"/>
      <c r="H532" s="94"/>
      <c r="I532" s="94"/>
      <c r="J532" s="94"/>
      <c r="K532" s="94"/>
      <c r="L532" s="94"/>
      <c r="M532" s="94"/>
      <c r="N532" s="94"/>
      <c r="O532" s="94"/>
      <c r="P532" s="94"/>
      <c r="Q532" s="94"/>
      <c r="R532" s="94"/>
      <c r="S532" s="94"/>
      <c r="T532" s="94"/>
      <c r="U532" s="94"/>
      <c r="V532" s="94"/>
      <c r="W532" s="94"/>
    </row>
    <row r="533" spans="1:23">
      <c r="A533" s="94"/>
      <c r="B533" s="94"/>
      <c r="C533" s="94"/>
      <c r="D533" s="94"/>
      <c r="E533" s="94"/>
      <c r="F533" s="94"/>
      <c r="G533" s="94"/>
      <c r="H533" s="94"/>
      <c r="I533" s="94"/>
      <c r="J533" s="94"/>
      <c r="K533" s="94"/>
      <c r="L533" s="94"/>
      <c r="M533" s="94"/>
      <c r="N533" s="94"/>
      <c r="O533" s="94"/>
      <c r="P533" s="94"/>
      <c r="Q533" s="94"/>
      <c r="R533" s="94"/>
      <c r="S533" s="94"/>
      <c r="T533" s="94"/>
      <c r="U533" s="94"/>
      <c r="V533" s="94"/>
      <c r="W533" s="94"/>
    </row>
    <row r="534" spans="1:23">
      <c r="A534" s="94"/>
      <c r="B534" s="94"/>
      <c r="C534" s="94"/>
      <c r="D534" s="94"/>
      <c r="E534" s="94"/>
      <c r="F534" s="94"/>
      <c r="G534" s="94"/>
      <c r="H534" s="94"/>
      <c r="I534" s="94"/>
      <c r="J534" s="94"/>
      <c r="K534" s="94"/>
      <c r="L534" s="94"/>
      <c r="M534" s="94"/>
      <c r="N534" s="94"/>
      <c r="O534" s="94"/>
      <c r="P534" s="94"/>
      <c r="Q534" s="94"/>
      <c r="R534" s="94"/>
      <c r="S534" s="94"/>
      <c r="T534" s="94"/>
      <c r="U534" s="94"/>
      <c r="V534" s="94"/>
      <c r="W534" s="94"/>
    </row>
    <row r="535" spans="1:23">
      <c r="A535" s="94"/>
      <c r="B535" s="94"/>
      <c r="C535" s="94"/>
      <c r="D535" s="94"/>
      <c r="E535" s="94"/>
      <c r="F535" s="94"/>
      <c r="G535" s="94"/>
      <c r="H535" s="94"/>
      <c r="I535" s="94"/>
      <c r="J535" s="94"/>
      <c r="K535" s="94"/>
      <c r="L535" s="94"/>
      <c r="M535" s="94"/>
      <c r="N535" s="94"/>
      <c r="O535" s="94"/>
      <c r="P535" s="94"/>
      <c r="Q535" s="94"/>
      <c r="R535" s="94"/>
      <c r="S535" s="94"/>
      <c r="T535" s="94"/>
      <c r="U535" s="94"/>
      <c r="V535" s="94"/>
      <c r="W535" s="94"/>
    </row>
    <row r="536" spans="1:23">
      <c r="A536" s="94"/>
      <c r="B536" s="94"/>
      <c r="C536" s="94"/>
      <c r="D536" s="94"/>
      <c r="E536" s="94"/>
      <c r="F536" s="94"/>
      <c r="G536" s="94"/>
      <c r="H536" s="94"/>
      <c r="I536" s="94"/>
      <c r="J536" s="94"/>
      <c r="K536" s="94"/>
      <c r="L536" s="94"/>
      <c r="M536" s="94"/>
      <c r="N536" s="94"/>
      <c r="O536" s="94"/>
      <c r="P536" s="94"/>
      <c r="Q536" s="94"/>
      <c r="R536" s="94"/>
      <c r="S536" s="94"/>
      <c r="T536" s="94"/>
      <c r="U536" s="94"/>
      <c r="V536" s="94"/>
      <c r="W536" s="94"/>
    </row>
    <row r="537" spans="1:23">
      <c r="A537" s="94"/>
      <c r="B537" s="94"/>
      <c r="C537" s="94"/>
      <c r="D537" s="94"/>
      <c r="E537" s="94"/>
      <c r="F537" s="94"/>
      <c r="G537" s="94"/>
      <c r="H537" s="94"/>
      <c r="I537" s="94"/>
      <c r="J537" s="94"/>
      <c r="K537" s="94"/>
      <c r="L537" s="94"/>
      <c r="M537" s="94"/>
      <c r="N537" s="94"/>
      <c r="O537" s="94"/>
      <c r="P537" s="94"/>
      <c r="Q537" s="94"/>
      <c r="R537" s="94"/>
      <c r="S537" s="94"/>
      <c r="T537" s="94"/>
      <c r="U537" s="94"/>
      <c r="V537" s="94"/>
      <c r="W537" s="94"/>
    </row>
    <row r="538" spans="1:23">
      <c r="A538" s="94"/>
      <c r="B538" s="94"/>
      <c r="C538" s="94"/>
      <c r="D538" s="94"/>
      <c r="E538" s="94"/>
      <c r="F538" s="94"/>
      <c r="G538" s="94"/>
      <c r="H538" s="94"/>
      <c r="I538" s="94"/>
      <c r="J538" s="94"/>
      <c r="K538" s="94"/>
      <c r="L538" s="94"/>
      <c r="M538" s="94"/>
      <c r="N538" s="94"/>
      <c r="O538" s="94"/>
      <c r="P538" s="94"/>
      <c r="Q538" s="94"/>
      <c r="R538" s="94"/>
      <c r="S538" s="94"/>
      <c r="T538" s="94"/>
      <c r="U538" s="94"/>
      <c r="V538" s="94"/>
      <c r="W538" s="94"/>
    </row>
  </sheetData>
  <sheetProtection selectLockedCells="1" selectUnlockedCells="1"/>
  <mergeCells count="32">
    <mergeCell ref="D8:M8"/>
    <mergeCell ref="D14:P14"/>
    <mergeCell ref="D15:P15"/>
    <mergeCell ref="D17:P17"/>
    <mergeCell ref="B4:Q4"/>
    <mergeCell ref="C5:P5"/>
    <mergeCell ref="B6:Q6"/>
    <mergeCell ref="C7:P7"/>
    <mergeCell ref="D11:P11"/>
    <mergeCell ref="D10:P10"/>
    <mergeCell ref="D9:P9"/>
    <mergeCell ref="C25:E25"/>
    <mergeCell ref="F25:H25"/>
    <mergeCell ref="I25:P25"/>
    <mergeCell ref="D18:P18"/>
    <mergeCell ref="D12:P12"/>
    <mergeCell ref="C24:E24"/>
    <mergeCell ref="F24:H24"/>
    <mergeCell ref="I24:P24"/>
    <mergeCell ref="D16:P16"/>
    <mergeCell ref="D19:P19"/>
    <mergeCell ref="B21:Q21"/>
    <mergeCell ref="C23:E23"/>
    <mergeCell ref="F23:H23"/>
    <mergeCell ref="I23:P23"/>
    <mergeCell ref="D13:P13"/>
    <mergeCell ref="C27:E27"/>
    <mergeCell ref="F27:H27"/>
    <mergeCell ref="I27:P27"/>
    <mergeCell ref="C26:E26"/>
    <mergeCell ref="F26:H26"/>
    <mergeCell ref="I26:P26"/>
  </mergeCells>
  <printOptions horizontalCentered="1"/>
  <pageMargins left="0.7" right="0.7" top="0.75" bottom="0.75" header="0.3" footer="0.3"/>
  <pageSetup scale="98" fitToHeight="0"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22530" r:id="rId4" name="Button 2">
              <controlPr defaultSize="0" print="0" autoFill="0" autoPict="0" macro="[0]!CloseOnglet">
                <anchor moveWithCells="1" sizeWithCells="1">
                  <from>
                    <xdr:col>16</xdr:col>
                    <xdr:colOff>257175</xdr:colOff>
                    <xdr:row>1</xdr:row>
                    <xdr:rowOff>28575</xdr:rowOff>
                  </from>
                  <to>
                    <xdr:col>19</xdr:col>
                    <xdr:colOff>342900</xdr:colOff>
                    <xdr:row>1</xdr:row>
                    <xdr:rowOff>409575</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2A10251-B6D0-1049-A855-341B852A9435}">
  <sheetPr codeName="Feuil22">
    <tabColor theme="3"/>
  </sheetPr>
  <dimension ref="B1:B3"/>
  <sheetViews>
    <sheetView zoomScale="93" zoomScaleNormal="93" workbookViewId="0">
      <selection activeCell="V17" sqref="V17"/>
    </sheetView>
  </sheetViews>
  <sheetFormatPr baseColWidth="10" defaultColWidth="11" defaultRowHeight="12.75"/>
  <cols>
    <col min="1" max="1" width="5" style="414" customWidth="1"/>
    <col min="2" max="23" width="11" style="414"/>
    <col min="24" max="24" width="5" style="414" customWidth="1"/>
    <col min="25" max="16384" width="11" style="414"/>
  </cols>
  <sheetData>
    <row r="1" spans="2:2" s="416" customFormat="1" ht="44.1" customHeight="1">
      <c r="B1" s="415" t="s">
        <v>494</v>
      </c>
    </row>
    <row r="2" spans="2:2" s="413" customFormat="1" ht="8.1" customHeight="1"/>
    <row r="3" spans="2:2" ht="9.9499999999999993" customHeight="1"/>
  </sheetData>
  <pageMargins left="0.7" right="0.7" top="0.75" bottom="0.75" header="0.3" footer="0.3"/>
  <drawing r:id="rId1"/>
  <legacyDrawing r:id="rId2"/>
  <mc:AlternateContent xmlns:mc="http://schemas.openxmlformats.org/markup-compatibility/2006">
    <mc:Choice Requires="x14">
      <controls>
        <mc:AlternateContent xmlns:mc="http://schemas.openxmlformats.org/markup-compatibility/2006">
          <mc:Choice Requires="x14">
            <control shapeId="21507" r:id="rId3" name="Entrainement">
              <controlPr defaultSize="0" print="0" autoFill="0" autoPict="0" macro="[0]!OpenOnglet" altText="Entrainement">
                <anchor moveWithCells="1" sizeWithCells="1">
                  <from>
                    <xdr:col>1</xdr:col>
                    <xdr:colOff>266700</xdr:colOff>
                    <xdr:row>8</xdr:row>
                    <xdr:rowOff>142875</xdr:rowOff>
                  </from>
                  <to>
                    <xdr:col>3</xdr:col>
                    <xdr:colOff>390525</xdr:colOff>
                    <xdr:row>11</xdr:row>
                    <xdr:rowOff>0</xdr:rowOff>
                  </to>
                </anchor>
              </controlPr>
            </control>
          </mc:Choice>
        </mc:AlternateContent>
        <mc:AlternateContent xmlns:mc="http://schemas.openxmlformats.org/markup-compatibility/2006">
          <mc:Choice Requires="x14">
            <control shapeId="21511" r:id="rId4" name="Forme">
              <controlPr defaultSize="0" print="0" autoFill="0" autoPict="0" macro="[0]!OpenOnglet">
                <anchor moveWithCells="1" sizeWithCells="1">
                  <from>
                    <xdr:col>1</xdr:col>
                    <xdr:colOff>276225</xdr:colOff>
                    <xdr:row>11</xdr:row>
                    <xdr:rowOff>152400</xdr:rowOff>
                  </from>
                  <to>
                    <xdr:col>3</xdr:col>
                    <xdr:colOff>409575</xdr:colOff>
                    <xdr:row>14</xdr:row>
                    <xdr:rowOff>0</xdr:rowOff>
                  </to>
                </anchor>
              </controlPr>
            </control>
          </mc:Choice>
        </mc:AlternateContent>
        <mc:AlternateContent xmlns:mc="http://schemas.openxmlformats.org/markup-compatibility/2006">
          <mc:Choice Requires="x14">
            <control shapeId="21512" r:id="rId5" name="RPE">
              <controlPr defaultSize="0" print="0" autoFill="0" autoPict="0" macro="[0]!OpenOnglet" altText="Note RPE">
                <anchor moveWithCells="1" sizeWithCells="1">
                  <from>
                    <xdr:col>1</xdr:col>
                    <xdr:colOff>276225</xdr:colOff>
                    <xdr:row>15</xdr:row>
                    <xdr:rowOff>0</xdr:rowOff>
                  </from>
                  <to>
                    <xdr:col>3</xdr:col>
                    <xdr:colOff>409575</xdr:colOff>
                    <xdr:row>17</xdr:row>
                    <xdr:rowOff>28575</xdr:rowOff>
                  </to>
                </anchor>
              </controlPr>
            </control>
          </mc:Choice>
        </mc:AlternateContent>
        <mc:AlternateContent xmlns:mc="http://schemas.openxmlformats.org/markup-compatibility/2006">
          <mc:Choice Requires="x14">
            <control shapeId="21513" r:id="rId6" name="Bilan Entrainement - Annuel">
              <controlPr defaultSize="0" print="0" autoFill="0" autoPict="0" macro="[0]!OpenOnglet">
                <anchor moveWithCells="1" sizeWithCells="1">
                  <from>
                    <xdr:col>1</xdr:col>
                    <xdr:colOff>276225</xdr:colOff>
                    <xdr:row>18</xdr:row>
                    <xdr:rowOff>9525</xdr:rowOff>
                  </from>
                  <to>
                    <xdr:col>3</xdr:col>
                    <xdr:colOff>409575</xdr:colOff>
                    <xdr:row>20</xdr:row>
                    <xdr:rowOff>38100</xdr:rowOff>
                  </to>
                </anchor>
              </controlPr>
            </control>
          </mc:Choice>
        </mc:AlternateContent>
        <mc:AlternateContent xmlns:mc="http://schemas.openxmlformats.org/markup-compatibility/2006">
          <mc:Choice Requires="x14">
            <control shapeId="21514" r:id="rId7" name="Bilan Entrainement - Mensuel">
              <controlPr defaultSize="0" print="0" autoFill="0" autoPict="0" macro="[0]!OpenOnglet">
                <anchor moveWithCells="1" sizeWithCells="1">
                  <from>
                    <xdr:col>1</xdr:col>
                    <xdr:colOff>276225</xdr:colOff>
                    <xdr:row>21</xdr:row>
                    <xdr:rowOff>9525</xdr:rowOff>
                  </from>
                  <to>
                    <xdr:col>3</xdr:col>
                    <xdr:colOff>409575</xdr:colOff>
                    <xdr:row>23</xdr:row>
                    <xdr:rowOff>38100</xdr:rowOff>
                  </to>
                </anchor>
              </controlPr>
            </control>
          </mc:Choice>
        </mc:AlternateContent>
        <mc:AlternateContent xmlns:mc="http://schemas.openxmlformats.org/markup-compatibility/2006">
          <mc:Choice Requires="x14">
            <control shapeId="21515" r:id="rId8" name="Charges collective">
              <controlPr defaultSize="0" print="0" autoFill="0" autoPict="0" macro="[0]!OpenOnglet">
                <anchor moveWithCells="1" sizeWithCells="1">
                  <from>
                    <xdr:col>13</xdr:col>
                    <xdr:colOff>304800</xdr:colOff>
                    <xdr:row>5</xdr:row>
                    <xdr:rowOff>142875</xdr:rowOff>
                  </from>
                  <to>
                    <xdr:col>15</xdr:col>
                    <xdr:colOff>428625</xdr:colOff>
                    <xdr:row>7</xdr:row>
                    <xdr:rowOff>161925</xdr:rowOff>
                  </to>
                </anchor>
              </controlPr>
            </control>
          </mc:Choice>
        </mc:AlternateContent>
        <mc:AlternateContent xmlns:mc="http://schemas.openxmlformats.org/markup-compatibility/2006">
          <mc:Choice Requires="x14">
            <control shapeId="21516" r:id="rId9" name="Charges individuel">
              <controlPr defaultSize="0" print="0" autoFill="0" autoPict="0" macro="[0]!OpenOnglet">
                <anchor moveWithCells="1" sizeWithCells="1">
                  <from>
                    <xdr:col>13</xdr:col>
                    <xdr:colOff>304800</xdr:colOff>
                    <xdr:row>8</xdr:row>
                    <xdr:rowOff>152400</xdr:rowOff>
                  </from>
                  <to>
                    <xdr:col>15</xdr:col>
                    <xdr:colOff>428625</xdr:colOff>
                    <xdr:row>11</xdr:row>
                    <xdr:rowOff>0</xdr:rowOff>
                  </to>
                </anchor>
              </controlPr>
            </control>
          </mc:Choice>
        </mc:AlternateContent>
        <mc:AlternateContent xmlns:mc="http://schemas.openxmlformats.org/markup-compatibility/2006">
          <mc:Choice Requires="x14">
            <control shapeId="21517" r:id="rId10" name="Graphique des charges">
              <controlPr defaultSize="0" print="0" autoFill="0" autoPict="0" macro="[0]!OpenOnglet">
                <anchor moveWithCells="1" sizeWithCells="1">
                  <from>
                    <xdr:col>13</xdr:col>
                    <xdr:colOff>304800</xdr:colOff>
                    <xdr:row>11</xdr:row>
                    <xdr:rowOff>180975</xdr:rowOff>
                  </from>
                  <to>
                    <xdr:col>15</xdr:col>
                    <xdr:colOff>428625</xdr:colOff>
                    <xdr:row>14</xdr:row>
                    <xdr:rowOff>28575</xdr:rowOff>
                  </to>
                </anchor>
              </controlPr>
            </control>
          </mc:Choice>
        </mc:AlternateContent>
        <mc:AlternateContent xmlns:mc="http://schemas.openxmlformats.org/markup-compatibility/2006">
          <mc:Choice Requires="x14">
            <control shapeId="21518" r:id="rId11" name="Victoire">
              <controlPr defaultSize="0" print="0" autoFill="0" autoPict="0" macro="[0]!OpenOnglet">
                <anchor moveWithCells="1" sizeWithCells="1">
                  <from>
                    <xdr:col>9</xdr:col>
                    <xdr:colOff>314325</xdr:colOff>
                    <xdr:row>5</xdr:row>
                    <xdr:rowOff>142875</xdr:rowOff>
                  </from>
                  <to>
                    <xdr:col>11</xdr:col>
                    <xdr:colOff>447675</xdr:colOff>
                    <xdr:row>7</xdr:row>
                    <xdr:rowOff>161925</xdr:rowOff>
                  </to>
                </anchor>
              </controlPr>
            </control>
          </mc:Choice>
        </mc:AlternateContent>
        <mc:AlternateContent xmlns:mc="http://schemas.openxmlformats.org/markup-compatibility/2006">
          <mc:Choice Requires="x14">
            <control shapeId="21519" r:id="rId12" name="Plaisir">
              <controlPr defaultSize="0" print="0" autoFill="0" autoPict="0" macro="[0]!OpenOnglet">
                <anchor moveWithCells="1" sizeWithCells="1">
                  <from>
                    <xdr:col>9</xdr:col>
                    <xdr:colOff>314325</xdr:colOff>
                    <xdr:row>12</xdr:row>
                    <xdr:rowOff>28575</xdr:rowOff>
                  </from>
                  <to>
                    <xdr:col>11</xdr:col>
                    <xdr:colOff>447675</xdr:colOff>
                    <xdr:row>14</xdr:row>
                    <xdr:rowOff>38100</xdr:rowOff>
                  </to>
                </anchor>
              </controlPr>
            </control>
          </mc:Choice>
        </mc:AlternateContent>
        <mc:AlternateContent xmlns:mc="http://schemas.openxmlformats.org/markup-compatibility/2006">
          <mc:Choice Requires="x14">
            <control shapeId="21520" r:id="rId13" name="Perfo.">
              <controlPr defaultSize="0" print="0" autoFill="0" autoPict="0" macro="[0]!OpenOnglet">
                <anchor moveWithCells="1" sizeWithCells="1">
                  <from>
                    <xdr:col>9</xdr:col>
                    <xdr:colOff>314325</xdr:colOff>
                    <xdr:row>15</xdr:row>
                    <xdr:rowOff>38100</xdr:rowOff>
                  </from>
                  <to>
                    <xdr:col>11</xdr:col>
                    <xdr:colOff>447675</xdr:colOff>
                    <xdr:row>17</xdr:row>
                    <xdr:rowOff>66675</xdr:rowOff>
                  </to>
                </anchor>
              </controlPr>
            </control>
          </mc:Choice>
        </mc:AlternateContent>
        <mc:AlternateContent xmlns:mc="http://schemas.openxmlformats.org/markup-compatibility/2006">
          <mc:Choice Requires="x14">
            <control shapeId="21521" r:id="rId14" name="VAK">
              <controlPr defaultSize="0" print="0" autoFill="0" autoPict="0" macro="[0]!OpenOnglet">
                <anchor moveWithCells="1" sizeWithCells="1">
                  <from>
                    <xdr:col>9</xdr:col>
                    <xdr:colOff>333375</xdr:colOff>
                    <xdr:row>26</xdr:row>
                    <xdr:rowOff>9525</xdr:rowOff>
                  </from>
                  <to>
                    <xdr:col>11</xdr:col>
                    <xdr:colOff>457200</xdr:colOff>
                    <xdr:row>28</xdr:row>
                    <xdr:rowOff>38100</xdr:rowOff>
                  </to>
                </anchor>
              </controlPr>
            </control>
          </mc:Choice>
        </mc:AlternateContent>
        <mc:AlternateContent xmlns:mc="http://schemas.openxmlformats.org/markup-compatibility/2006">
          <mc:Choice Requires="x14">
            <control shapeId="21522" r:id="rId15" name="Mentaux">
              <controlPr defaultSize="0" print="0" autoFill="0" autoPict="0" macro="[0]!OpenOnglet">
                <anchor moveWithCells="1" sizeWithCells="1">
                  <from>
                    <xdr:col>9</xdr:col>
                    <xdr:colOff>333375</xdr:colOff>
                    <xdr:row>29</xdr:row>
                    <xdr:rowOff>9525</xdr:rowOff>
                  </from>
                  <to>
                    <xdr:col>11</xdr:col>
                    <xdr:colOff>457200</xdr:colOff>
                    <xdr:row>31</xdr:row>
                    <xdr:rowOff>38100</xdr:rowOff>
                  </to>
                </anchor>
              </controlPr>
            </control>
          </mc:Choice>
        </mc:AlternateContent>
        <mc:AlternateContent xmlns:mc="http://schemas.openxmlformats.org/markup-compatibility/2006">
          <mc:Choice Requires="x14">
            <control shapeId="21523" r:id="rId16" name="Match">
              <controlPr defaultSize="0" print="0" autoFill="0" autoPict="0" macro="[0]!OpenOnglet">
                <anchor moveWithCells="1" sizeWithCells="1">
                  <from>
                    <xdr:col>5</xdr:col>
                    <xdr:colOff>314325</xdr:colOff>
                    <xdr:row>5</xdr:row>
                    <xdr:rowOff>142875</xdr:rowOff>
                  </from>
                  <to>
                    <xdr:col>7</xdr:col>
                    <xdr:colOff>447675</xdr:colOff>
                    <xdr:row>7</xdr:row>
                    <xdr:rowOff>161925</xdr:rowOff>
                  </to>
                </anchor>
              </controlPr>
            </control>
          </mc:Choice>
        </mc:AlternateContent>
        <mc:AlternateContent xmlns:mc="http://schemas.openxmlformats.org/markup-compatibility/2006">
          <mc:Choice Requires="x14">
            <control shapeId="21524" r:id="rId17" name="BDD - Joueurs">
              <controlPr defaultSize="0" print="0" autoFill="0" autoPict="0" macro="[0]!OpenOnglet">
                <anchor moveWithCells="1" sizeWithCells="1">
                  <from>
                    <xdr:col>17</xdr:col>
                    <xdr:colOff>314325</xdr:colOff>
                    <xdr:row>26</xdr:row>
                    <xdr:rowOff>0</xdr:rowOff>
                  </from>
                  <to>
                    <xdr:col>19</xdr:col>
                    <xdr:colOff>447675</xdr:colOff>
                    <xdr:row>28</xdr:row>
                    <xdr:rowOff>28575</xdr:rowOff>
                  </to>
                </anchor>
              </controlPr>
            </control>
          </mc:Choice>
        </mc:AlternateContent>
        <mc:AlternateContent xmlns:mc="http://schemas.openxmlformats.org/markup-compatibility/2006">
          <mc:Choice Requires="x14">
            <control shapeId="21525" r:id="rId18" name="Paramétres">
              <controlPr defaultSize="0" print="0" autoFill="0" autoPict="0" macro="[0]!OpenOnglet">
                <anchor moveWithCells="1" sizeWithCells="1">
                  <from>
                    <xdr:col>17</xdr:col>
                    <xdr:colOff>314325</xdr:colOff>
                    <xdr:row>29</xdr:row>
                    <xdr:rowOff>0</xdr:rowOff>
                  </from>
                  <to>
                    <xdr:col>19</xdr:col>
                    <xdr:colOff>447675</xdr:colOff>
                    <xdr:row>31</xdr:row>
                    <xdr:rowOff>28575</xdr:rowOff>
                  </to>
                </anchor>
              </controlPr>
            </control>
          </mc:Choice>
        </mc:AlternateContent>
        <mc:AlternateContent xmlns:mc="http://schemas.openxmlformats.org/markup-compatibility/2006">
          <mc:Choice Requires="x14">
            <control shapeId="21526" r:id="rId19" name="Fiche joueur">
              <controlPr defaultSize="0" print="0" autoFill="0" autoPict="0" macro="[0]!OpenOnglet">
                <anchor moveWithCells="1" sizeWithCells="1">
                  <from>
                    <xdr:col>17</xdr:col>
                    <xdr:colOff>304800</xdr:colOff>
                    <xdr:row>9</xdr:row>
                    <xdr:rowOff>0</xdr:rowOff>
                  </from>
                  <to>
                    <xdr:col>19</xdr:col>
                    <xdr:colOff>447675</xdr:colOff>
                    <xdr:row>11</xdr:row>
                    <xdr:rowOff>28575</xdr:rowOff>
                  </to>
                </anchor>
              </controlPr>
            </control>
          </mc:Choice>
        </mc:AlternateContent>
        <mc:AlternateContent xmlns:mc="http://schemas.openxmlformats.org/markup-compatibility/2006">
          <mc:Choice Requires="x14">
            <control shapeId="21527" r:id="rId20" name="Poid - Taille">
              <controlPr defaultSize="0" print="0" autoFill="0" autoPict="0" macro="[0]!OpenOnglet">
                <anchor moveWithCells="1" sizeWithCells="1">
                  <from>
                    <xdr:col>17</xdr:col>
                    <xdr:colOff>314325</xdr:colOff>
                    <xdr:row>5</xdr:row>
                    <xdr:rowOff>142875</xdr:rowOff>
                  </from>
                  <to>
                    <xdr:col>19</xdr:col>
                    <xdr:colOff>447675</xdr:colOff>
                    <xdr:row>7</xdr:row>
                    <xdr:rowOff>161925</xdr:rowOff>
                  </to>
                </anchor>
              </controlPr>
            </control>
          </mc:Choice>
        </mc:AlternateContent>
        <mc:AlternateContent xmlns:mc="http://schemas.openxmlformats.org/markup-compatibility/2006">
          <mc:Choice Requires="x14">
            <control shapeId="21528" r:id="rId21" name="Parametre model de jeu">
              <controlPr defaultSize="0" print="0" autoFill="0" autoPict="0" macro="[0]!OpenOnglet">
                <anchor moveWithCells="1" sizeWithCells="1">
                  <from>
                    <xdr:col>17</xdr:col>
                    <xdr:colOff>314325</xdr:colOff>
                    <xdr:row>32</xdr:row>
                    <xdr:rowOff>9525</xdr:rowOff>
                  </from>
                  <to>
                    <xdr:col>19</xdr:col>
                    <xdr:colOff>447675</xdr:colOff>
                    <xdr:row>34</xdr:row>
                    <xdr:rowOff>38100</xdr:rowOff>
                  </to>
                </anchor>
              </controlPr>
            </control>
          </mc:Choice>
        </mc:AlternateContent>
        <mc:AlternateContent xmlns:mc="http://schemas.openxmlformats.org/markup-compatibility/2006">
          <mc:Choice Requires="x14">
            <control shapeId="21530" r:id="rId22" name="Bilan entretiens">
              <controlPr defaultSize="0" print="0" autoFill="0" autoPict="0" macro="[0]!OpenOnglet">
                <anchor moveWithCells="1" sizeWithCells="1">
                  <from>
                    <xdr:col>13</xdr:col>
                    <xdr:colOff>304800</xdr:colOff>
                    <xdr:row>25</xdr:row>
                    <xdr:rowOff>180975</xdr:rowOff>
                  </from>
                  <to>
                    <xdr:col>15</xdr:col>
                    <xdr:colOff>428625</xdr:colOff>
                    <xdr:row>28</xdr:row>
                    <xdr:rowOff>28575</xdr:rowOff>
                  </to>
                </anchor>
              </controlPr>
            </control>
          </mc:Choice>
        </mc:AlternateContent>
        <mc:AlternateContent xmlns:mc="http://schemas.openxmlformats.org/markup-compatibility/2006">
          <mc:Choice Requires="x14">
            <control shapeId="21531" r:id="rId23" name="Fiche entretien">
              <controlPr defaultSize="0" print="0" autoFill="0" autoPict="0" macro="[0]!OpenOnglet">
                <anchor moveWithCells="1" sizeWithCells="1">
                  <from>
                    <xdr:col>13</xdr:col>
                    <xdr:colOff>314325</xdr:colOff>
                    <xdr:row>28</xdr:row>
                    <xdr:rowOff>180975</xdr:rowOff>
                  </from>
                  <to>
                    <xdr:col>15</xdr:col>
                    <xdr:colOff>447675</xdr:colOff>
                    <xdr:row>31</xdr:row>
                    <xdr:rowOff>28575</xdr:rowOff>
                  </to>
                </anchor>
              </controlPr>
            </control>
          </mc:Choice>
        </mc:AlternateContent>
        <mc:AlternateContent xmlns:mc="http://schemas.openxmlformats.org/markup-compatibility/2006">
          <mc:Choice Requires="x14">
            <control shapeId="21533" r:id="rId24" name="Guide">
              <controlPr defaultSize="0" print="0" autoFill="0" autoPict="0" macro="[0]!OpenOnglet">
                <anchor moveWithCells="1" sizeWithCells="1">
                  <from>
                    <xdr:col>17</xdr:col>
                    <xdr:colOff>333375</xdr:colOff>
                    <xdr:row>35</xdr:row>
                    <xdr:rowOff>28575</xdr:rowOff>
                  </from>
                  <to>
                    <xdr:col>19</xdr:col>
                    <xdr:colOff>457200</xdr:colOff>
                    <xdr:row>37</xdr:row>
                    <xdr:rowOff>47625</xdr:rowOff>
                  </to>
                </anchor>
              </controlPr>
            </control>
          </mc:Choice>
        </mc:AlternateContent>
        <mc:AlternateContent xmlns:mc="http://schemas.openxmlformats.org/markup-compatibility/2006">
          <mc:Choice Requires="x14">
            <control shapeId="21534" r:id="rId25" name="Séance">
              <controlPr defaultSize="0" print="0" autoFill="0" autoPict="0" macro="[0]!OpenOnglet" altText="Entrainement">
                <anchor moveWithCells="1" sizeWithCells="1">
                  <from>
                    <xdr:col>1</xdr:col>
                    <xdr:colOff>266700</xdr:colOff>
                    <xdr:row>5</xdr:row>
                    <xdr:rowOff>142875</xdr:rowOff>
                  </from>
                  <to>
                    <xdr:col>3</xdr:col>
                    <xdr:colOff>390525</xdr:colOff>
                    <xdr:row>7</xdr:row>
                    <xdr:rowOff>152400</xdr:rowOff>
                  </to>
                </anchor>
              </controlPr>
            </control>
          </mc:Choice>
        </mc:AlternateContent>
        <mc:AlternateContent xmlns:mc="http://schemas.openxmlformats.org/markup-compatibility/2006">
          <mc:Choice Requires="x14">
            <control shapeId="21535" r:id="rId26" name="Fiche pointage">
              <controlPr defaultSize="0" print="0" autoFill="0" autoPict="0" macro="[0]!OpenOnglet">
                <anchor moveWithCells="1" sizeWithCells="1">
                  <from>
                    <xdr:col>1</xdr:col>
                    <xdr:colOff>266700</xdr:colOff>
                    <xdr:row>24</xdr:row>
                    <xdr:rowOff>9525</xdr:rowOff>
                  </from>
                  <to>
                    <xdr:col>3</xdr:col>
                    <xdr:colOff>409575</xdr:colOff>
                    <xdr:row>26</xdr:row>
                    <xdr:rowOff>38100</xdr:rowOff>
                  </to>
                </anchor>
              </controlPr>
            </control>
          </mc:Choice>
        </mc:AlternateContent>
        <mc:AlternateContent xmlns:mc="http://schemas.openxmlformats.org/markup-compatibility/2006">
          <mc:Choice Requires="x14">
            <control shapeId="21536" r:id="rId27" name="Bilan Victoire - Mensuel">
              <controlPr defaultSize="0" print="0" autoFill="0" autoPict="0" macro="[0]!OpenOnglet">
                <anchor moveWithCells="1" sizeWithCells="1">
                  <from>
                    <xdr:col>9</xdr:col>
                    <xdr:colOff>314325</xdr:colOff>
                    <xdr:row>8</xdr:row>
                    <xdr:rowOff>152400</xdr:rowOff>
                  </from>
                  <to>
                    <xdr:col>11</xdr:col>
                    <xdr:colOff>447675</xdr:colOff>
                    <xdr:row>11</xdr:row>
                    <xdr:rowOff>28575</xdr:rowOff>
                  </to>
                </anchor>
              </controlPr>
            </control>
          </mc:Choice>
        </mc:AlternateContent>
      </controls>
    </mc:Choice>
  </mc:AlternateConten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6011962-B1C3-874D-8BE0-2855A71F4287}">
  <sheetPr codeName="Feuil14">
    <tabColor theme="3"/>
    <pageSetUpPr fitToPage="1"/>
  </sheetPr>
  <dimension ref="A1:Y70"/>
  <sheetViews>
    <sheetView tabSelected="1" zoomScaleNormal="100" workbookViewId="0">
      <selection activeCell="E18" sqref="E18"/>
    </sheetView>
  </sheetViews>
  <sheetFormatPr baseColWidth="10" defaultRowHeight="12.75"/>
  <cols>
    <col min="1" max="1" width="2.85546875" customWidth="1"/>
    <col min="2" max="2" width="0.85546875" customWidth="1"/>
    <col min="3" max="4" width="4.85546875" customWidth="1"/>
    <col min="5" max="5" width="18.85546875" customWidth="1"/>
    <col min="6" max="6" width="6.85546875" customWidth="1"/>
    <col min="7" max="7" width="4.85546875" customWidth="1"/>
    <col min="8" max="8" width="32.85546875" customWidth="1"/>
    <col min="10" max="10" width="6.85546875" customWidth="1"/>
    <col min="11" max="11" width="4.85546875" customWidth="1"/>
    <col min="12" max="12" width="32.85546875" customWidth="1"/>
    <col min="14" max="14" width="6.85546875" customWidth="1"/>
    <col min="15" max="15" width="4.85546875" customWidth="1"/>
    <col min="16" max="16" width="32.85546875" customWidth="1"/>
    <col min="18" max="18" width="6.85546875" customWidth="1"/>
    <col min="19" max="19" width="4.85546875" customWidth="1"/>
    <col min="20" max="20" width="32.85546875" customWidth="1"/>
  </cols>
  <sheetData>
    <row r="1" spans="1:25" s="460" customFormat="1" ht="44.1" customHeight="1">
      <c r="C1" s="462" t="s">
        <v>497</v>
      </c>
    </row>
    <row r="2" spans="1:25" s="463" customFormat="1" ht="8.1" customHeight="1"/>
    <row r="3" spans="1:25">
      <c r="A3" s="459"/>
      <c r="B3" s="461"/>
      <c r="C3" s="459"/>
      <c r="D3" s="459"/>
      <c r="E3" s="459"/>
      <c r="F3" s="459"/>
      <c r="G3" s="459"/>
      <c r="H3" s="459"/>
      <c r="I3" s="459"/>
      <c r="J3" s="459"/>
      <c r="K3" s="459"/>
      <c r="L3" s="459"/>
      <c r="M3" s="459"/>
      <c r="N3" s="459"/>
      <c r="O3" s="459"/>
      <c r="P3" s="459"/>
      <c r="Q3" s="459"/>
      <c r="R3" s="459"/>
      <c r="S3" s="459"/>
      <c r="T3" s="459"/>
      <c r="U3" s="459"/>
      <c r="V3" s="459"/>
      <c r="W3" s="459"/>
      <c r="X3" s="459"/>
      <c r="Y3" s="459"/>
    </row>
    <row r="4" spans="1:25" ht="22.5">
      <c r="A4" s="459"/>
      <c r="B4" s="447"/>
      <c r="C4" s="448" t="s">
        <v>544</v>
      </c>
      <c r="D4" s="446"/>
      <c r="E4" s="446"/>
      <c r="F4" s="440"/>
      <c r="G4" s="440"/>
      <c r="H4" s="440"/>
      <c r="I4" s="440"/>
      <c r="J4" s="440"/>
      <c r="K4" s="440"/>
      <c r="L4" s="440"/>
      <c r="M4" s="440"/>
      <c r="N4" s="440"/>
      <c r="O4" s="440"/>
      <c r="P4" s="440"/>
      <c r="Q4" s="440"/>
      <c r="R4" s="440"/>
      <c r="S4" s="440"/>
      <c r="T4" s="440"/>
      <c r="U4" s="440"/>
      <c r="V4" s="440"/>
      <c r="W4" s="459"/>
      <c r="X4" s="459"/>
      <c r="Y4" s="459"/>
    </row>
    <row r="5" spans="1:25" ht="5.0999999999999996" customHeight="1">
      <c r="A5" s="459"/>
      <c r="B5" s="438"/>
      <c r="C5" s="449"/>
      <c r="D5" s="450"/>
      <c r="E5" s="450"/>
      <c r="F5" s="437"/>
      <c r="G5" s="437"/>
      <c r="H5" s="437"/>
      <c r="I5" s="437"/>
      <c r="J5" s="437"/>
      <c r="K5" s="437"/>
      <c r="L5" s="437"/>
      <c r="M5" s="437"/>
      <c r="N5" s="437"/>
      <c r="O5" s="437"/>
      <c r="P5" s="437"/>
      <c r="Q5" s="437"/>
      <c r="R5" s="437"/>
      <c r="S5" s="437"/>
      <c r="T5" s="437"/>
      <c r="U5" s="437"/>
      <c r="V5" s="437"/>
      <c r="W5" s="459"/>
      <c r="X5" s="459"/>
      <c r="Y5" s="459"/>
    </row>
    <row r="6" spans="1:25">
      <c r="A6" s="459"/>
      <c r="B6" s="437"/>
      <c r="C6" s="440"/>
      <c r="D6" s="440"/>
      <c r="E6" s="440"/>
      <c r="F6" s="440"/>
      <c r="G6" s="440"/>
      <c r="H6" s="440"/>
      <c r="I6" s="440"/>
      <c r="J6" s="440"/>
      <c r="K6" s="440"/>
      <c r="L6" s="440"/>
      <c r="M6" s="440"/>
      <c r="N6" s="440"/>
      <c r="O6" s="440"/>
      <c r="P6" s="440"/>
      <c r="Q6" s="440"/>
      <c r="R6" s="440"/>
      <c r="S6" s="440"/>
      <c r="T6" s="440"/>
      <c r="U6" s="440"/>
      <c r="V6" s="440"/>
      <c r="W6" s="459"/>
      <c r="X6" s="459"/>
      <c r="Y6" s="459"/>
    </row>
    <row r="7" spans="1:25" ht="15">
      <c r="A7" s="459"/>
      <c r="B7" s="437"/>
      <c r="C7" s="440"/>
      <c r="D7" s="441" t="s">
        <v>545</v>
      </c>
      <c r="E7" s="440"/>
      <c r="F7" s="440"/>
      <c r="G7" s="441" t="s">
        <v>548</v>
      </c>
      <c r="H7" s="440"/>
      <c r="I7" s="440"/>
      <c r="J7" s="440"/>
      <c r="K7" s="441" t="s">
        <v>553</v>
      </c>
      <c r="L7" s="440"/>
      <c r="M7" s="440"/>
      <c r="N7" s="440"/>
      <c r="O7" s="441" t="s">
        <v>556</v>
      </c>
      <c r="P7" s="440"/>
      <c r="Q7" s="440"/>
      <c r="R7" s="440"/>
      <c r="S7" s="441" t="s">
        <v>546</v>
      </c>
      <c r="T7" s="440"/>
      <c r="U7" s="440"/>
      <c r="V7" s="440"/>
      <c r="W7" s="459"/>
      <c r="X7" s="459"/>
      <c r="Y7" s="459"/>
    </row>
    <row r="8" spans="1:25" ht="26.25">
      <c r="A8" s="459"/>
      <c r="B8" s="437"/>
      <c r="C8" s="440"/>
      <c r="D8" s="440"/>
      <c r="E8" s="442">
        <f>COUNTA(Tableau6[Num])</f>
        <v>21</v>
      </c>
      <c r="F8" s="440"/>
      <c r="G8" s="440"/>
      <c r="H8" s="443" t="s">
        <v>550</v>
      </c>
      <c r="I8" s="442">
        <f>COUNTIF(Tableau6[Cotisation],Paramétres!V5)</f>
        <v>9</v>
      </c>
      <c r="J8" s="440"/>
      <c r="K8" s="440"/>
      <c r="L8" s="444" t="s">
        <v>554</v>
      </c>
      <c r="M8" s="442">
        <f>COUNTIF(Tableau6[Mois],"&lt;=6")</f>
        <v>9</v>
      </c>
      <c r="N8" s="440"/>
      <c r="O8" s="440"/>
      <c r="P8" s="444" t="s">
        <v>66</v>
      </c>
      <c r="Q8" s="442">
        <f>COUNTIF(Tableau6[Pied],Paramétres!D5)</f>
        <v>17</v>
      </c>
      <c r="R8" s="440"/>
      <c r="S8" s="440"/>
      <c r="T8" s="444" t="s">
        <v>38</v>
      </c>
      <c r="U8" s="442">
        <f>COUNTIF(Tableau6[Poste],Paramétres!F5)</f>
        <v>2</v>
      </c>
      <c r="V8" s="440"/>
      <c r="W8" s="459"/>
      <c r="X8" s="459"/>
      <c r="Y8" s="459"/>
    </row>
    <row r="9" spans="1:25" ht="26.25">
      <c r="A9" s="459"/>
      <c r="B9" s="437"/>
      <c r="C9" s="440"/>
      <c r="D9" s="440"/>
      <c r="E9" s="440"/>
      <c r="F9" s="440"/>
      <c r="G9" s="440"/>
      <c r="H9" s="443" t="s">
        <v>552</v>
      </c>
      <c r="I9" s="442">
        <f>COUNTIF(Tableau6[Cotisation],Paramétres!V6)</f>
        <v>2</v>
      </c>
      <c r="J9" s="440"/>
      <c r="K9" s="440"/>
      <c r="L9" s="444" t="s">
        <v>555</v>
      </c>
      <c r="M9" s="442">
        <f>COUNTIF(Tableau6[Mois],"&gt;6")</f>
        <v>12</v>
      </c>
      <c r="N9" s="440"/>
      <c r="O9" s="440"/>
      <c r="P9" s="444" t="s">
        <v>42</v>
      </c>
      <c r="Q9" s="442">
        <f>COUNTIF(Tableau6[Pied],Paramétres!D6)</f>
        <v>3</v>
      </c>
      <c r="R9" s="440"/>
      <c r="S9" s="440"/>
      <c r="T9" s="444" t="s">
        <v>39</v>
      </c>
      <c r="U9" s="442">
        <f>COUNTIF(Tableau6[Poste],Paramétres!F6)</f>
        <v>8</v>
      </c>
      <c r="V9" s="440"/>
      <c r="W9" s="459"/>
      <c r="X9" s="459"/>
      <c r="Y9" s="459"/>
    </row>
    <row r="10" spans="1:25" ht="26.25">
      <c r="A10" s="459"/>
      <c r="B10" s="437"/>
      <c r="C10" s="440"/>
      <c r="D10" s="440"/>
      <c r="E10" s="440"/>
      <c r="F10" s="440"/>
      <c r="G10" s="440"/>
      <c r="H10" s="443" t="s">
        <v>551</v>
      </c>
      <c r="I10" s="442">
        <f>COUNTIF(Tableau6[Cotisation],Paramétres!V7)</f>
        <v>9</v>
      </c>
      <c r="J10" s="440"/>
      <c r="K10" s="440"/>
      <c r="L10" s="440"/>
      <c r="M10" s="440"/>
      <c r="N10" s="440"/>
      <c r="O10" s="440"/>
      <c r="P10" s="444" t="s">
        <v>567</v>
      </c>
      <c r="Q10" s="442">
        <f>COUNTIF(Tableau6[Pied],Paramétres!D7)</f>
        <v>1</v>
      </c>
      <c r="R10" s="440"/>
      <c r="S10" s="440"/>
      <c r="T10" s="444" t="s">
        <v>547</v>
      </c>
      <c r="U10" s="442">
        <f>COUNTIF(Tableau6[Poste],Paramétres!F7)</f>
        <v>5</v>
      </c>
      <c r="V10" s="440"/>
      <c r="W10" s="459"/>
      <c r="X10" s="459"/>
      <c r="Y10" s="459"/>
    </row>
    <row r="11" spans="1:25" ht="26.25">
      <c r="A11" s="459"/>
      <c r="B11" s="437"/>
      <c r="C11" s="440"/>
      <c r="D11" s="440"/>
      <c r="E11" s="440"/>
      <c r="F11" s="440"/>
      <c r="G11" s="440"/>
      <c r="H11" s="445"/>
      <c r="I11" s="440"/>
      <c r="J11" s="440"/>
      <c r="K11" s="440"/>
      <c r="L11" s="440"/>
      <c r="M11" s="440"/>
      <c r="N11" s="440"/>
      <c r="O11" s="440"/>
      <c r="P11" s="440"/>
      <c r="Q11" s="440"/>
      <c r="R11" s="440"/>
      <c r="S11" s="440"/>
      <c r="T11" s="444" t="s">
        <v>41</v>
      </c>
      <c r="U11" s="442">
        <f>COUNTIF(Tableau6[Poste],Paramétres!F8)</f>
        <v>6</v>
      </c>
      <c r="V11" s="440"/>
      <c r="W11" s="459"/>
      <c r="X11" s="459"/>
      <c r="Y11" s="459"/>
    </row>
    <row r="12" spans="1:25">
      <c r="A12" s="459"/>
      <c r="B12" s="437"/>
      <c r="C12" s="440"/>
      <c r="D12" s="440"/>
      <c r="E12" s="440"/>
      <c r="F12" s="440"/>
      <c r="G12" s="440"/>
      <c r="H12" s="440"/>
      <c r="I12" s="440"/>
      <c r="J12" s="440"/>
      <c r="K12" s="440"/>
      <c r="L12" s="440"/>
      <c r="M12" s="440"/>
      <c r="N12" s="440"/>
      <c r="O12" s="440"/>
      <c r="P12" s="440"/>
      <c r="Q12" s="440"/>
      <c r="R12" s="440"/>
      <c r="S12" s="440"/>
      <c r="T12" s="440"/>
      <c r="U12" s="440"/>
      <c r="V12" s="440"/>
      <c r="W12" s="459"/>
      <c r="X12" s="459"/>
      <c r="Y12" s="459"/>
    </row>
    <row r="13" spans="1:25">
      <c r="A13" s="459"/>
      <c r="B13" s="437"/>
      <c r="C13" s="440"/>
      <c r="D13" s="440"/>
      <c r="E13" s="440"/>
      <c r="F13" s="440"/>
      <c r="G13" s="440"/>
      <c r="H13" s="446"/>
      <c r="I13" s="440"/>
      <c r="J13" s="440"/>
      <c r="K13" s="440"/>
      <c r="L13" s="440"/>
      <c r="M13" s="440"/>
      <c r="N13" s="440"/>
      <c r="O13" s="440"/>
      <c r="P13" s="440"/>
      <c r="Q13" s="440"/>
      <c r="R13" s="440"/>
      <c r="S13" s="440"/>
      <c r="T13" s="440"/>
      <c r="U13" s="440"/>
      <c r="V13" s="440"/>
      <c r="W13" s="459"/>
      <c r="X13" s="459"/>
      <c r="Y13" s="459"/>
    </row>
    <row r="14" spans="1:25">
      <c r="A14" s="459"/>
      <c r="B14" s="437"/>
      <c r="C14" s="440"/>
      <c r="D14" s="440"/>
      <c r="E14" s="440"/>
      <c r="F14" s="440"/>
      <c r="G14" s="440"/>
      <c r="H14" s="440"/>
      <c r="I14" s="440"/>
      <c r="J14" s="440"/>
      <c r="K14" s="440"/>
      <c r="L14" s="440"/>
      <c r="M14" s="440"/>
      <c r="N14" s="440"/>
      <c r="O14" s="440"/>
      <c r="P14" s="440"/>
      <c r="Q14" s="440"/>
      <c r="R14" s="440"/>
      <c r="S14" s="440"/>
      <c r="T14" s="440"/>
      <c r="U14" s="440"/>
      <c r="V14" s="440"/>
      <c r="W14" s="459"/>
      <c r="X14" s="459"/>
      <c r="Y14" s="459"/>
    </row>
    <row r="15" spans="1:25">
      <c r="A15" s="459"/>
      <c r="B15" s="437"/>
      <c r="C15" s="440"/>
      <c r="D15" s="440"/>
      <c r="E15" s="440"/>
      <c r="F15" s="440"/>
      <c r="G15" s="440"/>
      <c r="H15" s="440"/>
      <c r="I15" s="440"/>
      <c r="J15" s="440"/>
      <c r="K15" s="440"/>
      <c r="L15" s="440"/>
      <c r="M15" s="440"/>
      <c r="N15" s="440"/>
      <c r="O15" s="440"/>
      <c r="P15" s="440"/>
      <c r="Q15" s="440"/>
      <c r="R15" s="440"/>
      <c r="S15" s="440"/>
      <c r="T15" s="440"/>
      <c r="U15" s="440"/>
      <c r="V15" s="440"/>
      <c r="W15" s="459"/>
      <c r="X15" s="459"/>
      <c r="Y15" s="459"/>
    </row>
    <row r="16" spans="1:25">
      <c r="A16" s="459"/>
      <c r="B16" s="437"/>
      <c r="C16" s="440"/>
      <c r="D16" s="440"/>
      <c r="E16" s="440"/>
      <c r="F16" s="440"/>
      <c r="G16" s="440"/>
      <c r="H16" s="440"/>
      <c r="I16" s="440"/>
      <c r="J16" s="440"/>
      <c r="K16" s="440"/>
      <c r="L16" s="440"/>
      <c r="M16" s="440"/>
      <c r="N16" s="440"/>
      <c r="O16" s="440"/>
      <c r="P16" s="440"/>
      <c r="Q16" s="440"/>
      <c r="R16" s="440"/>
      <c r="S16" s="440"/>
      <c r="T16" s="440"/>
      <c r="U16" s="440"/>
      <c r="V16" s="440"/>
      <c r="W16" s="459"/>
      <c r="X16" s="459"/>
      <c r="Y16" s="459"/>
    </row>
    <row r="17" spans="1:25">
      <c r="A17" s="459"/>
      <c r="B17" s="437"/>
      <c r="C17" s="440"/>
      <c r="D17" s="440"/>
      <c r="E17" s="440"/>
      <c r="F17" s="440"/>
      <c r="G17" s="440"/>
      <c r="H17" s="440"/>
      <c r="I17" s="440"/>
      <c r="J17" s="440"/>
      <c r="K17" s="440"/>
      <c r="L17" s="440"/>
      <c r="M17" s="440"/>
      <c r="N17" s="440"/>
      <c r="O17" s="440"/>
      <c r="P17" s="440"/>
      <c r="Q17" s="440"/>
      <c r="R17" s="440"/>
      <c r="S17" s="440"/>
      <c r="T17" s="440"/>
      <c r="U17" s="440"/>
      <c r="V17" s="440"/>
      <c r="W17" s="459"/>
      <c r="X17" s="459"/>
      <c r="Y17" s="459"/>
    </row>
    <row r="18" spans="1:25">
      <c r="A18" s="459"/>
      <c r="B18" s="437"/>
      <c r="C18" s="440"/>
      <c r="D18" s="440"/>
      <c r="E18" s="440"/>
      <c r="F18" s="440"/>
      <c r="G18" s="440"/>
      <c r="H18" s="440"/>
      <c r="I18" s="440"/>
      <c r="J18" s="440"/>
      <c r="K18" s="440"/>
      <c r="L18" s="440"/>
      <c r="M18" s="440"/>
      <c r="N18" s="440"/>
      <c r="O18" s="440"/>
      <c r="P18" s="440"/>
      <c r="Q18" s="440"/>
      <c r="R18" s="440"/>
      <c r="S18" s="440"/>
      <c r="T18" s="440"/>
      <c r="U18" s="440"/>
      <c r="V18" s="440"/>
      <c r="W18" s="459"/>
      <c r="X18" s="459"/>
      <c r="Y18" s="459"/>
    </row>
    <row r="19" spans="1:25">
      <c r="A19" s="459"/>
      <c r="B19" s="437"/>
      <c r="C19" s="440"/>
      <c r="D19" s="440"/>
      <c r="E19" s="440"/>
      <c r="F19" s="440"/>
      <c r="G19" s="440"/>
      <c r="H19" s="440"/>
      <c r="I19" s="440"/>
      <c r="J19" s="440"/>
      <c r="K19" s="440"/>
      <c r="L19" s="440"/>
      <c r="M19" s="440"/>
      <c r="N19" s="440"/>
      <c r="O19" s="440"/>
      <c r="P19" s="440"/>
      <c r="Q19" s="440"/>
      <c r="R19" s="440"/>
      <c r="S19" s="440"/>
      <c r="T19" s="440"/>
      <c r="U19" s="440"/>
      <c r="V19" s="440"/>
      <c r="W19" s="459"/>
      <c r="X19" s="459"/>
      <c r="Y19" s="459"/>
    </row>
    <row r="20" spans="1:25">
      <c r="A20" s="459"/>
      <c r="B20" s="437"/>
      <c r="C20" s="440"/>
      <c r="D20" s="440"/>
      <c r="E20" s="440"/>
      <c r="F20" s="440"/>
      <c r="G20" s="440"/>
      <c r="H20" s="440"/>
      <c r="I20" s="440"/>
      <c r="J20" s="440"/>
      <c r="K20" s="440"/>
      <c r="L20" s="440"/>
      <c r="M20" s="440"/>
      <c r="N20" s="440"/>
      <c r="O20" s="440"/>
      <c r="P20" s="440"/>
      <c r="Q20" s="440"/>
      <c r="R20" s="440"/>
      <c r="S20" s="440"/>
      <c r="T20" s="440"/>
      <c r="U20" s="440"/>
      <c r="V20" s="440"/>
      <c r="W20" s="459"/>
      <c r="X20" s="459"/>
      <c r="Y20" s="459"/>
    </row>
    <row r="21" spans="1:25">
      <c r="A21" s="459"/>
      <c r="B21" s="437"/>
      <c r="C21" s="440"/>
      <c r="D21" s="440"/>
      <c r="E21" s="440"/>
      <c r="F21" s="440"/>
      <c r="G21" s="440"/>
      <c r="H21" s="440"/>
      <c r="I21" s="440"/>
      <c r="J21" s="440"/>
      <c r="K21" s="440"/>
      <c r="L21" s="440"/>
      <c r="M21" s="440"/>
      <c r="N21" s="440"/>
      <c r="O21" s="440"/>
      <c r="P21" s="440"/>
      <c r="Q21" s="440"/>
      <c r="R21" s="440"/>
      <c r="S21" s="440"/>
      <c r="T21" s="440"/>
      <c r="U21" s="440"/>
      <c r="V21" s="440"/>
      <c r="W21" s="459"/>
      <c r="X21" s="459"/>
      <c r="Y21" s="459"/>
    </row>
    <row r="22" spans="1:25">
      <c r="A22" s="459"/>
      <c r="B22" s="437"/>
      <c r="C22" s="440"/>
      <c r="D22" s="440"/>
      <c r="E22" s="440"/>
      <c r="F22" s="440"/>
      <c r="G22" s="440"/>
      <c r="H22" s="440"/>
      <c r="I22" s="440"/>
      <c r="J22" s="440"/>
      <c r="K22" s="440"/>
      <c r="L22" s="440"/>
      <c r="M22" s="440"/>
      <c r="N22" s="440"/>
      <c r="O22" s="440"/>
      <c r="P22" s="440"/>
      <c r="Q22" s="440"/>
      <c r="R22" s="440"/>
      <c r="S22" s="440"/>
      <c r="T22" s="440"/>
      <c r="U22" s="440"/>
      <c r="V22" s="440"/>
      <c r="W22" s="459"/>
      <c r="X22" s="459"/>
      <c r="Y22" s="459"/>
    </row>
    <row r="23" spans="1:25">
      <c r="A23" s="459"/>
      <c r="B23" s="437"/>
      <c r="C23" s="440"/>
      <c r="D23" s="440"/>
      <c r="E23" s="440"/>
      <c r="F23" s="440"/>
      <c r="G23" s="440"/>
      <c r="H23" s="440"/>
      <c r="I23" s="440"/>
      <c r="J23" s="440"/>
      <c r="K23" s="440"/>
      <c r="L23" s="440"/>
      <c r="M23" s="440"/>
      <c r="N23" s="440"/>
      <c r="O23" s="440"/>
      <c r="P23" s="440"/>
      <c r="Q23" s="440"/>
      <c r="R23" s="440"/>
      <c r="S23" s="440"/>
      <c r="T23" s="440"/>
      <c r="U23" s="440"/>
      <c r="V23" s="440"/>
      <c r="W23" s="459"/>
      <c r="X23" s="459"/>
      <c r="Y23" s="459"/>
    </row>
    <row r="24" spans="1:25">
      <c r="A24" s="459"/>
      <c r="B24" s="437"/>
      <c r="C24" s="440"/>
      <c r="D24" s="440"/>
      <c r="E24" s="440"/>
      <c r="F24" s="440"/>
      <c r="G24" s="440"/>
      <c r="H24" s="440"/>
      <c r="I24" s="440"/>
      <c r="J24" s="440"/>
      <c r="K24" s="440"/>
      <c r="L24" s="440"/>
      <c r="M24" s="440"/>
      <c r="N24" s="440"/>
      <c r="O24" s="440"/>
      <c r="P24" s="440"/>
      <c r="Q24" s="440"/>
      <c r="R24" s="440"/>
      <c r="S24" s="440"/>
      <c r="T24" s="440"/>
      <c r="U24" s="440"/>
      <c r="V24" s="440"/>
      <c r="W24" s="459"/>
      <c r="X24" s="459"/>
      <c r="Y24" s="459"/>
    </row>
    <row r="25" spans="1:25">
      <c r="A25" s="459"/>
      <c r="B25" s="437"/>
      <c r="C25" s="440"/>
      <c r="D25" s="440"/>
      <c r="E25" s="440"/>
      <c r="F25" s="440"/>
      <c r="G25" s="440"/>
      <c r="H25" s="440"/>
      <c r="I25" s="440"/>
      <c r="J25" s="440"/>
      <c r="K25" s="440"/>
      <c r="L25" s="440"/>
      <c r="M25" s="440"/>
      <c r="N25" s="440"/>
      <c r="O25" s="440"/>
      <c r="P25" s="440"/>
      <c r="Q25" s="440"/>
      <c r="R25" s="440"/>
      <c r="S25" s="440"/>
      <c r="T25" s="440"/>
      <c r="U25" s="440"/>
      <c r="V25" s="440"/>
      <c r="W25" s="459"/>
      <c r="X25" s="459"/>
      <c r="Y25" s="459"/>
    </row>
    <row r="26" spans="1:25">
      <c r="A26" s="459"/>
      <c r="B26" s="459"/>
      <c r="C26" s="459"/>
      <c r="D26" s="459"/>
      <c r="E26" s="459"/>
      <c r="F26" s="459"/>
      <c r="G26" s="459"/>
      <c r="H26" s="459"/>
      <c r="I26" s="459"/>
      <c r="J26" s="459"/>
      <c r="K26" s="459"/>
      <c r="L26" s="459"/>
      <c r="M26" s="459"/>
      <c r="N26" s="459"/>
      <c r="O26" s="459"/>
      <c r="P26" s="459"/>
      <c r="Q26" s="459"/>
      <c r="R26" s="459"/>
      <c r="S26" s="459"/>
      <c r="T26" s="459"/>
      <c r="U26" s="459"/>
      <c r="V26" s="459"/>
      <c r="W26" s="459"/>
      <c r="X26" s="459"/>
      <c r="Y26" s="459"/>
    </row>
    <row r="27" spans="1:25" ht="22.5">
      <c r="A27" s="459"/>
      <c r="B27" s="440"/>
      <c r="C27" s="464" t="s">
        <v>557</v>
      </c>
      <c r="D27" s="440"/>
      <c r="E27" s="440"/>
      <c r="F27" s="440"/>
      <c r="G27" s="440"/>
      <c r="H27" s="440"/>
      <c r="I27" s="440"/>
      <c r="J27" s="440"/>
      <c r="K27" s="440"/>
      <c r="L27" s="440"/>
      <c r="M27" s="440"/>
      <c r="N27" s="440"/>
      <c r="O27" s="440"/>
      <c r="P27" s="440"/>
      <c r="Q27" s="440"/>
      <c r="R27" s="440"/>
      <c r="S27" s="440"/>
      <c r="T27" s="440"/>
      <c r="U27" s="440"/>
      <c r="V27" s="440"/>
      <c r="W27" s="459"/>
      <c r="X27" s="459"/>
      <c r="Y27" s="459"/>
    </row>
    <row r="28" spans="1:25" ht="5.0999999999999996" customHeight="1">
      <c r="A28" s="459"/>
      <c r="B28" s="452"/>
      <c r="C28" s="452"/>
      <c r="D28" s="453"/>
      <c r="E28" s="452"/>
      <c r="F28" s="452"/>
      <c r="G28" s="452"/>
      <c r="H28" s="452"/>
      <c r="I28" s="452"/>
      <c r="J28" s="452"/>
      <c r="K28" s="452"/>
      <c r="L28" s="452"/>
      <c r="M28" s="452"/>
      <c r="N28" s="452"/>
      <c r="O28" s="452"/>
      <c r="P28" s="452"/>
      <c r="Q28" s="452"/>
      <c r="R28" s="452"/>
      <c r="S28" s="452"/>
      <c r="T28" s="452"/>
      <c r="U28" s="452"/>
      <c r="V28" s="452"/>
      <c r="W28" s="459"/>
      <c r="X28" s="459"/>
      <c r="Y28" s="459"/>
    </row>
    <row r="29" spans="1:25">
      <c r="A29" s="459"/>
      <c r="B29" s="452"/>
      <c r="C29" s="440"/>
      <c r="D29" s="440"/>
      <c r="E29" s="440"/>
      <c r="F29" s="440"/>
      <c r="G29" s="440"/>
      <c r="H29" s="440"/>
      <c r="I29" s="440"/>
      <c r="J29" s="440"/>
      <c r="K29" s="440"/>
      <c r="L29" s="440"/>
      <c r="M29" s="440"/>
      <c r="N29" s="440"/>
      <c r="O29" s="440"/>
      <c r="P29" s="440"/>
      <c r="Q29" s="440"/>
      <c r="R29" s="440"/>
      <c r="S29" s="440"/>
      <c r="T29" s="440"/>
      <c r="U29" s="440"/>
      <c r="V29" s="440"/>
      <c r="W29" s="459"/>
      <c r="X29" s="459"/>
      <c r="Y29" s="459"/>
    </row>
    <row r="30" spans="1:25" ht="17.25">
      <c r="A30" s="459"/>
      <c r="B30" s="452"/>
      <c r="C30" s="454"/>
      <c r="D30" s="441" t="s">
        <v>543</v>
      </c>
      <c r="E30" s="440"/>
      <c r="F30" s="440"/>
      <c r="G30" s="441" t="s">
        <v>560</v>
      </c>
      <c r="H30" s="440"/>
      <c r="I30" s="440"/>
      <c r="J30" s="440"/>
      <c r="K30" s="441" t="s">
        <v>559</v>
      </c>
      <c r="L30" s="440"/>
      <c r="M30" s="440"/>
      <c r="N30" s="440"/>
      <c r="O30" s="441" t="s">
        <v>561</v>
      </c>
      <c r="P30" s="440"/>
      <c r="Q30" s="440"/>
      <c r="R30" s="440"/>
      <c r="S30" s="441" t="s">
        <v>562</v>
      </c>
      <c r="T30" s="440"/>
      <c r="U30" s="440"/>
      <c r="V30" s="440"/>
      <c r="W30" s="459"/>
      <c r="X30" s="459"/>
      <c r="Y30" s="459"/>
    </row>
    <row r="31" spans="1:25" ht="26.25" customHeight="1">
      <c r="A31" s="459"/>
      <c r="B31" s="452"/>
      <c r="C31" s="440"/>
      <c r="D31" s="455"/>
      <c r="E31" s="451">
        <f>COUNTA(TabSeance[N°])</f>
        <v>24</v>
      </c>
      <c r="F31" s="440"/>
      <c r="G31" s="440"/>
      <c r="H31" s="443" t="s">
        <v>505</v>
      </c>
      <c r="I31" s="451">
        <f>COUNTIF(TabSeance[Phase],'Parametre Model de jeu'!B5)</f>
        <v>17</v>
      </c>
      <c r="J31" s="440"/>
      <c r="K31" s="440"/>
      <c r="L31" s="443" t="s">
        <v>508</v>
      </c>
      <c r="M31" s="451">
        <f>COUNTIF(TabSeance[Phase de jeu],'Parametre Model de jeu'!D6)</f>
        <v>10</v>
      </c>
      <c r="N31" s="440"/>
      <c r="O31" s="440"/>
      <c r="P31" s="440"/>
      <c r="Q31" s="440"/>
      <c r="R31" s="440"/>
      <c r="S31" s="440"/>
      <c r="T31" s="440"/>
      <c r="U31" s="440"/>
      <c r="V31" s="440"/>
      <c r="W31" s="459"/>
      <c r="X31" s="459"/>
      <c r="Y31" s="459"/>
    </row>
    <row r="32" spans="1:25" ht="26.25" customHeight="1">
      <c r="A32" s="459"/>
      <c r="B32" s="452"/>
      <c r="C32" s="440"/>
      <c r="D32" s="456"/>
      <c r="E32" s="440"/>
      <c r="F32" s="440"/>
      <c r="G32" s="440"/>
      <c r="H32" s="443" t="s">
        <v>506</v>
      </c>
      <c r="I32" s="451">
        <f>COUNTIF(TabSeance[Phase],'Parametre Model de jeu'!B6)</f>
        <v>7</v>
      </c>
      <c r="J32" s="440"/>
      <c r="K32" s="440"/>
      <c r="L32" s="443" t="s">
        <v>509</v>
      </c>
      <c r="M32" s="451">
        <f>COUNTIF(TabSeance[Phase de jeu],'Parametre Model de jeu'!D7)</f>
        <v>0</v>
      </c>
      <c r="N32" s="440"/>
      <c r="O32" s="440"/>
      <c r="P32" s="440"/>
      <c r="Q32" s="440"/>
      <c r="R32" s="440"/>
      <c r="S32" s="440"/>
      <c r="T32" s="440"/>
      <c r="U32" s="440"/>
      <c r="V32" s="440"/>
      <c r="W32" s="459"/>
      <c r="X32" s="459"/>
      <c r="Y32" s="459"/>
    </row>
    <row r="33" spans="1:25" ht="26.25" customHeight="1">
      <c r="A33" s="459"/>
      <c r="B33" s="452"/>
      <c r="C33" s="440"/>
      <c r="D33" s="441" t="s">
        <v>606</v>
      </c>
      <c r="E33" s="440"/>
      <c r="F33" s="440"/>
      <c r="G33" s="440"/>
      <c r="H33" s="440"/>
      <c r="I33" s="440"/>
      <c r="J33" s="440"/>
      <c r="K33" s="440"/>
      <c r="L33" s="444" t="s">
        <v>510</v>
      </c>
      <c r="M33" s="451">
        <f>COUNTIF(TabSeance[Phase de jeu],'Parametre Model de jeu'!D8)</f>
        <v>4</v>
      </c>
      <c r="N33" s="440"/>
      <c r="O33" s="440"/>
      <c r="P33" s="440"/>
      <c r="Q33" s="440"/>
      <c r="R33" s="440"/>
      <c r="S33" s="440"/>
      <c r="T33" s="440"/>
      <c r="U33" s="440"/>
      <c r="V33" s="440"/>
      <c r="W33" s="459"/>
      <c r="X33" s="459"/>
      <c r="Y33" s="459"/>
    </row>
    <row r="34" spans="1:25" ht="26.25" customHeight="1">
      <c r="A34" s="459"/>
      <c r="B34" s="452"/>
      <c r="C34" s="440"/>
      <c r="D34" s="455"/>
      <c r="E34" s="457">
        <f>TabSeance[[#Totals],[Nb joueur]]</f>
        <v>13.208333333333334</v>
      </c>
      <c r="F34" s="440"/>
      <c r="G34" s="440"/>
      <c r="H34" s="440"/>
      <c r="I34" s="440"/>
      <c r="J34" s="440"/>
      <c r="K34" s="440"/>
      <c r="L34" s="444" t="s">
        <v>524</v>
      </c>
      <c r="M34" s="451">
        <f>COUNTIF(TabSeance[Phase de jeu],'Parametre Model de jeu'!D9)</f>
        <v>3</v>
      </c>
      <c r="N34" s="440"/>
      <c r="O34" s="440"/>
      <c r="P34" s="440"/>
      <c r="Q34" s="440"/>
      <c r="R34" s="440"/>
      <c r="S34" s="440"/>
      <c r="T34" s="440"/>
      <c r="U34" s="440"/>
      <c r="V34" s="440"/>
      <c r="W34" s="459"/>
      <c r="X34" s="459"/>
      <c r="Y34" s="459"/>
    </row>
    <row r="35" spans="1:25" ht="26.25" customHeight="1">
      <c r="A35" s="459"/>
      <c r="B35" s="452"/>
      <c r="C35" s="440"/>
      <c r="D35" s="456"/>
      <c r="E35" s="440"/>
      <c r="F35" s="440"/>
      <c r="G35" s="440"/>
      <c r="H35" s="440"/>
      <c r="I35" s="440"/>
      <c r="J35" s="440"/>
      <c r="K35" s="440"/>
      <c r="L35" s="443" t="s">
        <v>563</v>
      </c>
      <c r="M35" s="451">
        <f>COUNTIF(TabSeance[Phase de jeu],'Parametre Model de jeu'!F6)</f>
        <v>4</v>
      </c>
      <c r="N35" s="440"/>
      <c r="O35" s="440"/>
      <c r="P35" s="440"/>
      <c r="Q35" s="440"/>
      <c r="R35" s="440"/>
      <c r="S35" s="440"/>
      <c r="T35" s="440"/>
      <c r="U35" s="440"/>
      <c r="V35" s="440"/>
      <c r="W35" s="459"/>
      <c r="X35" s="459"/>
      <c r="Y35" s="459"/>
    </row>
    <row r="36" spans="1:25" ht="26.25" customHeight="1">
      <c r="A36" s="459"/>
      <c r="B36" s="452"/>
      <c r="C36" s="440"/>
      <c r="D36" s="441" t="s">
        <v>558</v>
      </c>
      <c r="E36" s="440"/>
      <c r="F36" s="440"/>
      <c r="G36" s="440"/>
      <c r="H36" s="440"/>
      <c r="I36" s="440"/>
      <c r="J36" s="440"/>
      <c r="K36" s="440"/>
      <c r="L36" s="443" t="s">
        <v>511</v>
      </c>
      <c r="M36" s="451">
        <f>COUNTIF(TabSeance[Phase de jeu],'Parametre Model de jeu'!F7)</f>
        <v>0</v>
      </c>
      <c r="N36" s="440"/>
      <c r="O36" s="440"/>
      <c r="P36" s="440"/>
      <c r="Q36" s="440"/>
      <c r="R36" s="440"/>
      <c r="S36" s="440"/>
      <c r="T36" s="440"/>
      <c r="U36" s="440"/>
      <c r="V36" s="440"/>
      <c r="W36" s="459"/>
      <c r="X36" s="459"/>
      <c r="Y36" s="459"/>
    </row>
    <row r="37" spans="1:25" ht="26.25" customHeight="1">
      <c r="A37" s="459"/>
      <c r="B37" s="452"/>
      <c r="C37" s="440"/>
      <c r="D37" s="458"/>
      <c r="E37" s="465">
        <f>TabSeance[[#Totals],[Durée]]</f>
        <v>61.75</v>
      </c>
      <c r="F37" s="440"/>
      <c r="G37" s="440"/>
      <c r="H37" s="440"/>
      <c r="I37" s="440"/>
      <c r="J37" s="440"/>
      <c r="K37" s="440"/>
      <c r="L37" s="443" t="s">
        <v>512</v>
      </c>
      <c r="M37" s="451">
        <f>COUNTIF(TabSeance[Phase de jeu],'Parametre Model de jeu'!F8)</f>
        <v>3</v>
      </c>
      <c r="N37" s="440"/>
      <c r="O37" s="440"/>
      <c r="P37" s="440"/>
      <c r="Q37" s="440"/>
      <c r="R37" s="440"/>
      <c r="S37" s="440"/>
      <c r="T37" s="440"/>
      <c r="U37" s="440"/>
      <c r="V37" s="440"/>
      <c r="W37" s="459"/>
      <c r="X37" s="459"/>
      <c r="Y37" s="459"/>
    </row>
    <row r="38" spans="1:25" ht="26.25" customHeight="1">
      <c r="A38" s="459"/>
      <c r="B38" s="452"/>
      <c r="C38" s="440"/>
      <c r="D38" s="440"/>
      <c r="E38" s="440"/>
      <c r="F38" s="440"/>
      <c r="G38" s="440"/>
      <c r="H38" s="440"/>
      <c r="I38" s="440"/>
      <c r="J38" s="440"/>
      <c r="K38" s="440"/>
      <c r="L38" s="443" t="s">
        <v>525</v>
      </c>
      <c r="M38" s="451">
        <f>COUNTIF(TabSeance[Phase de jeu],'Parametre Model de jeu'!F9)</f>
        <v>0</v>
      </c>
      <c r="N38" s="440"/>
      <c r="O38" s="440"/>
      <c r="P38" s="440"/>
      <c r="Q38" s="440"/>
      <c r="R38" s="440"/>
      <c r="S38" s="440"/>
      <c r="T38" s="440"/>
      <c r="U38" s="440"/>
      <c r="V38" s="440"/>
      <c r="W38" s="459"/>
      <c r="X38" s="459"/>
      <c r="Y38" s="459"/>
    </row>
    <row r="39" spans="1:25">
      <c r="A39" s="459"/>
      <c r="B39" s="452"/>
      <c r="C39" s="440"/>
      <c r="D39" s="440"/>
      <c r="E39" s="440"/>
      <c r="F39" s="440"/>
      <c r="G39" s="440"/>
      <c r="H39" s="440"/>
      <c r="I39" s="440"/>
      <c r="J39" s="440"/>
      <c r="K39" s="440"/>
      <c r="L39" s="440"/>
      <c r="M39" s="440"/>
      <c r="N39" s="440"/>
      <c r="O39" s="440"/>
      <c r="P39" s="440"/>
      <c r="Q39" s="440"/>
      <c r="R39" s="440"/>
      <c r="S39" s="440"/>
      <c r="T39" s="440"/>
      <c r="U39" s="440"/>
      <c r="V39" s="440"/>
      <c r="W39" s="459"/>
      <c r="X39" s="459"/>
      <c r="Y39" s="459"/>
    </row>
    <row r="40" spans="1:25" ht="15">
      <c r="A40" s="459"/>
      <c r="B40" s="452"/>
      <c r="C40" s="440"/>
      <c r="D40" s="440"/>
      <c r="E40" s="440"/>
      <c r="F40" s="440"/>
      <c r="G40" s="471" t="s">
        <v>580</v>
      </c>
      <c r="H40" s="471"/>
      <c r="I40" s="471"/>
      <c r="J40" s="471"/>
      <c r="K40" s="471"/>
      <c r="L40" s="471"/>
      <c r="M40" s="471"/>
      <c r="N40" s="471"/>
      <c r="O40" s="471"/>
      <c r="P40" s="471"/>
      <c r="Q40" s="471"/>
      <c r="R40" s="471"/>
      <c r="S40" s="471"/>
      <c r="T40" s="471"/>
      <c r="U40" s="471"/>
      <c r="V40" s="440"/>
      <c r="W40" s="459"/>
      <c r="X40" s="459"/>
      <c r="Y40" s="459"/>
    </row>
    <row r="41" spans="1:25" ht="3" customHeight="1">
      <c r="A41" s="459"/>
      <c r="B41" s="452"/>
      <c r="C41" s="440"/>
      <c r="D41" s="440"/>
      <c r="E41" s="440"/>
      <c r="F41" s="440"/>
      <c r="G41" s="473"/>
      <c r="H41" s="473"/>
      <c r="I41" s="473"/>
      <c r="J41" s="473"/>
      <c r="K41" s="473"/>
      <c r="L41" s="473"/>
      <c r="M41" s="473"/>
      <c r="N41" s="473"/>
      <c r="O41" s="473"/>
      <c r="P41" s="473"/>
      <c r="Q41" s="473"/>
      <c r="R41" s="473"/>
      <c r="S41" s="473"/>
      <c r="T41" s="473"/>
      <c r="U41" s="473"/>
      <c r="V41" s="472"/>
      <c r="W41" s="459"/>
      <c r="X41" s="459"/>
      <c r="Y41" s="459"/>
    </row>
    <row r="42" spans="1:25" ht="17.25">
      <c r="A42" s="459"/>
      <c r="B42" s="452"/>
      <c r="C42" s="440"/>
      <c r="D42" s="440"/>
      <c r="E42" s="440"/>
      <c r="F42" s="440"/>
      <c r="G42" s="466" t="s">
        <v>508</v>
      </c>
      <c r="H42" s="440"/>
      <c r="I42" s="440"/>
      <c r="J42" s="440"/>
      <c r="K42" s="466" t="s">
        <v>509</v>
      </c>
      <c r="L42" s="440"/>
      <c r="M42" s="440"/>
      <c r="N42" s="440"/>
      <c r="O42" s="466" t="s">
        <v>510</v>
      </c>
      <c r="P42" s="440"/>
      <c r="Q42" s="440"/>
      <c r="R42" s="440"/>
      <c r="S42" s="440"/>
      <c r="T42" s="440"/>
      <c r="U42" s="440"/>
      <c r="V42" s="440"/>
      <c r="W42" s="459"/>
      <c r="X42" s="459"/>
      <c r="Y42" s="459"/>
    </row>
    <row r="43" spans="1:25" ht="33">
      <c r="A43" s="459"/>
      <c r="B43" s="452"/>
      <c r="C43" s="440"/>
      <c r="D43" s="440"/>
      <c r="E43" s="440"/>
      <c r="F43" s="440"/>
      <c r="G43" s="440"/>
      <c r="H43" s="467" t="s">
        <v>570</v>
      </c>
      <c r="I43" s="451">
        <f>COUNTIF(TabSeance[Principe],'Parametre Model de jeu'!H7)</f>
        <v>4</v>
      </c>
      <c r="J43" s="470"/>
      <c r="K43" s="470"/>
      <c r="L43" s="467" t="s">
        <v>573</v>
      </c>
      <c r="M43" s="451">
        <f>COUNTIF(TabSeance[Principe],'Parametre Model de jeu'!J7)</f>
        <v>0</v>
      </c>
      <c r="N43" s="440"/>
      <c r="O43" s="470"/>
      <c r="P43" s="467" t="s">
        <v>578</v>
      </c>
      <c r="Q43" s="451">
        <f>COUNTIF(TabSeance[Principe],'Parametre Model de jeu'!L7)</f>
        <v>0</v>
      </c>
      <c r="R43" s="440"/>
      <c r="S43" s="440"/>
      <c r="T43" s="440"/>
      <c r="U43" s="440"/>
      <c r="V43" s="440"/>
      <c r="W43" s="459"/>
      <c r="X43" s="459"/>
      <c r="Y43" s="459"/>
    </row>
    <row r="44" spans="1:25" ht="33">
      <c r="A44" s="459"/>
      <c r="B44" s="452"/>
      <c r="C44" s="440"/>
      <c r="D44" s="440"/>
      <c r="E44" s="440"/>
      <c r="F44" s="440"/>
      <c r="G44" s="440"/>
      <c r="H44" s="467" t="s">
        <v>571</v>
      </c>
      <c r="I44" s="451">
        <f>COUNTIF(TabSeance[Principe],'Parametre Model de jeu'!H8)</f>
        <v>6</v>
      </c>
      <c r="J44" s="470"/>
      <c r="K44" s="470"/>
      <c r="L44" s="467" t="s">
        <v>574</v>
      </c>
      <c r="M44" s="451">
        <f>COUNTIF(TabSeance[Principe],'Parametre Model de jeu'!J8)</f>
        <v>0</v>
      </c>
      <c r="N44" s="440"/>
      <c r="O44" s="470"/>
      <c r="P44" s="467" t="s">
        <v>579</v>
      </c>
      <c r="Q44" s="451">
        <f>COUNTIF(TabSeance[Principe],'Parametre Model de jeu'!L8)</f>
        <v>4</v>
      </c>
      <c r="R44" s="440"/>
      <c r="S44" s="440"/>
      <c r="T44" s="440"/>
      <c r="U44" s="440"/>
      <c r="V44" s="440"/>
      <c r="W44" s="459"/>
      <c r="X44" s="459"/>
      <c r="Y44" s="459"/>
    </row>
    <row r="45" spans="1:25" ht="49.5">
      <c r="A45" s="459"/>
      <c r="B45" s="452"/>
      <c r="C45" s="440"/>
      <c r="D45" s="440"/>
      <c r="E45" s="440"/>
      <c r="F45" s="440"/>
      <c r="G45" s="440"/>
      <c r="H45" s="468" t="s">
        <v>572</v>
      </c>
      <c r="I45" s="451">
        <f>COUNTIF(TabSeance[Principe],'Parametre Model de jeu'!H9)</f>
        <v>0</v>
      </c>
      <c r="J45" s="470"/>
      <c r="K45" s="470"/>
      <c r="L45" s="468" t="s">
        <v>575</v>
      </c>
      <c r="M45" s="451">
        <f>COUNTIF(TabSeance[Principe],'Parametre Model de jeu'!J9)</f>
        <v>0</v>
      </c>
      <c r="N45" s="440"/>
      <c r="O45" s="470"/>
      <c r="P45" s="468"/>
      <c r="Q45" s="451"/>
      <c r="R45" s="440"/>
      <c r="S45" s="440"/>
      <c r="T45" s="440"/>
      <c r="U45" s="440"/>
      <c r="V45" s="440"/>
      <c r="W45" s="459"/>
      <c r="X45" s="459"/>
      <c r="Y45" s="459"/>
    </row>
    <row r="46" spans="1:25" ht="33">
      <c r="A46" s="459"/>
      <c r="B46" s="452"/>
      <c r="C46" s="440"/>
      <c r="D46" s="440"/>
      <c r="E46" s="440"/>
      <c r="F46" s="440"/>
      <c r="G46" s="440"/>
      <c r="H46" s="444"/>
      <c r="I46" s="451"/>
      <c r="J46" s="470"/>
      <c r="K46" s="470"/>
      <c r="L46" s="468" t="s">
        <v>576</v>
      </c>
      <c r="M46" s="451">
        <f>COUNTIF(TabSeance[Principe],'Parametre Model de jeu'!J10)</f>
        <v>0</v>
      </c>
      <c r="N46" s="440"/>
      <c r="O46" s="470"/>
      <c r="P46" s="468"/>
      <c r="Q46" s="451"/>
      <c r="R46" s="440"/>
      <c r="S46" s="440"/>
      <c r="T46" s="440"/>
      <c r="U46" s="440"/>
      <c r="V46" s="440"/>
      <c r="W46" s="459"/>
      <c r="X46" s="459"/>
      <c r="Y46" s="459"/>
    </row>
    <row r="47" spans="1:25" ht="49.5">
      <c r="A47" s="459"/>
      <c r="B47" s="452"/>
      <c r="C47" s="440"/>
      <c r="D47" s="440"/>
      <c r="E47" s="440"/>
      <c r="F47" s="440"/>
      <c r="G47" s="440"/>
      <c r="H47" s="443"/>
      <c r="I47" s="451"/>
      <c r="J47" s="470"/>
      <c r="K47" s="470"/>
      <c r="L47" s="468" t="s">
        <v>577</v>
      </c>
      <c r="M47" s="451">
        <f>COUNTIF(TabSeance[Principe],'Parametre Model de jeu'!J11)</f>
        <v>0</v>
      </c>
      <c r="N47" s="440"/>
      <c r="O47" s="470"/>
      <c r="P47" s="468"/>
      <c r="Q47" s="451"/>
      <c r="R47" s="440"/>
      <c r="S47" s="440"/>
      <c r="T47" s="440"/>
      <c r="U47" s="440"/>
      <c r="V47" s="440"/>
      <c r="W47" s="459"/>
      <c r="X47" s="459"/>
      <c r="Y47" s="459"/>
    </row>
    <row r="48" spans="1:25" ht="12.75" customHeight="1">
      <c r="A48" s="459"/>
      <c r="B48" s="452"/>
      <c r="C48" s="440"/>
      <c r="D48" s="440"/>
      <c r="E48" s="440"/>
      <c r="F48" s="440"/>
      <c r="G48" s="440"/>
      <c r="H48" s="443"/>
      <c r="I48" s="451"/>
      <c r="J48" s="440"/>
      <c r="K48" s="440"/>
      <c r="L48" s="440"/>
      <c r="M48" s="440"/>
      <c r="N48" s="440"/>
      <c r="O48" s="440"/>
      <c r="P48" s="440"/>
      <c r="Q48" s="440"/>
      <c r="R48" s="440"/>
      <c r="S48" s="440"/>
      <c r="T48" s="440"/>
      <c r="U48" s="440"/>
      <c r="V48" s="440"/>
      <c r="W48" s="459"/>
      <c r="X48" s="459"/>
      <c r="Y48" s="459"/>
    </row>
    <row r="49" spans="1:25" ht="15">
      <c r="A49" s="459"/>
      <c r="B49" s="452"/>
      <c r="C49" s="440"/>
      <c r="D49" s="440"/>
      <c r="E49" s="440"/>
      <c r="F49" s="440"/>
      <c r="G49" s="471" t="s">
        <v>601</v>
      </c>
      <c r="H49" s="471"/>
      <c r="I49" s="471"/>
      <c r="J49" s="471"/>
      <c r="K49" s="471"/>
      <c r="L49" s="471"/>
      <c r="M49" s="471"/>
      <c r="N49" s="471"/>
      <c r="O49" s="471"/>
      <c r="P49" s="471"/>
      <c r="Q49" s="471"/>
      <c r="R49" s="471"/>
      <c r="S49" s="471"/>
      <c r="T49" s="471"/>
      <c r="U49" s="471"/>
      <c r="V49" s="440"/>
      <c r="W49" s="459"/>
      <c r="X49" s="459"/>
      <c r="Y49" s="459"/>
    </row>
    <row r="50" spans="1:25" ht="3" customHeight="1">
      <c r="A50" s="459"/>
      <c r="B50" s="452"/>
      <c r="C50" s="440"/>
      <c r="D50" s="440"/>
      <c r="E50" s="440"/>
      <c r="F50" s="440"/>
      <c r="G50" s="475"/>
      <c r="H50" s="475"/>
      <c r="I50" s="475"/>
      <c r="J50" s="475"/>
      <c r="K50" s="475"/>
      <c r="L50" s="475"/>
      <c r="M50" s="475"/>
      <c r="N50" s="475"/>
      <c r="O50" s="475"/>
      <c r="P50" s="475"/>
      <c r="Q50" s="475"/>
      <c r="R50" s="475"/>
      <c r="S50" s="475"/>
      <c r="T50" s="475"/>
      <c r="U50" s="475"/>
      <c r="V50" s="476"/>
      <c r="W50" s="459"/>
      <c r="X50" s="459"/>
      <c r="Y50" s="459"/>
    </row>
    <row r="51" spans="1:25" ht="17.25">
      <c r="A51" s="459"/>
      <c r="B51" s="452"/>
      <c r="C51" s="440"/>
      <c r="D51" s="440"/>
      <c r="E51" s="440"/>
      <c r="F51" s="440"/>
      <c r="G51" s="466" t="s">
        <v>563</v>
      </c>
      <c r="H51" s="440"/>
      <c r="I51" s="440"/>
      <c r="J51" s="440"/>
      <c r="K51" s="466" t="s">
        <v>602</v>
      </c>
      <c r="L51" s="440"/>
      <c r="M51" s="440"/>
      <c r="N51" s="440"/>
      <c r="O51" s="466" t="s">
        <v>512</v>
      </c>
      <c r="P51" s="440"/>
      <c r="Q51" s="440"/>
      <c r="R51" s="440"/>
      <c r="S51" s="440"/>
      <c r="T51" s="440"/>
      <c r="U51" s="440"/>
      <c r="V51" s="440"/>
      <c r="W51" s="459"/>
      <c r="X51" s="459"/>
      <c r="Y51" s="459"/>
    </row>
    <row r="52" spans="1:25" ht="33" customHeight="1">
      <c r="A52" s="459"/>
      <c r="B52" s="452"/>
      <c r="C52" s="440"/>
      <c r="D52" s="440"/>
      <c r="E52" s="440"/>
      <c r="F52" s="440"/>
      <c r="G52" s="440"/>
      <c r="H52" s="467" t="s">
        <v>581</v>
      </c>
      <c r="I52" s="451">
        <f>COUNTIF(TabSeance[Principe],'Parametre Model de jeu'!P7)</f>
        <v>4</v>
      </c>
      <c r="J52" s="470"/>
      <c r="K52" s="470"/>
      <c r="L52" s="467" t="s">
        <v>584</v>
      </c>
      <c r="M52" s="451">
        <f>COUNTIF(TabSeance[Principe],'Parametre Model de jeu'!R7)</f>
        <v>0</v>
      </c>
      <c r="N52" s="440"/>
      <c r="O52" s="470"/>
      <c r="P52" s="467" t="s">
        <v>588</v>
      </c>
      <c r="Q52" s="451">
        <f>COUNTIF(TabSeance[Principe],'Parametre Model de jeu'!T7)</f>
        <v>3</v>
      </c>
      <c r="R52" s="440"/>
      <c r="S52" s="440"/>
      <c r="T52" s="440"/>
      <c r="U52" s="440"/>
      <c r="V52" s="440"/>
      <c r="W52" s="459"/>
      <c r="X52" s="459"/>
      <c r="Y52" s="459"/>
    </row>
    <row r="53" spans="1:25" ht="33" customHeight="1">
      <c r="A53" s="459"/>
      <c r="B53" s="452"/>
      <c r="C53" s="440"/>
      <c r="D53" s="440"/>
      <c r="E53" s="440"/>
      <c r="F53" s="440"/>
      <c r="G53" s="440"/>
      <c r="H53" s="467" t="s">
        <v>582</v>
      </c>
      <c r="I53" s="451">
        <f>COUNTIF(TabSeance[Principe],'Parametre Model de jeu'!P8)</f>
        <v>0</v>
      </c>
      <c r="J53" s="470"/>
      <c r="K53" s="470"/>
      <c r="L53" s="467" t="s">
        <v>585</v>
      </c>
      <c r="M53" s="451">
        <f>COUNTIF(TabSeance[Principe],'Parametre Model de jeu'!R8)</f>
        <v>0</v>
      </c>
      <c r="N53" s="440"/>
      <c r="O53" s="470"/>
      <c r="P53" s="467" t="s">
        <v>589</v>
      </c>
      <c r="Q53" s="451">
        <f>COUNTIF(TabSeance[Principe],'Parametre Model de jeu'!T8)</f>
        <v>0</v>
      </c>
      <c r="R53" s="440"/>
      <c r="S53" s="440"/>
      <c r="T53" s="440"/>
      <c r="U53" s="440"/>
      <c r="V53" s="440"/>
      <c r="W53" s="459"/>
      <c r="X53" s="459"/>
      <c r="Y53" s="459"/>
    </row>
    <row r="54" spans="1:25" ht="49.5" customHeight="1">
      <c r="A54" s="459"/>
      <c r="B54" s="452"/>
      <c r="C54" s="440"/>
      <c r="D54" s="440"/>
      <c r="E54" s="440"/>
      <c r="F54" s="440"/>
      <c r="G54" s="440"/>
      <c r="H54" s="468" t="s">
        <v>583</v>
      </c>
      <c r="I54" s="451">
        <f>COUNTIF(TabSeance[Principe],'Parametre Model de jeu'!P9)</f>
        <v>0</v>
      </c>
      <c r="J54" s="470"/>
      <c r="K54" s="470"/>
      <c r="L54" s="468" t="s">
        <v>586</v>
      </c>
      <c r="M54" s="451">
        <f>COUNTIF(TabSeance[Principe],'Parametre Model de jeu'!R9)</f>
        <v>0</v>
      </c>
      <c r="N54" s="440"/>
      <c r="O54" s="470"/>
      <c r="P54" s="468"/>
      <c r="Q54" s="451"/>
      <c r="R54" s="440"/>
      <c r="S54" s="440"/>
      <c r="T54" s="440"/>
      <c r="U54" s="440"/>
      <c r="V54" s="440"/>
      <c r="W54" s="459"/>
      <c r="X54" s="459"/>
      <c r="Y54" s="459"/>
    </row>
    <row r="55" spans="1:25" ht="33" customHeight="1">
      <c r="A55" s="459"/>
      <c r="B55" s="452"/>
      <c r="C55" s="440"/>
      <c r="D55" s="440"/>
      <c r="E55" s="440"/>
      <c r="F55" s="440"/>
      <c r="G55" s="440"/>
      <c r="H55" s="444"/>
      <c r="I55" s="451"/>
      <c r="J55" s="470"/>
      <c r="K55" s="470"/>
      <c r="L55" s="468" t="s">
        <v>587</v>
      </c>
      <c r="M55" s="451">
        <f>COUNTIF(TabSeance[Principe],'Parametre Model de jeu'!R10)</f>
        <v>0</v>
      </c>
      <c r="N55" s="440"/>
      <c r="O55" s="470"/>
      <c r="P55" s="468"/>
      <c r="Q55" s="451"/>
      <c r="R55" s="440"/>
      <c r="S55" s="440"/>
      <c r="T55" s="440"/>
      <c r="U55" s="440"/>
      <c r="V55" s="440"/>
      <c r="W55" s="459"/>
      <c r="X55" s="459"/>
      <c r="Y55" s="459"/>
    </row>
    <row r="56" spans="1:25" ht="12.75" customHeight="1">
      <c r="A56" s="459"/>
      <c r="B56" s="452"/>
      <c r="C56" s="440"/>
      <c r="D56" s="440"/>
      <c r="E56" s="440"/>
      <c r="F56" s="440"/>
      <c r="G56" s="440"/>
      <c r="H56" s="443"/>
      <c r="I56" s="451"/>
      <c r="J56" s="470"/>
      <c r="K56" s="470"/>
      <c r="L56" s="468"/>
      <c r="M56" s="451"/>
      <c r="N56" s="440"/>
      <c r="O56" s="470"/>
      <c r="P56" s="468"/>
      <c r="Q56" s="451"/>
      <c r="R56" s="440"/>
      <c r="S56" s="440"/>
      <c r="T56" s="440"/>
      <c r="U56" s="440"/>
      <c r="V56" s="440"/>
      <c r="W56" s="459"/>
      <c r="X56" s="459"/>
      <c r="Y56" s="459"/>
    </row>
    <row r="57" spans="1:25" ht="12.75" customHeight="1">
      <c r="A57" s="459"/>
      <c r="B57" s="452"/>
      <c r="C57" s="440"/>
      <c r="D57" s="440"/>
      <c r="E57" s="440"/>
      <c r="F57" s="440"/>
      <c r="G57" s="471" t="s">
        <v>603</v>
      </c>
      <c r="H57" s="471"/>
      <c r="I57" s="471"/>
      <c r="J57" s="440"/>
      <c r="K57" s="440"/>
      <c r="L57" s="440"/>
      <c r="M57" s="440"/>
      <c r="N57" s="440"/>
      <c r="O57" s="471" t="s">
        <v>604</v>
      </c>
      <c r="P57" s="471"/>
      <c r="Q57" s="471"/>
      <c r="R57" s="440"/>
      <c r="S57" s="440"/>
      <c r="T57" s="440"/>
      <c r="U57" s="440"/>
      <c r="V57" s="440"/>
      <c r="W57" s="459"/>
      <c r="X57" s="459"/>
      <c r="Y57" s="459"/>
    </row>
    <row r="58" spans="1:25" ht="3" customHeight="1">
      <c r="A58" s="459"/>
      <c r="B58" s="452"/>
      <c r="C58" s="440"/>
      <c r="D58" s="440"/>
      <c r="E58" s="440"/>
      <c r="F58" s="440"/>
      <c r="G58" s="477"/>
      <c r="H58" s="477"/>
      <c r="I58" s="477"/>
      <c r="J58" s="478"/>
      <c r="K58" s="478"/>
      <c r="L58" s="478"/>
      <c r="M58" s="478"/>
      <c r="N58" s="440"/>
      <c r="O58" s="479"/>
      <c r="P58" s="479"/>
      <c r="Q58" s="479"/>
      <c r="R58" s="480"/>
      <c r="S58" s="480"/>
      <c r="T58" s="480"/>
      <c r="U58" s="480"/>
      <c r="V58" s="440"/>
      <c r="W58" s="459"/>
      <c r="X58" s="459"/>
      <c r="Y58" s="459"/>
    </row>
    <row r="59" spans="1:25" ht="26.25" customHeight="1">
      <c r="A59" s="459"/>
      <c r="B59" s="452"/>
      <c r="C59" s="440"/>
      <c r="D59" s="440"/>
      <c r="E59" s="440"/>
      <c r="F59" s="440"/>
      <c r="G59" s="440"/>
      <c r="H59" s="467" t="s">
        <v>518</v>
      </c>
      <c r="I59" s="451">
        <f>COUNTIF(TabSeance[Athlétique],'Parametre Model de jeu'!B12)</f>
        <v>4</v>
      </c>
      <c r="J59" s="440"/>
      <c r="K59" s="481" t="s">
        <v>605</v>
      </c>
      <c r="L59" s="440"/>
      <c r="M59" s="440"/>
      <c r="N59" s="440"/>
      <c r="O59" s="440"/>
      <c r="P59" s="467" t="s">
        <v>260</v>
      </c>
      <c r="Q59" s="451">
        <f>COUNTIF(TabSeance[Mental],'Parametre Model de jeu'!B35)</f>
        <v>0</v>
      </c>
      <c r="R59" s="440"/>
      <c r="S59" s="481" t="s">
        <v>605</v>
      </c>
      <c r="T59" s="440"/>
      <c r="U59" s="440"/>
      <c r="V59" s="440"/>
      <c r="W59" s="459"/>
      <c r="X59" s="459"/>
      <c r="Y59" s="459"/>
    </row>
    <row r="60" spans="1:25" ht="26.25" customHeight="1">
      <c r="A60" s="459"/>
      <c r="B60" s="452"/>
      <c r="C60" s="440"/>
      <c r="D60" s="440"/>
      <c r="E60" s="440"/>
      <c r="F60" s="440"/>
      <c r="G60" s="440"/>
      <c r="H60" s="467" t="s">
        <v>519</v>
      </c>
      <c r="I60" s="451">
        <f>COUNTIF(TabSeance[Athlétique],'Parametre Model de jeu'!B13)</f>
        <v>0</v>
      </c>
      <c r="J60" s="440"/>
      <c r="K60" s="440"/>
      <c r="L60" s="440"/>
      <c r="M60" s="440"/>
      <c r="N60" s="440"/>
      <c r="O60" s="440"/>
      <c r="P60" s="467" t="s">
        <v>254</v>
      </c>
      <c r="Q60" s="451">
        <f>COUNTIF(TabSeance[Mental],'Parametre Model de jeu'!B36)</f>
        <v>7</v>
      </c>
      <c r="R60" s="440"/>
      <c r="S60" s="440"/>
      <c r="T60" s="440"/>
      <c r="U60" s="440"/>
      <c r="V60" s="440"/>
      <c r="W60" s="459"/>
      <c r="X60" s="459"/>
      <c r="Y60" s="459"/>
    </row>
    <row r="61" spans="1:25" ht="26.25" customHeight="1">
      <c r="A61" s="459"/>
      <c r="B61" s="452"/>
      <c r="C61" s="440"/>
      <c r="D61" s="440"/>
      <c r="E61" s="440"/>
      <c r="F61" s="440"/>
      <c r="G61" s="440"/>
      <c r="H61" s="468" t="s">
        <v>515</v>
      </c>
      <c r="I61" s="451">
        <f>COUNTIF(TabSeance[Athlétique],'Parametre Model de jeu'!B14)</f>
        <v>1</v>
      </c>
      <c r="J61" s="440"/>
      <c r="K61" s="440"/>
      <c r="L61" s="440"/>
      <c r="M61" s="440"/>
      <c r="N61" s="440"/>
      <c r="O61" s="440"/>
      <c r="P61" s="468" t="s">
        <v>258</v>
      </c>
      <c r="Q61" s="451">
        <f>COUNTIF(TabSeance[Mental],'Parametre Model de jeu'!B37)</f>
        <v>6</v>
      </c>
      <c r="R61" s="440"/>
      <c r="S61" s="440"/>
      <c r="T61" s="440"/>
      <c r="U61" s="440"/>
      <c r="V61" s="440"/>
      <c r="W61" s="459"/>
      <c r="X61" s="459"/>
      <c r="Y61" s="459"/>
    </row>
    <row r="62" spans="1:25" ht="26.25" customHeight="1">
      <c r="A62" s="459"/>
      <c r="B62" s="452"/>
      <c r="C62" s="440"/>
      <c r="D62" s="440"/>
      <c r="E62" s="440"/>
      <c r="F62" s="440"/>
      <c r="G62" s="440"/>
      <c r="H62" s="444" t="s">
        <v>517</v>
      </c>
      <c r="I62" s="451">
        <f>COUNTIF(TabSeance[Athlétique],'Parametre Model de jeu'!B15)</f>
        <v>3</v>
      </c>
      <c r="J62" s="440"/>
      <c r="K62" s="440"/>
      <c r="L62" s="440"/>
      <c r="M62" s="440"/>
      <c r="N62" s="440"/>
      <c r="O62" s="440"/>
      <c r="P62" s="444" t="s">
        <v>523</v>
      </c>
      <c r="Q62" s="451">
        <f>COUNTIF(TabSeance[Mental],'Parametre Model de jeu'!B38)</f>
        <v>4</v>
      </c>
      <c r="R62" s="440"/>
      <c r="S62" s="440"/>
      <c r="T62" s="440"/>
      <c r="U62" s="440"/>
      <c r="V62" s="440"/>
      <c r="W62" s="459"/>
      <c r="X62" s="459"/>
      <c r="Y62" s="459"/>
    </row>
    <row r="63" spans="1:25" ht="26.25" customHeight="1">
      <c r="A63" s="459"/>
      <c r="B63" s="452"/>
      <c r="C63" s="440"/>
      <c r="D63" s="440"/>
      <c r="E63" s="440"/>
      <c r="F63" s="440"/>
      <c r="G63" s="440"/>
      <c r="H63" s="444" t="s">
        <v>513</v>
      </c>
      <c r="I63" s="451">
        <f>COUNTIF(TabSeance[Athlétique],'Parametre Model de jeu'!B16)</f>
        <v>7</v>
      </c>
      <c r="J63" s="440"/>
      <c r="K63" s="440"/>
      <c r="L63" s="440"/>
      <c r="M63" s="440"/>
      <c r="N63" s="440"/>
      <c r="O63" s="440"/>
      <c r="P63" s="444" t="s">
        <v>257</v>
      </c>
      <c r="Q63" s="451">
        <f>COUNTIF(TabSeance[Mental],'Parametre Model de jeu'!B39)</f>
        <v>3</v>
      </c>
      <c r="R63" s="440"/>
      <c r="S63" s="440"/>
      <c r="T63" s="440"/>
      <c r="U63" s="440"/>
      <c r="V63" s="440"/>
      <c r="W63" s="459"/>
      <c r="X63" s="459"/>
      <c r="Y63" s="459"/>
    </row>
    <row r="64" spans="1:25" ht="26.25" customHeight="1">
      <c r="A64" s="459"/>
      <c r="B64" s="452"/>
      <c r="C64" s="440"/>
      <c r="D64" s="440"/>
      <c r="E64" s="440"/>
      <c r="F64" s="440"/>
      <c r="G64" s="440"/>
      <c r="H64" s="444" t="s">
        <v>522</v>
      </c>
      <c r="I64" s="451">
        <f>COUNTIF(TabSeance[Athlétique],'Parametre Model de jeu'!B17)</f>
        <v>0</v>
      </c>
      <c r="J64" s="440"/>
      <c r="K64" s="440"/>
      <c r="L64" s="440"/>
      <c r="M64" s="440"/>
      <c r="N64" s="440"/>
      <c r="O64" s="440"/>
      <c r="P64" s="444" t="s">
        <v>256</v>
      </c>
      <c r="Q64" s="451">
        <f>COUNTIF(TabSeance[Mental],'Parametre Model de jeu'!B40)</f>
        <v>4</v>
      </c>
      <c r="R64" s="440"/>
      <c r="S64" s="440"/>
      <c r="T64" s="440"/>
      <c r="U64" s="440"/>
      <c r="V64" s="440"/>
      <c r="W64" s="459"/>
      <c r="X64" s="459"/>
      <c r="Y64" s="459"/>
    </row>
    <row r="65" spans="1:25" ht="26.25" customHeight="1">
      <c r="A65" s="459"/>
      <c r="B65" s="452"/>
      <c r="C65" s="440"/>
      <c r="D65" s="440"/>
      <c r="E65" s="440"/>
      <c r="F65" s="440"/>
      <c r="G65" s="440"/>
      <c r="H65" s="444" t="s">
        <v>514</v>
      </c>
      <c r="I65" s="451">
        <f>COUNTIF(TabSeance[Athlétique],'Parametre Model de jeu'!B18)</f>
        <v>8</v>
      </c>
      <c r="J65" s="440"/>
      <c r="K65" s="440"/>
      <c r="L65" s="440"/>
      <c r="M65" s="440"/>
      <c r="N65" s="440"/>
      <c r="O65" s="440"/>
      <c r="P65" s="440"/>
      <c r="Q65" s="440"/>
      <c r="R65" s="440"/>
      <c r="S65" s="440"/>
      <c r="T65" s="440"/>
      <c r="U65" s="440"/>
      <c r="V65" s="440"/>
      <c r="W65" s="459"/>
      <c r="X65" s="459"/>
      <c r="Y65" s="459"/>
    </row>
    <row r="66" spans="1:25" ht="26.25" customHeight="1">
      <c r="A66" s="459"/>
      <c r="B66" s="452"/>
      <c r="C66" s="440"/>
      <c r="D66" s="440"/>
      <c r="E66" s="440"/>
      <c r="F66" s="440"/>
      <c r="G66" s="440"/>
      <c r="H66" s="444" t="s">
        <v>521</v>
      </c>
      <c r="I66" s="451">
        <f>COUNTIF(TabSeance[Athlétique],'Parametre Model de jeu'!B19)</f>
        <v>0</v>
      </c>
      <c r="J66" s="440"/>
      <c r="K66" s="440"/>
      <c r="L66" s="440"/>
      <c r="M66" s="440"/>
      <c r="N66" s="440"/>
      <c r="O66" s="440"/>
      <c r="P66" s="440"/>
      <c r="Q66" s="440"/>
      <c r="R66" s="440"/>
      <c r="S66" s="440"/>
      <c r="T66" s="440"/>
      <c r="U66" s="440"/>
      <c r="V66" s="440"/>
      <c r="W66" s="459"/>
      <c r="X66" s="459"/>
      <c r="Y66" s="459"/>
    </row>
    <row r="67" spans="1:25" ht="26.25" customHeight="1">
      <c r="A67" s="459"/>
      <c r="B67" s="452"/>
      <c r="C67" s="440"/>
      <c r="D67" s="440"/>
      <c r="E67" s="440"/>
      <c r="F67" s="440"/>
      <c r="G67" s="440"/>
      <c r="H67" s="444" t="s">
        <v>520</v>
      </c>
      <c r="I67" s="451">
        <f>COUNTIF(TabSeance[Athlétique],'Parametre Model de jeu'!B20)</f>
        <v>0</v>
      </c>
      <c r="J67" s="440"/>
      <c r="K67" s="440"/>
      <c r="L67" s="440"/>
      <c r="M67" s="440"/>
      <c r="N67" s="440"/>
      <c r="O67" s="440"/>
      <c r="P67" s="440"/>
      <c r="Q67" s="440"/>
      <c r="R67" s="440"/>
      <c r="S67" s="440"/>
      <c r="T67" s="440"/>
      <c r="U67" s="440"/>
      <c r="V67" s="440"/>
      <c r="W67" s="459"/>
      <c r="X67" s="459"/>
      <c r="Y67" s="459"/>
    </row>
    <row r="68" spans="1:25" ht="26.25" customHeight="1">
      <c r="A68" s="459"/>
      <c r="B68" s="452"/>
      <c r="C68" s="440"/>
      <c r="D68" s="440"/>
      <c r="E68" s="440"/>
      <c r="F68" s="440"/>
      <c r="G68" s="440"/>
      <c r="H68" s="444" t="s">
        <v>516</v>
      </c>
      <c r="I68" s="451">
        <f>COUNTIF(TabSeance[Athlétique],'Parametre Model de jeu'!B21)</f>
        <v>1</v>
      </c>
      <c r="J68" s="440"/>
      <c r="K68" s="440"/>
      <c r="L68" s="440"/>
      <c r="M68" s="440"/>
      <c r="N68" s="440"/>
      <c r="O68" s="440"/>
      <c r="P68" s="440"/>
      <c r="Q68" s="440"/>
      <c r="R68" s="440"/>
      <c r="S68" s="440"/>
      <c r="T68" s="440"/>
      <c r="U68" s="440"/>
      <c r="V68" s="440"/>
      <c r="W68" s="459"/>
      <c r="X68" s="459"/>
      <c r="Y68" s="459"/>
    </row>
    <row r="69" spans="1:25">
      <c r="A69" s="459"/>
      <c r="B69" s="452"/>
      <c r="C69" s="440"/>
      <c r="D69" s="440"/>
      <c r="E69" s="440"/>
      <c r="F69" s="440"/>
      <c r="G69" s="440"/>
      <c r="H69" s="440"/>
      <c r="I69" s="440"/>
      <c r="J69" s="440"/>
      <c r="K69" s="440"/>
      <c r="L69" s="440"/>
      <c r="M69" s="440"/>
      <c r="N69" s="440"/>
      <c r="O69" s="440"/>
      <c r="P69" s="440"/>
      <c r="Q69" s="440"/>
      <c r="R69" s="440"/>
      <c r="S69" s="440"/>
      <c r="T69" s="440"/>
      <c r="U69" s="440"/>
      <c r="V69" s="440"/>
      <c r="W69" s="459"/>
      <c r="X69" s="459"/>
      <c r="Y69" s="459"/>
    </row>
    <row r="70" spans="1:25">
      <c r="A70" s="459"/>
      <c r="B70" s="459"/>
      <c r="C70" s="459"/>
      <c r="D70" s="459"/>
      <c r="E70" s="459"/>
      <c r="F70" s="459"/>
      <c r="G70" s="459"/>
      <c r="H70" s="459"/>
      <c r="I70" s="459"/>
      <c r="J70" s="459"/>
      <c r="K70" s="459"/>
      <c r="L70" s="459"/>
      <c r="M70" s="459"/>
      <c r="N70" s="459"/>
      <c r="O70" s="459"/>
      <c r="P70" s="459"/>
      <c r="Q70" s="459"/>
      <c r="R70" s="459"/>
      <c r="S70" s="459"/>
      <c r="T70" s="459"/>
      <c r="U70" s="459"/>
      <c r="V70" s="459"/>
      <c r="W70" s="459"/>
      <c r="X70" s="459"/>
      <c r="Y70" s="459"/>
    </row>
  </sheetData>
  <pageMargins left="0.25" right="0.25" top="0.75" bottom="0.75" header="0.3" footer="0.3"/>
  <pageSetup paperSize="9" scale="36"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D4FD81E-EFFA-44D7-8E46-347033F1D09C}">
  <sheetPr codeName="Feuil24"/>
  <dimension ref="A3:B7"/>
  <sheetViews>
    <sheetView workbookViewId="0">
      <selection activeCell="C23" sqref="C23"/>
    </sheetView>
  </sheetViews>
  <sheetFormatPr baseColWidth="10" defaultRowHeight="12.75"/>
  <cols>
    <col min="1" max="1" width="18.85546875" bestFit="1" customWidth="1"/>
    <col min="2" max="2" width="9.140625" bestFit="1" customWidth="1"/>
  </cols>
  <sheetData>
    <row r="3" spans="1:2">
      <c r="A3" s="397" t="s">
        <v>479</v>
      </c>
      <c r="B3" t="s">
        <v>568</v>
      </c>
    </row>
    <row r="4" spans="1:2">
      <c r="A4" s="252" t="s">
        <v>481</v>
      </c>
      <c r="B4" s="398"/>
    </row>
    <row r="5" spans="1:2">
      <c r="A5" s="252" t="s">
        <v>482</v>
      </c>
      <c r="B5" s="398">
        <v>18</v>
      </c>
    </row>
    <row r="6" spans="1:2">
      <c r="A6" s="252" t="s">
        <v>483</v>
      </c>
      <c r="B6" s="398">
        <v>6</v>
      </c>
    </row>
    <row r="7" spans="1:2">
      <c r="A7" s="252" t="s">
        <v>480</v>
      </c>
      <c r="B7" s="398">
        <v>24</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69C0760-243B-BF4E-BCB8-84E69BE2A83A}">
  <sheetPr codeName="Feuil21">
    <tabColor rgb="FF0070C0"/>
  </sheetPr>
  <dimension ref="B1:U136"/>
  <sheetViews>
    <sheetView showGridLines="0" workbookViewId="0">
      <selection activeCell="J28" sqref="J28"/>
    </sheetView>
  </sheetViews>
  <sheetFormatPr baseColWidth="10" defaultRowHeight="12.75"/>
  <cols>
    <col min="1" max="1" width="5" customWidth="1"/>
    <col min="2" max="2" width="5.140625" customWidth="1"/>
    <col min="4" max="4" width="9.42578125" bestFit="1" customWidth="1"/>
    <col min="5" max="5" width="9.140625" bestFit="1" customWidth="1"/>
    <col min="6" max="6" width="29" customWidth="1"/>
    <col min="7" max="7" width="48.42578125" bestFit="1" customWidth="1"/>
    <col min="8" max="8" width="39.85546875" bestFit="1" customWidth="1"/>
    <col min="9" max="9" width="29" customWidth="1"/>
    <col min="10" max="11" width="17" customWidth="1"/>
    <col min="13" max="13" width="12.42578125" customWidth="1"/>
  </cols>
  <sheetData>
    <row r="1" spans="2:21" s="256" customFormat="1" ht="16.5" customHeight="1"/>
    <row r="2" spans="2:21" s="256" customFormat="1" ht="31.5" customHeight="1">
      <c r="B2" s="55" t="s">
        <v>498</v>
      </c>
      <c r="U2" s="257"/>
    </row>
    <row r="3" spans="2:21" s="256" customFormat="1" ht="16.5" customHeight="1"/>
    <row r="4" spans="2:21">
      <c r="B4" t="s">
        <v>43</v>
      </c>
      <c r="C4" s="418" t="s">
        <v>75</v>
      </c>
      <c r="D4" t="s">
        <v>114</v>
      </c>
      <c r="E4" s="418" t="s">
        <v>499</v>
      </c>
      <c r="F4" t="s">
        <v>526</v>
      </c>
      <c r="G4" t="s">
        <v>507</v>
      </c>
      <c r="H4" s="418" t="s">
        <v>500</v>
      </c>
      <c r="I4" t="s">
        <v>501</v>
      </c>
      <c r="J4" s="418" t="s">
        <v>502</v>
      </c>
      <c r="K4" t="s">
        <v>503</v>
      </c>
      <c r="L4" s="418" t="s">
        <v>108</v>
      </c>
      <c r="M4" t="s">
        <v>504</v>
      </c>
    </row>
    <row r="5" spans="2:21" ht="13.5">
      <c r="B5" s="25">
        <v>1</v>
      </c>
      <c r="C5" s="431">
        <v>43318</v>
      </c>
      <c r="D5" s="425">
        <v>67</v>
      </c>
      <c r="E5" s="429" t="s">
        <v>505</v>
      </c>
      <c r="F5" s="133" t="s">
        <v>527</v>
      </c>
      <c r="G5" s="133" t="s">
        <v>533</v>
      </c>
      <c r="H5" s="430"/>
      <c r="I5" s="133"/>
      <c r="J5" s="430" t="s">
        <v>614</v>
      </c>
      <c r="K5" s="133" t="s">
        <v>254</v>
      </c>
      <c r="L5" s="430"/>
      <c r="M5" s="423">
        <f>IF(Entrainement!AH7&lt;&gt;0,Entrainement!AH7,"")</f>
        <v>9</v>
      </c>
    </row>
    <row r="6" spans="2:21" ht="13.5">
      <c r="B6" s="25">
        <v>2</v>
      </c>
      <c r="C6" s="431">
        <v>43319</v>
      </c>
      <c r="D6" s="425">
        <v>62</v>
      </c>
      <c r="E6" s="429" t="s">
        <v>505</v>
      </c>
      <c r="F6" s="133" t="s">
        <v>527</v>
      </c>
      <c r="G6" s="133" t="s">
        <v>533</v>
      </c>
      <c r="H6" s="430"/>
      <c r="I6" s="133"/>
      <c r="J6" s="430" t="s">
        <v>614</v>
      </c>
      <c r="K6" s="133" t="s">
        <v>254</v>
      </c>
      <c r="L6" s="430"/>
      <c r="M6" s="423">
        <f>IF(Entrainement!AH8&lt;&gt;0,Entrainement!AH8,"")</f>
        <v>9</v>
      </c>
    </row>
    <row r="7" spans="2:21" ht="13.5">
      <c r="B7" s="25">
        <v>3</v>
      </c>
      <c r="C7" s="431">
        <v>43321</v>
      </c>
      <c r="D7" s="425">
        <v>66</v>
      </c>
      <c r="E7" s="429" t="s">
        <v>505</v>
      </c>
      <c r="F7" s="133" t="s">
        <v>527</v>
      </c>
      <c r="G7" s="133" t="s">
        <v>533</v>
      </c>
      <c r="H7" s="430"/>
      <c r="I7" s="133"/>
      <c r="J7" s="430" t="s">
        <v>614</v>
      </c>
      <c r="K7" s="133" t="s">
        <v>254</v>
      </c>
      <c r="L7" s="430"/>
      <c r="M7" s="423">
        <f>IF(Entrainement!AH9&lt;&gt;0,Entrainement!AH9,"")</f>
        <v>10</v>
      </c>
    </row>
    <row r="8" spans="2:21" ht="13.5">
      <c r="B8" s="25">
        <v>4</v>
      </c>
      <c r="C8" s="431">
        <v>43322</v>
      </c>
      <c r="D8" s="425">
        <v>75</v>
      </c>
      <c r="E8" s="429" t="s">
        <v>505</v>
      </c>
      <c r="F8" s="133" t="s">
        <v>527</v>
      </c>
      <c r="G8" s="133" t="s">
        <v>533</v>
      </c>
      <c r="H8" s="430"/>
      <c r="I8" s="133"/>
      <c r="J8" s="430" t="s">
        <v>614</v>
      </c>
      <c r="K8" s="133" t="s">
        <v>254</v>
      </c>
      <c r="L8" s="430"/>
      <c r="M8" s="423">
        <f>IF(Entrainement!AH10&lt;&gt;0,Entrainement!AH10,"")</f>
        <v>12</v>
      </c>
      <c r="O8" s="422"/>
    </row>
    <row r="9" spans="2:21" ht="13.5">
      <c r="B9" s="25">
        <v>5</v>
      </c>
      <c r="C9" s="431">
        <v>43325</v>
      </c>
      <c r="D9" s="426">
        <v>63</v>
      </c>
      <c r="E9" s="429" t="s">
        <v>505</v>
      </c>
      <c r="F9" s="133" t="s">
        <v>527</v>
      </c>
      <c r="G9" s="133" t="s">
        <v>534</v>
      </c>
      <c r="H9" s="430"/>
      <c r="I9" s="133"/>
      <c r="J9" s="430" t="s">
        <v>616</v>
      </c>
      <c r="K9" s="133" t="s">
        <v>619</v>
      </c>
      <c r="L9" s="430"/>
      <c r="M9" s="423">
        <f>IF(Entrainement!AH11&lt;&gt;0,Entrainement!AH11,"")</f>
        <v>11</v>
      </c>
    </row>
    <row r="10" spans="2:21" ht="13.5">
      <c r="B10" s="25">
        <v>6</v>
      </c>
      <c r="C10" s="432">
        <v>43326</v>
      </c>
      <c r="D10" s="427">
        <v>71</v>
      </c>
      <c r="E10" s="429" t="s">
        <v>505</v>
      </c>
      <c r="F10" s="133" t="s">
        <v>527</v>
      </c>
      <c r="G10" s="133" t="s">
        <v>534</v>
      </c>
      <c r="H10" s="430"/>
      <c r="I10" s="133"/>
      <c r="J10" s="430" t="s">
        <v>616</v>
      </c>
      <c r="K10" s="133" t="s">
        <v>619</v>
      </c>
      <c r="L10" s="430"/>
      <c r="M10" s="423">
        <f>IF(Entrainement!AH12&lt;&gt;0,Entrainement!AH12,"")</f>
        <v>12</v>
      </c>
    </row>
    <row r="11" spans="2:21" ht="13.5">
      <c r="B11" s="25">
        <v>7</v>
      </c>
      <c r="C11" s="432">
        <v>43327</v>
      </c>
      <c r="D11" s="427">
        <v>55</v>
      </c>
      <c r="E11" s="429" t="s">
        <v>505</v>
      </c>
      <c r="F11" s="133" t="s">
        <v>527</v>
      </c>
      <c r="G11" s="133" t="s">
        <v>534</v>
      </c>
      <c r="H11" s="430"/>
      <c r="I11" s="133"/>
      <c r="J11" s="430" t="s">
        <v>616</v>
      </c>
      <c r="K11" s="133" t="s">
        <v>619</v>
      </c>
      <c r="L11" s="430"/>
      <c r="M11" s="423">
        <f>IF(Entrainement!AH13&lt;&gt;0,Entrainement!AH13,"")</f>
        <v>8</v>
      </c>
    </row>
    <row r="12" spans="2:21" ht="13.5">
      <c r="B12" s="25">
        <v>8</v>
      </c>
      <c r="C12" s="432">
        <v>43328</v>
      </c>
      <c r="D12" s="427">
        <v>67</v>
      </c>
      <c r="E12" s="429" t="s">
        <v>505</v>
      </c>
      <c r="F12" s="133" t="s">
        <v>527</v>
      </c>
      <c r="G12" s="133" t="s">
        <v>534</v>
      </c>
      <c r="H12" s="430"/>
      <c r="I12" s="133"/>
      <c r="J12" s="430" t="s">
        <v>616</v>
      </c>
      <c r="K12" s="133" t="s">
        <v>619</v>
      </c>
      <c r="L12" s="430"/>
      <c r="M12" s="423">
        <f>IF(Entrainement!AH14&lt;&gt;0,Entrainement!AH14,"")</f>
        <v>13</v>
      </c>
    </row>
    <row r="13" spans="2:21" ht="13.5">
      <c r="B13" s="25">
        <v>9</v>
      </c>
      <c r="C13" s="432">
        <v>43329</v>
      </c>
      <c r="D13" s="427">
        <v>61</v>
      </c>
      <c r="E13" s="429" t="s">
        <v>505</v>
      </c>
      <c r="F13" s="133" t="s">
        <v>527</v>
      </c>
      <c r="G13" s="133" t="s">
        <v>534</v>
      </c>
      <c r="H13" s="430"/>
      <c r="I13" s="133"/>
      <c r="J13" s="430" t="s">
        <v>616</v>
      </c>
      <c r="K13" s="133" t="s">
        <v>619</v>
      </c>
      <c r="L13" s="430"/>
      <c r="M13" s="423">
        <f>IF(Entrainement!AH15&lt;&gt;0,Entrainement!AH15,"")</f>
        <v>10</v>
      </c>
    </row>
    <row r="14" spans="2:21" ht="13.5">
      <c r="B14" s="25">
        <v>10</v>
      </c>
      <c r="C14" s="432">
        <v>43330</v>
      </c>
      <c r="D14" s="427">
        <v>70</v>
      </c>
      <c r="E14" s="429" t="s">
        <v>505</v>
      </c>
      <c r="F14" s="133" t="s">
        <v>527</v>
      </c>
      <c r="G14" s="133" t="s">
        <v>534</v>
      </c>
      <c r="H14" s="430"/>
      <c r="I14" s="133"/>
      <c r="J14" s="430" t="s">
        <v>616</v>
      </c>
      <c r="K14" s="133" t="s">
        <v>619</v>
      </c>
      <c r="L14" s="430"/>
      <c r="M14" s="423">
        <f>IF(Entrainement!AH16&lt;&gt;0,Entrainement!AH16,"")</f>
        <v>12</v>
      </c>
    </row>
    <row r="15" spans="2:21" ht="13.5">
      <c r="B15" s="25">
        <v>11</v>
      </c>
      <c r="C15" s="432">
        <v>43332</v>
      </c>
      <c r="D15" s="427">
        <v>69</v>
      </c>
      <c r="E15" s="429" t="s">
        <v>506</v>
      </c>
      <c r="F15" s="133" t="s">
        <v>599</v>
      </c>
      <c r="G15" s="133" t="s">
        <v>590</v>
      </c>
      <c r="H15" s="430"/>
      <c r="I15" s="133"/>
      <c r="J15" s="430" t="s">
        <v>514</v>
      </c>
      <c r="K15" s="133" t="s">
        <v>256</v>
      </c>
      <c r="L15" s="430"/>
      <c r="M15" s="423">
        <f>IF(Entrainement!AH17&lt;&gt;0,Entrainement!AH17,"")</f>
        <v>15</v>
      </c>
    </row>
    <row r="16" spans="2:21" ht="13.5">
      <c r="B16" s="25">
        <v>12</v>
      </c>
      <c r="C16" s="432">
        <v>43333</v>
      </c>
      <c r="D16" s="427">
        <v>50</v>
      </c>
      <c r="E16" s="429" t="s">
        <v>506</v>
      </c>
      <c r="F16" s="133" t="s">
        <v>599</v>
      </c>
      <c r="G16" s="133" t="s">
        <v>590</v>
      </c>
      <c r="H16" s="430"/>
      <c r="I16" s="133"/>
      <c r="J16" s="430" t="s">
        <v>514</v>
      </c>
      <c r="K16" s="133" t="s">
        <v>256</v>
      </c>
      <c r="L16" s="430"/>
      <c r="M16" s="423">
        <f>IF(Entrainement!AH18&lt;&gt;0,Entrainement!AH18,"")</f>
        <v>13</v>
      </c>
    </row>
    <row r="17" spans="2:13" ht="13.5">
      <c r="B17" s="25">
        <v>13</v>
      </c>
      <c r="C17" s="432">
        <v>43335</v>
      </c>
      <c r="D17" s="427">
        <v>55</v>
      </c>
      <c r="E17" s="429" t="s">
        <v>506</v>
      </c>
      <c r="F17" s="133" t="s">
        <v>599</v>
      </c>
      <c r="G17" s="133" t="s">
        <v>590</v>
      </c>
      <c r="H17" s="430"/>
      <c r="I17" s="133"/>
      <c r="J17" s="430" t="s">
        <v>514</v>
      </c>
      <c r="K17" s="133" t="s">
        <v>256</v>
      </c>
      <c r="L17" s="430"/>
      <c r="M17" s="423">
        <f>IF(Entrainement!AH19&lt;&gt;0,Entrainement!AH19,"")</f>
        <v>14</v>
      </c>
    </row>
    <row r="18" spans="2:13" ht="13.5">
      <c r="B18" s="25">
        <v>14</v>
      </c>
      <c r="C18" s="432">
        <v>43336</v>
      </c>
      <c r="D18" s="427">
        <v>70</v>
      </c>
      <c r="E18" s="429" t="s">
        <v>506</v>
      </c>
      <c r="F18" s="133" t="s">
        <v>599</v>
      </c>
      <c r="G18" s="133" t="s">
        <v>590</v>
      </c>
      <c r="H18" s="430"/>
      <c r="I18" s="133"/>
      <c r="J18" s="430" t="s">
        <v>514</v>
      </c>
      <c r="K18" s="133" t="s">
        <v>256</v>
      </c>
      <c r="L18" s="430"/>
      <c r="M18" s="423">
        <f>IF(Entrainement!AH20&lt;&gt;0,Entrainement!AH20,"")</f>
        <v>17</v>
      </c>
    </row>
    <row r="19" spans="2:13" ht="13.5">
      <c r="B19" s="25">
        <v>15</v>
      </c>
      <c r="C19" s="432">
        <v>43339</v>
      </c>
      <c r="D19" s="427">
        <v>64</v>
      </c>
      <c r="E19" s="429" t="s">
        <v>505</v>
      </c>
      <c r="F19" s="133" t="s">
        <v>541</v>
      </c>
      <c r="G19" s="133" t="s">
        <v>566</v>
      </c>
      <c r="H19" s="430"/>
      <c r="I19" s="133"/>
      <c r="J19" s="430" t="s">
        <v>514</v>
      </c>
      <c r="K19" s="133" t="s">
        <v>620</v>
      </c>
      <c r="L19" s="430"/>
      <c r="M19" s="423">
        <f>IF(Entrainement!AH21&lt;&gt;0,Entrainement!AH21,"")</f>
        <v>15</v>
      </c>
    </row>
    <row r="20" spans="2:13" ht="13.5">
      <c r="B20" s="25">
        <v>16</v>
      </c>
      <c r="C20" s="432">
        <v>43340</v>
      </c>
      <c r="D20" s="427">
        <v>60</v>
      </c>
      <c r="E20" s="429" t="s">
        <v>505</v>
      </c>
      <c r="F20" s="133" t="s">
        <v>541</v>
      </c>
      <c r="G20" s="133" t="s">
        <v>566</v>
      </c>
      <c r="H20" s="430"/>
      <c r="I20" s="133"/>
      <c r="J20" s="430" t="s">
        <v>514</v>
      </c>
      <c r="K20" s="133" t="s">
        <v>620</v>
      </c>
      <c r="L20" s="430"/>
      <c r="M20" s="423">
        <f>IF(Entrainement!AH22&lt;&gt;0,Entrainement!AH22,"")</f>
        <v>17</v>
      </c>
    </row>
    <row r="21" spans="2:13" ht="13.5">
      <c r="B21" s="25">
        <v>17</v>
      </c>
      <c r="C21" s="432">
        <v>43342</v>
      </c>
      <c r="D21" s="427">
        <v>57</v>
      </c>
      <c r="E21" s="429" t="s">
        <v>505</v>
      </c>
      <c r="F21" s="133" t="s">
        <v>541</v>
      </c>
      <c r="G21" s="133" t="s">
        <v>566</v>
      </c>
      <c r="H21" s="430"/>
      <c r="I21" s="133"/>
      <c r="J21" s="430" t="s">
        <v>514</v>
      </c>
      <c r="K21" s="133" t="s">
        <v>620</v>
      </c>
      <c r="L21" s="430"/>
      <c r="M21" s="423">
        <f>IF(Entrainement!AH23&lt;&gt;0,Entrainement!AH23,"")</f>
        <v>20</v>
      </c>
    </row>
    <row r="22" spans="2:13" ht="13.5">
      <c r="B22" s="25">
        <v>18</v>
      </c>
      <c r="C22" s="432">
        <v>43343</v>
      </c>
      <c r="D22" s="427">
        <v>50</v>
      </c>
      <c r="E22" s="429" t="s">
        <v>505</v>
      </c>
      <c r="F22" s="133" t="s">
        <v>541</v>
      </c>
      <c r="G22" s="133" t="s">
        <v>566</v>
      </c>
      <c r="H22" s="430"/>
      <c r="I22" s="133"/>
      <c r="J22" s="430" t="s">
        <v>514</v>
      </c>
      <c r="K22" s="133" t="s">
        <v>620</v>
      </c>
      <c r="L22" s="430"/>
      <c r="M22" s="423">
        <f>IF(Entrainement!AH24&lt;&gt;0,Entrainement!AH24,"")</f>
        <v>16</v>
      </c>
    </row>
    <row r="23" spans="2:13" ht="13.5">
      <c r="B23" s="25">
        <v>19</v>
      </c>
      <c r="C23" s="432">
        <v>43347</v>
      </c>
      <c r="D23" s="427">
        <v>65</v>
      </c>
      <c r="E23" s="429" t="s">
        <v>505</v>
      </c>
      <c r="F23" s="133" t="s">
        <v>529</v>
      </c>
      <c r="G23" s="133"/>
      <c r="H23" s="430"/>
      <c r="I23" s="133"/>
      <c r="J23" s="430" t="s">
        <v>615</v>
      </c>
      <c r="K23" s="133" t="s">
        <v>254</v>
      </c>
      <c r="L23" s="430"/>
      <c r="M23" s="423">
        <f>IF(Entrainement!AH25&lt;&gt;0,Entrainement!AH25,"")</f>
        <v>14</v>
      </c>
    </row>
    <row r="24" spans="2:13" ht="13.5">
      <c r="B24" s="25">
        <v>20</v>
      </c>
      <c r="C24" s="432">
        <v>43349</v>
      </c>
      <c r="D24" s="427">
        <v>70</v>
      </c>
      <c r="E24" s="429" t="s">
        <v>505</v>
      </c>
      <c r="F24" s="133" t="s">
        <v>529</v>
      </c>
      <c r="G24" s="133"/>
      <c r="H24" s="430"/>
      <c r="I24" s="133"/>
      <c r="J24" s="430" t="s">
        <v>615</v>
      </c>
      <c r="K24" s="133" t="s">
        <v>254</v>
      </c>
      <c r="L24" s="430"/>
      <c r="M24" s="423">
        <f>IF(Entrainement!AH26&lt;&gt;0,Entrainement!AH26,"")</f>
        <v>18</v>
      </c>
    </row>
    <row r="25" spans="2:13" ht="13.5">
      <c r="B25" s="25">
        <v>21</v>
      </c>
      <c r="C25" s="432">
        <v>43350</v>
      </c>
      <c r="D25" s="427">
        <v>45</v>
      </c>
      <c r="E25" s="429" t="s">
        <v>505</v>
      </c>
      <c r="F25" s="133" t="s">
        <v>529</v>
      </c>
      <c r="G25" s="133"/>
      <c r="H25" s="430"/>
      <c r="I25" s="133"/>
      <c r="J25" s="430" t="s">
        <v>615</v>
      </c>
      <c r="K25" s="133" t="s">
        <v>254</v>
      </c>
      <c r="L25" s="430"/>
      <c r="M25" s="423">
        <f>IF(Entrainement!AH27&lt;&gt;0,Entrainement!AH27,"")</f>
        <v>12</v>
      </c>
    </row>
    <row r="26" spans="2:13" ht="13.5">
      <c r="B26" s="25">
        <v>22</v>
      </c>
      <c r="C26" s="433">
        <v>43354</v>
      </c>
      <c r="D26" s="428">
        <v>60</v>
      </c>
      <c r="E26" s="429" t="s">
        <v>506</v>
      </c>
      <c r="F26" s="133" t="s">
        <v>531</v>
      </c>
      <c r="G26" s="133" t="s">
        <v>598</v>
      </c>
      <c r="H26" s="430" t="s">
        <v>667</v>
      </c>
      <c r="I26" s="133"/>
      <c r="J26" s="430" t="s">
        <v>515</v>
      </c>
      <c r="K26" s="133" t="s">
        <v>621</v>
      </c>
      <c r="L26" s="430"/>
      <c r="M26" s="423">
        <f>IF(Entrainement!AH28&lt;&gt;0,Entrainement!AH28,"")</f>
        <v>12</v>
      </c>
    </row>
    <row r="27" spans="2:13" ht="13.5">
      <c r="B27" s="25">
        <v>23</v>
      </c>
      <c r="C27" s="433">
        <v>43357</v>
      </c>
      <c r="D27" s="428">
        <v>74</v>
      </c>
      <c r="E27" s="429" t="s">
        <v>506</v>
      </c>
      <c r="F27" s="133" t="s">
        <v>531</v>
      </c>
      <c r="G27" s="133" t="s">
        <v>598</v>
      </c>
      <c r="H27" s="430"/>
      <c r="I27" s="133"/>
      <c r="J27" s="430" t="s">
        <v>616</v>
      </c>
      <c r="K27" s="133" t="s">
        <v>621</v>
      </c>
      <c r="L27" s="430"/>
      <c r="M27" s="423">
        <f>IF(Entrainement!AH29&lt;&gt;0,Entrainement!AH29,"")</f>
        <v>15</v>
      </c>
    </row>
    <row r="28" spans="2:13" ht="13.5">
      <c r="B28" s="25">
        <v>22</v>
      </c>
      <c r="C28" s="433">
        <v>43358</v>
      </c>
      <c r="D28" s="428">
        <v>36</v>
      </c>
      <c r="E28" s="429" t="s">
        <v>506</v>
      </c>
      <c r="F28" s="133" t="s">
        <v>531</v>
      </c>
      <c r="G28" s="133" t="s">
        <v>598</v>
      </c>
      <c r="H28" s="430" t="s">
        <v>667</v>
      </c>
      <c r="I28" s="133"/>
      <c r="J28" s="430" t="s">
        <v>516</v>
      </c>
      <c r="K28" s="133" t="s">
        <v>621</v>
      </c>
      <c r="L28" s="430"/>
      <c r="M28" s="423">
        <f>IF(Entrainement!AH30&lt;&gt;0,Entrainement!AH30,"")</f>
        <v>13</v>
      </c>
    </row>
    <row r="29" spans="2:13" ht="13.5">
      <c r="B29" s="25"/>
      <c r="C29" s="433"/>
      <c r="D29" s="428"/>
      <c r="E29" s="429"/>
      <c r="F29" s="133"/>
      <c r="G29" s="133"/>
      <c r="H29" s="430"/>
      <c r="I29" s="133"/>
      <c r="J29" s="430"/>
      <c r="K29" s="133"/>
      <c r="L29" s="430"/>
      <c r="M29" s="423" t="str">
        <f>IF(Entrainement!AH31&lt;&gt;0,Entrainement!AH31,"")</f>
        <v/>
      </c>
    </row>
    <row r="30" spans="2:13" ht="13.5">
      <c r="B30" s="25"/>
      <c r="C30" s="433"/>
      <c r="D30" s="428"/>
      <c r="E30" s="429"/>
      <c r="F30" s="133"/>
      <c r="G30" s="133"/>
      <c r="H30" s="430"/>
      <c r="I30" s="133"/>
      <c r="J30" s="430"/>
      <c r="K30" s="133"/>
      <c r="L30" s="430"/>
      <c r="M30" s="423" t="str">
        <f>IF(Entrainement!AH32&lt;&gt;0,Entrainement!AH32,"")</f>
        <v/>
      </c>
    </row>
    <row r="31" spans="2:13" ht="13.5">
      <c r="B31" s="25"/>
      <c r="C31" s="433"/>
      <c r="D31" s="428"/>
      <c r="E31" s="429"/>
      <c r="F31" s="133"/>
      <c r="G31" s="133"/>
      <c r="H31" s="430"/>
      <c r="I31" s="133"/>
      <c r="J31" s="430"/>
      <c r="K31" s="133"/>
      <c r="L31" s="430"/>
      <c r="M31" s="423" t="str">
        <f>IF(Entrainement!AH33&lt;&gt;0,Entrainement!AH33,"")</f>
        <v/>
      </c>
    </row>
    <row r="32" spans="2:13" ht="13.5">
      <c r="B32" s="25"/>
      <c r="C32" s="433"/>
      <c r="D32" s="428"/>
      <c r="E32" s="429"/>
      <c r="F32" s="133"/>
      <c r="G32" s="133"/>
      <c r="H32" s="430"/>
      <c r="I32" s="133"/>
      <c r="J32" s="430"/>
      <c r="K32" s="133"/>
      <c r="L32" s="430"/>
      <c r="M32" s="423" t="str">
        <f>IF(Entrainement!AH34&lt;&gt;0,Entrainement!AH34,"")</f>
        <v/>
      </c>
    </row>
    <row r="33" spans="2:13" ht="13.5">
      <c r="B33" s="25"/>
      <c r="C33" s="433"/>
      <c r="D33" s="428"/>
      <c r="E33" s="429"/>
      <c r="F33" s="133"/>
      <c r="G33" s="133"/>
      <c r="H33" s="430"/>
      <c r="I33" s="133"/>
      <c r="J33" s="430"/>
      <c r="K33" s="133"/>
      <c r="L33" s="430"/>
      <c r="M33" s="423" t="str">
        <f>IF(Entrainement!AH35&lt;&gt;0,Entrainement!AH35,"")</f>
        <v/>
      </c>
    </row>
    <row r="34" spans="2:13" ht="13.5">
      <c r="B34" s="25"/>
      <c r="C34" s="433"/>
      <c r="D34" s="428"/>
      <c r="E34" s="429"/>
      <c r="F34" s="133"/>
      <c r="G34" s="133"/>
      <c r="H34" s="430"/>
      <c r="I34" s="133"/>
      <c r="J34" s="430"/>
      <c r="K34" s="133"/>
      <c r="L34" s="430"/>
      <c r="M34" s="423" t="str">
        <f>IF(Entrainement!AH36&lt;&gt;0,Entrainement!AH36,"")</f>
        <v/>
      </c>
    </row>
    <row r="35" spans="2:13" ht="13.5">
      <c r="B35" s="25"/>
      <c r="C35" s="433"/>
      <c r="D35" s="428"/>
      <c r="E35" s="429"/>
      <c r="F35" s="133"/>
      <c r="G35" s="133"/>
      <c r="H35" s="430"/>
      <c r="I35" s="133"/>
      <c r="J35" s="430"/>
      <c r="K35" s="133"/>
      <c r="L35" s="430"/>
      <c r="M35" s="423" t="str">
        <f>IF(Entrainement!AH37&lt;&gt;0,Entrainement!AH37,"")</f>
        <v/>
      </c>
    </row>
    <row r="36" spans="2:13" ht="13.5">
      <c r="B36" s="25"/>
      <c r="C36" s="433"/>
      <c r="D36" s="428"/>
      <c r="E36" s="429"/>
      <c r="F36" s="133"/>
      <c r="G36" s="133"/>
      <c r="H36" s="430"/>
      <c r="I36" s="133"/>
      <c r="J36" s="430"/>
      <c r="K36" s="133"/>
      <c r="L36" s="430"/>
      <c r="M36" s="423" t="str">
        <f>IF(Entrainement!AH38&lt;&gt;0,Entrainement!AH38,"")</f>
        <v/>
      </c>
    </row>
    <row r="37" spans="2:13" ht="13.5">
      <c r="B37" s="25"/>
      <c r="C37" s="433"/>
      <c r="D37" s="428"/>
      <c r="E37" s="429"/>
      <c r="F37" s="133"/>
      <c r="G37" s="133"/>
      <c r="H37" s="430"/>
      <c r="I37" s="133"/>
      <c r="J37" s="430"/>
      <c r="K37" s="133"/>
      <c r="L37" s="430"/>
      <c r="M37" s="423" t="str">
        <f>IF(Entrainement!AH39&lt;&gt;0,Entrainement!AH39,"")</f>
        <v/>
      </c>
    </row>
    <row r="38" spans="2:13" ht="13.5">
      <c r="B38" s="25"/>
      <c r="C38" s="433"/>
      <c r="D38" s="428"/>
      <c r="E38" s="429"/>
      <c r="F38" s="133"/>
      <c r="G38" s="133"/>
      <c r="H38" s="430"/>
      <c r="I38" s="133"/>
      <c r="J38" s="430"/>
      <c r="K38" s="133"/>
      <c r="L38" s="430"/>
      <c r="M38" s="423" t="str">
        <f>IF(Entrainement!AH40&lt;&gt;0,Entrainement!AH40,"")</f>
        <v/>
      </c>
    </row>
    <row r="39" spans="2:13" ht="13.5">
      <c r="B39" s="25"/>
      <c r="C39" s="433"/>
      <c r="D39" s="428"/>
      <c r="E39" s="429"/>
      <c r="F39" s="133"/>
      <c r="G39" s="133"/>
      <c r="H39" s="430"/>
      <c r="I39" s="133"/>
      <c r="J39" s="430"/>
      <c r="K39" s="133"/>
      <c r="L39" s="430"/>
      <c r="M39" s="423" t="str">
        <f>IF(Entrainement!AH41&lt;&gt;0,Entrainement!AH41,"")</f>
        <v/>
      </c>
    </row>
    <row r="40" spans="2:13" ht="13.5">
      <c r="B40" s="25"/>
      <c r="C40" s="433"/>
      <c r="D40" s="428"/>
      <c r="E40" s="429"/>
      <c r="F40" s="133"/>
      <c r="G40" s="133"/>
      <c r="H40" s="430"/>
      <c r="I40" s="133"/>
      <c r="J40" s="430"/>
      <c r="K40" s="133"/>
      <c r="L40" s="430"/>
      <c r="M40" s="423" t="str">
        <f>IF(Entrainement!AH42&lt;&gt;0,Entrainement!AH42,"")</f>
        <v/>
      </c>
    </row>
    <row r="41" spans="2:13" ht="13.5">
      <c r="B41" s="25"/>
      <c r="C41" s="433"/>
      <c r="D41" s="428"/>
      <c r="E41" s="429"/>
      <c r="F41" s="133"/>
      <c r="G41" s="133"/>
      <c r="H41" s="430"/>
      <c r="I41" s="133"/>
      <c r="J41" s="430"/>
      <c r="K41" s="133"/>
      <c r="L41" s="430"/>
      <c r="M41" s="423" t="str">
        <f>IF(Entrainement!AH43&lt;&gt;0,Entrainement!AH43,"")</f>
        <v/>
      </c>
    </row>
    <row r="42" spans="2:13" ht="13.5">
      <c r="B42" s="25"/>
      <c r="C42" s="433"/>
      <c r="D42" s="428"/>
      <c r="E42" s="429"/>
      <c r="F42" s="133"/>
      <c r="G42" s="133"/>
      <c r="H42" s="430"/>
      <c r="I42" s="133"/>
      <c r="J42" s="430"/>
      <c r="K42" s="133"/>
      <c r="L42" s="430"/>
      <c r="M42" s="423" t="str">
        <f>IF(Entrainement!AH44&lt;&gt;0,Entrainement!AH44,"")</f>
        <v/>
      </c>
    </row>
    <row r="43" spans="2:13" ht="13.5">
      <c r="B43" s="25"/>
      <c r="C43" s="433"/>
      <c r="D43" s="428"/>
      <c r="E43" s="429"/>
      <c r="F43" s="133"/>
      <c r="G43" s="133"/>
      <c r="H43" s="430"/>
      <c r="I43" s="133"/>
      <c r="J43" s="430"/>
      <c r="K43" s="133"/>
      <c r="L43" s="430"/>
      <c r="M43" s="423" t="str">
        <f>IF(Entrainement!AH45&lt;&gt;0,Entrainement!AH45,"")</f>
        <v/>
      </c>
    </row>
    <row r="44" spans="2:13" ht="13.5">
      <c r="B44" s="25"/>
      <c r="C44" s="433"/>
      <c r="D44" s="428"/>
      <c r="E44" s="429"/>
      <c r="F44" s="133"/>
      <c r="G44" s="133"/>
      <c r="H44" s="430"/>
      <c r="I44" s="133"/>
      <c r="J44" s="430"/>
      <c r="K44" s="133"/>
      <c r="L44" s="430"/>
      <c r="M44" s="423" t="str">
        <f>IF(Entrainement!AH46&lt;&gt;0,Entrainement!AH46,"")</f>
        <v/>
      </c>
    </row>
    <row r="45" spans="2:13" ht="13.5">
      <c r="B45" s="25"/>
      <c r="C45" s="433"/>
      <c r="D45" s="428"/>
      <c r="E45" s="429"/>
      <c r="F45" s="133"/>
      <c r="G45" s="133"/>
      <c r="H45" s="430"/>
      <c r="I45" s="133"/>
      <c r="J45" s="430"/>
      <c r="K45" s="133"/>
      <c r="L45" s="430"/>
      <c r="M45" s="423" t="str">
        <f>IF(Entrainement!AH47&lt;&gt;0,Entrainement!AH47,"")</f>
        <v/>
      </c>
    </row>
    <row r="46" spans="2:13" ht="13.5">
      <c r="B46" s="25"/>
      <c r="C46" s="433"/>
      <c r="D46" s="428"/>
      <c r="E46" s="429"/>
      <c r="F46" s="133"/>
      <c r="G46" s="133"/>
      <c r="H46" s="430"/>
      <c r="I46" s="133"/>
      <c r="J46" s="430"/>
      <c r="K46" s="133"/>
      <c r="L46" s="430"/>
      <c r="M46" s="423" t="str">
        <f>IF(Entrainement!AH48&lt;&gt;0,Entrainement!AH48,"")</f>
        <v/>
      </c>
    </row>
    <row r="47" spans="2:13" ht="13.5">
      <c r="B47" s="25"/>
      <c r="C47" s="433"/>
      <c r="D47" s="428"/>
      <c r="E47" s="429"/>
      <c r="F47" s="133"/>
      <c r="G47" s="133"/>
      <c r="H47" s="430"/>
      <c r="I47" s="133"/>
      <c r="J47" s="430"/>
      <c r="K47" s="133"/>
      <c r="L47" s="430"/>
      <c r="M47" s="423" t="str">
        <f>IF(Entrainement!AH49&lt;&gt;0,Entrainement!AH49,"")</f>
        <v/>
      </c>
    </row>
    <row r="48" spans="2:13" ht="13.5">
      <c r="B48" s="25"/>
      <c r="C48" s="433"/>
      <c r="D48" s="428"/>
      <c r="E48" s="429"/>
      <c r="F48" s="133"/>
      <c r="G48" s="133"/>
      <c r="H48" s="430"/>
      <c r="I48" s="133"/>
      <c r="J48" s="430"/>
      <c r="K48" s="133"/>
      <c r="L48" s="430"/>
      <c r="M48" s="423" t="str">
        <f>IF(Entrainement!AH50&lt;&gt;0,Entrainement!AH50,"")</f>
        <v/>
      </c>
    </row>
    <row r="49" spans="2:13" ht="13.5">
      <c r="B49" s="25"/>
      <c r="C49" s="433"/>
      <c r="D49" s="428"/>
      <c r="E49" s="429"/>
      <c r="F49" s="133"/>
      <c r="G49" s="133"/>
      <c r="H49" s="430"/>
      <c r="I49" s="133"/>
      <c r="J49" s="430"/>
      <c r="K49" s="133"/>
      <c r="L49" s="430"/>
      <c r="M49" s="423" t="str">
        <f>IF(Entrainement!AH51&lt;&gt;0,Entrainement!AH51,"")</f>
        <v/>
      </c>
    </row>
    <row r="50" spans="2:13" ht="13.5">
      <c r="B50" s="25"/>
      <c r="C50" s="433"/>
      <c r="D50" s="428"/>
      <c r="E50" s="429"/>
      <c r="F50" s="133"/>
      <c r="G50" s="133"/>
      <c r="H50" s="430"/>
      <c r="I50" s="133"/>
      <c r="J50" s="430"/>
      <c r="K50" s="133"/>
      <c r="L50" s="430"/>
      <c r="M50" s="423" t="str">
        <f>IF(Entrainement!AH52&lt;&gt;0,Entrainement!AH52,"")</f>
        <v/>
      </c>
    </row>
    <row r="51" spans="2:13" ht="13.5">
      <c r="B51" s="25"/>
      <c r="C51" s="433"/>
      <c r="D51" s="428"/>
      <c r="E51" s="429"/>
      <c r="F51" s="133"/>
      <c r="G51" s="133"/>
      <c r="H51" s="430"/>
      <c r="I51" s="133"/>
      <c r="J51" s="430"/>
      <c r="K51" s="133"/>
      <c r="L51" s="430"/>
      <c r="M51" s="423" t="str">
        <f>IF(Entrainement!AH53&lt;&gt;0,Entrainement!AH53,"")</f>
        <v/>
      </c>
    </row>
    <row r="52" spans="2:13" ht="13.5">
      <c r="B52" s="25"/>
      <c r="C52" s="433"/>
      <c r="D52" s="428"/>
      <c r="E52" s="429"/>
      <c r="F52" s="133"/>
      <c r="G52" s="133"/>
      <c r="H52" s="430"/>
      <c r="I52" s="133"/>
      <c r="J52" s="430"/>
      <c r="K52" s="133"/>
      <c r="L52" s="430"/>
      <c r="M52" s="423" t="str">
        <f>IF(Entrainement!AH54&lt;&gt;0,Entrainement!AH54,"")</f>
        <v/>
      </c>
    </row>
    <row r="53" spans="2:13" ht="13.5">
      <c r="B53" s="25"/>
      <c r="C53" s="433"/>
      <c r="D53" s="428"/>
      <c r="E53" s="429"/>
      <c r="F53" s="133"/>
      <c r="G53" s="133"/>
      <c r="H53" s="430"/>
      <c r="I53" s="133"/>
      <c r="J53" s="430"/>
      <c r="K53" s="133"/>
      <c r="L53" s="430"/>
      <c r="M53" s="423" t="str">
        <f>IF(Entrainement!AH55&lt;&gt;0,Entrainement!AH55,"")</f>
        <v/>
      </c>
    </row>
    <row r="54" spans="2:13" ht="13.5">
      <c r="B54" s="25"/>
      <c r="C54" s="433"/>
      <c r="D54" s="428"/>
      <c r="E54" s="429"/>
      <c r="F54" s="133"/>
      <c r="G54" s="133"/>
      <c r="H54" s="430"/>
      <c r="I54" s="133"/>
      <c r="J54" s="430"/>
      <c r="K54" s="133"/>
      <c r="L54" s="430"/>
      <c r="M54" s="423" t="str">
        <f>IF(Entrainement!AH56&lt;&gt;0,Entrainement!AH56,"")</f>
        <v/>
      </c>
    </row>
    <row r="55" spans="2:13" ht="13.5">
      <c r="B55" s="25"/>
      <c r="C55" s="433"/>
      <c r="D55" s="428"/>
      <c r="E55" s="429"/>
      <c r="F55" s="133"/>
      <c r="G55" s="133"/>
      <c r="H55" s="430"/>
      <c r="I55" s="133"/>
      <c r="J55" s="430"/>
      <c r="K55" s="133"/>
      <c r="L55" s="430"/>
      <c r="M55" s="423" t="str">
        <f>IF(Entrainement!AH57&lt;&gt;0,Entrainement!AH57,"")</f>
        <v/>
      </c>
    </row>
    <row r="56" spans="2:13" ht="13.5">
      <c r="B56" s="25"/>
      <c r="C56" s="433"/>
      <c r="D56" s="428"/>
      <c r="E56" s="429"/>
      <c r="F56" s="133"/>
      <c r="G56" s="133"/>
      <c r="H56" s="430"/>
      <c r="I56" s="133"/>
      <c r="J56" s="430"/>
      <c r="K56" s="133"/>
      <c r="L56" s="430"/>
      <c r="M56" s="423" t="str">
        <f>IF(Entrainement!AH58&lt;&gt;0,Entrainement!AH58,"")</f>
        <v/>
      </c>
    </row>
    <row r="57" spans="2:13" ht="13.5">
      <c r="B57" s="25"/>
      <c r="C57" s="433"/>
      <c r="D57" s="428"/>
      <c r="E57" s="429"/>
      <c r="F57" s="133"/>
      <c r="G57" s="133"/>
      <c r="H57" s="430"/>
      <c r="I57" s="133"/>
      <c r="J57" s="430"/>
      <c r="K57" s="133"/>
      <c r="L57" s="430"/>
      <c r="M57" s="423" t="str">
        <f>IF(Entrainement!AH59&lt;&gt;0,Entrainement!AH59,"")</f>
        <v/>
      </c>
    </row>
    <row r="58" spans="2:13" ht="13.5">
      <c r="B58" s="25"/>
      <c r="C58" s="433"/>
      <c r="D58" s="428"/>
      <c r="E58" s="429"/>
      <c r="F58" s="133"/>
      <c r="G58" s="133"/>
      <c r="H58" s="430"/>
      <c r="I58" s="133"/>
      <c r="J58" s="430"/>
      <c r="K58" s="133"/>
      <c r="L58" s="430"/>
      <c r="M58" s="423" t="str">
        <f>IF(Entrainement!AH60&lt;&gt;0,Entrainement!AH60,"")</f>
        <v/>
      </c>
    </row>
    <row r="59" spans="2:13" ht="13.5">
      <c r="B59" s="25"/>
      <c r="C59" s="433"/>
      <c r="D59" s="428"/>
      <c r="E59" s="429"/>
      <c r="F59" s="133"/>
      <c r="G59" s="133"/>
      <c r="H59" s="430"/>
      <c r="I59" s="133"/>
      <c r="J59" s="430"/>
      <c r="K59" s="133"/>
      <c r="L59" s="430"/>
      <c r="M59" s="423" t="str">
        <f>IF(Entrainement!AH61&lt;&gt;0,Entrainement!AH61,"")</f>
        <v/>
      </c>
    </row>
    <row r="60" spans="2:13" ht="13.5">
      <c r="B60" s="25"/>
      <c r="C60" s="433"/>
      <c r="D60" s="428"/>
      <c r="E60" s="429"/>
      <c r="F60" s="133"/>
      <c r="G60" s="133"/>
      <c r="H60" s="430"/>
      <c r="I60" s="133"/>
      <c r="J60" s="430"/>
      <c r="K60" s="133"/>
      <c r="L60" s="430"/>
      <c r="M60" s="423" t="str">
        <f>IF(Entrainement!AH62&lt;&gt;0,Entrainement!AH62,"")</f>
        <v/>
      </c>
    </row>
    <row r="61" spans="2:13" ht="13.5">
      <c r="B61" s="25"/>
      <c r="C61" s="433"/>
      <c r="D61" s="428"/>
      <c r="E61" s="429"/>
      <c r="F61" s="133"/>
      <c r="G61" s="133"/>
      <c r="H61" s="430"/>
      <c r="I61" s="133"/>
      <c r="J61" s="430"/>
      <c r="K61" s="133"/>
      <c r="L61" s="430"/>
      <c r="M61" s="423" t="str">
        <f>IF(Entrainement!AH63&lt;&gt;0,Entrainement!AH63,"")</f>
        <v/>
      </c>
    </row>
    <row r="62" spans="2:13" ht="13.5">
      <c r="B62" s="25"/>
      <c r="C62" s="433"/>
      <c r="D62" s="428"/>
      <c r="E62" s="429"/>
      <c r="F62" s="133"/>
      <c r="G62" s="133"/>
      <c r="H62" s="430"/>
      <c r="I62" s="133"/>
      <c r="J62" s="430"/>
      <c r="K62" s="133"/>
      <c r="L62" s="430"/>
      <c r="M62" s="423" t="str">
        <f>IF(Entrainement!AH64&lt;&gt;0,Entrainement!AH64,"")</f>
        <v/>
      </c>
    </row>
    <row r="63" spans="2:13" ht="13.5">
      <c r="B63" s="25"/>
      <c r="C63" s="433"/>
      <c r="D63" s="428"/>
      <c r="E63" s="429"/>
      <c r="F63" s="133"/>
      <c r="G63" s="133"/>
      <c r="H63" s="430"/>
      <c r="I63" s="133"/>
      <c r="J63" s="430"/>
      <c r="K63" s="133"/>
      <c r="L63" s="430"/>
      <c r="M63" s="423" t="str">
        <f>IF(Entrainement!AH65&lt;&gt;0,Entrainement!AH65,"")</f>
        <v/>
      </c>
    </row>
    <row r="64" spans="2:13" ht="13.5">
      <c r="B64" s="25"/>
      <c r="C64" s="433"/>
      <c r="D64" s="428"/>
      <c r="E64" s="429"/>
      <c r="F64" s="133"/>
      <c r="G64" s="133"/>
      <c r="H64" s="430"/>
      <c r="I64" s="133"/>
      <c r="J64" s="430"/>
      <c r="K64" s="133"/>
      <c r="L64" s="430"/>
      <c r="M64" s="423" t="str">
        <f>IF(Entrainement!AH66&lt;&gt;0,Entrainement!AH66,"")</f>
        <v/>
      </c>
    </row>
    <row r="65" spans="2:13" ht="13.5">
      <c r="B65" s="25"/>
      <c r="C65" s="433"/>
      <c r="D65" s="428"/>
      <c r="E65" s="429"/>
      <c r="F65" s="133"/>
      <c r="G65" s="133"/>
      <c r="H65" s="430"/>
      <c r="I65" s="133"/>
      <c r="J65" s="430"/>
      <c r="K65" s="133"/>
      <c r="L65" s="430"/>
      <c r="M65" s="423" t="str">
        <f>IF(Entrainement!AH67&lt;&gt;0,Entrainement!AH67,"")</f>
        <v/>
      </c>
    </row>
    <row r="66" spans="2:13" ht="13.5">
      <c r="B66" s="25"/>
      <c r="C66" s="433"/>
      <c r="D66" s="428"/>
      <c r="E66" s="429"/>
      <c r="F66" s="133"/>
      <c r="G66" s="133"/>
      <c r="H66" s="430"/>
      <c r="I66" s="133"/>
      <c r="J66" s="430"/>
      <c r="K66" s="133"/>
      <c r="L66" s="430"/>
      <c r="M66" s="423" t="str">
        <f>IF(Entrainement!AH68&lt;&gt;0,Entrainement!AH68,"")</f>
        <v/>
      </c>
    </row>
    <row r="67" spans="2:13" ht="13.5">
      <c r="B67" s="25"/>
      <c r="C67" s="433"/>
      <c r="D67" s="428"/>
      <c r="E67" s="429"/>
      <c r="F67" s="133"/>
      <c r="G67" s="133"/>
      <c r="H67" s="430"/>
      <c r="I67" s="133"/>
      <c r="J67" s="430"/>
      <c r="K67" s="133"/>
      <c r="L67" s="430"/>
      <c r="M67" s="423" t="str">
        <f>IF(Entrainement!AH69&lt;&gt;0,Entrainement!AH69,"")</f>
        <v/>
      </c>
    </row>
    <row r="68" spans="2:13" ht="13.5">
      <c r="B68" s="25"/>
      <c r="C68" s="433"/>
      <c r="D68" s="428"/>
      <c r="E68" s="429"/>
      <c r="F68" s="133"/>
      <c r="G68" s="133"/>
      <c r="H68" s="430"/>
      <c r="I68" s="133"/>
      <c r="J68" s="430"/>
      <c r="K68" s="133"/>
      <c r="L68" s="430"/>
      <c r="M68" s="423" t="str">
        <f>IF(Entrainement!AH70&lt;&gt;0,Entrainement!AH70,"")</f>
        <v/>
      </c>
    </row>
    <row r="69" spans="2:13" ht="13.5">
      <c r="B69" s="25"/>
      <c r="C69" s="433"/>
      <c r="D69" s="428"/>
      <c r="E69" s="429"/>
      <c r="F69" s="133"/>
      <c r="G69" s="133"/>
      <c r="H69" s="430"/>
      <c r="I69" s="133"/>
      <c r="J69" s="430"/>
      <c r="K69" s="133"/>
      <c r="L69" s="430"/>
      <c r="M69" s="423" t="str">
        <f>IF(Entrainement!AH71&lt;&gt;0,Entrainement!AH71,"")</f>
        <v/>
      </c>
    </row>
    <row r="70" spans="2:13" ht="13.5">
      <c r="B70" s="25"/>
      <c r="C70" s="433"/>
      <c r="D70" s="428"/>
      <c r="E70" s="429"/>
      <c r="F70" s="133"/>
      <c r="G70" s="133"/>
      <c r="H70" s="430"/>
      <c r="I70" s="133"/>
      <c r="J70" s="430"/>
      <c r="K70" s="133"/>
      <c r="L70" s="430"/>
      <c r="M70" s="423" t="str">
        <f>IF(Entrainement!AH72&lt;&gt;0,Entrainement!AH72,"")</f>
        <v/>
      </c>
    </row>
    <row r="71" spans="2:13" ht="13.5">
      <c r="B71" s="25"/>
      <c r="C71" s="433"/>
      <c r="D71" s="428"/>
      <c r="E71" s="429"/>
      <c r="F71" s="133"/>
      <c r="G71" s="133"/>
      <c r="H71" s="430"/>
      <c r="I71" s="133"/>
      <c r="J71" s="430"/>
      <c r="K71" s="133"/>
      <c r="L71" s="430"/>
      <c r="M71" s="423" t="str">
        <f>IF(Entrainement!AH73&lt;&gt;0,Entrainement!AH73,"")</f>
        <v/>
      </c>
    </row>
    <row r="72" spans="2:13" ht="13.5">
      <c r="B72" s="25"/>
      <c r="C72" s="433"/>
      <c r="D72" s="428"/>
      <c r="E72" s="429"/>
      <c r="F72" s="133"/>
      <c r="G72" s="133"/>
      <c r="H72" s="430"/>
      <c r="I72" s="133"/>
      <c r="J72" s="430"/>
      <c r="K72" s="133"/>
      <c r="L72" s="430"/>
      <c r="M72" s="423" t="str">
        <f>IF(Entrainement!AH74&lt;&gt;0,Entrainement!AH74,"")</f>
        <v/>
      </c>
    </row>
    <row r="73" spans="2:13" ht="13.5">
      <c r="B73" s="25"/>
      <c r="C73" s="433"/>
      <c r="D73" s="428"/>
      <c r="E73" s="429"/>
      <c r="F73" s="133"/>
      <c r="G73" s="133"/>
      <c r="H73" s="430"/>
      <c r="I73" s="133"/>
      <c r="J73" s="430"/>
      <c r="K73" s="133"/>
      <c r="L73" s="430"/>
      <c r="M73" s="423" t="str">
        <f>IF(Entrainement!AH75&lt;&gt;0,Entrainement!AH75,"")</f>
        <v/>
      </c>
    </row>
    <row r="74" spans="2:13" ht="13.5">
      <c r="B74" s="25"/>
      <c r="C74" s="433"/>
      <c r="D74" s="428"/>
      <c r="E74" s="429"/>
      <c r="F74" s="133"/>
      <c r="G74" s="133"/>
      <c r="H74" s="430"/>
      <c r="I74" s="133"/>
      <c r="J74" s="430"/>
      <c r="K74" s="133"/>
      <c r="L74" s="430"/>
      <c r="M74" s="423" t="str">
        <f>IF(Entrainement!AH76&lt;&gt;0,Entrainement!AH76,"")</f>
        <v/>
      </c>
    </row>
    <row r="75" spans="2:13" ht="13.5">
      <c r="B75" s="25"/>
      <c r="C75" s="433"/>
      <c r="D75" s="428"/>
      <c r="E75" s="429"/>
      <c r="F75" s="133"/>
      <c r="G75" s="133"/>
      <c r="H75" s="430"/>
      <c r="I75" s="133"/>
      <c r="J75" s="430"/>
      <c r="K75" s="133"/>
      <c r="L75" s="430"/>
      <c r="M75" s="423" t="str">
        <f>IF(Entrainement!AH77&lt;&gt;0,Entrainement!AH77,"")</f>
        <v/>
      </c>
    </row>
    <row r="76" spans="2:13" ht="13.5">
      <c r="B76" s="25"/>
      <c r="C76" s="433"/>
      <c r="D76" s="428"/>
      <c r="E76" s="429"/>
      <c r="F76" s="133"/>
      <c r="G76" s="133"/>
      <c r="H76" s="430"/>
      <c r="I76" s="133"/>
      <c r="J76" s="430"/>
      <c r="K76" s="133"/>
      <c r="L76" s="430"/>
      <c r="M76" s="423" t="str">
        <f>IF(Entrainement!AH78&lt;&gt;0,Entrainement!AH78,"")</f>
        <v/>
      </c>
    </row>
    <row r="77" spans="2:13" ht="13.5">
      <c r="B77" s="25"/>
      <c r="C77" s="433"/>
      <c r="D77" s="428"/>
      <c r="E77" s="429"/>
      <c r="F77" s="133"/>
      <c r="G77" s="133"/>
      <c r="H77" s="430"/>
      <c r="I77" s="133"/>
      <c r="J77" s="430"/>
      <c r="K77" s="133"/>
      <c r="L77" s="430"/>
      <c r="M77" s="423" t="str">
        <f>IF(Entrainement!AH79&lt;&gt;0,Entrainement!AH79,"")</f>
        <v/>
      </c>
    </row>
    <row r="78" spans="2:13" ht="13.5">
      <c r="B78" s="25"/>
      <c r="C78" s="433"/>
      <c r="D78" s="428"/>
      <c r="E78" s="429"/>
      <c r="F78" s="133"/>
      <c r="G78" s="133"/>
      <c r="H78" s="430"/>
      <c r="I78" s="133"/>
      <c r="J78" s="430"/>
      <c r="K78" s="133"/>
      <c r="L78" s="430"/>
      <c r="M78" s="423" t="str">
        <f>IF(Entrainement!AH80&lt;&gt;0,Entrainement!AH80,"")</f>
        <v/>
      </c>
    </row>
    <row r="79" spans="2:13" ht="13.5">
      <c r="B79" s="25"/>
      <c r="C79" s="433"/>
      <c r="D79" s="428"/>
      <c r="E79" s="429"/>
      <c r="F79" s="133"/>
      <c r="G79" s="133"/>
      <c r="H79" s="430"/>
      <c r="I79" s="133"/>
      <c r="J79" s="430"/>
      <c r="K79" s="133"/>
      <c r="L79" s="430"/>
      <c r="M79" s="423" t="str">
        <f>IF(Entrainement!AH81&lt;&gt;0,Entrainement!AH81,"")</f>
        <v/>
      </c>
    </row>
    <row r="80" spans="2:13" ht="13.5">
      <c r="B80" s="25"/>
      <c r="C80" s="433"/>
      <c r="D80" s="428"/>
      <c r="E80" s="429"/>
      <c r="F80" s="133"/>
      <c r="G80" s="133"/>
      <c r="H80" s="430"/>
      <c r="I80" s="133"/>
      <c r="J80" s="430"/>
      <c r="K80" s="133"/>
      <c r="L80" s="430"/>
      <c r="M80" s="423" t="str">
        <f>IF(Entrainement!AH82&lt;&gt;0,Entrainement!AH82,"")</f>
        <v/>
      </c>
    </row>
    <row r="81" spans="2:13" ht="13.5">
      <c r="B81" s="25"/>
      <c r="C81" s="433"/>
      <c r="D81" s="428"/>
      <c r="E81" s="429"/>
      <c r="F81" s="133"/>
      <c r="G81" s="133"/>
      <c r="H81" s="430"/>
      <c r="I81" s="133"/>
      <c r="J81" s="430"/>
      <c r="K81" s="133"/>
      <c r="L81" s="430"/>
      <c r="M81" s="423" t="str">
        <f>IF(Entrainement!AH83&lt;&gt;0,Entrainement!AH83,"")</f>
        <v/>
      </c>
    </row>
    <row r="82" spans="2:13" ht="13.5">
      <c r="B82" s="25"/>
      <c r="C82" s="433"/>
      <c r="D82" s="428"/>
      <c r="E82" s="429"/>
      <c r="F82" s="133"/>
      <c r="G82" s="133"/>
      <c r="H82" s="430"/>
      <c r="I82" s="133"/>
      <c r="J82" s="430"/>
      <c r="K82" s="133"/>
      <c r="L82" s="430"/>
      <c r="M82" s="423" t="str">
        <f>IF(Entrainement!AH84&lt;&gt;0,Entrainement!AH84,"")</f>
        <v/>
      </c>
    </row>
    <row r="83" spans="2:13" ht="13.5">
      <c r="B83" s="25"/>
      <c r="C83" s="433"/>
      <c r="D83" s="428"/>
      <c r="E83" s="429"/>
      <c r="F83" s="133"/>
      <c r="G83" s="133"/>
      <c r="H83" s="430"/>
      <c r="I83" s="133"/>
      <c r="J83" s="430"/>
      <c r="K83" s="133"/>
      <c r="L83" s="430"/>
      <c r="M83" s="423" t="str">
        <f>IF(Entrainement!AH85&lt;&gt;0,Entrainement!AH85,"")</f>
        <v/>
      </c>
    </row>
    <row r="84" spans="2:13" ht="13.5">
      <c r="B84" s="25"/>
      <c r="C84" s="433"/>
      <c r="D84" s="428"/>
      <c r="E84" s="429"/>
      <c r="F84" s="133"/>
      <c r="G84" s="133"/>
      <c r="H84" s="430"/>
      <c r="I84" s="133"/>
      <c r="J84" s="430"/>
      <c r="K84" s="133"/>
      <c r="L84" s="430"/>
      <c r="M84" s="423" t="str">
        <f>IF(Entrainement!AH86&lt;&gt;0,Entrainement!AH86,"")</f>
        <v/>
      </c>
    </row>
    <row r="85" spans="2:13" ht="13.5">
      <c r="B85" s="25"/>
      <c r="C85" s="433"/>
      <c r="D85" s="428"/>
      <c r="E85" s="429"/>
      <c r="F85" s="133"/>
      <c r="G85" s="133"/>
      <c r="H85" s="430"/>
      <c r="I85" s="133"/>
      <c r="J85" s="430"/>
      <c r="K85" s="133"/>
      <c r="L85" s="430"/>
      <c r="M85" s="423" t="str">
        <f>IF(Entrainement!AH87&lt;&gt;0,Entrainement!AH87,"")</f>
        <v/>
      </c>
    </row>
    <row r="86" spans="2:13" ht="13.5">
      <c r="B86" s="25"/>
      <c r="C86" s="433"/>
      <c r="D86" s="428"/>
      <c r="E86" s="429"/>
      <c r="F86" s="133"/>
      <c r="G86" s="133"/>
      <c r="H86" s="430"/>
      <c r="I86" s="133"/>
      <c r="J86" s="430"/>
      <c r="K86" s="133"/>
      <c r="L86" s="430"/>
      <c r="M86" s="423" t="str">
        <f>IF(Entrainement!AH88&lt;&gt;0,Entrainement!AH88,"")</f>
        <v/>
      </c>
    </row>
    <row r="87" spans="2:13" ht="13.5">
      <c r="B87" s="25"/>
      <c r="C87" s="433"/>
      <c r="D87" s="428"/>
      <c r="E87" s="429"/>
      <c r="F87" s="133"/>
      <c r="G87" s="133"/>
      <c r="H87" s="430"/>
      <c r="I87" s="133"/>
      <c r="J87" s="430"/>
      <c r="K87" s="133"/>
      <c r="L87" s="430"/>
      <c r="M87" s="423" t="str">
        <f>IF(Entrainement!AH89&lt;&gt;0,Entrainement!AH89,"")</f>
        <v/>
      </c>
    </row>
    <row r="88" spans="2:13" ht="13.5">
      <c r="B88" s="25"/>
      <c r="C88" s="433"/>
      <c r="D88" s="428"/>
      <c r="E88" s="429"/>
      <c r="F88" s="133"/>
      <c r="G88" s="133"/>
      <c r="H88" s="430"/>
      <c r="I88" s="133"/>
      <c r="J88" s="430"/>
      <c r="K88" s="133"/>
      <c r="L88" s="430"/>
      <c r="M88" s="423" t="str">
        <f>IF(Entrainement!AH90&lt;&gt;0,Entrainement!AH90,"")</f>
        <v/>
      </c>
    </row>
    <row r="89" spans="2:13" ht="13.5">
      <c r="B89" s="25"/>
      <c r="C89" s="433"/>
      <c r="D89" s="428"/>
      <c r="E89" s="429"/>
      <c r="F89" s="133"/>
      <c r="G89" s="133"/>
      <c r="H89" s="430"/>
      <c r="I89" s="133"/>
      <c r="J89" s="430"/>
      <c r="K89" s="133"/>
      <c r="L89" s="430"/>
      <c r="M89" s="423" t="str">
        <f>IF(Entrainement!AH91&lt;&gt;0,Entrainement!AH91,"")</f>
        <v/>
      </c>
    </row>
    <row r="90" spans="2:13" ht="13.5">
      <c r="B90" s="25"/>
      <c r="C90" s="433"/>
      <c r="D90" s="428"/>
      <c r="E90" s="429"/>
      <c r="F90" s="133"/>
      <c r="G90" s="133"/>
      <c r="H90" s="430"/>
      <c r="I90" s="133"/>
      <c r="J90" s="430"/>
      <c r="K90" s="133"/>
      <c r="L90" s="430"/>
      <c r="M90" s="423" t="str">
        <f>IF(Entrainement!AH92&lt;&gt;0,Entrainement!AH92,"")</f>
        <v/>
      </c>
    </row>
    <row r="91" spans="2:13" ht="13.5">
      <c r="B91" s="25"/>
      <c r="C91" s="433"/>
      <c r="D91" s="428"/>
      <c r="E91" s="429"/>
      <c r="F91" s="133"/>
      <c r="G91" s="133"/>
      <c r="H91" s="430"/>
      <c r="I91" s="133"/>
      <c r="J91" s="430"/>
      <c r="K91" s="133"/>
      <c r="L91" s="430"/>
      <c r="M91" s="423" t="str">
        <f>IF(Entrainement!AH93&lt;&gt;0,Entrainement!AH93,"")</f>
        <v/>
      </c>
    </row>
    <row r="92" spans="2:13" ht="13.5">
      <c r="B92" s="25"/>
      <c r="C92" s="433"/>
      <c r="D92" s="428"/>
      <c r="E92" s="429"/>
      <c r="F92" s="133"/>
      <c r="G92" s="133"/>
      <c r="H92" s="430"/>
      <c r="I92" s="133"/>
      <c r="J92" s="430"/>
      <c r="K92" s="133"/>
      <c r="L92" s="430"/>
      <c r="M92" s="423" t="str">
        <f>IF(Entrainement!AH94&lt;&gt;0,Entrainement!AH94,"")</f>
        <v/>
      </c>
    </row>
    <row r="93" spans="2:13" ht="13.5">
      <c r="B93" s="25"/>
      <c r="C93" s="433"/>
      <c r="D93" s="428"/>
      <c r="E93" s="429"/>
      <c r="F93" s="133"/>
      <c r="G93" s="133"/>
      <c r="H93" s="430"/>
      <c r="I93" s="133"/>
      <c r="J93" s="430"/>
      <c r="K93" s="133"/>
      <c r="L93" s="430"/>
      <c r="M93" s="423" t="str">
        <f>IF(Entrainement!AH95&lt;&gt;0,Entrainement!AH95,"")</f>
        <v/>
      </c>
    </row>
    <row r="94" spans="2:13" ht="13.5">
      <c r="B94" s="25"/>
      <c r="C94" s="433"/>
      <c r="D94" s="428"/>
      <c r="E94" s="429"/>
      <c r="F94" s="133"/>
      <c r="G94" s="133"/>
      <c r="H94" s="430"/>
      <c r="I94" s="133"/>
      <c r="J94" s="430"/>
      <c r="K94" s="133"/>
      <c r="L94" s="430"/>
      <c r="M94" s="423" t="str">
        <f>IF(Entrainement!AH96&lt;&gt;0,Entrainement!AH96,"")</f>
        <v/>
      </c>
    </row>
    <row r="95" spans="2:13" ht="13.5">
      <c r="B95" s="25"/>
      <c r="C95" s="433"/>
      <c r="D95" s="428"/>
      <c r="E95" s="429"/>
      <c r="F95" s="133"/>
      <c r="G95" s="133"/>
      <c r="H95" s="430"/>
      <c r="I95" s="133"/>
      <c r="J95" s="430"/>
      <c r="K95" s="133"/>
      <c r="L95" s="430"/>
      <c r="M95" s="423" t="str">
        <f>IF(Entrainement!AH97&lt;&gt;0,Entrainement!AH97,"")</f>
        <v/>
      </c>
    </row>
    <row r="96" spans="2:13" ht="13.5">
      <c r="B96" s="25"/>
      <c r="C96" s="433"/>
      <c r="D96" s="428"/>
      <c r="E96" s="429"/>
      <c r="F96" s="133"/>
      <c r="G96" s="133"/>
      <c r="H96" s="430"/>
      <c r="I96" s="133"/>
      <c r="J96" s="430"/>
      <c r="K96" s="133"/>
      <c r="L96" s="430"/>
      <c r="M96" s="423" t="str">
        <f>IF(Entrainement!AH98&lt;&gt;0,Entrainement!AH98,"")</f>
        <v/>
      </c>
    </row>
    <row r="97" spans="2:13" ht="13.5">
      <c r="B97" s="25"/>
      <c r="C97" s="433"/>
      <c r="D97" s="428"/>
      <c r="E97" s="429"/>
      <c r="F97" s="133"/>
      <c r="G97" s="133"/>
      <c r="H97" s="430"/>
      <c r="I97" s="133"/>
      <c r="J97" s="430"/>
      <c r="K97" s="133"/>
      <c r="L97" s="430"/>
      <c r="M97" s="423" t="str">
        <f>IF(Entrainement!AH99&lt;&gt;0,Entrainement!AH99,"")</f>
        <v/>
      </c>
    </row>
    <row r="98" spans="2:13" ht="13.5">
      <c r="B98" s="25"/>
      <c r="C98" s="433"/>
      <c r="D98" s="428"/>
      <c r="E98" s="429"/>
      <c r="F98" s="133"/>
      <c r="G98" s="133"/>
      <c r="H98" s="430"/>
      <c r="I98" s="133"/>
      <c r="J98" s="430"/>
      <c r="K98" s="133"/>
      <c r="L98" s="430"/>
      <c r="M98" s="423" t="str">
        <f>IF(Entrainement!AH100&lt;&gt;0,Entrainement!AH100,"")</f>
        <v/>
      </c>
    </row>
    <row r="99" spans="2:13" ht="13.5">
      <c r="B99" s="25"/>
      <c r="C99" s="433"/>
      <c r="D99" s="428"/>
      <c r="E99" s="429"/>
      <c r="F99" s="133"/>
      <c r="G99" s="133"/>
      <c r="H99" s="430"/>
      <c r="I99" s="133"/>
      <c r="J99" s="430"/>
      <c r="K99" s="133"/>
      <c r="L99" s="430"/>
      <c r="M99" s="423" t="str">
        <f>IF(Entrainement!AH101&lt;&gt;0,Entrainement!AH101,"")</f>
        <v/>
      </c>
    </row>
    <row r="100" spans="2:13" ht="13.5">
      <c r="B100" s="25"/>
      <c r="C100" s="433"/>
      <c r="D100" s="428"/>
      <c r="E100" s="429"/>
      <c r="F100" s="133"/>
      <c r="G100" s="133"/>
      <c r="H100" s="430"/>
      <c r="I100" s="133"/>
      <c r="J100" s="430"/>
      <c r="K100" s="133"/>
      <c r="L100" s="430"/>
      <c r="M100" s="423" t="str">
        <f>IF(Entrainement!AH102&lt;&gt;0,Entrainement!AH102,"")</f>
        <v/>
      </c>
    </row>
    <row r="101" spans="2:13" ht="13.5">
      <c r="B101" s="25"/>
      <c r="C101" s="433"/>
      <c r="D101" s="428"/>
      <c r="E101" s="429"/>
      <c r="F101" s="133"/>
      <c r="G101" s="133"/>
      <c r="H101" s="430"/>
      <c r="I101" s="133"/>
      <c r="J101" s="430"/>
      <c r="K101" s="133"/>
      <c r="L101" s="430"/>
      <c r="M101" s="423" t="str">
        <f>IF(Entrainement!AH103&lt;&gt;0,Entrainement!AH103,"")</f>
        <v/>
      </c>
    </row>
    <row r="102" spans="2:13" ht="13.5">
      <c r="B102" s="25"/>
      <c r="C102" s="433"/>
      <c r="D102" s="428"/>
      <c r="E102" s="429"/>
      <c r="F102" s="133"/>
      <c r="G102" s="133"/>
      <c r="H102" s="430"/>
      <c r="I102" s="133"/>
      <c r="J102" s="430"/>
      <c r="K102" s="133"/>
      <c r="L102" s="430"/>
      <c r="M102" s="423" t="str">
        <f>IF(Entrainement!AH104&lt;&gt;0,Entrainement!AH104,"")</f>
        <v/>
      </c>
    </row>
    <row r="103" spans="2:13" ht="13.5">
      <c r="B103" s="25"/>
      <c r="C103" s="433"/>
      <c r="D103" s="428"/>
      <c r="E103" s="429"/>
      <c r="F103" s="133"/>
      <c r="G103" s="133"/>
      <c r="H103" s="430"/>
      <c r="I103" s="133"/>
      <c r="J103" s="430"/>
      <c r="K103" s="133"/>
      <c r="L103" s="430"/>
      <c r="M103" s="423" t="str">
        <f>IF(Entrainement!AH105&lt;&gt;0,Entrainement!AH105,"")</f>
        <v/>
      </c>
    </row>
    <row r="104" spans="2:13" ht="13.5">
      <c r="B104" s="25"/>
      <c r="C104" s="433"/>
      <c r="D104" s="428"/>
      <c r="E104" s="429"/>
      <c r="F104" s="133"/>
      <c r="G104" s="133"/>
      <c r="H104" s="430"/>
      <c r="I104" s="133"/>
      <c r="J104" s="430"/>
      <c r="K104" s="133"/>
      <c r="L104" s="430"/>
      <c r="M104" s="423" t="str">
        <f>IF(Entrainement!AH106&lt;&gt;0,Entrainement!AH106,"")</f>
        <v/>
      </c>
    </row>
    <row r="105" spans="2:13" ht="13.5">
      <c r="B105" s="25"/>
      <c r="C105" s="433"/>
      <c r="D105" s="428"/>
      <c r="E105" s="429"/>
      <c r="F105" s="133"/>
      <c r="G105" s="133"/>
      <c r="H105" s="430"/>
      <c r="I105" s="133"/>
      <c r="J105" s="430"/>
      <c r="K105" s="133"/>
      <c r="L105" s="430"/>
      <c r="M105" s="423" t="str">
        <f>IF(Entrainement!AH107&lt;&gt;0,Entrainement!AH107,"")</f>
        <v/>
      </c>
    </row>
    <row r="106" spans="2:13" ht="13.5">
      <c r="B106" s="25"/>
      <c r="C106" s="433"/>
      <c r="D106" s="428"/>
      <c r="E106" s="429"/>
      <c r="F106" s="133"/>
      <c r="G106" s="133"/>
      <c r="H106" s="430"/>
      <c r="I106" s="133"/>
      <c r="J106" s="430"/>
      <c r="K106" s="133"/>
      <c r="L106" s="430"/>
      <c r="M106" s="423" t="str">
        <f>IF(Entrainement!AH108&lt;&gt;0,Entrainement!AH108,"")</f>
        <v/>
      </c>
    </row>
    <row r="107" spans="2:13" ht="13.5">
      <c r="B107" s="25"/>
      <c r="C107" s="433"/>
      <c r="D107" s="428"/>
      <c r="E107" s="429"/>
      <c r="F107" s="133"/>
      <c r="G107" s="133"/>
      <c r="H107" s="430"/>
      <c r="I107" s="133"/>
      <c r="J107" s="430"/>
      <c r="K107" s="133"/>
      <c r="L107" s="430"/>
      <c r="M107" s="423" t="str">
        <f>IF(Entrainement!AH109&lt;&gt;0,Entrainement!AH109,"")</f>
        <v/>
      </c>
    </row>
    <row r="108" spans="2:13" ht="13.5">
      <c r="B108" s="25"/>
      <c r="C108" s="433"/>
      <c r="D108" s="428"/>
      <c r="E108" s="429"/>
      <c r="F108" s="133"/>
      <c r="G108" s="133"/>
      <c r="H108" s="430"/>
      <c r="I108" s="133"/>
      <c r="J108" s="430"/>
      <c r="K108" s="133"/>
      <c r="L108" s="430"/>
      <c r="M108" s="423" t="str">
        <f>IF(Entrainement!AH110&lt;&gt;0,Entrainement!AH110,"")</f>
        <v/>
      </c>
    </row>
    <row r="109" spans="2:13" ht="13.5">
      <c r="B109" s="25"/>
      <c r="C109" s="433"/>
      <c r="D109" s="428"/>
      <c r="E109" s="429"/>
      <c r="F109" s="133"/>
      <c r="G109" s="133"/>
      <c r="H109" s="430"/>
      <c r="I109" s="133"/>
      <c r="J109" s="430"/>
      <c r="K109" s="133"/>
      <c r="L109" s="430"/>
      <c r="M109" s="423" t="str">
        <f>IF(Entrainement!AH111&lt;&gt;0,Entrainement!AH111,"")</f>
        <v/>
      </c>
    </row>
    <row r="110" spans="2:13" ht="13.5">
      <c r="B110" s="25"/>
      <c r="C110" s="433"/>
      <c r="D110" s="428"/>
      <c r="E110" s="429"/>
      <c r="F110" s="133"/>
      <c r="G110" s="133"/>
      <c r="H110" s="430"/>
      <c r="I110" s="133"/>
      <c r="J110" s="430"/>
      <c r="K110" s="133"/>
      <c r="L110" s="430"/>
      <c r="M110" s="423" t="str">
        <f>IF(Entrainement!AH112&lt;&gt;0,Entrainement!AH112,"")</f>
        <v/>
      </c>
    </row>
    <row r="111" spans="2:13" ht="13.5">
      <c r="B111" s="25"/>
      <c r="C111" s="433"/>
      <c r="D111" s="428"/>
      <c r="E111" s="429"/>
      <c r="F111" s="133"/>
      <c r="G111" s="133"/>
      <c r="H111" s="430"/>
      <c r="I111" s="133"/>
      <c r="J111" s="430"/>
      <c r="K111" s="133"/>
      <c r="L111" s="430"/>
      <c r="M111" s="423" t="str">
        <f>IF(Entrainement!AH113&lt;&gt;0,Entrainement!AH113,"")</f>
        <v/>
      </c>
    </row>
    <row r="112" spans="2:13" ht="13.5">
      <c r="B112" s="25"/>
      <c r="C112" s="433"/>
      <c r="D112" s="428"/>
      <c r="E112" s="429"/>
      <c r="F112" s="133"/>
      <c r="G112" s="133"/>
      <c r="H112" s="430"/>
      <c r="I112" s="133"/>
      <c r="J112" s="430"/>
      <c r="K112" s="133"/>
      <c r="L112" s="430"/>
      <c r="M112" s="423" t="str">
        <f>IF(Entrainement!AH114&lt;&gt;0,Entrainement!AH114,"")</f>
        <v/>
      </c>
    </row>
    <row r="113" spans="2:13" ht="13.5">
      <c r="B113" s="25"/>
      <c r="C113" s="433"/>
      <c r="D113" s="428"/>
      <c r="E113" s="429"/>
      <c r="F113" s="133"/>
      <c r="G113" s="133"/>
      <c r="H113" s="430"/>
      <c r="I113" s="133"/>
      <c r="J113" s="430"/>
      <c r="K113" s="133"/>
      <c r="L113" s="430"/>
      <c r="M113" s="423" t="str">
        <f>IF(Entrainement!AH115&lt;&gt;0,Entrainement!AH115,"")</f>
        <v/>
      </c>
    </row>
    <row r="114" spans="2:13" ht="13.5">
      <c r="B114" s="25"/>
      <c r="C114" s="433"/>
      <c r="D114" s="428"/>
      <c r="E114" s="429"/>
      <c r="F114" s="133"/>
      <c r="G114" s="133"/>
      <c r="H114" s="430"/>
      <c r="I114" s="133"/>
      <c r="J114" s="430"/>
      <c r="K114" s="133"/>
      <c r="L114" s="430"/>
      <c r="M114" s="423" t="str">
        <f>IF(Entrainement!AH116&lt;&gt;0,Entrainement!AH116,"")</f>
        <v/>
      </c>
    </row>
    <row r="115" spans="2:13" ht="13.5">
      <c r="B115" s="25"/>
      <c r="C115" s="433"/>
      <c r="D115" s="428"/>
      <c r="E115" s="429"/>
      <c r="F115" s="133"/>
      <c r="G115" s="133"/>
      <c r="H115" s="430"/>
      <c r="I115" s="133"/>
      <c r="J115" s="430"/>
      <c r="K115" s="133"/>
      <c r="L115" s="430"/>
      <c r="M115" s="423" t="str">
        <f>IF(Entrainement!AH117&lt;&gt;0,Entrainement!AH117,"")</f>
        <v/>
      </c>
    </row>
    <row r="116" spans="2:13" ht="13.5">
      <c r="B116" s="25"/>
      <c r="C116" s="433"/>
      <c r="D116" s="428"/>
      <c r="E116" s="429"/>
      <c r="F116" s="133"/>
      <c r="G116" s="133"/>
      <c r="H116" s="430"/>
      <c r="I116" s="133"/>
      <c r="J116" s="430"/>
      <c r="K116" s="133"/>
      <c r="L116" s="430"/>
      <c r="M116" s="423" t="str">
        <f>IF(Entrainement!AH118&lt;&gt;0,Entrainement!AH118,"")</f>
        <v/>
      </c>
    </row>
    <row r="117" spans="2:13" ht="13.5">
      <c r="B117" s="25"/>
      <c r="C117" s="433"/>
      <c r="D117" s="428"/>
      <c r="E117" s="429"/>
      <c r="F117" s="133"/>
      <c r="G117" s="133"/>
      <c r="H117" s="430"/>
      <c r="I117" s="133"/>
      <c r="J117" s="430"/>
      <c r="K117" s="133"/>
      <c r="L117" s="430"/>
      <c r="M117" s="423" t="str">
        <f>IF(Entrainement!AH119&lt;&gt;0,Entrainement!AH119,"")</f>
        <v/>
      </c>
    </row>
    <row r="118" spans="2:13" ht="13.5">
      <c r="B118" s="25"/>
      <c r="C118" s="433"/>
      <c r="D118" s="428"/>
      <c r="E118" s="429"/>
      <c r="F118" s="133"/>
      <c r="G118" s="133"/>
      <c r="H118" s="430"/>
      <c r="I118" s="133"/>
      <c r="J118" s="430"/>
      <c r="K118" s="133"/>
      <c r="L118" s="430"/>
      <c r="M118" s="423" t="str">
        <f>IF(Entrainement!AH120&lt;&gt;0,Entrainement!AH120,"")</f>
        <v/>
      </c>
    </row>
    <row r="119" spans="2:13" ht="13.5">
      <c r="B119" s="25"/>
      <c r="C119" s="433"/>
      <c r="D119" s="428"/>
      <c r="E119" s="429"/>
      <c r="F119" s="133"/>
      <c r="G119" s="133"/>
      <c r="H119" s="430"/>
      <c r="I119" s="133"/>
      <c r="J119" s="430"/>
      <c r="K119" s="133"/>
      <c r="L119" s="430"/>
      <c r="M119" s="423" t="str">
        <f>IF(Entrainement!AH121&lt;&gt;0,Entrainement!AH121,"")</f>
        <v/>
      </c>
    </row>
    <row r="120" spans="2:13" ht="13.5">
      <c r="B120" s="25"/>
      <c r="C120" s="433"/>
      <c r="D120" s="428"/>
      <c r="E120" s="429"/>
      <c r="F120" s="133"/>
      <c r="G120" s="133"/>
      <c r="H120" s="430"/>
      <c r="I120" s="133"/>
      <c r="J120" s="430"/>
      <c r="K120" s="133"/>
      <c r="L120" s="430"/>
      <c r="M120" s="423" t="str">
        <f>IF(Entrainement!AH122&lt;&gt;0,Entrainement!AH122,"")</f>
        <v/>
      </c>
    </row>
    <row r="121" spans="2:13" ht="13.5">
      <c r="B121" s="25"/>
      <c r="C121" s="433"/>
      <c r="D121" s="428"/>
      <c r="E121" s="429"/>
      <c r="F121" s="133"/>
      <c r="G121" s="133"/>
      <c r="H121" s="430"/>
      <c r="I121" s="133"/>
      <c r="J121" s="430"/>
      <c r="K121" s="133"/>
      <c r="L121" s="430"/>
      <c r="M121" s="423" t="str">
        <f>IF(Entrainement!AH123&lt;&gt;0,Entrainement!AH123,"")</f>
        <v/>
      </c>
    </row>
    <row r="122" spans="2:13" ht="13.5">
      <c r="B122" s="25"/>
      <c r="C122" s="433"/>
      <c r="D122" s="428"/>
      <c r="E122" s="429"/>
      <c r="F122" s="133"/>
      <c r="G122" s="133"/>
      <c r="H122" s="430"/>
      <c r="I122" s="133"/>
      <c r="J122" s="430"/>
      <c r="K122" s="133"/>
      <c r="L122" s="430"/>
      <c r="M122" s="423" t="str">
        <f>IF(Entrainement!AH124&lt;&gt;0,Entrainement!AH124,"")</f>
        <v/>
      </c>
    </row>
    <row r="123" spans="2:13" ht="13.5">
      <c r="B123" s="25"/>
      <c r="C123" s="433"/>
      <c r="D123" s="428"/>
      <c r="E123" s="429"/>
      <c r="F123" s="133"/>
      <c r="G123" s="133"/>
      <c r="H123" s="430"/>
      <c r="I123" s="133"/>
      <c r="J123" s="430"/>
      <c r="K123" s="133"/>
      <c r="L123" s="430"/>
      <c r="M123" s="423" t="str">
        <f>IF(Entrainement!AH125&lt;&gt;0,Entrainement!AH125,"")</f>
        <v/>
      </c>
    </row>
    <row r="124" spans="2:13" ht="13.5">
      <c r="B124" s="25"/>
      <c r="C124" s="433"/>
      <c r="D124" s="428"/>
      <c r="E124" s="429"/>
      <c r="F124" s="133"/>
      <c r="G124" s="133"/>
      <c r="H124" s="430"/>
      <c r="I124" s="133"/>
      <c r="J124" s="430"/>
      <c r="K124" s="133"/>
      <c r="L124" s="430"/>
      <c r="M124" s="423" t="str">
        <f>IF(Entrainement!AH126&lt;&gt;0,Entrainement!AH126,"")</f>
        <v/>
      </c>
    </row>
    <row r="125" spans="2:13" ht="13.5">
      <c r="B125" s="25"/>
      <c r="C125" s="433"/>
      <c r="D125" s="428"/>
      <c r="E125" s="429"/>
      <c r="F125" s="133"/>
      <c r="G125" s="133"/>
      <c r="H125" s="430"/>
      <c r="I125" s="133"/>
      <c r="J125" s="430"/>
      <c r="K125" s="133"/>
      <c r="L125" s="430"/>
      <c r="M125" s="423" t="str">
        <f>IF(Entrainement!AH127&lt;&gt;0,Entrainement!AH127,"")</f>
        <v/>
      </c>
    </row>
    <row r="126" spans="2:13" ht="13.5">
      <c r="B126" s="25"/>
      <c r="C126" s="433"/>
      <c r="D126" s="428"/>
      <c r="E126" s="429"/>
      <c r="F126" s="133"/>
      <c r="G126" s="133"/>
      <c r="H126" s="430"/>
      <c r="I126" s="133"/>
      <c r="J126" s="430"/>
      <c r="K126" s="133"/>
      <c r="L126" s="430"/>
      <c r="M126" s="423" t="str">
        <f>IF(Entrainement!AH128&lt;&gt;0,Entrainement!AH128,"")</f>
        <v/>
      </c>
    </row>
    <row r="127" spans="2:13" ht="13.5">
      <c r="B127" s="25"/>
      <c r="C127" s="433"/>
      <c r="D127" s="428"/>
      <c r="E127" s="429"/>
      <c r="F127" s="133"/>
      <c r="G127" s="133"/>
      <c r="H127" s="430"/>
      <c r="I127" s="133"/>
      <c r="J127" s="430"/>
      <c r="K127" s="133"/>
      <c r="L127" s="430"/>
      <c r="M127" s="423" t="str">
        <f>IF(Entrainement!AH129&lt;&gt;0,Entrainement!AH129,"")</f>
        <v/>
      </c>
    </row>
    <row r="128" spans="2:13" ht="13.5">
      <c r="B128" s="25"/>
      <c r="C128" s="433"/>
      <c r="D128" s="428"/>
      <c r="E128" s="429"/>
      <c r="F128" s="133"/>
      <c r="G128" s="133"/>
      <c r="H128" s="430"/>
      <c r="I128" s="133"/>
      <c r="J128" s="430"/>
      <c r="K128" s="133"/>
      <c r="L128" s="430"/>
      <c r="M128" s="423" t="str">
        <f>IF(Entrainement!AH130&lt;&gt;0,Entrainement!AH130,"")</f>
        <v/>
      </c>
    </row>
    <row r="129" spans="2:13" ht="13.5">
      <c r="B129" s="25"/>
      <c r="C129" s="433"/>
      <c r="D129" s="428"/>
      <c r="E129" s="429"/>
      <c r="F129" s="133"/>
      <c r="G129" s="133"/>
      <c r="H129" s="430"/>
      <c r="I129" s="133"/>
      <c r="J129" s="430"/>
      <c r="K129" s="133"/>
      <c r="L129" s="430"/>
      <c r="M129" s="423" t="str">
        <f>IF(Entrainement!AH131&lt;&gt;0,Entrainement!AH131,"")</f>
        <v/>
      </c>
    </row>
    <row r="130" spans="2:13" ht="13.5">
      <c r="B130" s="25"/>
      <c r="C130" s="433"/>
      <c r="D130" s="428"/>
      <c r="E130" s="429"/>
      <c r="F130" s="133"/>
      <c r="G130" s="133"/>
      <c r="H130" s="430"/>
      <c r="I130" s="133"/>
      <c r="J130" s="430"/>
      <c r="K130" s="133"/>
      <c r="L130" s="430"/>
      <c r="M130" s="423" t="str">
        <f>IF(Entrainement!AH132&lt;&gt;0,Entrainement!AH132,"")</f>
        <v/>
      </c>
    </row>
    <row r="131" spans="2:13" ht="13.5">
      <c r="B131" s="25"/>
      <c r="C131" s="433"/>
      <c r="D131" s="428"/>
      <c r="E131" s="429"/>
      <c r="F131" s="133"/>
      <c r="G131" s="133"/>
      <c r="H131" s="430"/>
      <c r="I131" s="133"/>
      <c r="J131" s="430"/>
      <c r="K131" s="133"/>
      <c r="L131" s="430"/>
      <c r="M131" s="423" t="str">
        <f>IF(Entrainement!AH133&lt;&gt;0,Entrainement!AH133,"")</f>
        <v/>
      </c>
    </row>
    <row r="132" spans="2:13" ht="13.5">
      <c r="B132" s="25"/>
      <c r="C132" s="433"/>
      <c r="D132" s="428"/>
      <c r="E132" s="429"/>
      <c r="F132" s="133"/>
      <c r="G132" s="133"/>
      <c r="H132" s="430"/>
      <c r="I132" s="133"/>
      <c r="J132" s="430"/>
      <c r="K132" s="133"/>
      <c r="L132" s="430"/>
      <c r="M132" s="423" t="str">
        <f>IF(Entrainement!AH134&lt;&gt;0,Entrainement!AH134,"")</f>
        <v/>
      </c>
    </row>
    <row r="133" spans="2:13" ht="13.5">
      <c r="B133" s="25"/>
      <c r="C133" s="433"/>
      <c r="D133" s="428"/>
      <c r="E133" s="429"/>
      <c r="F133" s="133"/>
      <c r="G133" s="133"/>
      <c r="H133" s="430"/>
      <c r="I133" s="133"/>
      <c r="J133" s="430"/>
      <c r="K133" s="133"/>
      <c r="L133" s="430"/>
      <c r="M133" s="423" t="str">
        <f>IF(Entrainement!AH135&lt;&gt;0,Entrainement!AH135,"")</f>
        <v/>
      </c>
    </row>
    <row r="134" spans="2:13" ht="13.5">
      <c r="B134" s="25"/>
      <c r="C134" s="433"/>
      <c r="D134" s="428"/>
      <c r="E134" s="429"/>
      <c r="F134" s="133"/>
      <c r="G134" s="133"/>
      <c r="H134" s="430"/>
      <c r="I134" s="133"/>
      <c r="J134" s="430"/>
      <c r="K134" s="133"/>
      <c r="L134" s="430"/>
      <c r="M134" s="423" t="str">
        <f>IF(Entrainement!AH136&lt;&gt;0,Entrainement!AH136,"")</f>
        <v/>
      </c>
    </row>
    <row r="135" spans="2:13" ht="13.5">
      <c r="B135" s="25"/>
      <c r="C135" s="433"/>
      <c r="D135" s="428"/>
      <c r="E135" s="429"/>
      <c r="F135" s="133"/>
      <c r="G135" s="133"/>
      <c r="H135" s="430"/>
      <c r="I135" s="133"/>
      <c r="J135" s="430"/>
      <c r="K135" s="133"/>
      <c r="L135" s="430"/>
      <c r="M135" s="423" t="str">
        <f>IF(Entrainement!AH137&lt;&gt;0,Entrainement!AH137,"")</f>
        <v/>
      </c>
    </row>
    <row r="136" spans="2:13" ht="14.25">
      <c r="B136" t="s">
        <v>0</v>
      </c>
      <c r="C136" s="424"/>
      <c r="D136" s="419">
        <f>SUBTOTAL(101,TabSeance[Durée])</f>
        <v>61.75</v>
      </c>
      <c r="E136" s="374"/>
      <c r="H136" s="418"/>
      <c r="J136" s="418"/>
      <c r="L136" s="418"/>
      <c r="M136" s="423">
        <f>SUBTOTAL(101,TabSeance[Nb joueur])</f>
        <v>13.208333333333334</v>
      </c>
    </row>
  </sheetData>
  <dataValidations count="5">
    <dataValidation type="date" allowBlank="1" showInputMessage="1" showErrorMessage="1" sqref="C5:C135" xr:uid="{3385BF64-59FC-0F4A-9460-D4286EC81C78}">
      <formula1>36526</formula1>
      <formula2>1497861</formula2>
    </dataValidation>
    <dataValidation type="list" allowBlank="1" showInputMessage="1" showErrorMessage="1" sqref="E5:E134" xr:uid="{17847AC5-EE6B-449A-922D-BE2FA0A9C2A2}">
      <formula1>MDJPhase</formula1>
    </dataValidation>
    <dataValidation type="list" allowBlank="1" showInputMessage="1" showErrorMessage="1" sqref="F5:H135" xr:uid="{C286DF6F-0156-4446-AFB4-D3A9CB82969F}">
      <formula1>INDIRECT(E5)</formula1>
    </dataValidation>
    <dataValidation type="list" allowBlank="1" showInputMessage="1" showErrorMessage="1" sqref="J5:J135" xr:uid="{2687FF93-3CD6-413E-83CD-BA019F32DC13}">
      <formula1>Athlétique</formula1>
    </dataValidation>
    <dataValidation type="list" allowBlank="1" showInputMessage="1" showErrorMessage="1" sqref="K5:K135" xr:uid="{6D602604-6D1B-4546-8F81-95DEFE298FFC}">
      <formula1>Mental</formula1>
    </dataValidation>
  </dataValidations>
  <pageMargins left="0.7" right="0.7" top="0.75" bottom="0.75" header="0.3" footer="0.3"/>
  <drawing r:id="rId1"/>
  <legacyDrawing r:id="rId2"/>
  <mc:AlternateContent xmlns:mc="http://schemas.openxmlformats.org/markup-compatibility/2006">
    <mc:Choice Requires="x14">
      <controls>
        <mc:AlternateContent xmlns:mc="http://schemas.openxmlformats.org/markup-compatibility/2006">
          <mc:Choice Requires="x14">
            <control shapeId="47105" r:id="rId3" name="Button 1">
              <controlPr defaultSize="0" print="0" autoFill="0" autoPict="0" macro="[0]!CloseOnglet">
                <anchor moveWithCells="1" sizeWithCells="1">
                  <from>
                    <xdr:col>22</xdr:col>
                    <xdr:colOff>342900</xdr:colOff>
                    <xdr:row>1</xdr:row>
                    <xdr:rowOff>38100</xdr:rowOff>
                  </from>
                  <to>
                    <xdr:col>25</xdr:col>
                    <xdr:colOff>0</xdr:colOff>
                    <xdr:row>2</xdr:row>
                    <xdr:rowOff>28575</xdr:rowOff>
                  </to>
                </anchor>
              </controlPr>
            </control>
          </mc:Choice>
        </mc:AlternateContent>
        <mc:AlternateContent xmlns:mc="http://schemas.openxmlformats.org/markup-compatibility/2006">
          <mc:Choice Requires="x14">
            <control shapeId="47106" r:id="rId4" name="Forme">
              <controlPr defaultSize="0" print="0" autoFill="0" autoPict="0" macro="[0]!OpenOnglet">
                <anchor moveWithCells="1" sizeWithCells="1">
                  <from>
                    <xdr:col>19</xdr:col>
                    <xdr:colOff>371475</xdr:colOff>
                    <xdr:row>1</xdr:row>
                    <xdr:rowOff>47625</xdr:rowOff>
                  </from>
                  <to>
                    <xdr:col>22</xdr:col>
                    <xdr:colOff>28575</xdr:colOff>
                    <xdr:row>2</xdr:row>
                    <xdr:rowOff>38100</xdr:rowOff>
                  </to>
                </anchor>
              </controlPr>
            </control>
          </mc:Choice>
        </mc:AlternateContent>
        <mc:AlternateContent xmlns:mc="http://schemas.openxmlformats.org/markup-compatibility/2006">
          <mc:Choice Requires="x14">
            <control shapeId="47113" r:id="rId5" name="Button 9">
              <controlPr defaultSize="0" print="0" autoFill="0" autoPict="0" macro="[0]!CloseOnglet">
                <anchor moveWithCells="1" sizeWithCells="1">
                  <from>
                    <xdr:col>10</xdr:col>
                    <xdr:colOff>1104900</xdr:colOff>
                    <xdr:row>1</xdr:row>
                    <xdr:rowOff>28575</xdr:rowOff>
                  </from>
                  <to>
                    <xdr:col>13</xdr:col>
                    <xdr:colOff>9525</xdr:colOff>
                    <xdr:row>2</xdr:row>
                    <xdr:rowOff>9525</xdr:rowOff>
                  </to>
                </anchor>
              </controlPr>
            </control>
          </mc:Choice>
        </mc:AlternateContent>
        <mc:AlternateContent xmlns:mc="http://schemas.openxmlformats.org/markup-compatibility/2006">
          <mc:Choice Requires="x14">
            <control shapeId="47114" r:id="rId6" name="Entrainement">
              <controlPr defaultSize="0" print="0" autoFill="0" autoPict="0" macro="[0]!OpenOnglet">
                <anchor moveWithCells="1" sizeWithCells="1">
                  <from>
                    <xdr:col>9</xdr:col>
                    <xdr:colOff>295275</xdr:colOff>
                    <xdr:row>1</xdr:row>
                    <xdr:rowOff>28575</xdr:rowOff>
                  </from>
                  <to>
                    <xdr:col>10</xdr:col>
                    <xdr:colOff>790575</xdr:colOff>
                    <xdr:row>2</xdr:row>
                    <xdr:rowOff>28575</xdr:rowOff>
                  </to>
                </anchor>
              </controlPr>
            </control>
          </mc:Choice>
        </mc:AlternateContent>
      </controls>
    </mc:Choice>
  </mc:AlternateContent>
  <tableParts count="1">
    <tablePart r:id="rId7"/>
  </tableParts>
  <extLst>
    <ext xmlns:x14="http://schemas.microsoft.com/office/spreadsheetml/2009/9/main" uri="{CCE6A557-97BC-4b89-ADB6-D9C93CAAB3DF}">
      <x14:dataValidations xmlns:xm="http://schemas.microsoft.com/office/excel/2006/main" count="2">
        <x14:dataValidation type="list" allowBlank="1" showInputMessage="1" showErrorMessage="1" xr:uid="{56DA0EC9-BE27-D14F-B307-50C1BD0F2311}">
          <x14:formula1>
            <xm:f>'Parametre Model de jeu'!$B$4:$B$6</xm:f>
          </x14:formula1>
          <xm:sqref>E135</xm:sqref>
        </x14:dataValidation>
        <x14:dataValidation type="whole" allowBlank="1" showInputMessage="1" showErrorMessage="1" xr:uid="{3FD6A40E-337F-0543-920E-ED7B84FE7556}">
          <x14:formula1>
            <xm:f>0</xm:f>
          </x14:formula1>
          <x14:formula2>
            <xm:f>Paramétres!C20</xm:f>
          </x14:formula2>
          <xm:sqref>D5:D135</xm:sqref>
        </x14:dataValidation>
      </x14:dataValidations>
    </ext>
  </extLst>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A850673-953E-694E-A0B2-AA8E026C02CB}">
  <sheetPr codeName="Feuil27"/>
  <dimension ref="B1:BH40"/>
  <sheetViews>
    <sheetView workbookViewId="0">
      <selection activeCell="V20" sqref="V20"/>
    </sheetView>
  </sheetViews>
  <sheetFormatPr baseColWidth="10" defaultRowHeight="12.75"/>
  <cols>
    <col min="1" max="1" width="4.85546875" customWidth="1"/>
    <col min="2" max="2" width="13.5703125" bestFit="1" customWidth="1"/>
    <col min="3" max="3" width="6.85546875" customWidth="1"/>
    <col min="4" max="4" width="25.5703125" bestFit="1" customWidth="1"/>
    <col min="5" max="5" width="4.85546875" customWidth="1"/>
    <col min="6" max="6" width="23.5703125" bestFit="1" customWidth="1"/>
    <col min="7" max="7" width="6.85546875" customWidth="1"/>
    <col min="8" max="8" width="38.85546875" customWidth="1"/>
    <col min="9" max="9" width="4.85546875" customWidth="1"/>
    <col min="10" max="10" width="60.140625" bestFit="1" customWidth="1"/>
    <col min="11" max="11" width="4.85546875" customWidth="1"/>
    <col min="12" max="12" width="42" bestFit="1" customWidth="1"/>
    <col min="13" max="13" width="4.85546875" customWidth="1"/>
    <col min="14" max="14" width="24.85546875" bestFit="1" customWidth="1"/>
    <col min="15" max="15" width="4.85546875" customWidth="1"/>
    <col min="16" max="16" width="51.5703125" bestFit="1" customWidth="1"/>
    <col min="17" max="17" width="4.85546875" customWidth="1"/>
    <col min="18" max="18" width="47.85546875" bestFit="1" customWidth="1"/>
    <col min="19" max="19" width="4.85546875" customWidth="1"/>
    <col min="20" max="20" width="43" bestFit="1" customWidth="1"/>
    <col min="21" max="21" width="4.85546875" customWidth="1"/>
    <col min="22" max="22" width="18.42578125" bestFit="1" customWidth="1"/>
    <col min="23" max="23" width="6.85546875" customWidth="1"/>
    <col min="24" max="24" width="42.85546875" customWidth="1"/>
    <col min="25" max="25" width="4.85546875" customWidth="1"/>
    <col min="26" max="26" width="42.85546875" customWidth="1"/>
    <col min="27" max="27" width="4.85546875" customWidth="1"/>
    <col min="28" max="28" width="42.85546875" customWidth="1"/>
    <col min="29" max="29" width="4.85546875" customWidth="1"/>
    <col min="30" max="30" width="49.85546875" customWidth="1"/>
    <col min="31" max="31" width="4.85546875" customWidth="1"/>
    <col min="32" max="32" width="49.85546875" customWidth="1"/>
    <col min="33" max="33" width="4.85546875" customWidth="1"/>
    <col min="34" max="34" width="60.85546875" customWidth="1"/>
    <col min="35" max="35" width="4.85546875" customWidth="1"/>
    <col min="36" max="36" width="49.85546875" customWidth="1"/>
    <col min="37" max="37" width="4.85546875" customWidth="1"/>
    <col min="38" max="38" width="54.42578125" customWidth="1"/>
    <col min="39" max="39" width="4.85546875" customWidth="1"/>
    <col min="40" max="40" width="55.85546875" bestFit="1" customWidth="1"/>
    <col min="41" max="41" width="4.85546875" customWidth="1"/>
    <col min="42" max="42" width="55.5703125" bestFit="1" customWidth="1"/>
    <col min="43" max="43" width="4.85546875" customWidth="1"/>
    <col min="44" max="44" width="49.85546875" customWidth="1"/>
    <col min="45" max="45" width="4.85546875" customWidth="1"/>
    <col min="46" max="46" width="51.140625" customWidth="1"/>
    <col min="47" max="47" width="4.85546875" customWidth="1"/>
    <col min="48" max="48" width="52.85546875" customWidth="1"/>
    <col min="49" max="49" width="4.85546875" customWidth="1"/>
    <col min="50" max="50" width="53.85546875" bestFit="1" customWidth="1"/>
    <col min="51" max="51" width="4.85546875" customWidth="1"/>
    <col min="52" max="52" width="49.85546875" customWidth="1"/>
    <col min="53" max="53" width="4.85546875" customWidth="1"/>
    <col min="54" max="54" width="49.85546875" customWidth="1"/>
    <col min="55" max="55" width="4.85546875" customWidth="1"/>
    <col min="56" max="56" width="49.85546875" customWidth="1"/>
    <col min="57" max="57" width="4.85546875" customWidth="1"/>
    <col min="58" max="58" width="65.5703125" bestFit="1" customWidth="1"/>
    <col min="59" max="59" width="4.85546875" customWidth="1"/>
    <col min="60" max="60" width="63.42578125" bestFit="1" customWidth="1"/>
  </cols>
  <sheetData>
    <row r="1" spans="2:60" s="435" customFormat="1" ht="44.1" customHeight="1">
      <c r="B1" s="436" t="s">
        <v>607</v>
      </c>
    </row>
    <row r="2" spans="2:60" s="413" customFormat="1" ht="8.1" customHeight="1"/>
    <row r="4" spans="2:60">
      <c r="B4" s="434" t="s">
        <v>499</v>
      </c>
      <c r="D4" s="539" t="s">
        <v>608</v>
      </c>
      <c r="E4" s="539"/>
      <c r="F4" s="539"/>
      <c r="H4" s="539" t="s">
        <v>507</v>
      </c>
      <c r="I4" s="539"/>
      <c r="J4" s="539"/>
      <c r="K4" s="539"/>
      <c r="L4" s="539"/>
      <c r="M4" s="539"/>
      <c r="N4" s="539"/>
      <c r="O4" s="539"/>
      <c r="P4" s="539"/>
      <c r="Q4" s="539"/>
      <c r="R4" s="539"/>
      <c r="S4" s="539"/>
      <c r="T4" s="539"/>
      <c r="U4" s="539"/>
      <c r="V4" s="539"/>
      <c r="X4" s="539" t="s">
        <v>609</v>
      </c>
      <c r="Y4" s="539"/>
      <c r="Z4" s="539"/>
      <c r="AA4" s="539"/>
      <c r="AB4" s="539"/>
      <c r="AC4" s="539"/>
      <c r="AD4" s="539"/>
      <c r="AE4" s="539"/>
      <c r="AF4" s="539"/>
      <c r="AG4" s="539"/>
      <c r="AH4" s="539"/>
      <c r="AI4" s="539"/>
      <c r="AJ4" s="539"/>
      <c r="AK4" s="539"/>
      <c r="AL4" s="539"/>
      <c r="AM4" s="539"/>
      <c r="AN4" s="539"/>
      <c r="AO4" s="539"/>
      <c r="AP4" s="539"/>
      <c r="AQ4" s="539"/>
      <c r="AR4" s="539"/>
      <c r="AS4" s="539"/>
      <c r="AT4" s="539"/>
      <c r="AU4" s="539"/>
      <c r="AV4" s="539"/>
      <c r="AW4" s="539"/>
      <c r="AX4" s="539"/>
      <c r="AY4" s="539"/>
      <c r="AZ4" s="539"/>
      <c r="BA4" s="539"/>
      <c r="BB4" s="539"/>
      <c r="BC4" s="539"/>
      <c r="BD4" s="539"/>
      <c r="BE4" s="539"/>
      <c r="BF4" s="539"/>
      <c r="BG4" s="539"/>
      <c r="BH4" s="539"/>
    </row>
    <row r="5" spans="2:60">
      <c r="B5" t="s">
        <v>505</v>
      </c>
      <c r="D5" s="418" t="s">
        <v>505</v>
      </c>
      <c r="F5" s="418" t="s">
        <v>506</v>
      </c>
      <c r="H5" s="540" t="s">
        <v>505</v>
      </c>
      <c r="I5" s="540"/>
      <c r="J5" s="540"/>
      <c r="K5" s="540"/>
      <c r="L5" s="540"/>
      <c r="M5" s="540"/>
      <c r="N5" s="540"/>
      <c r="P5" s="541" t="s">
        <v>506</v>
      </c>
      <c r="Q5" s="541"/>
      <c r="R5" s="541"/>
      <c r="S5" s="541"/>
      <c r="T5" s="541"/>
      <c r="U5" s="541"/>
      <c r="V5" s="541"/>
      <c r="X5" s="541" t="s">
        <v>505</v>
      </c>
      <c r="Y5" s="541"/>
      <c r="Z5" s="541"/>
      <c r="AA5" s="541"/>
      <c r="AB5" s="541"/>
      <c r="AC5" s="541"/>
      <c r="AD5" s="541"/>
      <c r="AE5" s="541"/>
      <c r="AF5" s="541"/>
      <c r="AG5" s="541"/>
      <c r="AH5" s="541"/>
      <c r="AI5" s="541"/>
      <c r="AJ5" s="541"/>
      <c r="AK5" s="541"/>
      <c r="AL5" s="541"/>
      <c r="AM5" s="541"/>
      <c r="AN5" s="541"/>
      <c r="AO5" s="541"/>
      <c r="AP5" s="541"/>
      <c r="AR5" s="541" t="s">
        <v>506</v>
      </c>
      <c r="AS5" s="541"/>
      <c r="AT5" s="541"/>
      <c r="AU5" s="541"/>
      <c r="AV5" s="541"/>
      <c r="AW5" s="541"/>
      <c r="AX5" s="541"/>
      <c r="AY5" s="541"/>
      <c r="AZ5" s="541"/>
      <c r="BA5" s="541"/>
      <c r="BB5" s="541"/>
      <c r="BC5" s="541"/>
      <c r="BD5" s="541"/>
      <c r="BE5" s="541"/>
      <c r="BF5" s="541"/>
      <c r="BG5" s="541"/>
      <c r="BH5" s="541"/>
    </row>
    <row r="6" spans="2:60">
      <c r="B6" t="s">
        <v>506</v>
      </c>
      <c r="D6" t="s">
        <v>527</v>
      </c>
      <c r="F6" t="s">
        <v>599</v>
      </c>
      <c r="H6" s="418" t="s">
        <v>610</v>
      </c>
      <c r="J6" s="418" t="s">
        <v>528</v>
      </c>
      <c r="L6" s="418" t="s">
        <v>541</v>
      </c>
      <c r="N6" s="418" t="s">
        <v>529</v>
      </c>
      <c r="P6" s="474" t="s">
        <v>564</v>
      </c>
      <c r="R6" s="474" t="s">
        <v>530</v>
      </c>
      <c r="T6" s="474" t="s">
        <v>531</v>
      </c>
      <c r="V6" s="474" t="s">
        <v>532</v>
      </c>
      <c r="X6" s="540" t="s">
        <v>527</v>
      </c>
      <c r="Y6" s="540"/>
      <c r="Z6" s="540"/>
      <c r="AA6" s="540"/>
      <c r="AB6" s="540"/>
      <c r="AC6" s="482"/>
      <c r="AD6" s="542" t="s">
        <v>528</v>
      </c>
      <c r="AE6" s="542"/>
      <c r="AF6" s="542"/>
      <c r="AG6" s="542"/>
      <c r="AH6" s="542"/>
      <c r="AI6" s="542"/>
      <c r="AJ6" s="542"/>
      <c r="AK6" s="542"/>
      <c r="AL6" s="542"/>
      <c r="AN6" s="542" t="s">
        <v>541</v>
      </c>
      <c r="AO6" s="542"/>
      <c r="AP6" s="542"/>
      <c r="AR6" s="542" t="s">
        <v>564</v>
      </c>
      <c r="AS6" s="542"/>
      <c r="AT6" s="542"/>
      <c r="AU6" s="542"/>
      <c r="AV6" s="542"/>
      <c r="AX6" s="540" t="s">
        <v>530</v>
      </c>
      <c r="AY6" s="540"/>
      <c r="AZ6" s="540"/>
      <c r="BA6" s="540"/>
      <c r="BB6" s="540"/>
      <c r="BC6" s="540"/>
      <c r="BD6" s="540"/>
      <c r="BF6" s="542" t="s">
        <v>531</v>
      </c>
      <c r="BG6" s="542"/>
      <c r="BH6" s="542"/>
    </row>
    <row r="7" spans="2:60">
      <c r="D7" t="s">
        <v>528</v>
      </c>
      <c r="F7" t="s">
        <v>600</v>
      </c>
      <c r="H7" t="s">
        <v>533</v>
      </c>
      <c r="J7" t="s">
        <v>536</v>
      </c>
      <c r="L7" t="s">
        <v>565</v>
      </c>
      <c r="P7" s="350" t="s">
        <v>590</v>
      </c>
      <c r="R7" t="s">
        <v>591</v>
      </c>
      <c r="T7" t="s">
        <v>598</v>
      </c>
      <c r="X7" s="474" t="s">
        <v>533</v>
      </c>
      <c r="Z7" s="474" t="s">
        <v>534</v>
      </c>
      <c r="AB7" s="474" t="s">
        <v>535</v>
      </c>
      <c r="AD7" s="474" t="s">
        <v>536</v>
      </c>
      <c r="AF7" s="474" t="s">
        <v>537</v>
      </c>
      <c r="AH7" s="474" t="s">
        <v>538</v>
      </c>
      <c r="AJ7" s="474" t="s">
        <v>539</v>
      </c>
      <c r="AL7" s="474" t="s">
        <v>540</v>
      </c>
      <c r="AN7" s="474" t="s">
        <v>565</v>
      </c>
      <c r="AP7" s="474" t="s">
        <v>566</v>
      </c>
      <c r="AR7" s="474" t="s">
        <v>590</v>
      </c>
      <c r="AT7" s="474" t="s">
        <v>592</v>
      </c>
      <c r="AV7" s="474" t="s">
        <v>594</v>
      </c>
      <c r="AX7" s="474" t="s">
        <v>591</v>
      </c>
      <c r="AZ7" s="474" t="s">
        <v>593</v>
      </c>
      <c r="BB7" s="474" t="s">
        <v>595</v>
      </c>
      <c r="BD7" s="474" t="s">
        <v>596</v>
      </c>
      <c r="BF7" s="474" t="s">
        <v>598</v>
      </c>
      <c r="BH7" s="483" t="s">
        <v>597</v>
      </c>
    </row>
    <row r="8" spans="2:60">
      <c r="D8" t="s">
        <v>541</v>
      </c>
      <c r="F8" t="s">
        <v>531</v>
      </c>
      <c r="H8" t="s">
        <v>534</v>
      </c>
      <c r="J8" t="s">
        <v>537</v>
      </c>
      <c r="L8" t="s">
        <v>566</v>
      </c>
      <c r="P8" s="350" t="s">
        <v>592</v>
      </c>
      <c r="R8" t="s">
        <v>593</v>
      </c>
      <c r="T8" s="469" t="s">
        <v>597</v>
      </c>
      <c r="X8" s="350" t="s">
        <v>611</v>
      </c>
      <c r="Z8" t="s">
        <v>622</v>
      </c>
      <c r="AB8" t="s">
        <v>625</v>
      </c>
      <c r="AD8" t="s">
        <v>640</v>
      </c>
      <c r="AF8" t="s">
        <v>628</v>
      </c>
      <c r="AH8" t="s">
        <v>629</v>
      </c>
      <c r="AJ8" t="s">
        <v>630</v>
      </c>
      <c r="AL8" t="s">
        <v>631</v>
      </c>
      <c r="AN8" t="s">
        <v>642</v>
      </c>
      <c r="AP8" t="s">
        <v>643</v>
      </c>
      <c r="AR8" s="350" t="s">
        <v>647</v>
      </c>
      <c r="AT8" t="s">
        <v>648</v>
      </c>
      <c r="AV8" t="s">
        <v>649</v>
      </c>
      <c r="AX8" t="s">
        <v>656</v>
      </c>
      <c r="AZ8" t="s">
        <v>657</v>
      </c>
      <c r="BB8" t="s">
        <v>658</v>
      </c>
      <c r="BD8" t="s">
        <v>659</v>
      </c>
      <c r="BF8" t="s">
        <v>667</v>
      </c>
      <c r="BH8" t="s">
        <v>668</v>
      </c>
    </row>
    <row r="9" spans="2:60">
      <c r="D9" t="s">
        <v>529</v>
      </c>
      <c r="F9" t="s">
        <v>532</v>
      </c>
      <c r="H9" t="s">
        <v>535</v>
      </c>
      <c r="J9" t="s">
        <v>538</v>
      </c>
      <c r="P9" s="350" t="s">
        <v>594</v>
      </c>
      <c r="R9" t="s">
        <v>595</v>
      </c>
      <c r="X9" s="350" t="s">
        <v>612</v>
      </c>
      <c r="Z9" t="s">
        <v>623</v>
      </c>
      <c r="AB9" t="s">
        <v>626</v>
      </c>
      <c r="AD9" t="s">
        <v>638</v>
      </c>
      <c r="AF9" t="s">
        <v>639</v>
      </c>
      <c r="AH9" t="s">
        <v>632</v>
      </c>
      <c r="AJ9" t="s">
        <v>641</v>
      </c>
      <c r="AL9" t="s">
        <v>633</v>
      </c>
      <c r="AN9" t="s">
        <v>633</v>
      </c>
      <c r="AP9" t="s">
        <v>644</v>
      </c>
      <c r="AR9" s="350" t="s">
        <v>650</v>
      </c>
      <c r="AT9" t="s">
        <v>651</v>
      </c>
      <c r="AV9" t="s">
        <v>652</v>
      </c>
      <c r="AX9" t="s">
        <v>660</v>
      </c>
      <c r="AZ9" t="s">
        <v>661</v>
      </c>
      <c r="BB9" t="s">
        <v>662</v>
      </c>
      <c r="BD9" t="s">
        <v>661</v>
      </c>
      <c r="BF9" t="s">
        <v>669</v>
      </c>
      <c r="BH9" t="s">
        <v>670</v>
      </c>
    </row>
    <row r="10" spans="2:60">
      <c r="J10" t="s">
        <v>539</v>
      </c>
      <c r="R10" t="s">
        <v>596</v>
      </c>
      <c r="X10" s="350" t="s">
        <v>613</v>
      </c>
      <c r="Z10" t="s">
        <v>624</v>
      </c>
      <c r="AB10" t="s">
        <v>627</v>
      </c>
      <c r="AD10" t="s">
        <v>634</v>
      </c>
      <c r="AF10" t="s">
        <v>635</v>
      </c>
      <c r="AH10" t="s">
        <v>636</v>
      </c>
      <c r="AJ10" t="s">
        <v>627</v>
      </c>
      <c r="AL10" t="s">
        <v>637</v>
      </c>
      <c r="AN10" t="s">
        <v>645</v>
      </c>
      <c r="AP10" t="s">
        <v>646</v>
      </c>
      <c r="AR10" s="350" t="s">
        <v>653</v>
      </c>
      <c r="AT10" t="s">
        <v>654</v>
      </c>
      <c r="AV10" t="s">
        <v>655</v>
      </c>
      <c r="AX10" t="s">
        <v>663</v>
      </c>
      <c r="AZ10" t="s">
        <v>664</v>
      </c>
      <c r="BB10" t="s">
        <v>665</v>
      </c>
      <c r="BD10" t="s">
        <v>666</v>
      </c>
      <c r="BF10" t="s">
        <v>671</v>
      </c>
      <c r="BH10" t="s">
        <v>672</v>
      </c>
    </row>
    <row r="11" spans="2:60">
      <c r="B11" s="434" t="s">
        <v>502</v>
      </c>
      <c r="J11" t="s">
        <v>540</v>
      </c>
    </row>
    <row r="12" spans="2:60">
      <c r="B12" t="s">
        <v>614</v>
      </c>
    </row>
    <row r="13" spans="2:60">
      <c r="B13" t="s">
        <v>519</v>
      </c>
    </row>
    <row r="14" spans="2:60">
      <c r="B14" t="s">
        <v>515</v>
      </c>
    </row>
    <row r="15" spans="2:60">
      <c r="B15" t="s">
        <v>615</v>
      </c>
    </row>
    <row r="16" spans="2:60">
      <c r="B16" t="s">
        <v>616</v>
      </c>
    </row>
    <row r="17" spans="2:2">
      <c r="B17" t="s">
        <v>617</v>
      </c>
    </row>
    <row r="18" spans="2:2">
      <c r="B18" t="s">
        <v>514</v>
      </c>
    </row>
    <row r="19" spans="2:2">
      <c r="B19" t="s">
        <v>618</v>
      </c>
    </row>
    <row r="20" spans="2:2">
      <c r="B20" t="s">
        <v>520</v>
      </c>
    </row>
    <row r="21" spans="2:2">
      <c r="B21" t="s">
        <v>516</v>
      </c>
    </row>
    <row r="34" spans="2:2">
      <c r="B34" s="434" t="s">
        <v>503</v>
      </c>
    </row>
    <row r="35" spans="2:2">
      <c r="B35" t="s">
        <v>260</v>
      </c>
    </row>
    <row r="36" spans="2:2">
      <c r="B36" t="s">
        <v>254</v>
      </c>
    </row>
    <row r="37" spans="2:2">
      <c r="B37" t="s">
        <v>619</v>
      </c>
    </row>
    <row r="38" spans="2:2">
      <c r="B38" t="s">
        <v>620</v>
      </c>
    </row>
    <row r="39" spans="2:2">
      <c r="B39" t="s">
        <v>621</v>
      </c>
    </row>
    <row r="40" spans="2:2">
      <c r="B40" t="s">
        <v>256</v>
      </c>
    </row>
  </sheetData>
  <mergeCells count="13">
    <mergeCell ref="AX6:BD6"/>
    <mergeCell ref="BF6:BH6"/>
    <mergeCell ref="AR5:BH5"/>
    <mergeCell ref="X4:BH4"/>
    <mergeCell ref="AD6:AL6"/>
    <mergeCell ref="AN6:AP6"/>
    <mergeCell ref="X5:AP5"/>
    <mergeCell ref="AR6:AV6"/>
    <mergeCell ref="D4:F4"/>
    <mergeCell ref="H5:N5"/>
    <mergeCell ref="P5:V5"/>
    <mergeCell ref="H4:V4"/>
    <mergeCell ref="X6:AB6"/>
  </mergeCells>
  <pageMargins left="0.7" right="0.7" top="0.75" bottom="0.75" header="0.3" footer="0.3"/>
  <drawing r:id="rId1"/>
  <legacyDrawing r:id="rId2"/>
  <mc:AlternateContent xmlns:mc="http://schemas.openxmlformats.org/markup-compatibility/2006">
    <mc:Choice Requires="x14">
      <controls>
        <mc:AlternateContent xmlns:mc="http://schemas.openxmlformats.org/markup-compatibility/2006">
          <mc:Choice Requires="x14">
            <control shapeId="71681" r:id="rId3" name="Button 1">
              <controlPr defaultSize="0" print="0" autoFill="0" autoPict="0" macro="[0]!CloseOnglet">
                <anchor moveWithCells="1" sizeWithCells="1">
                  <from>
                    <xdr:col>13</xdr:col>
                    <xdr:colOff>0</xdr:colOff>
                    <xdr:row>0</xdr:row>
                    <xdr:rowOff>85725</xdr:rowOff>
                  </from>
                  <to>
                    <xdr:col>13</xdr:col>
                    <xdr:colOff>1628775</xdr:colOff>
                    <xdr:row>0</xdr:row>
                    <xdr:rowOff>485775</xdr:rowOff>
                  </to>
                </anchor>
              </controlPr>
            </control>
          </mc:Choice>
        </mc:AlternateContent>
      </controls>
    </mc:Choice>
  </mc:AlternateContent>
  <tableParts count="30">
    <tablePart r:id="rId4"/>
    <tablePart r:id="rId5"/>
    <tablePart r:id="rId6"/>
    <tablePart r:id="rId7"/>
    <tablePart r:id="rId8"/>
    <tablePart r:id="rId9"/>
    <tablePart r:id="rId10"/>
    <tablePart r:id="rId11"/>
    <tablePart r:id="rId12"/>
    <tablePart r:id="rId13"/>
    <tablePart r:id="rId14"/>
    <tablePart r:id="rId15"/>
    <tablePart r:id="rId16"/>
    <tablePart r:id="rId17"/>
    <tablePart r:id="rId18"/>
    <tablePart r:id="rId19"/>
    <tablePart r:id="rId20"/>
    <tablePart r:id="rId21"/>
    <tablePart r:id="rId22"/>
    <tablePart r:id="rId23"/>
    <tablePart r:id="rId24"/>
    <tablePart r:id="rId25"/>
    <tablePart r:id="rId26"/>
    <tablePart r:id="rId27"/>
    <tablePart r:id="rId28"/>
    <tablePart r:id="rId29"/>
    <tablePart r:id="rId30"/>
    <tablePart r:id="rId31"/>
    <tablePart r:id="rId32"/>
    <tablePart r:id="rId33"/>
  </tableParts>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Feuil1">
    <tabColor rgb="FF0070C0"/>
  </sheetPr>
  <dimension ref="B2:AN263"/>
  <sheetViews>
    <sheetView showGridLines="0" workbookViewId="0">
      <pane ySplit="4" topLeftCell="A5" activePane="bottomLeft" state="frozen"/>
      <selection pane="bottomLeft" activeCell="P30" sqref="P30:S30"/>
    </sheetView>
  </sheetViews>
  <sheetFormatPr baseColWidth="10" defaultColWidth="9.140625" defaultRowHeight="16.5" customHeight="1"/>
  <cols>
    <col min="1" max="1" width="3.140625" style="256" customWidth="1"/>
    <col min="2" max="2" width="16" style="256" customWidth="1"/>
    <col min="3" max="4" width="9.85546875" style="256" customWidth="1"/>
    <col min="5" max="7" width="10" style="256" customWidth="1"/>
    <col min="8" max="8" width="9.85546875" style="256" customWidth="1"/>
    <col min="9" max="9" width="10.140625" style="256" customWidth="1"/>
    <col min="10" max="31" width="9.85546875" style="256" customWidth="1"/>
    <col min="32" max="33" width="9.140625" style="256"/>
    <col min="34" max="34" width="8" style="256" customWidth="1"/>
    <col min="35" max="40" width="7" style="256" customWidth="1"/>
    <col min="41" max="16384" width="9.140625" style="256"/>
  </cols>
  <sheetData>
    <row r="2" spans="2:40" ht="31.5" customHeight="1">
      <c r="B2" s="55" t="s">
        <v>64</v>
      </c>
      <c r="T2" s="257"/>
    </row>
    <row r="4" spans="2:40" ht="30" customHeight="1">
      <c r="C4" s="258"/>
      <c r="D4" s="259" t="str">
        <f ca="1">INDIRECT("'BDD - Joueurs'!B2")</f>
        <v>ADDA Matteo</v>
      </c>
      <c r="E4" s="259" t="str">
        <f ca="1">INDIRECT("'BDD - Joueurs'!B3")</f>
        <v>ALFONSO Joao</v>
      </c>
      <c r="F4" s="259" t="str">
        <f ca="1">INDIRECT("'BDD - Joueurs'!B4")</f>
        <v>BERDAH Matis</v>
      </c>
      <c r="G4" s="259" t="str">
        <f ca="1">INDIRECT("'BDD - Joueurs'!B5")</f>
        <v>CAMARA Bandiougou</v>
      </c>
      <c r="H4" s="259" t="str">
        <f ca="1">INDIRECT("'BDD - Joueurs'!B6")</f>
        <v>CAMARA Moussa</v>
      </c>
      <c r="I4" s="259" t="str">
        <f ca="1">INDIRECT("'BDD - Joueurs'!B7")</f>
        <v>CARREAU Ethan</v>
      </c>
      <c r="J4" s="259" t="str">
        <f ca="1">INDIRECT("'BDD - Joueurs'!B8")</f>
        <v>CHEROD Alexis</v>
      </c>
      <c r="K4" s="259" t="str">
        <f ca="1">INDIRECT("'BDD - Joueurs'!B9")</f>
        <v>DJEHICHE Ramzi</v>
      </c>
      <c r="L4" s="259" t="str">
        <f ca="1">INDIRECT("'BDD - Joueurs'!B10")</f>
        <v>DOSIERE Baptiste</v>
      </c>
      <c r="M4" s="259" t="str">
        <f ca="1">INDIRECT("'BDD - Joueurs'!B11")</f>
        <v>DUQUENOY Thomas</v>
      </c>
      <c r="N4" s="259" t="str">
        <f ca="1">INDIRECT("'BDD - Joueurs'!B12")</f>
        <v>KIPRE Jordan</v>
      </c>
      <c r="O4" s="259" t="str">
        <f ca="1">INDIRECT("'BDD - Joueurs'!B13")</f>
        <v>KONATE Mamadou</v>
      </c>
      <c r="P4" s="259" t="str">
        <f ca="1">INDIRECT("'BDD - Joueurs'!B14")</f>
        <v>LECOUFFE Hugo</v>
      </c>
      <c r="Q4" s="259" t="str">
        <f ca="1">INDIRECT("'BDD - Joueurs'!B15")</f>
        <v>LEFRANC Nathan</v>
      </c>
      <c r="R4" s="259" t="str">
        <f ca="1">INDIRECT("'BDD - Joueurs'!B16")</f>
        <v>MASSOUSSI Elie</v>
      </c>
      <c r="S4" s="259" t="str">
        <f ca="1">INDIRECT("'BDD - Joueurs'!B17")</f>
        <v>NGOUABI Yoann</v>
      </c>
      <c r="T4" s="259" t="str">
        <f ca="1">INDIRECT("'BDD - Joueurs'!B18")</f>
        <v>PLANET Mathis</v>
      </c>
      <c r="U4" s="259" t="str">
        <f ca="1">INDIRECT("'BDD - Joueurs'!B19")</f>
        <v>PRONNIER Nicolas</v>
      </c>
      <c r="V4" s="259" t="str">
        <f ca="1">INDIRECT("'BDD - Joueurs'!B20")</f>
        <v>STIOUET Reda</v>
      </c>
      <c r="W4" s="259" t="str">
        <f ca="1">INDIRECT("'BDD - Joueurs'!B21")</f>
        <v>ZERDEB Said</v>
      </c>
      <c r="X4" s="259" t="str">
        <f ca="1">INDIRECT("'BDD - Joueurs'!B22")</f>
        <v>OSSENI Farouk</v>
      </c>
      <c r="Y4" s="259">
        <f ca="1">INDIRECT("'BDD - Joueurs'!B23")</f>
        <v>0</v>
      </c>
      <c r="Z4" s="259">
        <f ca="1">INDIRECT("'BDD - Joueurs'!B24")</f>
        <v>0</v>
      </c>
      <c r="AA4" s="259">
        <f ca="1">INDIRECT("'BDD - Joueurs'!B25")</f>
        <v>0</v>
      </c>
      <c r="AB4" s="259">
        <f ca="1">INDIRECT("'BDD - Joueurs'!B26")</f>
        <v>0</v>
      </c>
      <c r="AC4" s="259">
        <f ca="1">INDIRECT("'BDD - Joueurs'!B27")</f>
        <v>0</v>
      </c>
      <c r="AD4" s="259">
        <f ca="1">INDIRECT("'BDD - Joueurs'!B28")</f>
        <v>0</v>
      </c>
      <c r="AE4" s="259">
        <f ca="1">INDIRECT("'BDD - Joueurs'!B29")</f>
        <v>0</v>
      </c>
      <c r="AF4" s="259">
        <f ca="1">INDIRECT("'BDD - Joueurs'!B30")</f>
        <v>0</v>
      </c>
      <c r="AG4" s="259">
        <f ca="1">INDIRECT("'BDD - Joueurs'!B31")</f>
        <v>0</v>
      </c>
    </row>
    <row r="6" spans="2:40" ht="16.5" customHeight="1">
      <c r="B6" s="260" t="s">
        <v>5</v>
      </c>
      <c r="C6" s="260" t="s">
        <v>114</v>
      </c>
      <c r="D6" s="23" t="s">
        <v>16</v>
      </c>
      <c r="E6" s="262" t="s">
        <v>4</v>
      </c>
      <c r="F6" s="261" t="s">
        <v>19</v>
      </c>
      <c r="G6" s="262" t="s">
        <v>20</v>
      </c>
      <c r="H6" s="261" t="s">
        <v>21</v>
      </c>
      <c r="I6" s="262" t="s">
        <v>22</v>
      </c>
      <c r="J6" s="261" t="s">
        <v>23</v>
      </c>
      <c r="K6" s="262" t="s">
        <v>24</v>
      </c>
      <c r="L6" s="261" t="s">
        <v>25</v>
      </c>
      <c r="M6" s="261" t="s">
        <v>26</v>
      </c>
      <c r="N6" s="261" t="s">
        <v>27</v>
      </c>
      <c r="O6" s="262" t="s">
        <v>28</v>
      </c>
      <c r="P6" s="263" t="s">
        <v>45</v>
      </c>
      <c r="Q6" s="264" t="s">
        <v>46</v>
      </c>
      <c r="R6" s="263" t="s">
        <v>47</v>
      </c>
      <c r="S6" s="264" t="s">
        <v>48</v>
      </c>
      <c r="T6" s="265" t="s">
        <v>49</v>
      </c>
      <c r="U6" s="264" t="s">
        <v>50</v>
      </c>
      <c r="V6" s="265" t="s">
        <v>51</v>
      </c>
      <c r="W6" s="264" t="s">
        <v>52</v>
      </c>
      <c r="X6" s="265" t="s">
        <v>53</v>
      </c>
      <c r="Y6" s="264" t="s">
        <v>54</v>
      </c>
      <c r="Z6" s="265" t="s">
        <v>55</v>
      </c>
      <c r="AA6" s="264" t="s">
        <v>56</v>
      </c>
      <c r="AB6" s="265" t="s">
        <v>57</v>
      </c>
      <c r="AC6" s="264" t="s">
        <v>58</v>
      </c>
      <c r="AD6" s="265" t="s">
        <v>59</v>
      </c>
      <c r="AE6" s="264" t="s">
        <v>60</v>
      </c>
      <c r="AF6" s="265" t="s">
        <v>61</v>
      </c>
      <c r="AG6" s="264" t="s">
        <v>62</v>
      </c>
      <c r="AH6" s="266" t="s">
        <v>10</v>
      </c>
      <c r="AI6" s="267" t="s">
        <v>12</v>
      </c>
      <c r="AJ6" s="267" t="s">
        <v>13</v>
      </c>
      <c r="AK6" s="267" t="s">
        <v>15</v>
      </c>
      <c r="AL6" s="267" t="s">
        <v>14</v>
      </c>
      <c r="AM6" s="267" t="s">
        <v>18</v>
      </c>
      <c r="AN6" s="268" t="s">
        <v>44</v>
      </c>
    </row>
    <row r="7" spans="2:40" ht="16.5" customHeight="1">
      <c r="B7" s="420">
        <f>IF(INDEX(TabSeance[Date],ROW()-6)&lt;&gt;0,INDEX(TabSeance[Date],ROW()-6),"")</f>
        <v>43318</v>
      </c>
      <c r="C7" s="421">
        <f>IF(INDEX(TabSeance[Durée],ROW()-6)&lt;&gt;0,INDEX(TabSeance[Durée],ROW()-6),"")</f>
        <v>67</v>
      </c>
      <c r="D7" s="269" t="s">
        <v>10</v>
      </c>
      <c r="E7" s="281" t="s">
        <v>10</v>
      </c>
      <c r="F7" s="269" t="s">
        <v>14</v>
      </c>
      <c r="G7" s="269" t="s">
        <v>18</v>
      </c>
      <c r="H7" s="281" t="s">
        <v>18</v>
      </c>
      <c r="I7" s="281" t="s">
        <v>10</v>
      </c>
      <c r="J7" s="281" t="s">
        <v>18</v>
      </c>
      <c r="K7" s="281" t="s">
        <v>14</v>
      </c>
      <c r="L7" s="281" t="s">
        <v>14</v>
      </c>
      <c r="M7" s="281" t="s">
        <v>14</v>
      </c>
      <c r="N7" s="281" t="s">
        <v>14</v>
      </c>
      <c r="O7" s="281" t="s">
        <v>14</v>
      </c>
      <c r="P7" s="281" t="s">
        <v>10</v>
      </c>
      <c r="Q7" s="281" t="s">
        <v>10</v>
      </c>
      <c r="R7" s="281" t="s">
        <v>10</v>
      </c>
      <c r="S7" s="281" t="s">
        <v>18</v>
      </c>
      <c r="T7" s="281" t="s">
        <v>10</v>
      </c>
      <c r="U7" s="281" t="s">
        <v>10</v>
      </c>
      <c r="V7" s="281" t="s">
        <v>14</v>
      </c>
      <c r="W7" s="281" t="s">
        <v>14</v>
      </c>
      <c r="X7" s="281" t="s">
        <v>10</v>
      </c>
      <c r="Y7" s="269"/>
      <c r="Z7" s="269"/>
      <c r="AA7" s="269"/>
      <c r="AB7" s="269"/>
      <c r="AC7" s="269"/>
      <c r="AD7" s="269"/>
      <c r="AE7" s="269"/>
      <c r="AF7" s="269"/>
      <c r="AG7" s="269"/>
      <c r="AH7" s="270">
        <f>COUNTIF(D7:AG7,"Présent")</f>
        <v>9</v>
      </c>
      <c r="AI7" s="270">
        <f>COUNTIF(D7:AG7,"Blessé")</f>
        <v>0</v>
      </c>
      <c r="AJ7" s="270">
        <f>COUNTIF(D7:AG7,"Malade")</f>
        <v>0</v>
      </c>
      <c r="AK7" s="270">
        <f>COUNTIF(D7:AG7,"Repos")</f>
        <v>0</v>
      </c>
      <c r="AL7" s="270">
        <f>COUNTIF(D7:AG7,"Vacances")</f>
        <v>8</v>
      </c>
      <c r="AM7" s="270">
        <f>COUNTIF(I7:AL7,"Absent")</f>
        <v>2</v>
      </c>
      <c r="AN7" s="270">
        <f>COUNTIF(D7:AG7,"Excusé")</f>
        <v>0</v>
      </c>
    </row>
    <row r="8" spans="2:40" ht="16.5" customHeight="1">
      <c r="B8" s="420">
        <f>IF(INDEX(TabSeance[Date],ROW()-6)&lt;&gt;0,INDEX(TabSeance[Date],ROW()-6),"")</f>
        <v>43319</v>
      </c>
      <c r="C8" s="421">
        <f>IF(INDEX(TabSeance[Durée],ROW()-6)&lt;&gt;0,INDEX(TabSeance[Durée],ROW()-6),"")</f>
        <v>62</v>
      </c>
      <c r="D8" s="281" t="s">
        <v>10</v>
      </c>
      <c r="E8" s="281" t="s">
        <v>10</v>
      </c>
      <c r="F8" s="281" t="s">
        <v>14</v>
      </c>
      <c r="G8" s="281" t="s">
        <v>18</v>
      </c>
      <c r="H8" s="281" t="s">
        <v>18</v>
      </c>
      <c r="I8" s="281" t="s">
        <v>10</v>
      </c>
      <c r="J8" s="281" t="s">
        <v>18</v>
      </c>
      <c r="K8" s="281" t="s">
        <v>14</v>
      </c>
      <c r="L8" s="281" t="s">
        <v>14</v>
      </c>
      <c r="M8" s="281" t="s">
        <v>14</v>
      </c>
      <c r="N8" s="281" t="s">
        <v>14</v>
      </c>
      <c r="O8" s="281" t="s">
        <v>14</v>
      </c>
      <c r="P8" s="281" t="s">
        <v>10</v>
      </c>
      <c r="Q8" s="281" t="s">
        <v>10</v>
      </c>
      <c r="R8" s="281" t="s">
        <v>10</v>
      </c>
      <c r="S8" s="281" t="s">
        <v>18</v>
      </c>
      <c r="T8" s="281" t="s">
        <v>10</v>
      </c>
      <c r="U8" s="281" t="s">
        <v>10</v>
      </c>
      <c r="V8" s="281" t="s">
        <v>14</v>
      </c>
      <c r="W8" s="281" t="s">
        <v>14</v>
      </c>
      <c r="X8" s="281" t="s">
        <v>10</v>
      </c>
      <c r="Y8" s="269"/>
      <c r="Z8" s="269"/>
      <c r="AA8" s="269"/>
      <c r="AB8" s="269"/>
      <c r="AC8" s="269"/>
      <c r="AD8" s="269"/>
      <c r="AE8" s="269"/>
      <c r="AF8" s="269"/>
      <c r="AG8" s="269"/>
      <c r="AH8" s="271">
        <f>COUNTIF(D8:AG8,"Présent")</f>
        <v>9</v>
      </c>
      <c r="AI8" s="272">
        <f t="shared" ref="AI8:AI71" si="0">COUNTIF(D8:AG8,"Blessé")</f>
        <v>0</v>
      </c>
      <c r="AJ8" s="271">
        <f t="shared" ref="AJ8:AJ71" si="1">COUNTIF(D8:AG8,"Malade")</f>
        <v>0</v>
      </c>
      <c r="AK8" s="271">
        <f t="shared" ref="AK8:AK71" si="2">COUNTIF(D8:AG8,"Repos")</f>
        <v>0</v>
      </c>
      <c r="AL8" s="271">
        <f t="shared" ref="AL8:AL71" si="3">COUNTIF(D8:AG8,"Vacances")</f>
        <v>8</v>
      </c>
      <c r="AM8" s="271">
        <f t="shared" ref="AM8:AM71" si="4">COUNTIF(I8:AL8,"Absent")</f>
        <v>2</v>
      </c>
      <c r="AN8" s="271">
        <f t="shared" ref="AN8:AN71" si="5">COUNTIF(D8:AG8,"Excusé")</f>
        <v>0</v>
      </c>
    </row>
    <row r="9" spans="2:40" ht="16.5" customHeight="1">
      <c r="B9" s="420">
        <f>IF(INDEX(TabSeance[Date],ROW()-6)&lt;&gt;0,INDEX(TabSeance[Date],ROW()-6),"")</f>
        <v>43321</v>
      </c>
      <c r="C9" s="421">
        <f>IF(INDEX(TabSeance[Durée],ROW()-6)&lt;&gt;0,INDEX(TabSeance[Durée],ROW()-6),"")</f>
        <v>66</v>
      </c>
      <c r="D9" s="281" t="s">
        <v>10</v>
      </c>
      <c r="E9" s="281" t="s">
        <v>10</v>
      </c>
      <c r="F9" s="281" t="s">
        <v>14</v>
      </c>
      <c r="G9" s="281" t="s">
        <v>18</v>
      </c>
      <c r="H9" s="281" t="s">
        <v>18</v>
      </c>
      <c r="I9" s="281" t="s">
        <v>10</v>
      </c>
      <c r="J9" s="281" t="s">
        <v>18</v>
      </c>
      <c r="K9" s="281" t="s">
        <v>14</v>
      </c>
      <c r="L9" s="281" t="s">
        <v>14</v>
      </c>
      <c r="M9" s="281" t="s">
        <v>10</v>
      </c>
      <c r="N9" s="281" t="s">
        <v>14</v>
      </c>
      <c r="O9" s="281" t="s">
        <v>14</v>
      </c>
      <c r="P9" s="281" t="s">
        <v>14</v>
      </c>
      <c r="Q9" s="281" t="s">
        <v>10</v>
      </c>
      <c r="R9" s="281" t="s">
        <v>10</v>
      </c>
      <c r="S9" s="281" t="s">
        <v>10</v>
      </c>
      <c r="T9" s="281" t="s">
        <v>10</v>
      </c>
      <c r="U9" s="281" t="s">
        <v>10</v>
      </c>
      <c r="V9" s="281" t="s">
        <v>14</v>
      </c>
      <c r="W9" s="281" t="s">
        <v>14</v>
      </c>
      <c r="X9" s="281" t="s">
        <v>10</v>
      </c>
      <c r="Y9" s="269"/>
      <c r="Z9" s="269"/>
      <c r="AA9" s="269"/>
      <c r="AB9" s="269"/>
      <c r="AC9" s="269"/>
      <c r="AD9" s="269"/>
      <c r="AE9" s="269"/>
      <c r="AF9" s="269"/>
      <c r="AG9" s="269"/>
      <c r="AH9" s="271">
        <f t="shared" ref="AH9:AH72" si="6">COUNTIF(D9:AG9,"Présent")</f>
        <v>10</v>
      </c>
      <c r="AI9" s="272">
        <f t="shared" si="0"/>
        <v>0</v>
      </c>
      <c r="AJ9" s="271">
        <f t="shared" si="1"/>
        <v>0</v>
      </c>
      <c r="AK9" s="271">
        <f t="shared" si="2"/>
        <v>0</v>
      </c>
      <c r="AL9" s="271">
        <f t="shared" si="3"/>
        <v>8</v>
      </c>
      <c r="AM9" s="271">
        <f t="shared" si="4"/>
        <v>1</v>
      </c>
      <c r="AN9" s="271">
        <f t="shared" si="5"/>
        <v>0</v>
      </c>
    </row>
    <row r="10" spans="2:40" ht="16.5" customHeight="1">
      <c r="B10" s="420">
        <f>IF(INDEX(TabSeance[Date],ROW()-6)&lt;&gt;0,INDEX(TabSeance[Date],ROW()-6),"")</f>
        <v>43322</v>
      </c>
      <c r="C10" s="421">
        <f>IF(INDEX(TabSeance[Durée],ROW()-6)&lt;&gt;0,INDEX(TabSeance[Durée],ROW()-6),"")</f>
        <v>75</v>
      </c>
      <c r="D10" s="281" t="s">
        <v>10</v>
      </c>
      <c r="E10" s="281" t="s">
        <v>10</v>
      </c>
      <c r="F10" s="281" t="s">
        <v>14</v>
      </c>
      <c r="G10" s="281" t="s">
        <v>10</v>
      </c>
      <c r="H10" s="281" t="s">
        <v>18</v>
      </c>
      <c r="I10" s="281" t="s">
        <v>10</v>
      </c>
      <c r="J10" s="281" t="s">
        <v>18</v>
      </c>
      <c r="K10" s="281" t="s">
        <v>10</v>
      </c>
      <c r="L10" s="281" t="s">
        <v>14</v>
      </c>
      <c r="M10" s="281" t="s">
        <v>10</v>
      </c>
      <c r="N10" s="281" t="s">
        <v>14</v>
      </c>
      <c r="O10" s="281" t="s">
        <v>14</v>
      </c>
      <c r="P10" s="281" t="s">
        <v>14</v>
      </c>
      <c r="Q10" s="281" t="s">
        <v>10</v>
      </c>
      <c r="R10" s="281" t="s">
        <v>10</v>
      </c>
      <c r="S10" s="281" t="s">
        <v>10</v>
      </c>
      <c r="T10" s="281" t="s">
        <v>10</v>
      </c>
      <c r="U10" s="281" t="s">
        <v>10</v>
      </c>
      <c r="V10" s="281" t="s">
        <v>14</v>
      </c>
      <c r="W10" s="281" t="s">
        <v>14</v>
      </c>
      <c r="X10" s="281" t="s">
        <v>10</v>
      </c>
      <c r="Y10" s="269"/>
      <c r="Z10" s="269"/>
      <c r="AA10" s="269"/>
      <c r="AB10" s="269"/>
      <c r="AC10" s="269"/>
      <c r="AD10" s="269"/>
      <c r="AE10" s="269"/>
      <c r="AF10" s="269"/>
      <c r="AG10" s="269"/>
      <c r="AH10" s="271">
        <f t="shared" si="6"/>
        <v>12</v>
      </c>
      <c r="AI10" s="272">
        <f t="shared" si="0"/>
        <v>0</v>
      </c>
      <c r="AJ10" s="271">
        <f t="shared" si="1"/>
        <v>0</v>
      </c>
      <c r="AK10" s="271">
        <f t="shared" si="2"/>
        <v>0</v>
      </c>
      <c r="AL10" s="271">
        <f t="shared" si="3"/>
        <v>7</v>
      </c>
      <c r="AM10" s="271">
        <f t="shared" si="4"/>
        <v>1</v>
      </c>
      <c r="AN10" s="271">
        <f t="shared" si="5"/>
        <v>0</v>
      </c>
    </row>
    <row r="11" spans="2:40" ht="16.5" customHeight="1">
      <c r="B11" s="420">
        <f>IF(INDEX(TabSeance[Date],ROW()-6)&lt;&gt;0,INDEX(TabSeance[Date],ROW()-6),"")</f>
        <v>43325</v>
      </c>
      <c r="C11" s="421">
        <f>IF(INDEX(TabSeance[Durée],ROW()-6)&lt;&gt;0,INDEX(TabSeance[Durée],ROW()-6),"")</f>
        <v>63</v>
      </c>
      <c r="D11" s="281" t="s">
        <v>10</v>
      </c>
      <c r="E11" s="281" t="s">
        <v>10</v>
      </c>
      <c r="F11" s="281" t="s">
        <v>10</v>
      </c>
      <c r="G11" s="281" t="s">
        <v>10</v>
      </c>
      <c r="H11" s="281" t="s">
        <v>18</v>
      </c>
      <c r="I11" s="281" t="s">
        <v>10</v>
      </c>
      <c r="J11" s="281" t="s">
        <v>10</v>
      </c>
      <c r="K11" s="281" t="s">
        <v>18</v>
      </c>
      <c r="L11" s="281" t="s">
        <v>14</v>
      </c>
      <c r="M11" s="281" t="s">
        <v>10</v>
      </c>
      <c r="N11" s="281" t="s">
        <v>14</v>
      </c>
      <c r="O11" s="281" t="s">
        <v>14</v>
      </c>
      <c r="P11" s="281" t="s">
        <v>14</v>
      </c>
      <c r="Q11" s="281" t="s">
        <v>10</v>
      </c>
      <c r="R11" s="281" t="s">
        <v>10</v>
      </c>
      <c r="S11" s="281" t="s">
        <v>18</v>
      </c>
      <c r="T11" s="281" t="s">
        <v>44</v>
      </c>
      <c r="U11" s="281" t="s">
        <v>10</v>
      </c>
      <c r="V11" s="281" t="s">
        <v>14</v>
      </c>
      <c r="W11" s="281" t="s">
        <v>14</v>
      </c>
      <c r="X11" s="281" t="s">
        <v>10</v>
      </c>
      <c r="Y11" s="269"/>
      <c r="Z11" s="269"/>
      <c r="AA11" s="269"/>
      <c r="AB11" s="269"/>
      <c r="AC11" s="269"/>
      <c r="AD11" s="269"/>
      <c r="AE11" s="269"/>
      <c r="AF11" s="269"/>
      <c r="AG11" s="269"/>
      <c r="AH11" s="271">
        <f t="shared" si="6"/>
        <v>11</v>
      </c>
      <c r="AI11" s="272">
        <f t="shared" si="0"/>
        <v>0</v>
      </c>
      <c r="AJ11" s="271">
        <f t="shared" si="1"/>
        <v>0</v>
      </c>
      <c r="AK11" s="271">
        <f t="shared" si="2"/>
        <v>0</v>
      </c>
      <c r="AL11" s="271">
        <f t="shared" si="3"/>
        <v>6</v>
      </c>
      <c r="AM11" s="271">
        <f t="shared" si="4"/>
        <v>2</v>
      </c>
      <c r="AN11" s="271">
        <f t="shared" si="5"/>
        <v>1</v>
      </c>
    </row>
    <row r="12" spans="2:40" ht="16.5" customHeight="1">
      <c r="B12" s="420">
        <f>IF(INDEX(TabSeance[Date],ROW()-6)&lt;&gt;0,INDEX(TabSeance[Date],ROW()-6),"")</f>
        <v>43326</v>
      </c>
      <c r="C12" s="421">
        <f>IF(INDEX(TabSeance[Durée],ROW()-6)&lt;&gt;0,INDEX(TabSeance[Durée],ROW()-6),"")</f>
        <v>71</v>
      </c>
      <c r="D12" s="281" t="s">
        <v>10</v>
      </c>
      <c r="E12" s="281" t="s">
        <v>10</v>
      </c>
      <c r="F12" s="281" t="s">
        <v>10</v>
      </c>
      <c r="G12" s="281" t="s">
        <v>18</v>
      </c>
      <c r="H12" s="281" t="s">
        <v>18</v>
      </c>
      <c r="I12" s="281" t="s">
        <v>10</v>
      </c>
      <c r="J12" s="281" t="s">
        <v>10</v>
      </c>
      <c r="K12" s="281" t="s">
        <v>10</v>
      </c>
      <c r="L12" s="281" t="s">
        <v>14</v>
      </c>
      <c r="M12" s="281" t="s">
        <v>10</v>
      </c>
      <c r="N12" s="281" t="s">
        <v>14</v>
      </c>
      <c r="O12" s="281" t="s">
        <v>10</v>
      </c>
      <c r="P12" s="281" t="s">
        <v>14</v>
      </c>
      <c r="Q12" s="281" t="s">
        <v>10</v>
      </c>
      <c r="R12" s="281" t="s">
        <v>10</v>
      </c>
      <c r="S12" s="281" t="s">
        <v>18</v>
      </c>
      <c r="T12" s="281" t="s">
        <v>44</v>
      </c>
      <c r="U12" s="281" t="s">
        <v>10</v>
      </c>
      <c r="V12" s="281" t="s">
        <v>14</v>
      </c>
      <c r="W12" s="281" t="s">
        <v>14</v>
      </c>
      <c r="X12" s="281" t="s">
        <v>10</v>
      </c>
      <c r="Y12" s="269"/>
      <c r="Z12" s="269"/>
      <c r="AA12" s="269"/>
      <c r="AB12" s="269"/>
      <c r="AC12" s="269"/>
      <c r="AD12" s="269"/>
      <c r="AE12" s="269"/>
      <c r="AF12" s="269"/>
      <c r="AG12" s="269"/>
      <c r="AH12" s="271">
        <f t="shared" si="6"/>
        <v>12</v>
      </c>
      <c r="AI12" s="272">
        <f t="shared" si="0"/>
        <v>0</v>
      </c>
      <c r="AJ12" s="271">
        <f t="shared" si="1"/>
        <v>0</v>
      </c>
      <c r="AK12" s="271">
        <f t="shared" si="2"/>
        <v>0</v>
      </c>
      <c r="AL12" s="271">
        <f t="shared" si="3"/>
        <v>5</v>
      </c>
      <c r="AM12" s="271">
        <f t="shared" si="4"/>
        <v>1</v>
      </c>
      <c r="AN12" s="271">
        <f t="shared" si="5"/>
        <v>1</v>
      </c>
    </row>
    <row r="13" spans="2:40" ht="16.5" customHeight="1">
      <c r="B13" s="420">
        <f>IF(INDEX(TabSeance[Date],ROW()-6)&lt;&gt;0,INDEX(TabSeance[Date],ROW()-6),"")</f>
        <v>43327</v>
      </c>
      <c r="C13" s="421">
        <f>IF(INDEX(TabSeance[Durée],ROW()-6)&lt;&gt;0,INDEX(TabSeance[Durée],ROW()-6),"")</f>
        <v>55</v>
      </c>
      <c r="D13" s="281" t="s">
        <v>10</v>
      </c>
      <c r="E13" s="281" t="s">
        <v>18</v>
      </c>
      <c r="F13" s="281" t="s">
        <v>10</v>
      </c>
      <c r="G13" s="281" t="s">
        <v>18</v>
      </c>
      <c r="H13" s="281" t="s">
        <v>18</v>
      </c>
      <c r="I13" s="281" t="s">
        <v>10</v>
      </c>
      <c r="J13" s="281" t="s">
        <v>10</v>
      </c>
      <c r="K13" s="281" t="s">
        <v>18</v>
      </c>
      <c r="L13" s="281" t="s">
        <v>14</v>
      </c>
      <c r="M13" s="281" t="s">
        <v>44</v>
      </c>
      <c r="N13" s="281" t="s">
        <v>14</v>
      </c>
      <c r="O13" s="281" t="s">
        <v>10</v>
      </c>
      <c r="P13" s="281" t="s">
        <v>14</v>
      </c>
      <c r="Q13" s="281" t="s">
        <v>10</v>
      </c>
      <c r="R13" s="281" t="s">
        <v>10</v>
      </c>
      <c r="S13" s="281" t="s">
        <v>18</v>
      </c>
      <c r="T13" s="281" t="s">
        <v>44</v>
      </c>
      <c r="U13" s="281" t="s">
        <v>44</v>
      </c>
      <c r="V13" s="281" t="s">
        <v>14</v>
      </c>
      <c r="W13" s="281" t="s">
        <v>14</v>
      </c>
      <c r="X13" s="281" t="s">
        <v>10</v>
      </c>
      <c r="Y13" s="269"/>
      <c r="Z13" s="269"/>
      <c r="AA13" s="269"/>
      <c r="AB13" s="269"/>
      <c r="AC13" s="269"/>
      <c r="AD13" s="269"/>
      <c r="AE13" s="269"/>
      <c r="AF13" s="269"/>
      <c r="AG13" s="269"/>
      <c r="AH13" s="271">
        <f t="shared" si="6"/>
        <v>8</v>
      </c>
      <c r="AI13" s="272">
        <f t="shared" si="0"/>
        <v>0</v>
      </c>
      <c r="AJ13" s="271">
        <f t="shared" si="1"/>
        <v>0</v>
      </c>
      <c r="AK13" s="271">
        <f t="shared" si="2"/>
        <v>0</v>
      </c>
      <c r="AL13" s="271">
        <f t="shared" si="3"/>
        <v>5</v>
      </c>
      <c r="AM13" s="271">
        <f t="shared" si="4"/>
        <v>2</v>
      </c>
      <c r="AN13" s="271">
        <f t="shared" si="5"/>
        <v>3</v>
      </c>
    </row>
    <row r="14" spans="2:40" ht="16.5" customHeight="1">
      <c r="B14" s="420">
        <f>IF(INDEX(TabSeance[Date],ROW()-6)&lt;&gt;0,INDEX(TabSeance[Date],ROW()-6),"")</f>
        <v>43328</v>
      </c>
      <c r="C14" s="421">
        <f>IF(INDEX(TabSeance[Durée],ROW()-6)&lt;&gt;0,INDEX(TabSeance[Durée],ROW()-6),"")</f>
        <v>67</v>
      </c>
      <c r="D14" s="281" t="s">
        <v>10</v>
      </c>
      <c r="E14" s="281" t="s">
        <v>10</v>
      </c>
      <c r="F14" s="281" t="s">
        <v>10</v>
      </c>
      <c r="G14" s="281" t="s">
        <v>10</v>
      </c>
      <c r="H14" s="281" t="s">
        <v>18</v>
      </c>
      <c r="I14" s="281" t="s">
        <v>10</v>
      </c>
      <c r="J14" s="281" t="s">
        <v>10</v>
      </c>
      <c r="K14" s="281" t="s">
        <v>10</v>
      </c>
      <c r="L14" s="281" t="s">
        <v>14</v>
      </c>
      <c r="M14" s="281" t="s">
        <v>10</v>
      </c>
      <c r="N14" s="281" t="s">
        <v>14</v>
      </c>
      <c r="O14" s="281" t="s">
        <v>10</v>
      </c>
      <c r="P14" s="281" t="s">
        <v>14</v>
      </c>
      <c r="Q14" s="281" t="s">
        <v>10</v>
      </c>
      <c r="R14" s="281" t="s">
        <v>10</v>
      </c>
      <c r="S14" s="281" t="s">
        <v>18</v>
      </c>
      <c r="T14" s="281" t="s">
        <v>44</v>
      </c>
      <c r="U14" s="281" t="s">
        <v>10</v>
      </c>
      <c r="V14" s="281" t="s">
        <v>14</v>
      </c>
      <c r="W14" s="281" t="s">
        <v>14</v>
      </c>
      <c r="X14" s="281" t="s">
        <v>10</v>
      </c>
      <c r="Y14" s="269"/>
      <c r="Z14" s="269"/>
      <c r="AA14" s="269"/>
      <c r="AB14" s="269"/>
      <c r="AC14" s="269"/>
      <c r="AD14" s="269"/>
      <c r="AE14" s="269"/>
      <c r="AF14" s="269"/>
      <c r="AG14" s="269"/>
      <c r="AH14" s="271">
        <f t="shared" si="6"/>
        <v>13</v>
      </c>
      <c r="AI14" s="272">
        <f t="shared" si="0"/>
        <v>0</v>
      </c>
      <c r="AJ14" s="271">
        <f t="shared" si="1"/>
        <v>0</v>
      </c>
      <c r="AK14" s="271">
        <f t="shared" si="2"/>
        <v>0</v>
      </c>
      <c r="AL14" s="271">
        <f t="shared" si="3"/>
        <v>5</v>
      </c>
      <c r="AM14" s="271">
        <f t="shared" si="4"/>
        <v>1</v>
      </c>
      <c r="AN14" s="271">
        <f t="shared" si="5"/>
        <v>1</v>
      </c>
    </row>
    <row r="15" spans="2:40" ht="16.5" customHeight="1">
      <c r="B15" s="420">
        <f>IF(INDEX(TabSeance[Date],ROW()-6)&lt;&gt;0,INDEX(TabSeance[Date],ROW()-6),"")</f>
        <v>43329</v>
      </c>
      <c r="C15" s="421">
        <f>IF(INDEX(TabSeance[Durée],ROW()-6)&lt;&gt;0,INDEX(TabSeance[Durée],ROW()-6),"")</f>
        <v>61</v>
      </c>
      <c r="D15" s="281" t="s">
        <v>10</v>
      </c>
      <c r="E15" s="281" t="s">
        <v>18</v>
      </c>
      <c r="F15" s="281" t="s">
        <v>10</v>
      </c>
      <c r="G15" s="281" t="s">
        <v>10</v>
      </c>
      <c r="H15" s="281" t="s">
        <v>18</v>
      </c>
      <c r="I15" s="281" t="s">
        <v>44</v>
      </c>
      <c r="J15" s="281" t="s">
        <v>10</v>
      </c>
      <c r="K15" s="281" t="s">
        <v>10</v>
      </c>
      <c r="L15" s="281" t="s">
        <v>14</v>
      </c>
      <c r="M15" s="281" t="s">
        <v>44</v>
      </c>
      <c r="N15" s="281" t="s">
        <v>14</v>
      </c>
      <c r="O15" s="281" t="s">
        <v>10</v>
      </c>
      <c r="P15" s="281" t="s">
        <v>14</v>
      </c>
      <c r="Q15" s="281" t="s">
        <v>10</v>
      </c>
      <c r="R15" s="281" t="s">
        <v>10</v>
      </c>
      <c r="S15" s="281" t="s">
        <v>18</v>
      </c>
      <c r="T15" s="281" t="s">
        <v>44</v>
      </c>
      <c r="U15" s="281" t="s">
        <v>10</v>
      </c>
      <c r="V15" s="281" t="s">
        <v>14</v>
      </c>
      <c r="W15" s="281" t="s">
        <v>14</v>
      </c>
      <c r="X15" s="281" t="s">
        <v>10</v>
      </c>
      <c r="Y15" s="269"/>
      <c r="Z15" s="269"/>
      <c r="AA15" s="269"/>
      <c r="AB15" s="269"/>
      <c r="AC15" s="269"/>
      <c r="AD15" s="269"/>
      <c r="AE15" s="269"/>
      <c r="AF15" s="269"/>
      <c r="AG15" s="269"/>
      <c r="AH15" s="271">
        <f t="shared" si="6"/>
        <v>10</v>
      </c>
      <c r="AI15" s="272">
        <f t="shared" si="0"/>
        <v>0</v>
      </c>
      <c r="AJ15" s="271">
        <f t="shared" si="1"/>
        <v>0</v>
      </c>
      <c r="AK15" s="271">
        <f t="shared" si="2"/>
        <v>0</v>
      </c>
      <c r="AL15" s="271">
        <f t="shared" si="3"/>
        <v>5</v>
      </c>
      <c r="AM15" s="271">
        <f t="shared" si="4"/>
        <v>1</v>
      </c>
      <c r="AN15" s="271">
        <f t="shared" si="5"/>
        <v>3</v>
      </c>
    </row>
    <row r="16" spans="2:40" ht="16.5" customHeight="1">
      <c r="B16" s="420">
        <f>IF(INDEX(TabSeance[Date],ROW()-6)&lt;&gt;0,INDEX(TabSeance[Date],ROW()-6),"")</f>
        <v>43330</v>
      </c>
      <c r="C16" s="421">
        <f>IF(INDEX(TabSeance[Durée],ROW()-6)&lt;&gt;0,INDEX(TabSeance[Durée],ROW()-6),"")</f>
        <v>70</v>
      </c>
      <c r="D16" s="281" t="s">
        <v>10</v>
      </c>
      <c r="E16" s="281" t="s">
        <v>44</v>
      </c>
      <c r="F16" s="281" t="s">
        <v>10</v>
      </c>
      <c r="G16" s="281" t="s">
        <v>10</v>
      </c>
      <c r="H16" s="281" t="s">
        <v>18</v>
      </c>
      <c r="I16" s="281" t="s">
        <v>10</v>
      </c>
      <c r="J16" s="281" t="s">
        <v>10</v>
      </c>
      <c r="K16" s="281" t="s">
        <v>10</v>
      </c>
      <c r="L16" s="281" t="s">
        <v>14</v>
      </c>
      <c r="M16" s="281" t="s">
        <v>10</v>
      </c>
      <c r="N16" s="281" t="s">
        <v>14</v>
      </c>
      <c r="O16" s="281" t="s">
        <v>10</v>
      </c>
      <c r="P16" s="281" t="s">
        <v>14</v>
      </c>
      <c r="Q16" s="281" t="s">
        <v>10</v>
      </c>
      <c r="R16" s="281" t="s">
        <v>10</v>
      </c>
      <c r="S16" s="281" t="s">
        <v>18</v>
      </c>
      <c r="T16" s="281" t="s">
        <v>44</v>
      </c>
      <c r="U16" s="281" t="s">
        <v>10</v>
      </c>
      <c r="V16" s="281" t="s">
        <v>14</v>
      </c>
      <c r="W16" s="281" t="s">
        <v>14</v>
      </c>
      <c r="X16" s="281" t="s">
        <v>10</v>
      </c>
      <c r="Y16" s="269"/>
      <c r="Z16" s="269"/>
      <c r="AA16" s="269"/>
      <c r="AB16" s="269"/>
      <c r="AC16" s="269"/>
      <c r="AD16" s="269"/>
      <c r="AE16" s="269"/>
      <c r="AF16" s="269"/>
      <c r="AG16" s="269"/>
      <c r="AH16" s="271">
        <f t="shared" si="6"/>
        <v>12</v>
      </c>
      <c r="AI16" s="272">
        <f t="shared" si="0"/>
        <v>0</v>
      </c>
      <c r="AJ16" s="271">
        <f t="shared" si="1"/>
        <v>0</v>
      </c>
      <c r="AK16" s="271">
        <f t="shared" si="2"/>
        <v>0</v>
      </c>
      <c r="AL16" s="271">
        <f t="shared" si="3"/>
        <v>5</v>
      </c>
      <c r="AM16" s="271">
        <f t="shared" si="4"/>
        <v>1</v>
      </c>
      <c r="AN16" s="271">
        <f t="shared" si="5"/>
        <v>2</v>
      </c>
    </row>
    <row r="17" spans="2:40" ht="16.5" customHeight="1">
      <c r="B17" s="420">
        <f>IF(INDEX(TabSeance[Date],ROW()-6)&lt;&gt;0,INDEX(TabSeance[Date],ROW()-6),"")</f>
        <v>43332</v>
      </c>
      <c r="C17" s="421">
        <f>IF(INDEX(TabSeance[Durée],ROW()-6)&lt;&gt;0,INDEX(TabSeance[Durée],ROW()-6),"")</f>
        <v>69</v>
      </c>
      <c r="D17" s="281" t="s">
        <v>10</v>
      </c>
      <c r="E17" s="281" t="s">
        <v>10</v>
      </c>
      <c r="F17" s="281" t="s">
        <v>10</v>
      </c>
      <c r="G17" s="281" t="s">
        <v>10</v>
      </c>
      <c r="H17" s="281" t="s">
        <v>18</v>
      </c>
      <c r="I17" s="281" t="s">
        <v>44</v>
      </c>
      <c r="J17" s="281" t="s">
        <v>44</v>
      </c>
      <c r="K17" s="281" t="s">
        <v>44</v>
      </c>
      <c r="L17" s="281" t="s">
        <v>10</v>
      </c>
      <c r="M17" s="281" t="s">
        <v>10</v>
      </c>
      <c r="N17" s="281" t="s">
        <v>10</v>
      </c>
      <c r="O17" s="281" t="s">
        <v>10</v>
      </c>
      <c r="P17" s="281" t="s">
        <v>10</v>
      </c>
      <c r="Q17" s="281" t="s">
        <v>10</v>
      </c>
      <c r="R17" s="281" t="s">
        <v>10</v>
      </c>
      <c r="S17" s="281" t="s">
        <v>10</v>
      </c>
      <c r="T17" s="281" t="s">
        <v>10</v>
      </c>
      <c r="U17" s="281" t="s">
        <v>10</v>
      </c>
      <c r="V17" s="281" t="s">
        <v>14</v>
      </c>
      <c r="W17" s="281" t="s">
        <v>14</v>
      </c>
      <c r="X17" s="281" t="s">
        <v>10</v>
      </c>
      <c r="Y17" s="269"/>
      <c r="Z17" s="269"/>
      <c r="AA17" s="269"/>
      <c r="AB17" s="269"/>
      <c r="AC17" s="269"/>
      <c r="AD17" s="269"/>
      <c r="AE17" s="269"/>
      <c r="AF17" s="269"/>
      <c r="AG17" s="269"/>
      <c r="AH17" s="271">
        <f t="shared" si="6"/>
        <v>15</v>
      </c>
      <c r="AI17" s="272">
        <f t="shared" si="0"/>
        <v>0</v>
      </c>
      <c r="AJ17" s="271">
        <f t="shared" si="1"/>
        <v>0</v>
      </c>
      <c r="AK17" s="271">
        <f t="shared" si="2"/>
        <v>0</v>
      </c>
      <c r="AL17" s="271">
        <f t="shared" si="3"/>
        <v>2</v>
      </c>
      <c r="AM17" s="271">
        <f t="shared" si="4"/>
        <v>0</v>
      </c>
      <c r="AN17" s="271">
        <f t="shared" si="5"/>
        <v>3</v>
      </c>
    </row>
    <row r="18" spans="2:40" ht="16.5" customHeight="1">
      <c r="B18" s="420">
        <f>IF(INDEX(TabSeance[Date],ROW()-6)&lt;&gt;0,INDEX(TabSeance[Date],ROW()-6),"")</f>
        <v>43333</v>
      </c>
      <c r="C18" s="421">
        <f>IF(INDEX(TabSeance[Durée],ROW()-6)&lt;&gt;0,INDEX(TabSeance[Durée],ROW()-6),"")</f>
        <v>50</v>
      </c>
      <c r="D18" s="281" t="s">
        <v>10</v>
      </c>
      <c r="E18" s="281" t="s">
        <v>10</v>
      </c>
      <c r="F18" s="281" t="s">
        <v>10</v>
      </c>
      <c r="G18" s="281" t="s">
        <v>18</v>
      </c>
      <c r="H18" s="281" t="s">
        <v>18</v>
      </c>
      <c r="I18" s="281" t="s">
        <v>10</v>
      </c>
      <c r="J18" s="281" t="s">
        <v>44</v>
      </c>
      <c r="K18" s="281" t="s">
        <v>10</v>
      </c>
      <c r="L18" s="281" t="s">
        <v>10</v>
      </c>
      <c r="M18" s="281" t="s">
        <v>10</v>
      </c>
      <c r="N18" s="281" t="s">
        <v>44</v>
      </c>
      <c r="O18" s="281" t="s">
        <v>18</v>
      </c>
      <c r="P18" s="281" t="s">
        <v>44</v>
      </c>
      <c r="Q18" s="281" t="s">
        <v>10</v>
      </c>
      <c r="R18" s="281" t="s">
        <v>10</v>
      </c>
      <c r="S18" s="281" t="s">
        <v>10</v>
      </c>
      <c r="T18" s="281" t="s">
        <v>10</v>
      </c>
      <c r="U18" s="281" t="s">
        <v>10</v>
      </c>
      <c r="V18" s="281" t="s">
        <v>14</v>
      </c>
      <c r="W18" s="281" t="s">
        <v>14</v>
      </c>
      <c r="X18" s="281" t="s">
        <v>10</v>
      </c>
      <c r="Y18" s="269"/>
      <c r="Z18" s="269"/>
      <c r="AA18" s="269"/>
      <c r="AB18" s="269"/>
      <c r="AC18" s="269"/>
      <c r="AD18" s="269"/>
      <c r="AE18" s="269"/>
      <c r="AF18" s="269"/>
      <c r="AG18" s="269"/>
      <c r="AH18" s="271">
        <f t="shared" si="6"/>
        <v>13</v>
      </c>
      <c r="AI18" s="272">
        <f t="shared" si="0"/>
        <v>0</v>
      </c>
      <c r="AJ18" s="271">
        <f t="shared" si="1"/>
        <v>0</v>
      </c>
      <c r="AK18" s="271">
        <f t="shared" si="2"/>
        <v>0</v>
      </c>
      <c r="AL18" s="271">
        <f t="shared" si="3"/>
        <v>2</v>
      </c>
      <c r="AM18" s="271">
        <f t="shared" si="4"/>
        <v>1</v>
      </c>
      <c r="AN18" s="271">
        <f t="shared" si="5"/>
        <v>3</v>
      </c>
    </row>
    <row r="19" spans="2:40" ht="16.5" customHeight="1">
      <c r="B19" s="420">
        <f>IF(INDEX(TabSeance[Date],ROW()-6)&lt;&gt;0,INDEX(TabSeance[Date],ROW()-6),"")</f>
        <v>43335</v>
      </c>
      <c r="C19" s="421">
        <f>IF(INDEX(TabSeance[Durée],ROW()-6)&lt;&gt;0,INDEX(TabSeance[Durée],ROW()-6),"")</f>
        <v>55</v>
      </c>
      <c r="D19" s="281" t="s">
        <v>10</v>
      </c>
      <c r="E19" s="281" t="s">
        <v>10</v>
      </c>
      <c r="F19" s="281" t="s">
        <v>44</v>
      </c>
      <c r="G19" s="281" t="s">
        <v>10</v>
      </c>
      <c r="H19" s="281" t="s">
        <v>18</v>
      </c>
      <c r="I19" s="281" t="s">
        <v>10</v>
      </c>
      <c r="J19" s="281" t="s">
        <v>10</v>
      </c>
      <c r="K19" s="281" t="s">
        <v>18</v>
      </c>
      <c r="L19" s="281" t="s">
        <v>10</v>
      </c>
      <c r="M19" s="281" t="s">
        <v>10</v>
      </c>
      <c r="N19" s="281" t="s">
        <v>10</v>
      </c>
      <c r="O19" s="281" t="s">
        <v>10</v>
      </c>
      <c r="P19" s="281" t="s">
        <v>44</v>
      </c>
      <c r="Q19" s="281" t="s">
        <v>10</v>
      </c>
      <c r="R19" s="281" t="s">
        <v>10</v>
      </c>
      <c r="S19" s="281" t="s">
        <v>18</v>
      </c>
      <c r="T19" s="281" t="s">
        <v>10</v>
      </c>
      <c r="U19" s="281" t="s">
        <v>10</v>
      </c>
      <c r="V19" s="281" t="s">
        <v>14</v>
      </c>
      <c r="W19" s="281" t="s">
        <v>14</v>
      </c>
      <c r="X19" s="281" t="s">
        <v>10</v>
      </c>
      <c r="Y19" s="269"/>
      <c r="Z19" s="269"/>
      <c r="AA19" s="269"/>
      <c r="AB19" s="269"/>
      <c r="AC19" s="269"/>
      <c r="AD19" s="269"/>
      <c r="AE19" s="269"/>
      <c r="AF19" s="269"/>
      <c r="AG19" s="269"/>
      <c r="AH19" s="271">
        <f t="shared" si="6"/>
        <v>14</v>
      </c>
      <c r="AI19" s="272">
        <f t="shared" si="0"/>
        <v>0</v>
      </c>
      <c r="AJ19" s="271">
        <f t="shared" si="1"/>
        <v>0</v>
      </c>
      <c r="AK19" s="271">
        <f t="shared" si="2"/>
        <v>0</v>
      </c>
      <c r="AL19" s="271">
        <f t="shared" si="3"/>
        <v>2</v>
      </c>
      <c r="AM19" s="271">
        <f t="shared" si="4"/>
        <v>2</v>
      </c>
      <c r="AN19" s="271">
        <f t="shared" si="5"/>
        <v>2</v>
      </c>
    </row>
    <row r="20" spans="2:40" ht="16.5" customHeight="1">
      <c r="B20" s="420">
        <f>IF(INDEX(TabSeance[Date],ROW()-6)&lt;&gt;0,INDEX(TabSeance[Date],ROW()-6),"")</f>
        <v>43336</v>
      </c>
      <c r="C20" s="421">
        <f>IF(INDEX(TabSeance[Durée],ROW()-6)&lt;&gt;0,INDEX(TabSeance[Durée],ROW()-6),"")</f>
        <v>70</v>
      </c>
      <c r="D20" s="281" t="s">
        <v>10</v>
      </c>
      <c r="E20" s="281" t="s">
        <v>10</v>
      </c>
      <c r="F20" s="281" t="s">
        <v>10</v>
      </c>
      <c r="G20" s="281" t="s">
        <v>10</v>
      </c>
      <c r="H20" s="281" t="s">
        <v>10</v>
      </c>
      <c r="I20" s="281" t="s">
        <v>10</v>
      </c>
      <c r="J20" s="281" t="s">
        <v>10</v>
      </c>
      <c r="K20" s="281" t="s">
        <v>10</v>
      </c>
      <c r="L20" s="281" t="s">
        <v>15</v>
      </c>
      <c r="M20" s="281" t="s">
        <v>44</v>
      </c>
      <c r="N20" s="281" t="s">
        <v>10</v>
      </c>
      <c r="O20" s="281" t="s">
        <v>10</v>
      </c>
      <c r="P20" s="281" t="s">
        <v>10</v>
      </c>
      <c r="Q20" s="281" t="s">
        <v>10</v>
      </c>
      <c r="R20" s="281" t="s">
        <v>10</v>
      </c>
      <c r="S20" s="281" t="s">
        <v>10</v>
      </c>
      <c r="T20" s="281" t="s">
        <v>10</v>
      </c>
      <c r="U20" s="281" t="s">
        <v>10</v>
      </c>
      <c r="V20" s="281" t="s">
        <v>14</v>
      </c>
      <c r="W20" s="281" t="s">
        <v>14</v>
      </c>
      <c r="X20" s="281" t="s">
        <v>10</v>
      </c>
      <c r="Y20" s="269"/>
      <c r="Z20" s="269"/>
      <c r="AA20" s="269"/>
      <c r="AB20" s="269"/>
      <c r="AC20" s="269"/>
      <c r="AD20" s="269"/>
      <c r="AE20" s="269"/>
      <c r="AF20" s="269"/>
      <c r="AG20" s="269"/>
      <c r="AH20" s="271">
        <f t="shared" si="6"/>
        <v>17</v>
      </c>
      <c r="AI20" s="272">
        <f t="shared" si="0"/>
        <v>0</v>
      </c>
      <c r="AJ20" s="271">
        <f t="shared" si="1"/>
        <v>0</v>
      </c>
      <c r="AK20" s="271">
        <f t="shared" si="2"/>
        <v>1</v>
      </c>
      <c r="AL20" s="271">
        <f t="shared" si="3"/>
        <v>2</v>
      </c>
      <c r="AM20" s="271">
        <f t="shared" si="4"/>
        <v>0</v>
      </c>
      <c r="AN20" s="271">
        <f t="shared" si="5"/>
        <v>1</v>
      </c>
    </row>
    <row r="21" spans="2:40" ht="16.5" customHeight="1">
      <c r="B21" s="420">
        <f>IF(INDEX(TabSeance[Date],ROW()-6)&lt;&gt;0,INDEX(TabSeance[Date],ROW()-6),"")</f>
        <v>43339</v>
      </c>
      <c r="C21" s="421">
        <f>IF(INDEX(TabSeance[Durée],ROW()-6)&lt;&gt;0,INDEX(TabSeance[Durée],ROW()-6),"")</f>
        <v>64</v>
      </c>
      <c r="D21" s="281" t="s">
        <v>10</v>
      </c>
      <c r="E21" s="281" t="s">
        <v>10</v>
      </c>
      <c r="F21" s="281" t="s">
        <v>10</v>
      </c>
      <c r="G21" s="281" t="s">
        <v>10</v>
      </c>
      <c r="H21" s="281" t="s">
        <v>18</v>
      </c>
      <c r="I21" s="281" t="s">
        <v>10</v>
      </c>
      <c r="J21" s="281" t="s">
        <v>10</v>
      </c>
      <c r="K21" s="281" t="s">
        <v>18</v>
      </c>
      <c r="L21" s="281" t="s">
        <v>10</v>
      </c>
      <c r="M21" s="281" t="s">
        <v>10</v>
      </c>
      <c r="N21" s="281" t="s">
        <v>18</v>
      </c>
      <c r="O21" s="281" t="s">
        <v>10</v>
      </c>
      <c r="P21" s="281" t="s">
        <v>10</v>
      </c>
      <c r="Q21" s="281" t="s">
        <v>10</v>
      </c>
      <c r="R21" s="281" t="s">
        <v>10</v>
      </c>
      <c r="S21" s="281" t="s">
        <v>18</v>
      </c>
      <c r="T21" s="281" t="s">
        <v>10</v>
      </c>
      <c r="U21" s="281" t="s">
        <v>10</v>
      </c>
      <c r="V21" s="281" t="s">
        <v>14</v>
      </c>
      <c r="W21" s="281" t="s">
        <v>18</v>
      </c>
      <c r="X21" s="281" t="s">
        <v>10</v>
      </c>
      <c r="Y21" s="269"/>
      <c r="Z21" s="269"/>
      <c r="AA21" s="269"/>
      <c r="AB21" s="269"/>
      <c r="AC21" s="269"/>
      <c r="AD21" s="269"/>
      <c r="AE21" s="269"/>
      <c r="AF21" s="269"/>
      <c r="AG21" s="269"/>
      <c r="AH21" s="271">
        <f t="shared" si="6"/>
        <v>15</v>
      </c>
      <c r="AI21" s="272">
        <f t="shared" si="0"/>
        <v>0</v>
      </c>
      <c r="AJ21" s="271">
        <f t="shared" si="1"/>
        <v>0</v>
      </c>
      <c r="AK21" s="271">
        <f t="shared" si="2"/>
        <v>0</v>
      </c>
      <c r="AL21" s="271">
        <f t="shared" si="3"/>
        <v>1</v>
      </c>
      <c r="AM21" s="271">
        <f t="shared" si="4"/>
        <v>4</v>
      </c>
      <c r="AN21" s="271">
        <f t="shared" si="5"/>
        <v>0</v>
      </c>
    </row>
    <row r="22" spans="2:40" ht="16.5" customHeight="1">
      <c r="B22" s="420">
        <f>IF(INDEX(TabSeance[Date],ROW()-6)&lt;&gt;0,INDEX(TabSeance[Date],ROW()-6),"")</f>
        <v>43340</v>
      </c>
      <c r="C22" s="421">
        <f>IF(INDEX(TabSeance[Durée],ROW()-6)&lt;&gt;0,INDEX(TabSeance[Durée],ROW()-6),"")</f>
        <v>60</v>
      </c>
      <c r="D22" s="281" t="s">
        <v>10</v>
      </c>
      <c r="E22" s="281" t="s">
        <v>10</v>
      </c>
      <c r="F22" s="281" t="s">
        <v>10</v>
      </c>
      <c r="G22" s="281" t="s">
        <v>10</v>
      </c>
      <c r="H22" s="281" t="s">
        <v>18</v>
      </c>
      <c r="I22" s="281" t="s">
        <v>10</v>
      </c>
      <c r="J22" s="281" t="s">
        <v>10</v>
      </c>
      <c r="K22" s="281" t="s">
        <v>10</v>
      </c>
      <c r="L22" s="281" t="s">
        <v>44</v>
      </c>
      <c r="M22" s="281" t="s">
        <v>10</v>
      </c>
      <c r="N22" s="281" t="s">
        <v>10</v>
      </c>
      <c r="O22" s="281" t="s">
        <v>10</v>
      </c>
      <c r="P22" s="281" t="s">
        <v>10</v>
      </c>
      <c r="Q22" s="281" t="s">
        <v>10</v>
      </c>
      <c r="R22" s="281" t="s">
        <v>10</v>
      </c>
      <c r="S22" s="281" t="s">
        <v>10</v>
      </c>
      <c r="T22" s="281" t="s">
        <v>44</v>
      </c>
      <c r="U22" s="281" t="s">
        <v>10</v>
      </c>
      <c r="V22" s="281" t="s">
        <v>10</v>
      </c>
      <c r="W22" s="281" t="s">
        <v>18</v>
      </c>
      <c r="X22" s="281" t="s">
        <v>10</v>
      </c>
      <c r="Y22" s="269"/>
      <c r="Z22" s="269"/>
      <c r="AA22" s="269"/>
      <c r="AB22" s="269"/>
      <c r="AC22" s="269"/>
      <c r="AD22" s="269"/>
      <c r="AE22" s="269"/>
      <c r="AF22" s="269"/>
      <c r="AG22" s="269"/>
      <c r="AH22" s="271">
        <f t="shared" si="6"/>
        <v>17</v>
      </c>
      <c r="AI22" s="272">
        <f t="shared" si="0"/>
        <v>0</v>
      </c>
      <c r="AJ22" s="271">
        <f t="shared" si="1"/>
        <v>0</v>
      </c>
      <c r="AK22" s="271">
        <f t="shared" si="2"/>
        <v>0</v>
      </c>
      <c r="AL22" s="271">
        <f t="shared" si="3"/>
        <v>0</v>
      </c>
      <c r="AM22" s="271">
        <f t="shared" si="4"/>
        <v>1</v>
      </c>
      <c r="AN22" s="271">
        <f t="shared" si="5"/>
        <v>2</v>
      </c>
    </row>
    <row r="23" spans="2:40" ht="16.5" customHeight="1">
      <c r="B23" s="420">
        <f>IF(INDEX(TabSeance[Date],ROW()-6)&lt;&gt;0,INDEX(TabSeance[Date],ROW()-6),"")</f>
        <v>43342</v>
      </c>
      <c r="C23" s="421">
        <f>IF(INDEX(TabSeance[Durée],ROW()-6)&lt;&gt;0,INDEX(TabSeance[Durée],ROW()-6),"")</f>
        <v>57</v>
      </c>
      <c r="D23" s="281" t="s">
        <v>10</v>
      </c>
      <c r="E23" s="281" t="s">
        <v>10</v>
      </c>
      <c r="F23" s="281" t="s">
        <v>10</v>
      </c>
      <c r="G23" s="281" t="s">
        <v>10</v>
      </c>
      <c r="H23" s="281" t="s">
        <v>10</v>
      </c>
      <c r="I23" s="281" t="s">
        <v>10</v>
      </c>
      <c r="J23" s="281" t="s">
        <v>10</v>
      </c>
      <c r="K23" s="281" t="s">
        <v>10</v>
      </c>
      <c r="L23" s="281" t="s">
        <v>10</v>
      </c>
      <c r="M23" s="281" t="s">
        <v>10</v>
      </c>
      <c r="N23" s="281" t="s">
        <v>10</v>
      </c>
      <c r="O23" s="281" t="s">
        <v>10</v>
      </c>
      <c r="P23" s="281" t="s">
        <v>10</v>
      </c>
      <c r="Q23" s="281" t="s">
        <v>10</v>
      </c>
      <c r="R23" s="281" t="s">
        <v>10</v>
      </c>
      <c r="S23" s="281" t="s">
        <v>10</v>
      </c>
      <c r="T23" s="281" t="s">
        <v>10</v>
      </c>
      <c r="U23" s="281" t="s">
        <v>10</v>
      </c>
      <c r="V23" s="281" t="s">
        <v>10</v>
      </c>
      <c r="W23" s="281" t="s">
        <v>18</v>
      </c>
      <c r="X23" s="281" t="s">
        <v>10</v>
      </c>
      <c r="Y23" s="269"/>
      <c r="Z23" s="269"/>
      <c r="AA23" s="269"/>
      <c r="AB23" s="269"/>
      <c r="AC23" s="269"/>
      <c r="AD23" s="269"/>
      <c r="AE23" s="269"/>
      <c r="AF23" s="269"/>
      <c r="AG23" s="269"/>
      <c r="AH23" s="271">
        <f t="shared" si="6"/>
        <v>20</v>
      </c>
      <c r="AI23" s="272">
        <f t="shared" si="0"/>
        <v>0</v>
      </c>
      <c r="AJ23" s="271">
        <f t="shared" si="1"/>
        <v>0</v>
      </c>
      <c r="AK23" s="271">
        <f t="shared" si="2"/>
        <v>0</v>
      </c>
      <c r="AL23" s="271">
        <f t="shared" si="3"/>
        <v>0</v>
      </c>
      <c r="AM23" s="271">
        <f t="shared" si="4"/>
        <v>1</v>
      </c>
      <c r="AN23" s="271">
        <f t="shared" si="5"/>
        <v>0</v>
      </c>
    </row>
    <row r="24" spans="2:40" ht="16.5" customHeight="1">
      <c r="B24" s="420">
        <f>IF(INDEX(TabSeance[Date],ROW()-6)&lt;&gt;0,INDEX(TabSeance[Date],ROW()-6),"")</f>
        <v>43343</v>
      </c>
      <c r="C24" s="421">
        <f>IF(INDEX(TabSeance[Durée],ROW()-6)&lt;&gt;0,INDEX(TabSeance[Durée],ROW()-6),"")</f>
        <v>50</v>
      </c>
      <c r="D24" s="281" t="s">
        <v>10</v>
      </c>
      <c r="E24" s="281" t="s">
        <v>10</v>
      </c>
      <c r="F24" s="281" t="s">
        <v>44</v>
      </c>
      <c r="G24" s="281" t="s">
        <v>10</v>
      </c>
      <c r="H24" s="281" t="s">
        <v>44</v>
      </c>
      <c r="I24" s="281" t="s">
        <v>10</v>
      </c>
      <c r="J24" s="281" t="s">
        <v>10</v>
      </c>
      <c r="K24" s="281" t="s">
        <v>10</v>
      </c>
      <c r="L24" s="281" t="s">
        <v>10</v>
      </c>
      <c r="M24" s="281" t="s">
        <v>44</v>
      </c>
      <c r="N24" s="281" t="s">
        <v>10</v>
      </c>
      <c r="O24" s="281" t="s">
        <v>10</v>
      </c>
      <c r="P24" s="281" t="s">
        <v>10</v>
      </c>
      <c r="Q24" s="281" t="s">
        <v>10</v>
      </c>
      <c r="R24" s="281" t="s">
        <v>10</v>
      </c>
      <c r="S24" s="281" t="s">
        <v>10</v>
      </c>
      <c r="T24" s="281" t="s">
        <v>44</v>
      </c>
      <c r="U24" s="281" t="s">
        <v>10</v>
      </c>
      <c r="V24" s="281" t="s">
        <v>10</v>
      </c>
      <c r="W24" s="281" t="s">
        <v>18</v>
      </c>
      <c r="X24" s="281" t="s">
        <v>10</v>
      </c>
      <c r="Y24" s="269"/>
      <c r="Z24" s="269"/>
      <c r="AA24" s="269"/>
      <c r="AB24" s="269"/>
      <c r="AC24" s="269"/>
      <c r="AD24" s="269"/>
      <c r="AE24" s="269"/>
      <c r="AF24" s="269"/>
      <c r="AG24" s="269"/>
      <c r="AH24" s="271">
        <f t="shared" si="6"/>
        <v>16</v>
      </c>
      <c r="AI24" s="272">
        <f t="shared" si="0"/>
        <v>0</v>
      </c>
      <c r="AJ24" s="271">
        <f t="shared" si="1"/>
        <v>0</v>
      </c>
      <c r="AK24" s="271">
        <f t="shared" si="2"/>
        <v>0</v>
      </c>
      <c r="AL24" s="271">
        <f t="shared" si="3"/>
        <v>0</v>
      </c>
      <c r="AM24" s="271">
        <f t="shared" si="4"/>
        <v>1</v>
      </c>
      <c r="AN24" s="271">
        <f t="shared" si="5"/>
        <v>4</v>
      </c>
    </row>
    <row r="25" spans="2:40" ht="16.5" customHeight="1">
      <c r="B25" s="420">
        <f>IF(INDEX(TabSeance[Date],ROW()-6)&lt;&gt;0,INDEX(TabSeance[Date],ROW()-6),"")</f>
        <v>43347</v>
      </c>
      <c r="C25" s="421">
        <f>IF(INDEX(TabSeance[Durée],ROW()-6)&lt;&gt;0,INDEX(TabSeance[Durée],ROW()-6),"")</f>
        <v>65</v>
      </c>
      <c r="D25" s="281" t="s">
        <v>10</v>
      </c>
      <c r="E25" s="281" t="s">
        <v>10</v>
      </c>
      <c r="F25" s="281" t="s">
        <v>10</v>
      </c>
      <c r="G25" s="281" t="s">
        <v>18</v>
      </c>
      <c r="H25" s="281" t="s">
        <v>18</v>
      </c>
      <c r="I25" s="281" t="s">
        <v>469</v>
      </c>
      <c r="J25" s="281" t="s">
        <v>18</v>
      </c>
      <c r="K25" s="281" t="s">
        <v>15</v>
      </c>
      <c r="L25" s="281" t="s">
        <v>10</v>
      </c>
      <c r="M25" s="281" t="s">
        <v>10</v>
      </c>
      <c r="N25" s="281" t="s">
        <v>10</v>
      </c>
      <c r="O25" s="281" t="s">
        <v>10</v>
      </c>
      <c r="P25" s="281" t="s">
        <v>10</v>
      </c>
      <c r="Q25" s="281" t="s">
        <v>10</v>
      </c>
      <c r="R25" s="281" t="s">
        <v>10</v>
      </c>
      <c r="S25" s="281" t="s">
        <v>10</v>
      </c>
      <c r="T25" s="281" t="s">
        <v>44</v>
      </c>
      <c r="U25" s="281" t="s">
        <v>10</v>
      </c>
      <c r="V25" s="281" t="s">
        <v>469</v>
      </c>
      <c r="W25" s="281" t="s">
        <v>10</v>
      </c>
      <c r="X25" s="281" t="s">
        <v>10</v>
      </c>
      <c r="Y25" s="269"/>
      <c r="Z25" s="269"/>
      <c r="AA25" s="269"/>
      <c r="AB25" s="269"/>
      <c r="AC25" s="269"/>
      <c r="AD25" s="269"/>
      <c r="AE25" s="269"/>
      <c r="AF25" s="269"/>
      <c r="AG25" s="269"/>
      <c r="AH25" s="271">
        <f t="shared" si="6"/>
        <v>14</v>
      </c>
      <c r="AI25" s="272">
        <f t="shared" si="0"/>
        <v>0</v>
      </c>
      <c r="AJ25" s="271">
        <f t="shared" si="1"/>
        <v>0</v>
      </c>
      <c r="AK25" s="271">
        <f t="shared" si="2"/>
        <v>1</v>
      </c>
      <c r="AL25" s="271">
        <f t="shared" si="3"/>
        <v>0</v>
      </c>
      <c r="AM25" s="271">
        <f t="shared" si="4"/>
        <v>1</v>
      </c>
      <c r="AN25" s="271">
        <f t="shared" si="5"/>
        <v>1</v>
      </c>
    </row>
    <row r="26" spans="2:40" ht="16.5" customHeight="1">
      <c r="B26" s="420">
        <f>IF(INDEX(TabSeance[Date],ROW()-6)&lt;&gt;0,INDEX(TabSeance[Date],ROW()-6),"")</f>
        <v>43349</v>
      </c>
      <c r="C26" s="421">
        <f>IF(INDEX(TabSeance[Durée],ROW()-6)&lt;&gt;0,INDEX(TabSeance[Durée],ROW()-6),"")</f>
        <v>70</v>
      </c>
      <c r="D26" s="281" t="s">
        <v>10</v>
      </c>
      <c r="E26" s="281" t="s">
        <v>10</v>
      </c>
      <c r="F26" s="281" t="s">
        <v>10</v>
      </c>
      <c r="G26" s="281" t="s">
        <v>18</v>
      </c>
      <c r="H26" s="281" t="s">
        <v>10</v>
      </c>
      <c r="I26" s="281" t="s">
        <v>469</v>
      </c>
      <c r="J26" s="281" t="s">
        <v>10</v>
      </c>
      <c r="K26" s="281" t="s">
        <v>10</v>
      </c>
      <c r="L26" s="281" t="s">
        <v>10</v>
      </c>
      <c r="M26" s="281" t="s">
        <v>10</v>
      </c>
      <c r="N26" s="281" t="s">
        <v>10</v>
      </c>
      <c r="O26" s="281" t="s">
        <v>10</v>
      </c>
      <c r="P26" s="281" t="s">
        <v>10</v>
      </c>
      <c r="Q26" s="281" t="s">
        <v>10</v>
      </c>
      <c r="R26" s="281" t="s">
        <v>10</v>
      </c>
      <c r="S26" s="281" t="s">
        <v>10</v>
      </c>
      <c r="T26" s="281" t="s">
        <v>10</v>
      </c>
      <c r="U26" s="281" t="s">
        <v>10</v>
      </c>
      <c r="V26" s="281" t="s">
        <v>469</v>
      </c>
      <c r="W26" s="281" t="s">
        <v>10</v>
      </c>
      <c r="X26" s="281" t="s">
        <v>10</v>
      </c>
      <c r="Y26" s="269"/>
      <c r="Z26" s="269"/>
      <c r="AA26" s="269"/>
      <c r="AB26" s="269"/>
      <c r="AC26" s="269"/>
      <c r="AD26" s="269"/>
      <c r="AE26" s="269"/>
      <c r="AF26" s="269"/>
      <c r="AG26" s="269"/>
      <c r="AH26" s="271">
        <f t="shared" si="6"/>
        <v>18</v>
      </c>
      <c r="AI26" s="272">
        <f t="shared" si="0"/>
        <v>0</v>
      </c>
      <c r="AJ26" s="271">
        <f t="shared" si="1"/>
        <v>0</v>
      </c>
      <c r="AK26" s="271">
        <f t="shared" si="2"/>
        <v>0</v>
      </c>
      <c r="AL26" s="271">
        <f t="shared" si="3"/>
        <v>0</v>
      </c>
      <c r="AM26" s="271">
        <f t="shared" si="4"/>
        <v>0</v>
      </c>
      <c r="AN26" s="271">
        <f t="shared" si="5"/>
        <v>0</v>
      </c>
    </row>
    <row r="27" spans="2:40" ht="16.5" customHeight="1">
      <c r="B27" s="420">
        <f>IF(INDEX(TabSeance[Date],ROW()-6)&lt;&gt;0,INDEX(TabSeance[Date],ROW()-6),"")</f>
        <v>43350</v>
      </c>
      <c r="C27" s="421">
        <f>IF(INDEX(TabSeance[Durée],ROW()-6)&lt;&gt;0,INDEX(TabSeance[Durée],ROW()-6),"")</f>
        <v>45</v>
      </c>
      <c r="D27" s="281" t="s">
        <v>10</v>
      </c>
      <c r="E27" s="281" t="s">
        <v>10</v>
      </c>
      <c r="F27" s="281" t="s">
        <v>44</v>
      </c>
      <c r="G27" s="281" t="s">
        <v>44</v>
      </c>
      <c r="H27" s="281" t="s">
        <v>18</v>
      </c>
      <c r="I27" s="281" t="s">
        <v>10</v>
      </c>
      <c r="J27" s="281" t="s">
        <v>10</v>
      </c>
      <c r="K27" s="281" t="s">
        <v>10</v>
      </c>
      <c r="L27" s="281" t="s">
        <v>44</v>
      </c>
      <c r="M27" s="281" t="s">
        <v>44</v>
      </c>
      <c r="N27" s="281" t="s">
        <v>44</v>
      </c>
      <c r="O27" s="281" t="s">
        <v>44</v>
      </c>
      <c r="P27" s="281" t="s">
        <v>10</v>
      </c>
      <c r="Q27" s="281" t="s">
        <v>10</v>
      </c>
      <c r="R27" s="281" t="s">
        <v>10</v>
      </c>
      <c r="S27" s="281" t="s">
        <v>44</v>
      </c>
      <c r="T27" s="281" t="s">
        <v>44</v>
      </c>
      <c r="U27" s="281" t="s">
        <v>10</v>
      </c>
      <c r="V27" s="281" t="s">
        <v>10</v>
      </c>
      <c r="W27" s="281" t="s">
        <v>10</v>
      </c>
      <c r="X27" s="281" t="s">
        <v>10</v>
      </c>
      <c r="Y27" s="269"/>
      <c r="Z27" s="269"/>
      <c r="AA27" s="269"/>
      <c r="AB27" s="269"/>
      <c r="AC27" s="269"/>
      <c r="AD27" s="269"/>
      <c r="AE27" s="269"/>
      <c r="AF27" s="269"/>
      <c r="AG27" s="269"/>
      <c r="AH27" s="271">
        <f t="shared" si="6"/>
        <v>12</v>
      </c>
      <c r="AI27" s="272">
        <f t="shared" si="0"/>
        <v>0</v>
      </c>
      <c r="AJ27" s="271">
        <f t="shared" si="1"/>
        <v>0</v>
      </c>
      <c r="AK27" s="271">
        <f t="shared" si="2"/>
        <v>0</v>
      </c>
      <c r="AL27" s="271">
        <f t="shared" si="3"/>
        <v>0</v>
      </c>
      <c r="AM27" s="271">
        <f t="shared" si="4"/>
        <v>0</v>
      </c>
      <c r="AN27" s="271">
        <f t="shared" si="5"/>
        <v>8</v>
      </c>
    </row>
    <row r="28" spans="2:40" ht="16.5" customHeight="1">
      <c r="B28" s="420">
        <f>IF(INDEX(TabSeance[Date],ROW()-6)&lt;&gt;0,INDEX(TabSeance[Date],ROW()-6),"")</f>
        <v>43354</v>
      </c>
      <c r="C28" s="421">
        <f>IF(INDEX(TabSeance[Durée],ROW()-6)&lt;&gt;0,INDEX(TabSeance[Durée],ROW()-6),"")</f>
        <v>60</v>
      </c>
      <c r="D28" s="281" t="s">
        <v>10</v>
      </c>
      <c r="E28" s="281" t="s">
        <v>18</v>
      </c>
      <c r="F28" s="281" t="s">
        <v>10</v>
      </c>
      <c r="G28" s="281" t="s">
        <v>10</v>
      </c>
      <c r="H28" s="281" t="s">
        <v>18</v>
      </c>
      <c r="I28" s="281" t="s">
        <v>469</v>
      </c>
      <c r="J28" s="281" t="s">
        <v>12</v>
      </c>
      <c r="K28" s="281" t="s">
        <v>18</v>
      </c>
      <c r="L28" s="281" t="s">
        <v>10</v>
      </c>
      <c r="M28" s="281" t="s">
        <v>10</v>
      </c>
      <c r="N28" s="281" t="s">
        <v>18</v>
      </c>
      <c r="O28" s="281" t="s">
        <v>10</v>
      </c>
      <c r="P28" s="281" t="s">
        <v>10</v>
      </c>
      <c r="Q28" s="281" t="s">
        <v>10</v>
      </c>
      <c r="R28" s="281" t="s">
        <v>10</v>
      </c>
      <c r="S28" s="281" t="s">
        <v>18</v>
      </c>
      <c r="T28" s="281" t="s">
        <v>10</v>
      </c>
      <c r="U28" s="281" t="s">
        <v>10</v>
      </c>
      <c r="V28" s="281" t="s">
        <v>469</v>
      </c>
      <c r="W28" s="281" t="s">
        <v>10</v>
      </c>
      <c r="X28" s="281" t="s">
        <v>18</v>
      </c>
      <c r="Y28" s="281"/>
      <c r="Z28" s="281"/>
      <c r="AA28" s="269"/>
      <c r="AB28" s="269"/>
      <c r="AC28" s="269"/>
      <c r="AD28" s="269"/>
      <c r="AE28" s="269"/>
      <c r="AF28" s="269"/>
      <c r="AG28" s="269"/>
      <c r="AH28" s="271">
        <f t="shared" si="6"/>
        <v>12</v>
      </c>
      <c r="AI28" s="272">
        <f t="shared" si="0"/>
        <v>1</v>
      </c>
      <c r="AJ28" s="271">
        <f t="shared" si="1"/>
        <v>0</v>
      </c>
      <c r="AK28" s="271">
        <f t="shared" si="2"/>
        <v>0</v>
      </c>
      <c r="AL28" s="271">
        <f t="shared" si="3"/>
        <v>0</v>
      </c>
      <c r="AM28" s="271">
        <f t="shared" si="4"/>
        <v>4</v>
      </c>
      <c r="AN28" s="271">
        <f t="shared" si="5"/>
        <v>0</v>
      </c>
    </row>
    <row r="29" spans="2:40" ht="16.5" customHeight="1">
      <c r="B29" s="420">
        <f>IF(INDEX(TabSeance[Date],ROW()-6)&lt;&gt;0,INDEX(TabSeance[Date],ROW()-6),"")</f>
        <v>43357</v>
      </c>
      <c r="C29" s="421">
        <f>IF(INDEX(TabSeance[Durée],ROW()-6)&lt;&gt;0,INDEX(TabSeance[Durée],ROW()-6),"")</f>
        <v>74</v>
      </c>
      <c r="D29" s="281" t="s">
        <v>10</v>
      </c>
      <c r="E29" s="281" t="s">
        <v>18</v>
      </c>
      <c r="F29" s="281" t="s">
        <v>10</v>
      </c>
      <c r="G29" s="281" t="s">
        <v>10</v>
      </c>
      <c r="H29" s="281" t="s">
        <v>18</v>
      </c>
      <c r="I29" s="281" t="s">
        <v>469</v>
      </c>
      <c r="J29" s="281" t="s">
        <v>12</v>
      </c>
      <c r="K29" s="281" t="s">
        <v>10</v>
      </c>
      <c r="L29" s="281" t="s">
        <v>10</v>
      </c>
      <c r="M29" s="281" t="s">
        <v>10</v>
      </c>
      <c r="N29" s="281" t="s">
        <v>10</v>
      </c>
      <c r="O29" s="281" t="s">
        <v>10</v>
      </c>
      <c r="P29" s="281" t="s">
        <v>10</v>
      </c>
      <c r="Q29" s="281" t="s">
        <v>10</v>
      </c>
      <c r="R29" s="281" t="s">
        <v>10</v>
      </c>
      <c r="S29" s="281" t="s">
        <v>10</v>
      </c>
      <c r="T29" s="281" t="s">
        <v>10</v>
      </c>
      <c r="U29" s="281" t="s">
        <v>10</v>
      </c>
      <c r="V29" s="281" t="s">
        <v>469</v>
      </c>
      <c r="W29" s="281" t="s">
        <v>10</v>
      </c>
      <c r="X29" s="281" t="s">
        <v>18</v>
      </c>
      <c r="Y29" s="281"/>
      <c r="Z29" s="281"/>
      <c r="AA29" s="269"/>
      <c r="AB29" s="269"/>
      <c r="AC29" s="269"/>
      <c r="AD29" s="269"/>
      <c r="AE29" s="269"/>
      <c r="AF29" s="269"/>
      <c r="AG29" s="269"/>
      <c r="AH29" s="271">
        <f t="shared" si="6"/>
        <v>15</v>
      </c>
      <c r="AI29" s="272">
        <f t="shared" si="0"/>
        <v>1</v>
      </c>
      <c r="AJ29" s="271">
        <f t="shared" si="1"/>
        <v>0</v>
      </c>
      <c r="AK29" s="271">
        <f t="shared" si="2"/>
        <v>0</v>
      </c>
      <c r="AL29" s="271">
        <f t="shared" si="3"/>
        <v>0</v>
      </c>
      <c r="AM29" s="271">
        <f t="shared" si="4"/>
        <v>1</v>
      </c>
      <c r="AN29" s="271">
        <f t="shared" si="5"/>
        <v>0</v>
      </c>
    </row>
    <row r="30" spans="2:40" ht="16.5" customHeight="1">
      <c r="B30" s="420">
        <f>IF(INDEX(TabSeance[Date],ROW()-6)&lt;&gt;0,INDEX(TabSeance[Date],ROW()-6),"")</f>
        <v>43358</v>
      </c>
      <c r="C30" s="421">
        <f>IF(INDEX(TabSeance[Durée],ROW()-6)&lt;&gt;0,INDEX(TabSeance[Durée],ROW()-6),"")</f>
        <v>36</v>
      </c>
      <c r="D30" s="281" t="s">
        <v>10</v>
      </c>
      <c r="E30" s="281" t="s">
        <v>18</v>
      </c>
      <c r="F30" s="281" t="s">
        <v>10</v>
      </c>
      <c r="G30" s="281" t="s">
        <v>10</v>
      </c>
      <c r="H30" s="281" t="s">
        <v>18</v>
      </c>
      <c r="I30" s="281" t="s">
        <v>10</v>
      </c>
      <c r="J30" s="281" t="s">
        <v>12</v>
      </c>
      <c r="K30" s="281" t="s">
        <v>10</v>
      </c>
      <c r="L30" s="281" t="s">
        <v>44</v>
      </c>
      <c r="M30" s="281" t="s">
        <v>44</v>
      </c>
      <c r="N30" s="281" t="s">
        <v>10</v>
      </c>
      <c r="O30" s="281" t="s">
        <v>10</v>
      </c>
      <c r="P30" s="281" t="s">
        <v>10</v>
      </c>
      <c r="Q30" s="281" t="s">
        <v>10</v>
      </c>
      <c r="R30" s="281" t="s">
        <v>10</v>
      </c>
      <c r="S30" s="281" t="s">
        <v>10</v>
      </c>
      <c r="T30" s="281" t="s">
        <v>44</v>
      </c>
      <c r="U30" s="281" t="s">
        <v>44</v>
      </c>
      <c r="V30" s="281" t="s">
        <v>10</v>
      </c>
      <c r="W30" s="281" t="s">
        <v>10</v>
      </c>
      <c r="X30" s="281" t="s">
        <v>18</v>
      </c>
      <c r="Y30" s="281"/>
      <c r="Z30" s="281"/>
      <c r="AA30" s="269"/>
      <c r="AB30" s="269"/>
      <c r="AC30" s="269"/>
      <c r="AD30" s="269"/>
      <c r="AE30" s="269"/>
      <c r="AF30" s="269"/>
      <c r="AG30" s="269"/>
      <c r="AH30" s="271">
        <f t="shared" si="6"/>
        <v>13</v>
      </c>
      <c r="AI30" s="272">
        <f t="shared" si="0"/>
        <v>1</v>
      </c>
      <c r="AJ30" s="271">
        <f t="shared" si="1"/>
        <v>0</v>
      </c>
      <c r="AK30" s="271">
        <f t="shared" si="2"/>
        <v>0</v>
      </c>
      <c r="AL30" s="271">
        <f t="shared" si="3"/>
        <v>0</v>
      </c>
      <c r="AM30" s="271">
        <f t="shared" si="4"/>
        <v>1</v>
      </c>
      <c r="AN30" s="271">
        <f t="shared" si="5"/>
        <v>4</v>
      </c>
    </row>
    <row r="31" spans="2:40" ht="16.5" customHeight="1">
      <c r="B31" s="420" t="str">
        <f>IF(INDEX(TabSeance[Date],ROW()-6)&lt;&gt;0,INDEX(TabSeance[Date],ROW()-6),"")</f>
        <v/>
      </c>
      <c r="C31" s="421" t="str">
        <f>IF(INDEX(TabSeance[Durée],ROW()-6)&lt;&gt;0,INDEX(TabSeance[Durée],ROW()-6),"")</f>
        <v/>
      </c>
      <c r="D31" s="281"/>
      <c r="E31" s="269"/>
      <c r="F31" s="281"/>
      <c r="G31" s="281"/>
      <c r="H31" s="281"/>
      <c r="I31" s="281"/>
      <c r="J31" s="281"/>
      <c r="K31" s="281"/>
      <c r="L31" s="281"/>
      <c r="M31" s="281"/>
      <c r="N31" s="281"/>
      <c r="O31" s="281"/>
      <c r="P31" s="281"/>
      <c r="Q31" s="281"/>
      <c r="R31" s="281"/>
      <c r="S31" s="281"/>
      <c r="T31" s="281"/>
      <c r="U31" s="281"/>
      <c r="V31" s="281"/>
      <c r="W31" s="281"/>
      <c r="X31" s="281"/>
      <c r="Y31" s="281"/>
      <c r="Z31" s="281"/>
      <c r="AA31" s="269"/>
      <c r="AB31" s="269"/>
      <c r="AC31" s="269"/>
      <c r="AD31" s="269"/>
      <c r="AE31" s="269"/>
      <c r="AF31" s="269"/>
      <c r="AG31" s="269"/>
      <c r="AH31" s="271">
        <f t="shared" si="6"/>
        <v>0</v>
      </c>
      <c r="AI31" s="272">
        <f t="shared" si="0"/>
        <v>0</v>
      </c>
      <c r="AJ31" s="271">
        <f t="shared" si="1"/>
        <v>0</v>
      </c>
      <c r="AK31" s="271">
        <f t="shared" si="2"/>
        <v>0</v>
      </c>
      <c r="AL31" s="271">
        <f t="shared" si="3"/>
        <v>0</v>
      </c>
      <c r="AM31" s="271">
        <f t="shared" si="4"/>
        <v>0</v>
      </c>
      <c r="AN31" s="271">
        <f t="shared" si="5"/>
        <v>0</v>
      </c>
    </row>
    <row r="32" spans="2:40" ht="16.5" customHeight="1">
      <c r="B32" s="420" t="str">
        <f>IF(INDEX(TabSeance[Date],ROW()-6)&lt;&gt;0,INDEX(TabSeance[Date],ROW()-6),"")</f>
        <v/>
      </c>
      <c r="C32" s="421" t="str">
        <f>IF(INDEX(TabSeance[Durée],ROW()-6)&lt;&gt;0,INDEX(TabSeance[Durée],ROW()-6),"")</f>
        <v/>
      </c>
      <c r="D32" s="281"/>
      <c r="E32" s="281"/>
      <c r="F32" s="281"/>
      <c r="G32" s="281"/>
      <c r="H32" s="281"/>
      <c r="I32" s="281"/>
      <c r="J32" s="281"/>
      <c r="K32" s="281"/>
      <c r="L32" s="281"/>
      <c r="M32" s="281"/>
      <c r="N32" s="281"/>
      <c r="O32" s="281"/>
      <c r="P32" s="281"/>
      <c r="Q32" s="281"/>
      <c r="R32" s="281"/>
      <c r="S32" s="281"/>
      <c r="T32" s="281"/>
      <c r="U32" s="281"/>
      <c r="V32" s="281"/>
      <c r="W32" s="281"/>
      <c r="X32" s="281"/>
      <c r="Y32" s="281"/>
      <c r="Z32" s="281"/>
      <c r="AA32" s="269"/>
      <c r="AB32" s="269"/>
      <c r="AC32" s="269"/>
      <c r="AD32" s="269"/>
      <c r="AE32" s="269"/>
      <c r="AF32" s="269"/>
      <c r="AG32" s="269"/>
      <c r="AH32" s="271">
        <f t="shared" si="6"/>
        <v>0</v>
      </c>
      <c r="AI32" s="272">
        <f t="shared" si="0"/>
        <v>0</v>
      </c>
      <c r="AJ32" s="271">
        <f t="shared" si="1"/>
        <v>0</v>
      </c>
      <c r="AK32" s="271">
        <f t="shared" si="2"/>
        <v>0</v>
      </c>
      <c r="AL32" s="271">
        <f t="shared" si="3"/>
        <v>0</v>
      </c>
      <c r="AM32" s="271">
        <f t="shared" si="4"/>
        <v>0</v>
      </c>
      <c r="AN32" s="271">
        <f t="shared" si="5"/>
        <v>0</v>
      </c>
    </row>
    <row r="33" spans="2:40" ht="16.5" customHeight="1">
      <c r="B33" s="420" t="str">
        <f>IF(INDEX(TabSeance[Date],ROW()-6)&lt;&gt;0,INDEX(TabSeance[Date],ROW()-6),"")</f>
        <v/>
      </c>
      <c r="C33" s="421" t="str">
        <f>IF(INDEX(TabSeance[Durée],ROW()-6)&lt;&gt;0,INDEX(TabSeance[Durée],ROW()-6),"")</f>
        <v/>
      </c>
      <c r="D33" s="281"/>
      <c r="E33" s="281"/>
      <c r="F33" s="281"/>
      <c r="G33" s="281"/>
      <c r="H33" s="281"/>
      <c r="I33" s="281"/>
      <c r="J33" s="281"/>
      <c r="K33" s="281"/>
      <c r="L33" s="281"/>
      <c r="M33" s="281"/>
      <c r="N33" s="281"/>
      <c r="O33" s="281"/>
      <c r="P33" s="281"/>
      <c r="Q33" s="281"/>
      <c r="R33" s="281"/>
      <c r="S33" s="281"/>
      <c r="T33" s="281"/>
      <c r="U33" s="281"/>
      <c r="V33" s="281"/>
      <c r="W33" s="281"/>
      <c r="X33" s="281"/>
      <c r="Y33" s="281"/>
      <c r="Z33" s="281"/>
      <c r="AA33" s="269"/>
      <c r="AB33" s="269"/>
      <c r="AC33" s="269"/>
      <c r="AD33" s="269"/>
      <c r="AE33" s="269"/>
      <c r="AF33" s="269"/>
      <c r="AG33" s="269"/>
      <c r="AH33" s="271">
        <f t="shared" si="6"/>
        <v>0</v>
      </c>
      <c r="AI33" s="272">
        <f t="shared" si="0"/>
        <v>0</v>
      </c>
      <c r="AJ33" s="271">
        <f t="shared" si="1"/>
        <v>0</v>
      </c>
      <c r="AK33" s="271">
        <f t="shared" si="2"/>
        <v>0</v>
      </c>
      <c r="AL33" s="271">
        <f t="shared" si="3"/>
        <v>0</v>
      </c>
      <c r="AM33" s="271">
        <f t="shared" si="4"/>
        <v>0</v>
      </c>
      <c r="AN33" s="271">
        <f t="shared" si="5"/>
        <v>0</v>
      </c>
    </row>
    <row r="34" spans="2:40" ht="16.5" customHeight="1">
      <c r="B34" s="420" t="str">
        <f>IF(INDEX(TabSeance[Date],ROW()-6)&lt;&gt;0,INDEX(TabSeance[Date],ROW()-6),"")</f>
        <v/>
      </c>
      <c r="C34" s="421" t="str">
        <f>IF(INDEX(TabSeance[Durée],ROW()-6)&lt;&gt;0,INDEX(TabSeance[Durée],ROW()-6),"")</f>
        <v/>
      </c>
      <c r="D34" s="281"/>
      <c r="E34" s="281"/>
      <c r="F34" s="281"/>
      <c r="G34" s="281"/>
      <c r="H34" s="281"/>
      <c r="I34" s="281"/>
      <c r="J34" s="281"/>
      <c r="K34" s="281"/>
      <c r="L34" s="281"/>
      <c r="M34" s="281"/>
      <c r="N34" s="281"/>
      <c r="O34" s="281"/>
      <c r="P34" s="281"/>
      <c r="Q34" s="281"/>
      <c r="R34" s="281"/>
      <c r="S34" s="281"/>
      <c r="T34" s="281"/>
      <c r="U34" s="281"/>
      <c r="V34" s="281"/>
      <c r="W34" s="281"/>
      <c r="X34" s="281"/>
      <c r="Y34" s="281"/>
      <c r="Z34" s="281"/>
      <c r="AA34" s="269"/>
      <c r="AB34" s="269"/>
      <c r="AC34" s="269"/>
      <c r="AD34" s="269"/>
      <c r="AE34" s="269"/>
      <c r="AF34" s="269"/>
      <c r="AG34" s="269"/>
      <c r="AH34" s="271">
        <f t="shared" si="6"/>
        <v>0</v>
      </c>
      <c r="AI34" s="272">
        <f t="shared" si="0"/>
        <v>0</v>
      </c>
      <c r="AJ34" s="271">
        <f t="shared" si="1"/>
        <v>0</v>
      </c>
      <c r="AK34" s="271">
        <f t="shared" si="2"/>
        <v>0</v>
      </c>
      <c r="AL34" s="271">
        <f t="shared" si="3"/>
        <v>0</v>
      </c>
      <c r="AM34" s="271">
        <f t="shared" si="4"/>
        <v>0</v>
      </c>
      <c r="AN34" s="271">
        <f t="shared" si="5"/>
        <v>0</v>
      </c>
    </row>
    <row r="35" spans="2:40" ht="16.5" customHeight="1">
      <c r="B35" s="420" t="str">
        <f>IF(INDEX(TabSeance[Date],ROW()-6)&lt;&gt;0,INDEX(TabSeance[Date],ROW()-6),"")</f>
        <v/>
      </c>
      <c r="C35" s="421" t="str">
        <f>IF(INDEX(TabSeance[Durée],ROW()-6)&lt;&gt;0,INDEX(TabSeance[Durée],ROW()-6),"")</f>
        <v/>
      </c>
      <c r="D35" s="281"/>
      <c r="E35" s="281"/>
      <c r="F35" s="281"/>
      <c r="G35" s="281"/>
      <c r="H35" s="281"/>
      <c r="I35" s="281"/>
      <c r="J35" s="281"/>
      <c r="K35" s="281"/>
      <c r="L35" s="281"/>
      <c r="M35" s="281"/>
      <c r="N35" s="281"/>
      <c r="O35" s="281"/>
      <c r="P35" s="281"/>
      <c r="Q35" s="281"/>
      <c r="R35" s="281"/>
      <c r="S35" s="281"/>
      <c r="T35" s="281"/>
      <c r="U35" s="281"/>
      <c r="V35" s="281"/>
      <c r="W35" s="281"/>
      <c r="X35" s="281"/>
      <c r="Y35" s="281"/>
      <c r="Z35" s="281"/>
      <c r="AA35" s="269"/>
      <c r="AB35" s="269"/>
      <c r="AC35" s="269"/>
      <c r="AD35" s="269"/>
      <c r="AE35" s="269"/>
      <c r="AF35" s="269"/>
      <c r="AG35" s="269"/>
      <c r="AH35" s="271">
        <f t="shared" si="6"/>
        <v>0</v>
      </c>
      <c r="AI35" s="272">
        <f t="shared" si="0"/>
        <v>0</v>
      </c>
      <c r="AJ35" s="271">
        <f t="shared" si="1"/>
        <v>0</v>
      </c>
      <c r="AK35" s="271">
        <f t="shared" si="2"/>
        <v>0</v>
      </c>
      <c r="AL35" s="271">
        <f t="shared" si="3"/>
        <v>0</v>
      </c>
      <c r="AM35" s="271">
        <f t="shared" si="4"/>
        <v>0</v>
      </c>
      <c r="AN35" s="271">
        <f t="shared" si="5"/>
        <v>0</v>
      </c>
    </row>
    <row r="36" spans="2:40" ht="16.5" customHeight="1">
      <c r="B36" s="420" t="str">
        <f>IF(INDEX(TabSeance[Date],ROW()-6)&lt;&gt;0,INDEX(TabSeance[Date],ROW()-6),"")</f>
        <v/>
      </c>
      <c r="C36" s="421" t="str">
        <f>IF(INDEX(TabSeance[Durée],ROW()-6)&lt;&gt;0,INDEX(TabSeance[Durée],ROW()-6),"")</f>
        <v/>
      </c>
      <c r="D36" s="281"/>
      <c r="E36" s="281"/>
      <c r="F36" s="281"/>
      <c r="G36" s="281"/>
      <c r="H36" s="281"/>
      <c r="I36" s="281"/>
      <c r="J36" s="281"/>
      <c r="K36" s="281"/>
      <c r="L36" s="281"/>
      <c r="M36" s="281"/>
      <c r="N36" s="281"/>
      <c r="O36" s="281"/>
      <c r="P36" s="281"/>
      <c r="Q36" s="281"/>
      <c r="R36" s="281"/>
      <c r="S36" s="281"/>
      <c r="T36" s="281"/>
      <c r="U36" s="281"/>
      <c r="V36" s="281"/>
      <c r="W36" s="281"/>
      <c r="X36" s="281"/>
      <c r="Y36" s="281"/>
      <c r="Z36" s="281"/>
      <c r="AA36" s="269"/>
      <c r="AB36" s="269"/>
      <c r="AC36" s="269"/>
      <c r="AD36" s="269"/>
      <c r="AE36" s="269"/>
      <c r="AF36" s="269"/>
      <c r="AG36" s="269"/>
      <c r="AH36" s="271">
        <f t="shared" si="6"/>
        <v>0</v>
      </c>
      <c r="AI36" s="272">
        <f t="shared" si="0"/>
        <v>0</v>
      </c>
      <c r="AJ36" s="271">
        <f t="shared" si="1"/>
        <v>0</v>
      </c>
      <c r="AK36" s="271">
        <f t="shared" si="2"/>
        <v>0</v>
      </c>
      <c r="AL36" s="271">
        <f t="shared" si="3"/>
        <v>0</v>
      </c>
      <c r="AM36" s="271">
        <f t="shared" si="4"/>
        <v>0</v>
      </c>
      <c r="AN36" s="271">
        <f t="shared" si="5"/>
        <v>0</v>
      </c>
    </row>
    <row r="37" spans="2:40" ht="16.5" customHeight="1">
      <c r="B37" s="420" t="str">
        <f>IF(INDEX(TabSeance[Date],ROW()-6)&lt;&gt;0,INDEX(TabSeance[Date],ROW()-6),"")</f>
        <v/>
      </c>
      <c r="C37" s="421" t="str">
        <f>IF(INDEX(TabSeance[Durée],ROW()-6)&lt;&gt;0,INDEX(TabSeance[Durée],ROW()-6),"")</f>
        <v/>
      </c>
      <c r="D37" s="281"/>
      <c r="E37" s="281"/>
      <c r="F37" s="281"/>
      <c r="G37" s="281"/>
      <c r="H37" s="281"/>
      <c r="I37" s="281"/>
      <c r="J37" s="281"/>
      <c r="K37" s="281"/>
      <c r="L37" s="281"/>
      <c r="M37" s="281"/>
      <c r="N37" s="281"/>
      <c r="O37" s="281"/>
      <c r="P37" s="281"/>
      <c r="Q37" s="281"/>
      <c r="R37" s="281"/>
      <c r="S37" s="281"/>
      <c r="T37" s="281"/>
      <c r="U37" s="281"/>
      <c r="V37" s="281"/>
      <c r="W37" s="281"/>
      <c r="X37" s="281"/>
      <c r="Y37" s="281"/>
      <c r="Z37" s="281"/>
      <c r="AA37" s="269"/>
      <c r="AB37" s="269"/>
      <c r="AC37" s="269"/>
      <c r="AD37" s="269"/>
      <c r="AE37" s="269"/>
      <c r="AF37" s="269"/>
      <c r="AG37" s="269"/>
      <c r="AH37" s="271">
        <f t="shared" si="6"/>
        <v>0</v>
      </c>
      <c r="AI37" s="272">
        <f t="shared" si="0"/>
        <v>0</v>
      </c>
      <c r="AJ37" s="271">
        <f t="shared" si="1"/>
        <v>0</v>
      </c>
      <c r="AK37" s="271">
        <f t="shared" si="2"/>
        <v>0</v>
      </c>
      <c r="AL37" s="271">
        <f t="shared" si="3"/>
        <v>0</v>
      </c>
      <c r="AM37" s="271">
        <f t="shared" si="4"/>
        <v>0</v>
      </c>
      <c r="AN37" s="271">
        <f t="shared" si="5"/>
        <v>0</v>
      </c>
    </row>
    <row r="38" spans="2:40" ht="16.5" customHeight="1">
      <c r="B38" s="420" t="str">
        <f>IF(INDEX(TabSeance[Date],ROW()-6)&lt;&gt;0,INDEX(TabSeance[Date],ROW()-6),"")</f>
        <v/>
      </c>
      <c r="C38" s="421" t="str">
        <f>IF(INDEX(TabSeance[Durée],ROW()-6)&lt;&gt;0,INDEX(TabSeance[Durée],ROW()-6),"")</f>
        <v/>
      </c>
      <c r="D38" s="281"/>
      <c r="E38" s="281"/>
      <c r="F38" s="281"/>
      <c r="G38" s="281"/>
      <c r="H38" s="281"/>
      <c r="I38" s="281"/>
      <c r="J38" s="281"/>
      <c r="K38" s="281"/>
      <c r="L38" s="281"/>
      <c r="M38" s="281"/>
      <c r="N38" s="281"/>
      <c r="O38" s="281"/>
      <c r="P38" s="281"/>
      <c r="Q38" s="281"/>
      <c r="R38" s="281"/>
      <c r="S38" s="281"/>
      <c r="T38" s="281"/>
      <c r="U38" s="281"/>
      <c r="V38" s="281"/>
      <c r="W38" s="281"/>
      <c r="X38" s="281"/>
      <c r="Y38" s="281"/>
      <c r="Z38" s="281"/>
      <c r="AA38" s="269"/>
      <c r="AB38" s="269"/>
      <c r="AC38" s="269"/>
      <c r="AD38" s="269"/>
      <c r="AE38" s="269"/>
      <c r="AF38" s="269"/>
      <c r="AG38" s="269"/>
      <c r="AH38" s="271">
        <f t="shared" si="6"/>
        <v>0</v>
      </c>
      <c r="AI38" s="272">
        <f t="shared" si="0"/>
        <v>0</v>
      </c>
      <c r="AJ38" s="271">
        <f t="shared" si="1"/>
        <v>0</v>
      </c>
      <c r="AK38" s="271">
        <f t="shared" si="2"/>
        <v>0</v>
      </c>
      <c r="AL38" s="271">
        <f t="shared" si="3"/>
        <v>0</v>
      </c>
      <c r="AM38" s="271">
        <f t="shared" si="4"/>
        <v>0</v>
      </c>
      <c r="AN38" s="271">
        <f t="shared" si="5"/>
        <v>0</v>
      </c>
    </row>
    <row r="39" spans="2:40" ht="16.5" customHeight="1">
      <c r="B39" s="420" t="str">
        <f>IF(INDEX(TabSeance[Date],ROW()-6)&lt;&gt;0,INDEX(TabSeance[Date],ROW()-6),"")</f>
        <v/>
      </c>
      <c r="C39" s="421" t="str">
        <f>IF(INDEX(TabSeance[Durée],ROW()-6)&lt;&gt;0,INDEX(TabSeance[Durée],ROW()-6),"")</f>
        <v/>
      </c>
      <c r="D39" s="281"/>
      <c r="E39" s="281"/>
      <c r="F39" s="281"/>
      <c r="G39" s="281"/>
      <c r="H39" s="281"/>
      <c r="I39" s="281"/>
      <c r="J39" s="281"/>
      <c r="K39" s="281"/>
      <c r="L39" s="281"/>
      <c r="M39" s="281"/>
      <c r="N39" s="281"/>
      <c r="O39" s="281"/>
      <c r="P39" s="281"/>
      <c r="Q39" s="281"/>
      <c r="R39" s="281"/>
      <c r="S39" s="281"/>
      <c r="T39" s="281"/>
      <c r="U39" s="281"/>
      <c r="V39" s="281"/>
      <c r="W39" s="281"/>
      <c r="X39" s="281"/>
      <c r="Y39" s="281"/>
      <c r="Z39" s="281"/>
      <c r="AA39" s="269"/>
      <c r="AB39" s="269"/>
      <c r="AC39" s="269"/>
      <c r="AD39" s="269"/>
      <c r="AE39" s="269"/>
      <c r="AF39" s="269"/>
      <c r="AG39" s="269"/>
      <c r="AH39" s="271">
        <f t="shared" si="6"/>
        <v>0</v>
      </c>
      <c r="AI39" s="272">
        <f t="shared" si="0"/>
        <v>0</v>
      </c>
      <c r="AJ39" s="271">
        <f t="shared" si="1"/>
        <v>0</v>
      </c>
      <c r="AK39" s="271">
        <f t="shared" si="2"/>
        <v>0</v>
      </c>
      <c r="AL39" s="271">
        <f t="shared" si="3"/>
        <v>0</v>
      </c>
      <c r="AM39" s="271">
        <f t="shared" si="4"/>
        <v>0</v>
      </c>
      <c r="AN39" s="271">
        <f t="shared" si="5"/>
        <v>0</v>
      </c>
    </row>
    <row r="40" spans="2:40" ht="16.5" customHeight="1">
      <c r="B40" s="420" t="str">
        <f>IF(INDEX(TabSeance[Date],ROW()-6)&lt;&gt;0,INDEX(TabSeance[Date],ROW()-6),"")</f>
        <v/>
      </c>
      <c r="C40" s="421" t="str">
        <f>IF(INDEX(TabSeance[Durée],ROW()-6)&lt;&gt;0,INDEX(TabSeance[Durée],ROW()-6),"")</f>
        <v/>
      </c>
      <c r="D40" s="281"/>
      <c r="E40" s="281"/>
      <c r="F40" s="281"/>
      <c r="G40" s="281"/>
      <c r="H40" s="281"/>
      <c r="I40" s="281"/>
      <c r="J40" s="281"/>
      <c r="K40" s="281"/>
      <c r="L40" s="281"/>
      <c r="M40" s="281"/>
      <c r="N40" s="281"/>
      <c r="O40" s="281"/>
      <c r="P40" s="281"/>
      <c r="Q40" s="281"/>
      <c r="R40" s="281"/>
      <c r="S40" s="281"/>
      <c r="T40" s="281"/>
      <c r="U40" s="281"/>
      <c r="V40" s="281"/>
      <c r="W40" s="281"/>
      <c r="X40" s="281"/>
      <c r="Y40" s="281"/>
      <c r="Z40" s="281"/>
      <c r="AA40" s="269"/>
      <c r="AB40" s="269"/>
      <c r="AC40" s="269"/>
      <c r="AD40" s="269"/>
      <c r="AE40" s="269"/>
      <c r="AF40" s="269"/>
      <c r="AG40" s="269"/>
      <c r="AH40" s="271">
        <f t="shared" si="6"/>
        <v>0</v>
      </c>
      <c r="AI40" s="272">
        <f t="shared" si="0"/>
        <v>0</v>
      </c>
      <c r="AJ40" s="271">
        <f t="shared" si="1"/>
        <v>0</v>
      </c>
      <c r="AK40" s="271">
        <f t="shared" si="2"/>
        <v>0</v>
      </c>
      <c r="AL40" s="271">
        <f t="shared" si="3"/>
        <v>0</v>
      </c>
      <c r="AM40" s="271">
        <f t="shared" si="4"/>
        <v>0</v>
      </c>
      <c r="AN40" s="271">
        <f t="shared" si="5"/>
        <v>0</v>
      </c>
    </row>
    <row r="41" spans="2:40" ht="16.5" customHeight="1">
      <c r="B41" s="420" t="str">
        <f>IF(INDEX(TabSeance[Date],ROW()-6)&lt;&gt;0,INDEX(TabSeance[Date],ROW()-6),"")</f>
        <v/>
      </c>
      <c r="C41" s="421" t="str">
        <f>IF(INDEX(TabSeance[Durée],ROW()-6)&lt;&gt;0,INDEX(TabSeance[Durée],ROW()-6),"")</f>
        <v/>
      </c>
      <c r="D41" s="281"/>
      <c r="E41" s="281"/>
      <c r="F41" s="281"/>
      <c r="G41" s="281"/>
      <c r="H41" s="281"/>
      <c r="I41" s="281"/>
      <c r="J41" s="281"/>
      <c r="K41" s="281"/>
      <c r="L41" s="281"/>
      <c r="M41" s="281"/>
      <c r="N41" s="281"/>
      <c r="O41" s="281"/>
      <c r="P41" s="281"/>
      <c r="Q41" s="281"/>
      <c r="R41" s="281"/>
      <c r="S41" s="281"/>
      <c r="T41" s="281"/>
      <c r="U41" s="281"/>
      <c r="V41" s="281"/>
      <c r="W41" s="281"/>
      <c r="X41" s="281"/>
      <c r="Y41" s="281"/>
      <c r="Z41" s="281"/>
      <c r="AA41" s="269"/>
      <c r="AB41" s="269"/>
      <c r="AC41" s="269"/>
      <c r="AD41" s="269"/>
      <c r="AE41" s="269"/>
      <c r="AF41" s="269"/>
      <c r="AG41" s="269"/>
      <c r="AH41" s="271">
        <f t="shared" si="6"/>
        <v>0</v>
      </c>
      <c r="AI41" s="272">
        <f t="shared" si="0"/>
        <v>0</v>
      </c>
      <c r="AJ41" s="271">
        <f t="shared" si="1"/>
        <v>0</v>
      </c>
      <c r="AK41" s="271">
        <f t="shared" si="2"/>
        <v>0</v>
      </c>
      <c r="AL41" s="271">
        <f t="shared" si="3"/>
        <v>0</v>
      </c>
      <c r="AM41" s="271">
        <f t="shared" si="4"/>
        <v>0</v>
      </c>
      <c r="AN41" s="271">
        <f t="shared" si="5"/>
        <v>0</v>
      </c>
    </row>
    <row r="42" spans="2:40" ht="16.5" customHeight="1">
      <c r="B42" s="420" t="str">
        <f>IF(INDEX(TabSeance[Date],ROW()-6)&lt;&gt;0,INDEX(TabSeance[Date],ROW()-6),"")</f>
        <v/>
      </c>
      <c r="C42" s="421" t="str">
        <f>IF(INDEX(TabSeance[Durée],ROW()-6)&lt;&gt;0,INDEX(TabSeance[Durée],ROW()-6),"")</f>
        <v/>
      </c>
      <c r="D42" s="281"/>
      <c r="E42" s="281"/>
      <c r="F42" s="281"/>
      <c r="G42" s="281"/>
      <c r="H42" s="281"/>
      <c r="I42" s="281"/>
      <c r="J42" s="281"/>
      <c r="K42" s="281"/>
      <c r="L42" s="281"/>
      <c r="M42" s="281"/>
      <c r="N42" s="281"/>
      <c r="O42" s="281"/>
      <c r="P42" s="269"/>
      <c r="Q42" s="281"/>
      <c r="R42" s="281"/>
      <c r="S42" s="281"/>
      <c r="T42" s="281"/>
      <c r="U42" s="281"/>
      <c r="V42" s="281"/>
      <c r="W42" s="281"/>
      <c r="X42" s="281"/>
      <c r="Y42" s="281"/>
      <c r="Z42" s="281"/>
      <c r="AA42" s="269"/>
      <c r="AB42" s="269"/>
      <c r="AC42" s="269"/>
      <c r="AD42" s="269"/>
      <c r="AE42" s="269"/>
      <c r="AF42" s="269"/>
      <c r="AG42" s="269"/>
      <c r="AH42" s="271">
        <f t="shared" si="6"/>
        <v>0</v>
      </c>
      <c r="AI42" s="272">
        <f t="shared" si="0"/>
        <v>0</v>
      </c>
      <c r="AJ42" s="271">
        <f t="shared" si="1"/>
        <v>0</v>
      </c>
      <c r="AK42" s="271">
        <f t="shared" si="2"/>
        <v>0</v>
      </c>
      <c r="AL42" s="271">
        <f t="shared" si="3"/>
        <v>0</v>
      </c>
      <c r="AM42" s="271">
        <f t="shared" si="4"/>
        <v>0</v>
      </c>
      <c r="AN42" s="271">
        <f t="shared" si="5"/>
        <v>0</v>
      </c>
    </row>
    <row r="43" spans="2:40" ht="16.5" customHeight="1">
      <c r="B43" s="420" t="str">
        <f>IF(INDEX(TabSeance[Date],ROW()-6)&lt;&gt;0,INDEX(TabSeance[Date],ROW()-6),"")</f>
        <v/>
      </c>
      <c r="C43" s="421" t="str">
        <f>IF(INDEX(TabSeance[Durée],ROW()-6)&lt;&gt;0,INDEX(TabSeance[Durée],ROW()-6),"")</f>
        <v/>
      </c>
      <c r="D43" s="281"/>
      <c r="E43" s="281"/>
      <c r="F43" s="281"/>
      <c r="G43" s="281"/>
      <c r="H43" s="281"/>
      <c r="I43" s="281"/>
      <c r="J43" s="281"/>
      <c r="K43" s="281"/>
      <c r="L43" s="281"/>
      <c r="M43" s="281"/>
      <c r="N43" s="281"/>
      <c r="O43" s="281"/>
      <c r="P43" s="269"/>
      <c r="Q43" s="281"/>
      <c r="R43" s="281"/>
      <c r="S43" s="281"/>
      <c r="T43" s="281"/>
      <c r="U43" s="281"/>
      <c r="V43" s="281"/>
      <c r="W43" s="281"/>
      <c r="X43" s="281"/>
      <c r="Y43" s="281"/>
      <c r="Z43" s="281"/>
      <c r="AA43" s="269"/>
      <c r="AB43" s="269"/>
      <c r="AC43" s="269"/>
      <c r="AD43" s="269"/>
      <c r="AE43" s="269"/>
      <c r="AF43" s="269"/>
      <c r="AG43" s="269"/>
      <c r="AH43" s="271">
        <f t="shared" si="6"/>
        <v>0</v>
      </c>
      <c r="AI43" s="272">
        <f t="shared" si="0"/>
        <v>0</v>
      </c>
      <c r="AJ43" s="271">
        <f t="shared" si="1"/>
        <v>0</v>
      </c>
      <c r="AK43" s="271">
        <f t="shared" si="2"/>
        <v>0</v>
      </c>
      <c r="AL43" s="271">
        <f t="shared" si="3"/>
        <v>0</v>
      </c>
      <c r="AM43" s="271">
        <f t="shared" si="4"/>
        <v>0</v>
      </c>
      <c r="AN43" s="271">
        <f t="shared" si="5"/>
        <v>0</v>
      </c>
    </row>
    <row r="44" spans="2:40" ht="16.5" customHeight="1">
      <c r="B44" s="420" t="str">
        <f>IF(INDEX(TabSeance[Date],ROW()-6)&lt;&gt;0,INDEX(TabSeance[Date],ROW()-6),"")</f>
        <v/>
      </c>
      <c r="C44" s="421" t="str">
        <f>IF(INDEX(TabSeance[Durée],ROW()-6)&lt;&gt;0,INDEX(TabSeance[Durée],ROW()-6),"")</f>
        <v/>
      </c>
      <c r="D44" s="281"/>
      <c r="E44" s="281"/>
      <c r="F44" s="281"/>
      <c r="G44" s="281"/>
      <c r="H44" s="281"/>
      <c r="I44" s="281"/>
      <c r="J44" s="281"/>
      <c r="K44" s="281"/>
      <c r="L44" s="281"/>
      <c r="M44" s="281"/>
      <c r="N44" s="281"/>
      <c r="O44" s="281"/>
      <c r="P44" s="269"/>
      <c r="Q44" s="281"/>
      <c r="R44" s="281"/>
      <c r="S44" s="281"/>
      <c r="T44" s="281"/>
      <c r="U44" s="281"/>
      <c r="V44" s="281"/>
      <c r="W44" s="281"/>
      <c r="X44" s="281"/>
      <c r="Y44" s="281"/>
      <c r="Z44" s="281"/>
      <c r="AA44" s="269"/>
      <c r="AB44" s="269"/>
      <c r="AC44" s="269"/>
      <c r="AD44" s="269"/>
      <c r="AE44" s="269"/>
      <c r="AF44" s="269"/>
      <c r="AG44" s="269"/>
      <c r="AH44" s="271">
        <f t="shared" si="6"/>
        <v>0</v>
      </c>
      <c r="AI44" s="272">
        <f t="shared" si="0"/>
        <v>0</v>
      </c>
      <c r="AJ44" s="271">
        <f t="shared" si="1"/>
        <v>0</v>
      </c>
      <c r="AK44" s="271">
        <f t="shared" si="2"/>
        <v>0</v>
      </c>
      <c r="AL44" s="271">
        <f t="shared" si="3"/>
        <v>0</v>
      </c>
      <c r="AM44" s="271">
        <f t="shared" si="4"/>
        <v>0</v>
      </c>
      <c r="AN44" s="271">
        <f t="shared" si="5"/>
        <v>0</v>
      </c>
    </row>
    <row r="45" spans="2:40" ht="16.5" customHeight="1">
      <c r="B45" s="420" t="str">
        <f>IF(INDEX(TabSeance[Date],ROW()-6)&lt;&gt;0,INDEX(TabSeance[Date],ROW()-6),"")</f>
        <v/>
      </c>
      <c r="C45" s="421" t="str">
        <f>IF(INDEX(TabSeance[Durée],ROW()-6)&lt;&gt;0,INDEX(TabSeance[Durée],ROW()-6),"")</f>
        <v/>
      </c>
      <c r="D45" s="281"/>
      <c r="E45" s="281"/>
      <c r="F45" s="281"/>
      <c r="G45" s="281"/>
      <c r="H45" s="281"/>
      <c r="I45" s="281"/>
      <c r="J45" s="281"/>
      <c r="K45" s="281"/>
      <c r="L45" s="281"/>
      <c r="M45" s="281"/>
      <c r="N45" s="281"/>
      <c r="O45" s="281"/>
      <c r="P45" s="269"/>
      <c r="Q45" s="281"/>
      <c r="R45" s="281"/>
      <c r="S45" s="281"/>
      <c r="T45" s="281"/>
      <c r="U45" s="281"/>
      <c r="V45" s="281"/>
      <c r="W45" s="281"/>
      <c r="X45" s="281"/>
      <c r="Y45" s="281"/>
      <c r="Z45" s="281"/>
      <c r="AA45" s="269"/>
      <c r="AB45" s="269"/>
      <c r="AC45" s="269"/>
      <c r="AD45" s="269"/>
      <c r="AE45" s="269"/>
      <c r="AF45" s="269"/>
      <c r="AG45" s="269"/>
      <c r="AH45" s="271">
        <f t="shared" si="6"/>
        <v>0</v>
      </c>
      <c r="AI45" s="272">
        <f t="shared" si="0"/>
        <v>0</v>
      </c>
      <c r="AJ45" s="271">
        <f t="shared" si="1"/>
        <v>0</v>
      </c>
      <c r="AK45" s="271">
        <f t="shared" si="2"/>
        <v>0</v>
      </c>
      <c r="AL45" s="271">
        <f t="shared" si="3"/>
        <v>0</v>
      </c>
      <c r="AM45" s="271">
        <f t="shared" si="4"/>
        <v>0</v>
      </c>
      <c r="AN45" s="271">
        <f t="shared" si="5"/>
        <v>0</v>
      </c>
    </row>
    <row r="46" spans="2:40" ht="16.5" customHeight="1">
      <c r="B46" s="420" t="str">
        <f>IF(INDEX(TabSeance[Date],ROW()-6)&lt;&gt;0,INDEX(TabSeance[Date],ROW()-6),"")</f>
        <v/>
      </c>
      <c r="C46" s="421" t="str">
        <f>IF(INDEX(TabSeance[Durée],ROW()-6)&lt;&gt;0,INDEX(TabSeance[Durée],ROW()-6),"")</f>
        <v/>
      </c>
      <c r="D46" s="281"/>
      <c r="E46" s="281"/>
      <c r="F46" s="281"/>
      <c r="G46" s="281"/>
      <c r="H46" s="281"/>
      <c r="I46" s="281"/>
      <c r="J46" s="281"/>
      <c r="K46" s="281"/>
      <c r="L46" s="281"/>
      <c r="M46" s="281"/>
      <c r="N46" s="281"/>
      <c r="O46" s="281"/>
      <c r="P46" s="269"/>
      <c r="Q46" s="281"/>
      <c r="R46" s="281"/>
      <c r="S46" s="281"/>
      <c r="T46" s="281"/>
      <c r="U46" s="281"/>
      <c r="V46" s="281"/>
      <c r="W46" s="281"/>
      <c r="X46" s="281"/>
      <c r="Y46" s="281"/>
      <c r="Z46" s="281"/>
      <c r="AA46" s="269"/>
      <c r="AB46" s="269"/>
      <c r="AC46" s="269"/>
      <c r="AD46" s="269"/>
      <c r="AE46" s="269"/>
      <c r="AF46" s="269"/>
      <c r="AG46" s="269"/>
      <c r="AH46" s="271">
        <f t="shared" si="6"/>
        <v>0</v>
      </c>
      <c r="AI46" s="272">
        <f t="shared" si="0"/>
        <v>0</v>
      </c>
      <c r="AJ46" s="271">
        <f t="shared" si="1"/>
        <v>0</v>
      </c>
      <c r="AK46" s="271">
        <f t="shared" si="2"/>
        <v>0</v>
      </c>
      <c r="AL46" s="271">
        <f t="shared" si="3"/>
        <v>0</v>
      </c>
      <c r="AM46" s="271">
        <f t="shared" si="4"/>
        <v>0</v>
      </c>
      <c r="AN46" s="271">
        <f t="shared" si="5"/>
        <v>0</v>
      </c>
    </row>
    <row r="47" spans="2:40" ht="16.5" customHeight="1">
      <c r="B47" s="420" t="str">
        <f>IF(INDEX(TabSeance[Date],ROW()-6)&lt;&gt;0,INDEX(TabSeance[Date],ROW()-6),"")</f>
        <v/>
      </c>
      <c r="C47" s="421" t="str">
        <f>IF(INDEX(TabSeance[Durée],ROW()-6)&lt;&gt;0,INDEX(TabSeance[Durée],ROW()-6),"")</f>
        <v/>
      </c>
      <c r="D47" s="281"/>
      <c r="E47" s="281"/>
      <c r="F47" s="281"/>
      <c r="G47" s="281"/>
      <c r="H47" s="281"/>
      <c r="I47" s="281"/>
      <c r="J47" s="281"/>
      <c r="K47" s="281"/>
      <c r="L47" s="281"/>
      <c r="M47" s="281"/>
      <c r="N47" s="281"/>
      <c r="O47" s="281"/>
      <c r="P47" s="269"/>
      <c r="Q47" s="281"/>
      <c r="R47" s="281"/>
      <c r="S47" s="281"/>
      <c r="T47" s="281"/>
      <c r="U47" s="281"/>
      <c r="V47" s="281"/>
      <c r="W47" s="281"/>
      <c r="X47" s="281"/>
      <c r="Y47" s="281"/>
      <c r="Z47" s="281"/>
      <c r="AA47" s="269"/>
      <c r="AB47" s="269"/>
      <c r="AC47" s="269"/>
      <c r="AD47" s="269"/>
      <c r="AE47" s="269"/>
      <c r="AF47" s="269"/>
      <c r="AG47" s="269"/>
      <c r="AH47" s="271">
        <f t="shared" si="6"/>
        <v>0</v>
      </c>
      <c r="AI47" s="272">
        <f t="shared" si="0"/>
        <v>0</v>
      </c>
      <c r="AJ47" s="271">
        <f t="shared" si="1"/>
        <v>0</v>
      </c>
      <c r="AK47" s="271">
        <f t="shared" si="2"/>
        <v>0</v>
      </c>
      <c r="AL47" s="271">
        <f t="shared" si="3"/>
        <v>0</v>
      </c>
      <c r="AM47" s="271">
        <f t="shared" si="4"/>
        <v>0</v>
      </c>
      <c r="AN47" s="271">
        <f t="shared" si="5"/>
        <v>0</v>
      </c>
    </row>
    <row r="48" spans="2:40" ht="16.5" customHeight="1">
      <c r="B48" s="420" t="str">
        <f>IF(INDEX(TabSeance[Date],ROW()-6)&lt;&gt;0,INDEX(TabSeance[Date],ROW()-6),"")</f>
        <v/>
      </c>
      <c r="C48" s="421" t="str">
        <f>IF(INDEX(TabSeance[Durée],ROW()-6)&lt;&gt;0,INDEX(TabSeance[Durée],ROW()-6),"")</f>
        <v/>
      </c>
      <c r="D48" s="281"/>
      <c r="E48" s="281"/>
      <c r="F48" s="281"/>
      <c r="G48" s="281"/>
      <c r="H48" s="281"/>
      <c r="I48" s="281"/>
      <c r="J48" s="281"/>
      <c r="K48" s="281"/>
      <c r="L48" s="281"/>
      <c r="M48" s="281"/>
      <c r="N48" s="281"/>
      <c r="O48" s="281"/>
      <c r="P48" s="269"/>
      <c r="Q48" s="281"/>
      <c r="R48" s="281"/>
      <c r="S48" s="281"/>
      <c r="T48" s="281"/>
      <c r="U48" s="281"/>
      <c r="V48" s="281"/>
      <c r="W48" s="281"/>
      <c r="X48" s="281"/>
      <c r="Y48" s="281"/>
      <c r="Z48" s="281"/>
      <c r="AA48" s="269"/>
      <c r="AB48" s="269"/>
      <c r="AC48" s="269"/>
      <c r="AD48" s="269"/>
      <c r="AE48" s="269"/>
      <c r="AF48" s="269"/>
      <c r="AG48" s="269"/>
      <c r="AH48" s="271">
        <f t="shared" si="6"/>
        <v>0</v>
      </c>
      <c r="AI48" s="272">
        <f t="shared" si="0"/>
        <v>0</v>
      </c>
      <c r="AJ48" s="271">
        <f t="shared" si="1"/>
        <v>0</v>
      </c>
      <c r="AK48" s="271">
        <f t="shared" si="2"/>
        <v>0</v>
      </c>
      <c r="AL48" s="271">
        <f t="shared" si="3"/>
        <v>0</v>
      </c>
      <c r="AM48" s="271">
        <f t="shared" si="4"/>
        <v>0</v>
      </c>
      <c r="AN48" s="271">
        <f t="shared" si="5"/>
        <v>0</v>
      </c>
    </row>
    <row r="49" spans="2:40" ht="16.5" customHeight="1">
      <c r="B49" s="420" t="str">
        <f>IF(INDEX(TabSeance[Date],ROW()-6)&lt;&gt;0,INDEX(TabSeance[Date],ROW()-6),"")</f>
        <v/>
      </c>
      <c r="C49" s="421" t="str">
        <f>IF(INDEX(TabSeance[Durée],ROW()-6)&lt;&gt;0,INDEX(TabSeance[Durée],ROW()-6),"")</f>
        <v/>
      </c>
      <c r="D49" s="281"/>
      <c r="E49" s="281"/>
      <c r="F49" s="281"/>
      <c r="G49" s="281"/>
      <c r="H49" s="281"/>
      <c r="I49" s="281"/>
      <c r="J49" s="281"/>
      <c r="K49" s="281"/>
      <c r="L49" s="281"/>
      <c r="M49" s="281"/>
      <c r="N49" s="281"/>
      <c r="O49" s="281"/>
      <c r="P49" s="269"/>
      <c r="Q49" s="281"/>
      <c r="R49" s="281"/>
      <c r="S49" s="281"/>
      <c r="T49" s="281"/>
      <c r="U49" s="281"/>
      <c r="V49" s="281"/>
      <c r="W49" s="281"/>
      <c r="X49" s="281"/>
      <c r="Y49" s="281"/>
      <c r="Z49" s="281"/>
      <c r="AA49" s="269"/>
      <c r="AB49" s="269"/>
      <c r="AC49" s="269"/>
      <c r="AD49" s="269"/>
      <c r="AE49" s="269"/>
      <c r="AF49" s="269"/>
      <c r="AG49" s="269"/>
      <c r="AH49" s="271">
        <f t="shared" si="6"/>
        <v>0</v>
      </c>
      <c r="AI49" s="272">
        <f t="shared" si="0"/>
        <v>0</v>
      </c>
      <c r="AJ49" s="271">
        <f t="shared" si="1"/>
        <v>0</v>
      </c>
      <c r="AK49" s="271">
        <f t="shared" si="2"/>
        <v>0</v>
      </c>
      <c r="AL49" s="271">
        <f t="shared" si="3"/>
        <v>0</v>
      </c>
      <c r="AM49" s="271">
        <f t="shared" si="4"/>
        <v>0</v>
      </c>
      <c r="AN49" s="271">
        <f t="shared" si="5"/>
        <v>0</v>
      </c>
    </row>
    <row r="50" spans="2:40" ht="16.5" customHeight="1">
      <c r="B50" s="420" t="str">
        <f>IF(INDEX(TabSeance[Date],ROW()-6)&lt;&gt;0,INDEX(TabSeance[Date],ROW()-6),"")</f>
        <v/>
      </c>
      <c r="C50" s="421" t="str">
        <f>IF(INDEX(TabSeance[Durée],ROW()-6)&lt;&gt;0,INDEX(TabSeance[Durée],ROW()-6),"")</f>
        <v/>
      </c>
      <c r="D50" s="281"/>
      <c r="E50" s="281"/>
      <c r="F50" s="281"/>
      <c r="G50" s="281"/>
      <c r="H50" s="281"/>
      <c r="I50" s="281"/>
      <c r="J50" s="281"/>
      <c r="K50" s="281"/>
      <c r="L50" s="281"/>
      <c r="M50" s="281"/>
      <c r="N50" s="281"/>
      <c r="O50" s="281"/>
      <c r="P50" s="269"/>
      <c r="Q50" s="281"/>
      <c r="R50" s="281"/>
      <c r="S50" s="281"/>
      <c r="T50" s="281"/>
      <c r="U50" s="281"/>
      <c r="V50" s="281"/>
      <c r="W50" s="281"/>
      <c r="X50" s="281"/>
      <c r="Y50" s="281"/>
      <c r="Z50" s="281"/>
      <c r="AA50" s="269"/>
      <c r="AB50" s="269"/>
      <c r="AC50" s="269"/>
      <c r="AD50" s="269"/>
      <c r="AE50" s="269"/>
      <c r="AF50" s="269"/>
      <c r="AG50" s="269"/>
      <c r="AH50" s="271">
        <f t="shared" si="6"/>
        <v>0</v>
      </c>
      <c r="AI50" s="272">
        <f t="shared" si="0"/>
        <v>0</v>
      </c>
      <c r="AJ50" s="271">
        <f t="shared" si="1"/>
        <v>0</v>
      </c>
      <c r="AK50" s="271">
        <f t="shared" si="2"/>
        <v>0</v>
      </c>
      <c r="AL50" s="271">
        <f t="shared" si="3"/>
        <v>0</v>
      </c>
      <c r="AM50" s="271">
        <f t="shared" si="4"/>
        <v>0</v>
      </c>
      <c r="AN50" s="271">
        <f t="shared" si="5"/>
        <v>0</v>
      </c>
    </row>
    <row r="51" spans="2:40" ht="16.5" customHeight="1">
      <c r="B51" s="420" t="str">
        <f>IF(INDEX(TabSeance[Date],ROW()-6)&lt;&gt;0,INDEX(TabSeance[Date],ROW()-6),"")</f>
        <v/>
      </c>
      <c r="C51" s="421" t="str">
        <f>IF(INDEX(TabSeance[Durée],ROW()-6)&lt;&gt;0,INDEX(TabSeance[Durée],ROW()-6),"")</f>
        <v/>
      </c>
      <c r="D51" s="281"/>
      <c r="E51" s="281"/>
      <c r="F51" s="281"/>
      <c r="G51" s="281"/>
      <c r="H51" s="281"/>
      <c r="I51" s="281"/>
      <c r="J51" s="281"/>
      <c r="K51" s="281"/>
      <c r="L51" s="281"/>
      <c r="M51" s="281"/>
      <c r="N51" s="281"/>
      <c r="O51" s="281"/>
      <c r="P51" s="269"/>
      <c r="Q51" s="281"/>
      <c r="R51" s="281"/>
      <c r="S51" s="281"/>
      <c r="T51" s="281"/>
      <c r="U51" s="281"/>
      <c r="V51" s="281"/>
      <c r="W51" s="281"/>
      <c r="X51" s="281"/>
      <c r="Y51" s="281"/>
      <c r="Z51" s="281"/>
      <c r="AA51" s="269"/>
      <c r="AB51" s="269"/>
      <c r="AC51" s="269"/>
      <c r="AD51" s="269"/>
      <c r="AE51" s="269"/>
      <c r="AF51" s="269"/>
      <c r="AG51" s="269"/>
      <c r="AH51" s="271">
        <f t="shared" si="6"/>
        <v>0</v>
      </c>
      <c r="AI51" s="272">
        <f t="shared" si="0"/>
        <v>0</v>
      </c>
      <c r="AJ51" s="271">
        <f t="shared" si="1"/>
        <v>0</v>
      </c>
      <c r="AK51" s="271">
        <f t="shared" si="2"/>
        <v>0</v>
      </c>
      <c r="AL51" s="271">
        <f t="shared" si="3"/>
        <v>0</v>
      </c>
      <c r="AM51" s="271">
        <f t="shared" si="4"/>
        <v>0</v>
      </c>
      <c r="AN51" s="271">
        <f t="shared" si="5"/>
        <v>0</v>
      </c>
    </row>
    <row r="52" spans="2:40" ht="16.5" customHeight="1">
      <c r="B52" s="420" t="str">
        <f>IF(INDEX(TabSeance[Date],ROW()-6)&lt;&gt;0,INDEX(TabSeance[Date],ROW()-6),"")</f>
        <v/>
      </c>
      <c r="C52" s="421" t="str">
        <f>IF(INDEX(TabSeance[Durée],ROW()-6)&lt;&gt;0,INDEX(TabSeance[Durée],ROW()-6),"")</f>
        <v/>
      </c>
      <c r="D52" s="281"/>
      <c r="E52" s="281"/>
      <c r="F52" s="281"/>
      <c r="G52" s="281"/>
      <c r="H52" s="281"/>
      <c r="I52" s="281"/>
      <c r="J52" s="281"/>
      <c r="K52" s="281"/>
      <c r="L52" s="281"/>
      <c r="M52" s="281"/>
      <c r="N52" s="281"/>
      <c r="O52" s="281"/>
      <c r="P52" s="269"/>
      <c r="Q52" s="281"/>
      <c r="R52" s="281"/>
      <c r="S52" s="281"/>
      <c r="T52" s="281"/>
      <c r="U52" s="281"/>
      <c r="V52" s="281"/>
      <c r="W52" s="281"/>
      <c r="X52" s="281"/>
      <c r="Y52" s="281"/>
      <c r="Z52" s="281"/>
      <c r="AA52" s="269"/>
      <c r="AB52" s="269"/>
      <c r="AC52" s="269"/>
      <c r="AD52" s="269"/>
      <c r="AE52" s="269"/>
      <c r="AF52" s="269"/>
      <c r="AG52" s="269"/>
      <c r="AH52" s="271">
        <f t="shared" si="6"/>
        <v>0</v>
      </c>
      <c r="AI52" s="272">
        <f t="shared" si="0"/>
        <v>0</v>
      </c>
      <c r="AJ52" s="271">
        <f t="shared" si="1"/>
        <v>0</v>
      </c>
      <c r="AK52" s="271">
        <f t="shared" si="2"/>
        <v>0</v>
      </c>
      <c r="AL52" s="271">
        <f t="shared" si="3"/>
        <v>0</v>
      </c>
      <c r="AM52" s="271">
        <f t="shared" si="4"/>
        <v>0</v>
      </c>
      <c r="AN52" s="271">
        <f t="shared" si="5"/>
        <v>0</v>
      </c>
    </row>
    <row r="53" spans="2:40" ht="14.25">
      <c r="B53" s="420" t="str">
        <f>IF(INDEX(TabSeance[Date],ROW()-6)&lt;&gt;0,INDEX(TabSeance[Date],ROW()-6),"")</f>
        <v/>
      </c>
      <c r="C53" s="421" t="str">
        <f>IF(INDEX(TabSeance[Durée],ROW()-6)&lt;&gt;0,INDEX(TabSeance[Durée],ROW()-6),"")</f>
        <v/>
      </c>
      <c r="D53" s="281"/>
      <c r="E53" s="281"/>
      <c r="F53" s="281"/>
      <c r="G53" s="281"/>
      <c r="H53" s="281"/>
      <c r="I53" s="281"/>
      <c r="J53" s="281"/>
      <c r="K53" s="281"/>
      <c r="L53" s="281"/>
      <c r="M53" s="281"/>
      <c r="N53" s="281"/>
      <c r="O53" s="281"/>
      <c r="P53" s="269"/>
      <c r="Q53" s="281"/>
      <c r="R53" s="281"/>
      <c r="S53" s="281"/>
      <c r="T53" s="281"/>
      <c r="U53" s="281"/>
      <c r="V53" s="281"/>
      <c r="W53" s="281"/>
      <c r="X53" s="281"/>
      <c r="Y53" s="281"/>
      <c r="Z53" s="281"/>
      <c r="AA53" s="269"/>
      <c r="AB53" s="269"/>
      <c r="AC53" s="269"/>
      <c r="AD53" s="269"/>
      <c r="AE53" s="269"/>
      <c r="AF53" s="269"/>
      <c r="AG53" s="269"/>
      <c r="AH53" s="271">
        <f t="shared" si="6"/>
        <v>0</v>
      </c>
      <c r="AI53" s="272">
        <f t="shared" si="0"/>
        <v>0</v>
      </c>
      <c r="AJ53" s="271">
        <f t="shared" si="1"/>
        <v>0</v>
      </c>
      <c r="AK53" s="271">
        <f t="shared" si="2"/>
        <v>0</v>
      </c>
      <c r="AL53" s="271">
        <f t="shared" si="3"/>
        <v>0</v>
      </c>
      <c r="AM53" s="271">
        <f t="shared" si="4"/>
        <v>0</v>
      </c>
      <c r="AN53" s="271">
        <f t="shared" si="5"/>
        <v>0</v>
      </c>
    </row>
    <row r="54" spans="2:40" ht="14.25">
      <c r="B54" s="420" t="str">
        <f>IF(INDEX(TabSeance[Date],ROW()-6)&lt;&gt;0,INDEX(TabSeance[Date],ROW()-6),"")</f>
        <v/>
      </c>
      <c r="C54" s="421" t="str">
        <f>IF(INDEX(TabSeance[Durée],ROW()-6)&lt;&gt;0,INDEX(TabSeance[Durée],ROW()-6),"")</f>
        <v/>
      </c>
      <c r="D54" s="281"/>
      <c r="E54" s="281"/>
      <c r="F54" s="281"/>
      <c r="G54" s="281"/>
      <c r="H54" s="281"/>
      <c r="I54" s="281"/>
      <c r="J54" s="281"/>
      <c r="K54" s="281"/>
      <c r="L54" s="281"/>
      <c r="M54" s="281"/>
      <c r="N54" s="281"/>
      <c r="O54" s="281"/>
      <c r="P54" s="269"/>
      <c r="Q54" s="281"/>
      <c r="R54" s="281"/>
      <c r="S54" s="281"/>
      <c r="T54" s="281"/>
      <c r="U54" s="281"/>
      <c r="V54" s="281"/>
      <c r="W54" s="281"/>
      <c r="X54" s="281"/>
      <c r="Y54" s="281"/>
      <c r="Z54" s="281"/>
      <c r="AA54" s="281"/>
      <c r="AB54" s="269"/>
      <c r="AC54" s="269"/>
      <c r="AD54" s="269"/>
      <c r="AE54" s="269"/>
      <c r="AF54" s="269"/>
      <c r="AG54" s="269"/>
      <c r="AH54" s="271">
        <f t="shared" si="6"/>
        <v>0</v>
      </c>
      <c r="AI54" s="272">
        <f t="shared" si="0"/>
        <v>0</v>
      </c>
      <c r="AJ54" s="271">
        <f t="shared" si="1"/>
        <v>0</v>
      </c>
      <c r="AK54" s="271">
        <f t="shared" si="2"/>
        <v>0</v>
      </c>
      <c r="AL54" s="271">
        <f t="shared" si="3"/>
        <v>0</v>
      </c>
      <c r="AM54" s="271">
        <f t="shared" si="4"/>
        <v>0</v>
      </c>
      <c r="AN54" s="271">
        <f t="shared" si="5"/>
        <v>0</v>
      </c>
    </row>
    <row r="55" spans="2:40" ht="14.25">
      <c r="B55" s="420" t="str">
        <f>IF(INDEX(TabSeance[Date],ROW()-6)&lt;&gt;0,INDEX(TabSeance[Date],ROW()-6),"")</f>
        <v/>
      </c>
      <c r="C55" s="421" t="str">
        <f>IF(INDEX(TabSeance[Durée],ROW()-6)&lt;&gt;0,INDEX(TabSeance[Durée],ROW()-6),"")</f>
        <v/>
      </c>
      <c r="D55" s="281"/>
      <c r="E55" s="281"/>
      <c r="F55" s="281"/>
      <c r="G55" s="281"/>
      <c r="H55" s="281"/>
      <c r="I55" s="281"/>
      <c r="J55" s="281"/>
      <c r="K55" s="281"/>
      <c r="L55" s="281"/>
      <c r="M55" s="281"/>
      <c r="N55" s="281"/>
      <c r="O55" s="281"/>
      <c r="P55" s="269"/>
      <c r="Q55" s="281"/>
      <c r="R55" s="281"/>
      <c r="S55" s="281"/>
      <c r="T55" s="281"/>
      <c r="U55" s="281"/>
      <c r="V55" s="281"/>
      <c r="W55" s="281"/>
      <c r="X55" s="281"/>
      <c r="Y55" s="281"/>
      <c r="Z55" s="269"/>
      <c r="AA55" s="281"/>
      <c r="AB55" s="269"/>
      <c r="AC55" s="269"/>
      <c r="AD55" s="269"/>
      <c r="AE55" s="269"/>
      <c r="AF55" s="269"/>
      <c r="AG55" s="269"/>
      <c r="AH55" s="271">
        <f t="shared" si="6"/>
        <v>0</v>
      </c>
      <c r="AI55" s="272">
        <f t="shared" si="0"/>
        <v>0</v>
      </c>
      <c r="AJ55" s="271">
        <f t="shared" si="1"/>
        <v>0</v>
      </c>
      <c r="AK55" s="271">
        <f t="shared" si="2"/>
        <v>0</v>
      </c>
      <c r="AL55" s="271">
        <f t="shared" si="3"/>
        <v>0</v>
      </c>
      <c r="AM55" s="271">
        <f t="shared" si="4"/>
        <v>0</v>
      </c>
      <c r="AN55" s="271">
        <f t="shared" si="5"/>
        <v>0</v>
      </c>
    </row>
    <row r="56" spans="2:40" ht="14.25">
      <c r="B56" s="420" t="str">
        <f>IF(INDEX(TabSeance[Date],ROW()-6)&lt;&gt;0,INDEX(TabSeance[Date],ROW()-6),"")</f>
        <v/>
      </c>
      <c r="C56" s="421" t="str">
        <f>IF(INDEX(TabSeance[Durée],ROW()-6)&lt;&gt;0,INDEX(TabSeance[Durée],ROW()-6),"")</f>
        <v/>
      </c>
      <c r="D56" s="281"/>
      <c r="E56" s="281"/>
      <c r="F56" s="281"/>
      <c r="G56" s="281"/>
      <c r="H56" s="281"/>
      <c r="I56" s="281"/>
      <c r="J56" s="281"/>
      <c r="K56" s="281"/>
      <c r="L56" s="281"/>
      <c r="M56" s="281"/>
      <c r="N56" s="281"/>
      <c r="O56" s="281"/>
      <c r="P56" s="269"/>
      <c r="Q56" s="281"/>
      <c r="R56" s="281"/>
      <c r="S56" s="281"/>
      <c r="T56" s="281"/>
      <c r="U56" s="281"/>
      <c r="V56" s="281"/>
      <c r="W56" s="281"/>
      <c r="X56" s="281"/>
      <c r="Y56" s="281"/>
      <c r="Z56" s="269"/>
      <c r="AA56" s="281"/>
      <c r="AB56" s="269"/>
      <c r="AC56" s="269"/>
      <c r="AD56" s="269"/>
      <c r="AE56" s="269"/>
      <c r="AF56" s="269"/>
      <c r="AG56" s="269"/>
      <c r="AH56" s="271">
        <f t="shared" si="6"/>
        <v>0</v>
      </c>
      <c r="AI56" s="272">
        <f t="shared" si="0"/>
        <v>0</v>
      </c>
      <c r="AJ56" s="271">
        <f t="shared" si="1"/>
        <v>0</v>
      </c>
      <c r="AK56" s="271">
        <f t="shared" si="2"/>
        <v>0</v>
      </c>
      <c r="AL56" s="271">
        <f t="shared" si="3"/>
        <v>0</v>
      </c>
      <c r="AM56" s="271">
        <f t="shared" si="4"/>
        <v>0</v>
      </c>
      <c r="AN56" s="271">
        <f t="shared" si="5"/>
        <v>0</v>
      </c>
    </row>
    <row r="57" spans="2:40" ht="14.25">
      <c r="B57" s="420" t="str">
        <f>IF(INDEX(TabSeance[Date],ROW()-6)&lt;&gt;0,INDEX(TabSeance[Date],ROW()-6),"")</f>
        <v/>
      </c>
      <c r="C57" s="421" t="str">
        <f>IF(INDEX(TabSeance[Durée],ROW()-6)&lt;&gt;0,INDEX(TabSeance[Durée],ROW()-6),"")</f>
        <v/>
      </c>
      <c r="D57" s="281"/>
      <c r="E57" s="281"/>
      <c r="F57" s="281"/>
      <c r="G57" s="281"/>
      <c r="H57" s="281"/>
      <c r="I57" s="281"/>
      <c r="J57" s="281"/>
      <c r="K57" s="281"/>
      <c r="L57" s="281"/>
      <c r="M57" s="281"/>
      <c r="N57" s="281"/>
      <c r="O57" s="281"/>
      <c r="P57" s="269"/>
      <c r="Q57" s="281"/>
      <c r="R57" s="281"/>
      <c r="S57" s="281"/>
      <c r="T57" s="281"/>
      <c r="U57" s="281"/>
      <c r="V57" s="281"/>
      <c r="W57" s="281"/>
      <c r="X57" s="281"/>
      <c r="Y57" s="281"/>
      <c r="Z57" s="269"/>
      <c r="AA57" s="281"/>
      <c r="AB57" s="269"/>
      <c r="AC57" s="269"/>
      <c r="AD57" s="269"/>
      <c r="AE57" s="269"/>
      <c r="AF57" s="269"/>
      <c r="AG57" s="269"/>
      <c r="AH57" s="271">
        <f t="shared" si="6"/>
        <v>0</v>
      </c>
      <c r="AI57" s="272">
        <f t="shared" si="0"/>
        <v>0</v>
      </c>
      <c r="AJ57" s="271">
        <f t="shared" si="1"/>
        <v>0</v>
      </c>
      <c r="AK57" s="271">
        <f t="shared" si="2"/>
        <v>0</v>
      </c>
      <c r="AL57" s="271">
        <f t="shared" si="3"/>
        <v>0</v>
      </c>
      <c r="AM57" s="271">
        <f t="shared" si="4"/>
        <v>0</v>
      </c>
      <c r="AN57" s="271">
        <f t="shared" si="5"/>
        <v>0</v>
      </c>
    </row>
    <row r="58" spans="2:40" ht="14.25">
      <c r="B58" s="420" t="str">
        <f>IF(INDEX(TabSeance[Date],ROW()-6)&lt;&gt;0,INDEX(TabSeance[Date],ROW()-6),"")</f>
        <v/>
      </c>
      <c r="C58" s="421" t="str">
        <f>IF(INDEX(TabSeance[Durée],ROW()-6)&lt;&gt;0,INDEX(TabSeance[Durée],ROW()-6),"")</f>
        <v/>
      </c>
      <c r="D58" s="281"/>
      <c r="E58" s="281"/>
      <c r="F58" s="281"/>
      <c r="G58" s="281"/>
      <c r="H58" s="281"/>
      <c r="I58" s="281"/>
      <c r="J58" s="281"/>
      <c r="K58" s="281"/>
      <c r="L58" s="281"/>
      <c r="M58" s="281"/>
      <c r="N58" s="281"/>
      <c r="O58" s="281"/>
      <c r="P58" s="269"/>
      <c r="Q58" s="281"/>
      <c r="R58" s="281"/>
      <c r="S58" s="281"/>
      <c r="T58" s="281"/>
      <c r="U58" s="281"/>
      <c r="V58" s="281"/>
      <c r="W58" s="281"/>
      <c r="X58" s="281"/>
      <c r="Y58" s="281"/>
      <c r="Z58" s="269"/>
      <c r="AA58" s="281"/>
      <c r="AB58" s="269"/>
      <c r="AC58" s="269"/>
      <c r="AD58" s="269"/>
      <c r="AE58" s="269"/>
      <c r="AF58" s="269"/>
      <c r="AG58" s="269"/>
      <c r="AH58" s="271">
        <f t="shared" si="6"/>
        <v>0</v>
      </c>
      <c r="AI58" s="272">
        <f t="shared" si="0"/>
        <v>0</v>
      </c>
      <c r="AJ58" s="271">
        <f t="shared" si="1"/>
        <v>0</v>
      </c>
      <c r="AK58" s="271">
        <f t="shared" si="2"/>
        <v>0</v>
      </c>
      <c r="AL58" s="271">
        <f t="shared" si="3"/>
        <v>0</v>
      </c>
      <c r="AM58" s="271">
        <f t="shared" si="4"/>
        <v>0</v>
      </c>
      <c r="AN58" s="271">
        <f t="shared" si="5"/>
        <v>0</v>
      </c>
    </row>
    <row r="59" spans="2:40" ht="14.25">
      <c r="B59" s="420" t="str">
        <f>IF(INDEX(TabSeance[Date],ROW()-6)&lt;&gt;0,INDEX(TabSeance[Date],ROW()-6),"")</f>
        <v/>
      </c>
      <c r="C59" s="421" t="str">
        <f>IF(INDEX(TabSeance[Durée],ROW()-6)&lt;&gt;0,INDEX(TabSeance[Durée],ROW()-6),"")</f>
        <v/>
      </c>
      <c r="D59" s="281"/>
      <c r="E59" s="281"/>
      <c r="F59" s="281"/>
      <c r="G59" s="281"/>
      <c r="H59" s="281"/>
      <c r="I59" s="281"/>
      <c r="J59" s="281"/>
      <c r="K59" s="281"/>
      <c r="L59" s="281"/>
      <c r="M59" s="281"/>
      <c r="N59" s="281"/>
      <c r="O59" s="281"/>
      <c r="P59" s="269"/>
      <c r="Q59" s="281"/>
      <c r="R59" s="281"/>
      <c r="S59" s="281"/>
      <c r="T59" s="281"/>
      <c r="U59" s="281"/>
      <c r="V59" s="281"/>
      <c r="W59" s="281"/>
      <c r="X59" s="281"/>
      <c r="Y59" s="281"/>
      <c r="Z59" s="269"/>
      <c r="AA59" s="281"/>
      <c r="AB59" s="269"/>
      <c r="AC59" s="269"/>
      <c r="AD59" s="269"/>
      <c r="AE59" s="269"/>
      <c r="AF59" s="269"/>
      <c r="AG59" s="269"/>
      <c r="AH59" s="271">
        <f t="shared" si="6"/>
        <v>0</v>
      </c>
      <c r="AI59" s="272">
        <f t="shared" si="0"/>
        <v>0</v>
      </c>
      <c r="AJ59" s="271">
        <f t="shared" si="1"/>
        <v>0</v>
      </c>
      <c r="AK59" s="271">
        <f t="shared" si="2"/>
        <v>0</v>
      </c>
      <c r="AL59" s="271">
        <f t="shared" si="3"/>
        <v>0</v>
      </c>
      <c r="AM59" s="271">
        <f t="shared" si="4"/>
        <v>0</v>
      </c>
      <c r="AN59" s="271">
        <f t="shared" si="5"/>
        <v>0</v>
      </c>
    </row>
    <row r="60" spans="2:40" ht="14.25">
      <c r="B60" s="420" t="str">
        <f>IF(INDEX(TabSeance[Date],ROW()-6)&lt;&gt;0,INDEX(TabSeance[Date],ROW()-6),"")</f>
        <v/>
      </c>
      <c r="C60" s="421" t="str">
        <f>IF(INDEX(TabSeance[Durée],ROW()-6)&lt;&gt;0,INDEX(TabSeance[Durée],ROW()-6),"")</f>
        <v/>
      </c>
      <c r="D60" s="281"/>
      <c r="E60" s="281"/>
      <c r="F60" s="281"/>
      <c r="G60" s="281"/>
      <c r="H60" s="281"/>
      <c r="I60" s="281"/>
      <c r="J60" s="281"/>
      <c r="K60" s="281"/>
      <c r="L60" s="281"/>
      <c r="M60" s="281"/>
      <c r="N60" s="281"/>
      <c r="O60" s="281"/>
      <c r="P60" s="269"/>
      <c r="Q60" s="281"/>
      <c r="R60" s="281"/>
      <c r="S60" s="281"/>
      <c r="T60" s="281"/>
      <c r="U60" s="281"/>
      <c r="V60" s="281"/>
      <c r="W60" s="281"/>
      <c r="X60" s="281"/>
      <c r="Y60" s="281"/>
      <c r="Z60" s="269"/>
      <c r="AA60" s="281"/>
      <c r="AB60" s="269"/>
      <c r="AC60" s="269"/>
      <c r="AD60" s="269"/>
      <c r="AE60" s="269"/>
      <c r="AF60" s="269"/>
      <c r="AG60" s="269"/>
      <c r="AH60" s="271">
        <f t="shared" si="6"/>
        <v>0</v>
      </c>
      <c r="AI60" s="272">
        <f t="shared" si="0"/>
        <v>0</v>
      </c>
      <c r="AJ60" s="271">
        <f t="shared" si="1"/>
        <v>0</v>
      </c>
      <c r="AK60" s="271">
        <f t="shared" si="2"/>
        <v>0</v>
      </c>
      <c r="AL60" s="271">
        <f t="shared" si="3"/>
        <v>0</v>
      </c>
      <c r="AM60" s="271">
        <f t="shared" si="4"/>
        <v>0</v>
      </c>
      <c r="AN60" s="271">
        <f t="shared" si="5"/>
        <v>0</v>
      </c>
    </row>
    <row r="61" spans="2:40" ht="14.25">
      <c r="B61" s="420" t="str">
        <f>IF(INDEX(TabSeance[Date],ROW()-6)&lt;&gt;0,INDEX(TabSeance[Date],ROW()-6),"")</f>
        <v/>
      </c>
      <c r="C61" s="421" t="str">
        <f>IF(INDEX(TabSeance[Durée],ROW()-6)&lt;&gt;0,INDEX(TabSeance[Durée],ROW()-6),"")</f>
        <v/>
      </c>
      <c r="D61" s="281"/>
      <c r="E61" s="281"/>
      <c r="F61" s="281"/>
      <c r="G61" s="281"/>
      <c r="H61" s="281"/>
      <c r="I61" s="281"/>
      <c r="J61" s="281"/>
      <c r="K61" s="281"/>
      <c r="L61" s="281"/>
      <c r="M61" s="281"/>
      <c r="N61" s="281"/>
      <c r="O61" s="281"/>
      <c r="P61" s="269"/>
      <c r="Q61" s="281"/>
      <c r="R61" s="281"/>
      <c r="S61" s="281"/>
      <c r="T61" s="281"/>
      <c r="U61" s="281"/>
      <c r="V61" s="281"/>
      <c r="W61" s="281"/>
      <c r="X61" s="281"/>
      <c r="Y61" s="281"/>
      <c r="Z61" s="269"/>
      <c r="AA61" s="281"/>
      <c r="AB61" s="269"/>
      <c r="AC61" s="269"/>
      <c r="AD61" s="269"/>
      <c r="AE61" s="269"/>
      <c r="AF61" s="269"/>
      <c r="AG61" s="269"/>
      <c r="AH61" s="271">
        <f t="shared" si="6"/>
        <v>0</v>
      </c>
      <c r="AI61" s="272">
        <f t="shared" si="0"/>
        <v>0</v>
      </c>
      <c r="AJ61" s="271">
        <f t="shared" si="1"/>
        <v>0</v>
      </c>
      <c r="AK61" s="271">
        <f t="shared" si="2"/>
        <v>0</v>
      </c>
      <c r="AL61" s="271">
        <f t="shared" si="3"/>
        <v>0</v>
      </c>
      <c r="AM61" s="271">
        <f t="shared" si="4"/>
        <v>0</v>
      </c>
      <c r="AN61" s="271">
        <f t="shared" si="5"/>
        <v>0</v>
      </c>
    </row>
    <row r="62" spans="2:40" ht="14.25">
      <c r="B62" s="420" t="str">
        <f>IF(INDEX(TabSeance[Date],ROW()-6)&lt;&gt;0,INDEX(TabSeance[Date],ROW()-6),"")</f>
        <v/>
      </c>
      <c r="C62" s="421" t="str">
        <f>IF(INDEX(TabSeance[Durée],ROW()-6)&lt;&gt;0,INDEX(TabSeance[Durée],ROW()-6),"")</f>
        <v/>
      </c>
      <c r="D62" s="281"/>
      <c r="E62" s="281"/>
      <c r="F62" s="281"/>
      <c r="G62" s="281"/>
      <c r="H62" s="281"/>
      <c r="I62" s="281"/>
      <c r="J62" s="281"/>
      <c r="K62" s="281"/>
      <c r="L62" s="281"/>
      <c r="M62" s="281"/>
      <c r="N62" s="281"/>
      <c r="O62" s="281"/>
      <c r="P62" s="269"/>
      <c r="Q62" s="281"/>
      <c r="R62" s="281"/>
      <c r="S62" s="281"/>
      <c r="T62" s="281"/>
      <c r="U62" s="281"/>
      <c r="V62" s="281"/>
      <c r="W62" s="281"/>
      <c r="X62" s="281"/>
      <c r="Y62" s="281"/>
      <c r="Z62" s="269"/>
      <c r="AA62" s="281"/>
      <c r="AB62" s="269"/>
      <c r="AC62" s="269"/>
      <c r="AD62" s="269"/>
      <c r="AE62" s="269"/>
      <c r="AF62" s="269"/>
      <c r="AG62" s="269"/>
      <c r="AH62" s="271">
        <f t="shared" si="6"/>
        <v>0</v>
      </c>
      <c r="AI62" s="272">
        <f t="shared" si="0"/>
        <v>0</v>
      </c>
      <c r="AJ62" s="271">
        <f t="shared" si="1"/>
        <v>0</v>
      </c>
      <c r="AK62" s="271">
        <f t="shared" si="2"/>
        <v>0</v>
      </c>
      <c r="AL62" s="271">
        <f t="shared" si="3"/>
        <v>0</v>
      </c>
      <c r="AM62" s="271">
        <f t="shared" si="4"/>
        <v>0</v>
      </c>
      <c r="AN62" s="271">
        <f t="shared" si="5"/>
        <v>0</v>
      </c>
    </row>
    <row r="63" spans="2:40" ht="14.25">
      <c r="B63" s="420" t="str">
        <f>IF(INDEX(TabSeance[Date],ROW()-6)&lt;&gt;0,INDEX(TabSeance[Date],ROW()-6),"")</f>
        <v/>
      </c>
      <c r="C63" s="421" t="str">
        <f>IF(INDEX(TabSeance[Durée],ROW()-6)&lt;&gt;0,INDEX(TabSeance[Durée],ROW()-6),"")</f>
        <v/>
      </c>
      <c r="D63" s="269"/>
      <c r="E63" s="281"/>
      <c r="F63" s="281"/>
      <c r="G63" s="281"/>
      <c r="H63" s="281"/>
      <c r="I63" s="281"/>
      <c r="J63" s="281"/>
      <c r="K63" s="281"/>
      <c r="L63" s="281"/>
      <c r="M63" s="281"/>
      <c r="N63" s="281"/>
      <c r="O63" s="281"/>
      <c r="P63" s="269"/>
      <c r="Q63" s="281"/>
      <c r="R63" s="281"/>
      <c r="S63" s="281"/>
      <c r="T63" s="281"/>
      <c r="U63" s="281"/>
      <c r="V63" s="281"/>
      <c r="W63" s="281"/>
      <c r="X63" s="281"/>
      <c r="Y63" s="281"/>
      <c r="Z63" s="269"/>
      <c r="AA63" s="281"/>
      <c r="AB63" s="269"/>
      <c r="AC63" s="269"/>
      <c r="AD63" s="269"/>
      <c r="AE63" s="269"/>
      <c r="AF63" s="269"/>
      <c r="AG63" s="269"/>
      <c r="AH63" s="271">
        <f t="shared" si="6"/>
        <v>0</v>
      </c>
      <c r="AI63" s="272">
        <f t="shared" si="0"/>
        <v>0</v>
      </c>
      <c r="AJ63" s="271">
        <f t="shared" si="1"/>
        <v>0</v>
      </c>
      <c r="AK63" s="271">
        <f t="shared" si="2"/>
        <v>0</v>
      </c>
      <c r="AL63" s="271">
        <f t="shared" si="3"/>
        <v>0</v>
      </c>
      <c r="AM63" s="271">
        <f t="shared" si="4"/>
        <v>0</v>
      </c>
      <c r="AN63" s="271">
        <f t="shared" si="5"/>
        <v>0</v>
      </c>
    </row>
    <row r="64" spans="2:40" ht="14.25">
      <c r="B64" s="420" t="str">
        <f>IF(INDEX(TabSeance[Date],ROW()-6)&lt;&gt;0,INDEX(TabSeance[Date],ROW()-6),"")</f>
        <v/>
      </c>
      <c r="C64" s="421" t="str">
        <f>IF(INDEX(TabSeance[Durée],ROW()-6)&lt;&gt;0,INDEX(TabSeance[Durée],ROW()-6),"")</f>
        <v/>
      </c>
      <c r="D64" s="281"/>
      <c r="E64" s="281"/>
      <c r="F64" s="281"/>
      <c r="G64" s="281"/>
      <c r="H64" s="281"/>
      <c r="I64" s="281"/>
      <c r="J64" s="281"/>
      <c r="K64" s="281"/>
      <c r="L64" s="281"/>
      <c r="M64" s="281"/>
      <c r="N64" s="281"/>
      <c r="O64" s="281"/>
      <c r="P64" s="269"/>
      <c r="Q64" s="281"/>
      <c r="R64" s="281"/>
      <c r="S64" s="281"/>
      <c r="T64" s="281"/>
      <c r="U64" s="281"/>
      <c r="V64" s="281"/>
      <c r="W64" s="281"/>
      <c r="X64" s="269"/>
      <c r="Y64" s="281"/>
      <c r="Z64" s="269"/>
      <c r="AA64" s="281"/>
      <c r="AB64" s="269"/>
      <c r="AC64" s="269"/>
      <c r="AD64" s="269"/>
      <c r="AE64" s="269"/>
      <c r="AF64" s="269"/>
      <c r="AG64" s="269"/>
      <c r="AH64" s="271">
        <f t="shared" si="6"/>
        <v>0</v>
      </c>
      <c r="AI64" s="272">
        <f t="shared" si="0"/>
        <v>0</v>
      </c>
      <c r="AJ64" s="271">
        <f t="shared" si="1"/>
        <v>0</v>
      </c>
      <c r="AK64" s="271">
        <f t="shared" si="2"/>
        <v>0</v>
      </c>
      <c r="AL64" s="271">
        <f t="shared" si="3"/>
        <v>0</v>
      </c>
      <c r="AM64" s="271">
        <f t="shared" si="4"/>
        <v>0</v>
      </c>
      <c r="AN64" s="271">
        <f t="shared" si="5"/>
        <v>0</v>
      </c>
    </row>
    <row r="65" spans="2:40" ht="14.25">
      <c r="B65" s="420" t="str">
        <f>IF(INDEX(TabSeance[Date],ROW()-6)&lt;&gt;0,INDEX(TabSeance[Date],ROW()-6),"")</f>
        <v/>
      </c>
      <c r="C65" s="421" t="str">
        <f>IF(INDEX(TabSeance[Durée],ROW()-6)&lt;&gt;0,INDEX(TabSeance[Durée],ROW()-6),"")</f>
        <v/>
      </c>
      <c r="D65" s="281"/>
      <c r="E65" s="281"/>
      <c r="F65" s="281"/>
      <c r="G65" s="281"/>
      <c r="H65" s="281"/>
      <c r="I65" s="281"/>
      <c r="J65" s="281"/>
      <c r="K65" s="281"/>
      <c r="L65" s="281"/>
      <c r="M65" s="281"/>
      <c r="N65" s="281"/>
      <c r="O65" s="281"/>
      <c r="P65" s="269"/>
      <c r="Q65" s="281"/>
      <c r="R65" s="281"/>
      <c r="S65" s="281"/>
      <c r="T65" s="281"/>
      <c r="U65" s="281"/>
      <c r="V65" s="281"/>
      <c r="W65" s="281"/>
      <c r="X65" s="269"/>
      <c r="Y65" s="281"/>
      <c r="Z65" s="269"/>
      <c r="AA65" s="281"/>
      <c r="AB65" s="269"/>
      <c r="AC65" s="269"/>
      <c r="AD65" s="269"/>
      <c r="AE65" s="269"/>
      <c r="AF65" s="269"/>
      <c r="AG65" s="269"/>
      <c r="AH65" s="271">
        <f t="shared" si="6"/>
        <v>0</v>
      </c>
      <c r="AI65" s="272">
        <f t="shared" si="0"/>
        <v>0</v>
      </c>
      <c r="AJ65" s="271">
        <f t="shared" si="1"/>
        <v>0</v>
      </c>
      <c r="AK65" s="271">
        <f t="shared" si="2"/>
        <v>0</v>
      </c>
      <c r="AL65" s="271">
        <f t="shared" si="3"/>
        <v>0</v>
      </c>
      <c r="AM65" s="271">
        <f t="shared" si="4"/>
        <v>0</v>
      </c>
      <c r="AN65" s="271">
        <f t="shared" si="5"/>
        <v>0</v>
      </c>
    </row>
    <row r="66" spans="2:40" ht="14.25">
      <c r="B66" s="420" t="str">
        <f>IF(INDEX(TabSeance[Date],ROW()-6)&lt;&gt;0,INDEX(TabSeance[Date],ROW()-6),"")</f>
        <v/>
      </c>
      <c r="C66" s="421" t="str">
        <f>IF(INDEX(TabSeance[Durée],ROW()-6)&lt;&gt;0,INDEX(TabSeance[Durée],ROW()-6),"")</f>
        <v/>
      </c>
      <c r="D66" s="281"/>
      <c r="E66" s="281"/>
      <c r="F66" s="281"/>
      <c r="G66" s="281"/>
      <c r="H66" s="281"/>
      <c r="I66" s="281"/>
      <c r="J66" s="281"/>
      <c r="K66" s="281"/>
      <c r="L66" s="281"/>
      <c r="M66" s="281"/>
      <c r="N66" s="281"/>
      <c r="O66" s="281"/>
      <c r="P66" s="269"/>
      <c r="Q66" s="281"/>
      <c r="R66" s="281"/>
      <c r="S66" s="281"/>
      <c r="T66" s="281"/>
      <c r="U66" s="281"/>
      <c r="V66" s="281"/>
      <c r="W66" s="281"/>
      <c r="X66" s="269"/>
      <c r="Y66" s="281"/>
      <c r="Z66" s="269"/>
      <c r="AA66" s="281"/>
      <c r="AB66" s="269"/>
      <c r="AC66" s="269"/>
      <c r="AD66" s="269"/>
      <c r="AE66" s="269"/>
      <c r="AF66" s="269"/>
      <c r="AG66" s="269"/>
      <c r="AH66" s="271">
        <f t="shared" si="6"/>
        <v>0</v>
      </c>
      <c r="AI66" s="272">
        <f t="shared" si="0"/>
        <v>0</v>
      </c>
      <c r="AJ66" s="271">
        <f t="shared" si="1"/>
        <v>0</v>
      </c>
      <c r="AK66" s="271">
        <f t="shared" si="2"/>
        <v>0</v>
      </c>
      <c r="AL66" s="271">
        <f t="shared" si="3"/>
        <v>0</v>
      </c>
      <c r="AM66" s="271">
        <f t="shared" si="4"/>
        <v>0</v>
      </c>
      <c r="AN66" s="271">
        <f t="shared" si="5"/>
        <v>0</v>
      </c>
    </row>
    <row r="67" spans="2:40" ht="14.25">
      <c r="B67" s="420" t="str">
        <f>IF(INDEX(TabSeance[Date],ROW()-6)&lt;&gt;0,INDEX(TabSeance[Date],ROW()-6),"")</f>
        <v/>
      </c>
      <c r="C67" s="421" t="str">
        <f>IF(INDEX(TabSeance[Durée],ROW()-6)&lt;&gt;0,INDEX(TabSeance[Durée],ROW()-6),"")</f>
        <v/>
      </c>
      <c r="D67" s="281"/>
      <c r="E67" s="281"/>
      <c r="F67" s="281"/>
      <c r="G67" s="281"/>
      <c r="H67" s="281"/>
      <c r="I67" s="281"/>
      <c r="J67" s="281"/>
      <c r="K67" s="281"/>
      <c r="L67" s="281"/>
      <c r="M67" s="281"/>
      <c r="N67" s="281"/>
      <c r="O67" s="281"/>
      <c r="P67" s="269"/>
      <c r="Q67" s="281"/>
      <c r="R67" s="281"/>
      <c r="S67" s="281"/>
      <c r="T67" s="281"/>
      <c r="U67" s="281"/>
      <c r="V67" s="281"/>
      <c r="W67" s="281"/>
      <c r="X67" s="269"/>
      <c r="Y67" s="281"/>
      <c r="Z67" s="269"/>
      <c r="AA67" s="281"/>
      <c r="AB67" s="269"/>
      <c r="AC67" s="269"/>
      <c r="AD67" s="269"/>
      <c r="AE67" s="269"/>
      <c r="AF67" s="269"/>
      <c r="AG67" s="269"/>
      <c r="AH67" s="271">
        <f t="shared" si="6"/>
        <v>0</v>
      </c>
      <c r="AI67" s="272">
        <f t="shared" si="0"/>
        <v>0</v>
      </c>
      <c r="AJ67" s="271">
        <f t="shared" si="1"/>
        <v>0</v>
      </c>
      <c r="AK67" s="271">
        <f t="shared" si="2"/>
        <v>0</v>
      </c>
      <c r="AL67" s="271">
        <f t="shared" si="3"/>
        <v>0</v>
      </c>
      <c r="AM67" s="271">
        <f t="shared" si="4"/>
        <v>0</v>
      </c>
      <c r="AN67" s="271">
        <f t="shared" si="5"/>
        <v>0</v>
      </c>
    </row>
    <row r="68" spans="2:40" ht="14.25">
      <c r="B68" s="420" t="str">
        <f>IF(INDEX(TabSeance[Date],ROW()-6)&lt;&gt;0,INDEX(TabSeance[Date],ROW()-6),"")</f>
        <v/>
      </c>
      <c r="C68" s="421" t="str">
        <f>IF(INDEX(TabSeance[Durée],ROW()-6)&lt;&gt;0,INDEX(TabSeance[Durée],ROW()-6),"")</f>
        <v/>
      </c>
      <c r="D68" s="281"/>
      <c r="E68" s="281"/>
      <c r="F68" s="281"/>
      <c r="G68" s="281"/>
      <c r="H68" s="281"/>
      <c r="I68" s="281"/>
      <c r="J68" s="281"/>
      <c r="K68" s="281"/>
      <c r="L68" s="281"/>
      <c r="M68" s="281"/>
      <c r="N68" s="281"/>
      <c r="O68" s="281"/>
      <c r="P68" s="269"/>
      <c r="Q68" s="281"/>
      <c r="R68" s="281"/>
      <c r="S68" s="281"/>
      <c r="T68" s="281"/>
      <c r="U68" s="281"/>
      <c r="V68" s="281"/>
      <c r="W68" s="281"/>
      <c r="X68" s="269"/>
      <c r="Y68" s="281"/>
      <c r="Z68" s="269"/>
      <c r="AA68" s="281"/>
      <c r="AB68" s="269"/>
      <c r="AC68" s="269"/>
      <c r="AD68" s="269"/>
      <c r="AE68" s="269"/>
      <c r="AF68" s="269"/>
      <c r="AG68" s="269"/>
      <c r="AH68" s="271">
        <f t="shared" si="6"/>
        <v>0</v>
      </c>
      <c r="AI68" s="272">
        <f t="shared" si="0"/>
        <v>0</v>
      </c>
      <c r="AJ68" s="271">
        <f t="shared" si="1"/>
        <v>0</v>
      </c>
      <c r="AK68" s="271">
        <f t="shared" si="2"/>
        <v>0</v>
      </c>
      <c r="AL68" s="271">
        <f t="shared" si="3"/>
        <v>0</v>
      </c>
      <c r="AM68" s="271">
        <f t="shared" si="4"/>
        <v>0</v>
      </c>
      <c r="AN68" s="271">
        <f t="shared" si="5"/>
        <v>0</v>
      </c>
    </row>
    <row r="69" spans="2:40" ht="14.25">
      <c r="B69" s="420" t="str">
        <f>IF(INDEX(TabSeance[Date],ROW()-6)&lt;&gt;0,INDEX(TabSeance[Date],ROW()-6),"")</f>
        <v/>
      </c>
      <c r="C69" s="421" t="str">
        <f>IF(INDEX(TabSeance[Durée],ROW()-6)&lt;&gt;0,INDEX(TabSeance[Durée],ROW()-6),"")</f>
        <v/>
      </c>
      <c r="D69" s="281"/>
      <c r="E69" s="281"/>
      <c r="F69" s="281"/>
      <c r="G69" s="281"/>
      <c r="H69" s="281"/>
      <c r="I69" s="281"/>
      <c r="J69" s="281"/>
      <c r="K69" s="281"/>
      <c r="L69" s="281"/>
      <c r="M69" s="281"/>
      <c r="N69" s="281"/>
      <c r="O69" s="281"/>
      <c r="P69" s="269"/>
      <c r="Q69" s="281"/>
      <c r="R69" s="281"/>
      <c r="S69" s="281"/>
      <c r="T69" s="281"/>
      <c r="U69" s="281"/>
      <c r="V69" s="281"/>
      <c r="W69" s="281"/>
      <c r="X69" s="269"/>
      <c r="Y69" s="281"/>
      <c r="Z69" s="269"/>
      <c r="AA69" s="281"/>
      <c r="AB69" s="269"/>
      <c r="AC69" s="269"/>
      <c r="AD69" s="269"/>
      <c r="AE69" s="269"/>
      <c r="AF69" s="269"/>
      <c r="AG69" s="269"/>
      <c r="AH69" s="271">
        <f t="shared" si="6"/>
        <v>0</v>
      </c>
      <c r="AI69" s="272">
        <f t="shared" si="0"/>
        <v>0</v>
      </c>
      <c r="AJ69" s="271">
        <f t="shared" si="1"/>
        <v>0</v>
      </c>
      <c r="AK69" s="271">
        <f t="shared" si="2"/>
        <v>0</v>
      </c>
      <c r="AL69" s="271">
        <f t="shared" si="3"/>
        <v>0</v>
      </c>
      <c r="AM69" s="271">
        <f t="shared" si="4"/>
        <v>0</v>
      </c>
      <c r="AN69" s="271">
        <f t="shared" si="5"/>
        <v>0</v>
      </c>
    </row>
    <row r="70" spans="2:40" ht="14.25">
      <c r="B70" s="420" t="str">
        <f>IF(INDEX(TabSeance[Date],ROW()-6)&lt;&gt;0,INDEX(TabSeance[Date],ROW()-6),"")</f>
        <v/>
      </c>
      <c r="C70" s="421" t="str">
        <f>IF(INDEX(TabSeance[Durée],ROW()-6)&lt;&gt;0,INDEX(TabSeance[Durée],ROW()-6),"")</f>
        <v/>
      </c>
      <c r="D70" s="281"/>
      <c r="E70" s="281"/>
      <c r="F70" s="281"/>
      <c r="G70" s="281"/>
      <c r="H70" s="281"/>
      <c r="I70" s="281"/>
      <c r="J70" s="281"/>
      <c r="K70" s="281"/>
      <c r="L70" s="281"/>
      <c r="M70" s="281"/>
      <c r="N70" s="281"/>
      <c r="O70" s="281"/>
      <c r="P70" s="269"/>
      <c r="Q70" s="281"/>
      <c r="R70" s="281"/>
      <c r="S70" s="281"/>
      <c r="T70" s="281"/>
      <c r="U70" s="281"/>
      <c r="V70" s="281"/>
      <c r="W70" s="281"/>
      <c r="X70" s="269"/>
      <c r="Y70" s="281"/>
      <c r="Z70" s="269"/>
      <c r="AA70" s="281"/>
      <c r="AB70" s="269"/>
      <c r="AC70" s="269"/>
      <c r="AD70" s="269"/>
      <c r="AE70" s="269"/>
      <c r="AF70" s="269"/>
      <c r="AG70" s="269"/>
      <c r="AH70" s="271">
        <f t="shared" si="6"/>
        <v>0</v>
      </c>
      <c r="AI70" s="272">
        <f t="shared" si="0"/>
        <v>0</v>
      </c>
      <c r="AJ70" s="271">
        <f t="shared" si="1"/>
        <v>0</v>
      </c>
      <c r="AK70" s="271">
        <f t="shared" si="2"/>
        <v>0</v>
      </c>
      <c r="AL70" s="271">
        <f t="shared" si="3"/>
        <v>0</v>
      </c>
      <c r="AM70" s="271">
        <f t="shared" si="4"/>
        <v>0</v>
      </c>
      <c r="AN70" s="271">
        <f t="shared" si="5"/>
        <v>0</v>
      </c>
    </row>
    <row r="71" spans="2:40" ht="14.25">
      <c r="B71" s="420" t="str">
        <f>IF(INDEX(TabSeance[Date],ROW()-6)&lt;&gt;0,INDEX(TabSeance[Date],ROW()-6),"")</f>
        <v/>
      </c>
      <c r="C71" s="421" t="str">
        <f>IF(INDEX(TabSeance[Durée],ROW()-6)&lt;&gt;0,INDEX(TabSeance[Durée],ROW()-6),"")</f>
        <v/>
      </c>
      <c r="D71" s="281"/>
      <c r="E71" s="281"/>
      <c r="F71" s="281"/>
      <c r="G71" s="281"/>
      <c r="H71" s="281"/>
      <c r="I71" s="281"/>
      <c r="J71" s="281"/>
      <c r="K71" s="281"/>
      <c r="L71" s="281"/>
      <c r="M71" s="281"/>
      <c r="N71" s="281"/>
      <c r="O71" s="281"/>
      <c r="P71" s="269"/>
      <c r="Q71" s="281"/>
      <c r="R71" s="281"/>
      <c r="S71" s="281"/>
      <c r="T71" s="281"/>
      <c r="U71" s="281"/>
      <c r="V71" s="281"/>
      <c r="W71" s="281"/>
      <c r="X71" s="269"/>
      <c r="Y71" s="281"/>
      <c r="Z71" s="269"/>
      <c r="AA71" s="281"/>
      <c r="AB71" s="269"/>
      <c r="AC71" s="269"/>
      <c r="AD71" s="269"/>
      <c r="AE71" s="269"/>
      <c r="AF71" s="269"/>
      <c r="AG71" s="269"/>
      <c r="AH71" s="271">
        <f t="shared" si="6"/>
        <v>0</v>
      </c>
      <c r="AI71" s="272">
        <f t="shared" si="0"/>
        <v>0</v>
      </c>
      <c r="AJ71" s="271">
        <f t="shared" si="1"/>
        <v>0</v>
      </c>
      <c r="AK71" s="271">
        <f t="shared" si="2"/>
        <v>0</v>
      </c>
      <c r="AL71" s="271">
        <f t="shared" si="3"/>
        <v>0</v>
      </c>
      <c r="AM71" s="271">
        <f t="shared" si="4"/>
        <v>0</v>
      </c>
      <c r="AN71" s="271">
        <f t="shared" si="5"/>
        <v>0</v>
      </c>
    </row>
    <row r="72" spans="2:40" ht="14.25">
      <c r="B72" s="420" t="str">
        <f>IF(INDEX(TabSeance[Date],ROW()-6)&lt;&gt;0,INDEX(TabSeance[Date],ROW()-6),"")</f>
        <v/>
      </c>
      <c r="C72" s="421" t="str">
        <f>IF(INDEX(TabSeance[Durée],ROW()-6)&lt;&gt;0,INDEX(TabSeance[Durée],ROW()-6),"")</f>
        <v/>
      </c>
      <c r="D72" s="281"/>
      <c r="E72" s="281"/>
      <c r="F72" s="281"/>
      <c r="G72" s="281"/>
      <c r="H72" s="281"/>
      <c r="I72" s="281"/>
      <c r="J72" s="281"/>
      <c r="K72" s="281"/>
      <c r="L72" s="281"/>
      <c r="M72" s="281"/>
      <c r="N72" s="281"/>
      <c r="O72" s="281"/>
      <c r="P72" s="269"/>
      <c r="Q72" s="281"/>
      <c r="R72" s="281"/>
      <c r="S72" s="281"/>
      <c r="T72" s="281"/>
      <c r="U72" s="281"/>
      <c r="V72" s="281"/>
      <c r="W72" s="281"/>
      <c r="X72" s="269"/>
      <c r="Y72" s="281"/>
      <c r="Z72" s="269"/>
      <c r="AA72" s="281"/>
      <c r="AB72" s="269"/>
      <c r="AC72" s="269"/>
      <c r="AD72" s="269"/>
      <c r="AE72" s="269"/>
      <c r="AF72" s="269"/>
      <c r="AG72" s="269"/>
      <c r="AH72" s="271">
        <f t="shared" si="6"/>
        <v>0</v>
      </c>
      <c r="AI72" s="272">
        <f t="shared" ref="AI72:AI135" si="7">COUNTIF(D72:AG72,"Blessé")</f>
        <v>0</v>
      </c>
      <c r="AJ72" s="271">
        <f t="shared" ref="AJ72:AJ135" si="8">COUNTIF(D72:AG72,"Malade")</f>
        <v>0</v>
      </c>
      <c r="AK72" s="271">
        <f t="shared" ref="AK72:AK135" si="9">COUNTIF(D72:AG72,"Repos")</f>
        <v>0</v>
      </c>
      <c r="AL72" s="271">
        <f t="shared" ref="AL72:AL135" si="10">COUNTIF(D72:AG72,"Vacances")</f>
        <v>0</v>
      </c>
      <c r="AM72" s="271">
        <f t="shared" ref="AM72:AM135" si="11">COUNTIF(I72:AL72,"Absent")</f>
        <v>0</v>
      </c>
      <c r="AN72" s="271">
        <f t="shared" ref="AN72:AN135" si="12">COUNTIF(D72:AG72,"Excusé")</f>
        <v>0</v>
      </c>
    </row>
    <row r="73" spans="2:40" ht="14.25">
      <c r="B73" s="420" t="str">
        <f>IF(INDEX(TabSeance[Date],ROW()-6)&lt;&gt;0,INDEX(TabSeance[Date],ROW()-6),"")</f>
        <v/>
      </c>
      <c r="C73" s="421" t="str">
        <f>IF(INDEX(TabSeance[Durée],ROW()-6)&lt;&gt;0,INDEX(TabSeance[Durée],ROW()-6),"")</f>
        <v/>
      </c>
      <c r="D73" s="281"/>
      <c r="E73" s="281"/>
      <c r="F73" s="281"/>
      <c r="G73" s="281"/>
      <c r="H73" s="281"/>
      <c r="I73" s="281"/>
      <c r="J73" s="281"/>
      <c r="K73" s="281"/>
      <c r="L73" s="281"/>
      <c r="M73" s="281"/>
      <c r="N73" s="281"/>
      <c r="O73" s="281"/>
      <c r="P73" s="269"/>
      <c r="Q73" s="281"/>
      <c r="R73" s="281"/>
      <c r="S73" s="281"/>
      <c r="T73" s="281"/>
      <c r="U73" s="281"/>
      <c r="V73" s="281"/>
      <c r="W73" s="281"/>
      <c r="X73" s="269"/>
      <c r="Y73" s="281"/>
      <c r="Z73" s="269"/>
      <c r="AA73" s="281"/>
      <c r="AB73" s="269"/>
      <c r="AC73" s="269"/>
      <c r="AD73" s="269"/>
      <c r="AE73" s="269"/>
      <c r="AF73" s="269"/>
      <c r="AG73" s="269"/>
      <c r="AH73" s="271">
        <f t="shared" ref="AH73:AH136" si="13">COUNTIF(D73:AG73,"Présent")</f>
        <v>0</v>
      </c>
      <c r="AI73" s="272">
        <f t="shared" si="7"/>
        <v>0</v>
      </c>
      <c r="AJ73" s="271">
        <f t="shared" si="8"/>
        <v>0</v>
      </c>
      <c r="AK73" s="271">
        <f t="shared" si="9"/>
        <v>0</v>
      </c>
      <c r="AL73" s="271">
        <f t="shared" si="10"/>
        <v>0</v>
      </c>
      <c r="AM73" s="271">
        <f t="shared" si="11"/>
        <v>0</v>
      </c>
      <c r="AN73" s="271">
        <f t="shared" si="12"/>
        <v>0</v>
      </c>
    </row>
    <row r="74" spans="2:40" ht="14.25">
      <c r="B74" s="420" t="str">
        <f>IF(INDEX(TabSeance[Date],ROW()-6)&lt;&gt;0,INDEX(TabSeance[Date],ROW()-6),"")</f>
        <v/>
      </c>
      <c r="C74" s="421" t="str">
        <f>IF(INDEX(TabSeance[Durée],ROW()-6)&lt;&gt;0,INDEX(TabSeance[Durée],ROW()-6),"")</f>
        <v/>
      </c>
      <c r="D74" s="281"/>
      <c r="E74" s="281"/>
      <c r="F74" s="281"/>
      <c r="G74" s="281"/>
      <c r="H74" s="281"/>
      <c r="I74" s="281"/>
      <c r="J74" s="281"/>
      <c r="K74" s="281"/>
      <c r="L74" s="281"/>
      <c r="M74" s="281"/>
      <c r="N74" s="281"/>
      <c r="O74" s="281"/>
      <c r="P74" s="269"/>
      <c r="Q74" s="281"/>
      <c r="R74" s="281"/>
      <c r="S74" s="281"/>
      <c r="T74" s="281"/>
      <c r="U74" s="281"/>
      <c r="V74" s="281"/>
      <c r="W74" s="281"/>
      <c r="X74" s="269"/>
      <c r="Y74" s="281"/>
      <c r="Z74" s="269"/>
      <c r="AA74" s="281"/>
      <c r="AB74" s="269"/>
      <c r="AC74" s="269"/>
      <c r="AD74" s="269"/>
      <c r="AE74" s="269"/>
      <c r="AF74" s="269"/>
      <c r="AG74" s="269"/>
      <c r="AH74" s="271">
        <f t="shared" si="13"/>
        <v>0</v>
      </c>
      <c r="AI74" s="272">
        <f t="shared" si="7"/>
        <v>0</v>
      </c>
      <c r="AJ74" s="271">
        <f t="shared" si="8"/>
        <v>0</v>
      </c>
      <c r="AK74" s="271">
        <f t="shared" si="9"/>
        <v>0</v>
      </c>
      <c r="AL74" s="271">
        <f t="shared" si="10"/>
        <v>0</v>
      </c>
      <c r="AM74" s="271">
        <f t="shared" si="11"/>
        <v>0</v>
      </c>
      <c r="AN74" s="271">
        <f t="shared" si="12"/>
        <v>0</v>
      </c>
    </row>
    <row r="75" spans="2:40" ht="14.25">
      <c r="B75" s="420" t="str">
        <f>IF(INDEX(TabSeance[Date],ROW()-6)&lt;&gt;0,INDEX(TabSeance[Date],ROW()-6),"")</f>
        <v/>
      </c>
      <c r="C75" s="421" t="str">
        <f>IF(INDEX(TabSeance[Durée],ROW()-6)&lt;&gt;0,INDEX(TabSeance[Durée],ROW()-6),"")</f>
        <v/>
      </c>
      <c r="D75" s="281"/>
      <c r="E75" s="281"/>
      <c r="F75" s="281"/>
      <c r="G75" s="281"/>
      <c r="H75" s="281"/>
      <c r="I75" s="281"/>
      <c r="J75" s="281"/>
      <c r="K75" s="281"/>
      <c r="L75" s="281"/>
      <c r="M75" s="281"/>
      <c r="N75" s="281"/>
      <c r="O75" s="281"/>
      <c r="P75" s="269"/>
      <c r="Q75" s="281"/>
      <c r="R75" s="281"/>
      <c r="S75" s="281"/>
      <c r="T75" s="281"/>
      <c r="U75" s="281"/>
      <c r="V75" s="281"/>
      <c r="W75" s="281"/>
      <c r="X75" s="269"/>
      <c r="Y75" s="281"/>
      <c r="Z75" s="269"/>
      <c r="AA75" s="281"/>
      <c r="AB75" s="269"/>
      <c r="AC75" s="269"/>
      <c r="AD75" s="269"/>
      <c r="AE75" s="269"/>
      <c r="AF75" s="269"/>
      <c r="AG75" s="269"/>
      <c r="AH75" s="271">
        <f t="shared" si="13"/>
        <v>0</v>
      </c>
      <c r="AI75" s="272">
        <f t="shared" si="7"/>
        <v>0</v>
      </c>
      <c r="AJ75" s="271">
        <f t="shared" si="8"/>
        <v>0</v>
      </c>
      <c r="AK75" s="271">
        <f t="shared" si="9"/>
        <v>0</v>
      </c>
      <c r="AL75" s="271">
        <f t="shared" si="10"/>
        <v>0</v>
      </c>
      <c r="AM75" s="271">
        <f t="shared" si="11"/>
        <v>0</v>
      </c>
      <c r="AN75" s="271">
        <f t="shared" si="12"/>
        <v>0</v>
      </c>
    </row>
    <row r="76" spans="2:40" ht="14.25">
      <c r="B76" s="420" t="str">
        <f>IF(INDEX(TabSeance[Date],ROW()-6)&lt;&gt;0,INDEX(TabSeance[Date],ROW()-6),"")</f>
        <v/>
      </c>
      <c r="C76" s="421" t="str">
        <f>IF(INDEX(TabSeance[Durée],ROW()-6)&lt;&gt;0,INDEX(TabSeance[Durée],ROW()-6),"")</f>
        <v/>
      </c>
      <c r="D76" s="281"/>
      <c r="E76" s="281"/>
      <c r="F76" s="281"/>
      <c r="G76" s="281"/>
      <c r="H76" s="281"/>
      <c r="I76" s="281"/>
      <c r="J76" s="281"/>
      <c r="K76" s="281"/>
      <c r="L76" s="281"/>
      <c r="M76" s="281"/>
      <c r="N76" s="281"/>
      <c r="O76" s="281"/>
      <c r="P76" s="269"/>
      <c r="Q76" s="281"/>
      <c r="R76" s="281"/>
      <c r="S76" s="281"/>
      <c r="T76" s="281"/>
      <c r="U76" s="281"/>
      <c r="V76" s="281"/>
      <c r="W76" s="281"/>
      <c r="X76" s="269"/>
      <c r="Y76" s="281"/>
      <c r="Z76" s="269"/>
      <c r="AA76" s="281"/>
      <c r="AB76" s="269"/>
      <c r="AC76" s="269"/>
      <c r="AD76" s="269"/>
      <c r="AE76" s="269"/>
      <c r="AF76" s="269"/>
      <c r="AG76" s="269"/>
      <c r="AH76" s="271">
        <f t="shared" si="13"/>
        <v>0</v>
      </c>
      <c r="AI76" s="272">
        <f t="shared" si="7"/>
        <v>0</v>
      </c>
      <c r="AJ76" s="271">
        <f t="shared" si="8"/>
        <v>0</v>
      </c>
      <c r="AK76" s="271">
        <f t="shared" si="9"/>
        <v>0</v>
      </c>
      <c r="AL76" s="271">
        <f t="shared" si="10"/>
        <v>0</v>
      </c>
      <c r="AM76" s="271">
        <f t="shared" si="11"/>
        <v>0</v>
      </c>
      <c r="AN76" s="271">
        <f t="shared" si="12"/>
        <v>0</v>
      </c>
    </row>
    <row r="77" spans="2:40" ht="14.25">
      <c r="B77" s="420" t="str">
        <f>IF(INDEX(TabSeance[Date],ROW()-6)&lt;&gt;0,INDEX(TabSeance[Date],ROW()-6),"")</f>
        <v/>
      </c>
      <c r="C77" s="421" t="str">
        <f>IF(INDEX(TabSeance[Durée],ROW()-6)&lt;&gt;0,INDEX(TabSeance[Durée],ROW()-6),"")</f>
        <v/>
      </c>
      <c r="D77" s="281"/>
      <c r="E77" s="281"/>
      <c r="F77" s="281"/>
      <c r="G77" s="281"/>
      <c r="H77" s="281"/>
      <c r="I77" s="281"/>
      <c r="J77" s="281"/>
      <c r="K77" s="281"/>
      <c r="L77" s="281"/>
      <c r="M77" s="281"/>
      <c r="N77" s="281"/>
      <c r="O77" s="281"/>
      <c r="P77" s="269"/>
      <c r="Q77" s="281"/>
      <c r="R77" s="281"/>
      <c r="S77" s="281"/>
      <c r="T77" s="281"/>
      <c r="U77" s="281"/>
      <c r="V77" s="281"/>
      <c r="W77" s="281"/>
      <c r="X77" s="269"/>
      <c r="Y77" s="281"/>
      <c r="Z77" s="269"/>
      <c r="AA77" s="281"/>
      <c r="AB77" s="269"/>
      <c r="AC77" s="269"/>
      <c r="AD77" s="269"/>
      <c r="AE77" s="269"/>
      <c r="AF77" s="269"/>
      <c r="AG77" s="269"/>
      <c r="AH77" s="271">
        <f t="shared" si="13"/>
        <v>0</v>
      </c>
      <c r="AI77" s="272">
        <f t="shared" si="7"/>
        <v>0</v>
      </c>
      <c r="AJ77" s="271">
        <f t="shared" si="8"/>
        <v>0</v>
      </c>
      <c r="AK77" s="271">
        <f t="shared" si="9"/>
        <v>0</v>
      </c>
      <c r="AL77" s="271">
        <f t="shared" si="10"/>
        <v>0</v>
      </c>
      <c r="AM77" s="271">
        <f t="shared" si="11"/>
        <v>0</v>
      </c>
      <c r="AN77" s="271">
        <f t="shared" si="12"/>
        <v>0</v>
      </c>
    </row>
    <row r="78" spans="2:40" ht="14.25">
      <c r="B78" s="420" t="str">
        <f>IF(INDEX(TabSeance[Date],ROW()-6)&lt;&gt;0,INDEX(TabSeance[Date],ROW()-6),"")</f>
        <v/>
      </c>
      <c r="C78" s="421" t="str">
        <f>IF(INDEX(TabSeance[Durée],ROW()-6)&lt;&gt;0,INDEX(TabSeance[Durée],ROW()-6),"")</f>
        <v/>
      </c>
      <c r="D78" s="281"/>
      <c r="E78" s="281"/>
      <c r="F78" s="281"/>
      <c r="G78" s="281"/>
      <c r="H78" s="281"/>
      <c r="I78" s="281"/>
      <c r="J78" s="281"/>
      <c r="K78" s="281"/>
      <c r="L78" s="281"/>
      <c r="M78" s="281"/>
      <c r="N78" s="281"/>
      <c r="O78" s="281"/>
      <c r="P78" s="269"/>
      <c r="Q78" s="281"/>
      <c r="R78" s="281"/>
      <c r="S78" s="281"/>
      <c r="T78" s="281"/>
      <c r="U78" s="281"/>
      <c r="V78" s="281"/>
      <c r="W78" s="281"/>
      <c r="X78" s="269"/>
      <c r="Y78" s="281"/>
      <c r="Z78" s="269"/>
      <c r="AA78" s="281"/>
      <c r="AB78" s="269"/>
      <c r="AC78" s="269"/>
      <c r="AD78" s="269"/>
      <c r="AE78" s="269"/>
      <c r="AF78" s="269"/>
      <c r="AG78" s="269"/>
      <c r="AH78" s="271">
        <f t="shared" si="13"/>
        <v>0</v>
      </c>
      <c r="AI78" s="272">
        <f t="shared" si="7"/>
        <v>0</v>
      </c>
      <c r="AJ78" s="271">
        <f t="shared" si="8"/>
        <v>0</v>
      </c>
      <c r="AK78" s="271">
        <f t="shared" si="9"/>
        <v>0</v>
      </c>
      <c r="AL78" s="271">
        <f t="shared" si="10"/>
        <v>0</v>
      </c>
      <c r="AM78" s="271">
        <f t="shared" si="11"/>
        <v>0</v>
      </c>
      <c r="AN78" s="271">
        <f t="shared" si="12"/>
        <v>0</v>
      </c>
    </row>
    <row r="79" spans="2:40" ht="14.25">
      <c r="B79" s="420" t="str">
        <f>IF(INDEX(TabSeance[Date],ROW()-6)&lt;&gt;0,INDEX(TabSeance[Date],ROW()-6),"")</f>
        <v/>
      </c>
      <c r="C79" s="421" t="str">
        <f>IF(INDEX(TabSeance[Durée],ROW()-6)&lt;&gt;0,INDEX(TabSeance[Durée],ROW()-6),"")</f>
        <v/>
      </c>
      <c r="D79" s="281"/>
      <c r="E79" s="281"/>
      <c r="F79" s="281"/>
      <c r="G79" s="281"/>
      <c r="H79" s="281"/>
      <c r="I79" s="281"/>
      <c r="J79" s="281"/>
      <c r="K79" s="281"/>
      <c r="L79" s="281"/>
      <c r="M79" s="281"/>
      <c r="N79" s="281"/>
      <c r="O79" s="281"/>
      <c r="P79" s="269"/>
      <c r="Q79" s="281"/>
      <c r="R79" s="281"/>
      <c r="S79" s="281"/>
      <c r="T79" s="281"/>
      <c r="U79" s="281"/>
      <c r="V79" s="281"/>
      <c r="W79" s="281"/>
      <c r="X79" s="269"/>
      <c r="Y79" s="281"/>
      <c r="Z79" s="269"/>
      <c r="AA79" s="281"/>
      <c r="AB79" s="269"/>
      <c r="AC79" s="269"/>
      <c r="AD79" s="269"/>
      <c r="AE79" s="269"/>
      <c r="AF79" s="269"/>
      <c r="AG79" s="269"/>
      <c r="AH79" s="271">
        <f t="shared" si="13"/>
        <v>0</v>
      </c>
      <c r="AI79" s="272">
        <f t="shared" si="7"/>
        <v>0</v>
      </c>
      <c r="AJ79" s="271">
        <f t="shared" si="8"/>
        <v>0</v>
      </c>
      <c r="AK79" s="271">
        <f t="shared" si="9"/>
        <v>0</v>
      </c>
      <c r="AL79" s="271">
        <f t="shared" si="10"/>
        <v>0</v>
      </c>
      <c r="AM79" s="271">
        <f t="shared" si="11"/>
        <v>0</v>
      </c>
      <c r="AN79" s="271">
        <f t="shared" si="12"/>
        <v>0</v>
      </c>
    </row>
    <row r="80" spans="2:40" ht="14.25">
      <c r="B80" s="420" t="str">
        <f>IF(INDEX(TabSeance[Date],ROW()-6)&lt;&gt;0,INDEX(TabSeance[Date],ROW()-6),"")</f>
        <v/>
      </c>
      <c r="C80" s="421" t="str">
        <f>IF(INDEX(TabSeance[Durée],ROW()-6)&lt;&gt;0,INDEX(TabSeance[Durée],ROW()-6),"")</f>
        <v/>
      </c>
      <c r="D80" s="281"/>
      <c r="E80" s="281"/>
      <c r="F80" s="281"/>
      <c r="G80" s="281"/>
      <c r="H80" s="281"/>
      <c r="I80" s="281"/>
      <c r="J80" s="281"/>
      <c r="K80" s="281"/>
      <c r="L80" s="281"/>
      <c r="M80" s="281"/>
      <c r="N80" s="281"/>
      <c r="O80" s="281"/>
      <c r="P80" s="269"/>
      <c r="Q80" s="281"/>
      <c r="R80" s="281"/>
      <c r="S80" s="281"/>
      <c r="T80" s="281"/>
      <c r="U80" s="281"/>
      <c r="V80" s="281"/>
      <c r="W80" s="281"/>
      <c r="X80" s="269"/>
      <c r="Y80" s="281"/>
      <c r="Z80" s="269"/>
      <c r="AA80" s="281"/>
      <c r="AB80" s="269"/>
      <c r="AC80" s="269"/>
      <c r="AD80" s="269"/>
      <c r="AE80" s="269"/>
      <c r="AF80" s="269"/>
      <c r="AG80" s="269"/>
      <c r="AH80" s="271">
        <f t="shared" si="13"/>
        <v>0</v>
      </c>
      <c r="AI80" s="272">
        <f t="shared" si="7"/>
        <v>0</v>
      </c>
      <c r="AJ80" s="271">
        <f t="shared" si="8"/>
        <v>0</v>
      </c>
      <c r="AK80" s="271">
        <f t="shared" si="9"/>
        <v>0</v>
      </c>
      <c r="AL80" s="271">
        <f t="shared" si="10"/>
        <v>0</v>
      </c>
      <c r="AM80" s="271">
        <f t="shared" si="11"/>
        <v>0</v>
      </c>
      <c r="AN80" s="271">
        <f t="shared" si="12"/>
        <v>0</v>
      </c>
    </row>
    <row r="81" spans="2:40" ht="14.25">
      <c r="B81" s="420" t="str">
        <f>IF(INDEX(TabSeance[Date],ROW()-6)&lt;&gt;0,INDEX(TabSeance[Date],ROW()-6),"")</f>
        <v/>
      </c>
      <c r="C81" s="421" t="str">
        <f>IF(INDEX(TabSeance[Durée],ROW()-6)&lt;&gt;0,INDEX(TabSeance[Durée],ROW()-6),"")</f>
        <v/>
      </c>
      <c r="D81" s="281"/>
      <c r="E81" s="281"/>
      <c r="F81" s="281"/>
      <c r="G81" s="281"/>
      <c r="H81" s="281"/>
      <c r="I81" s="281"/>
      <c r="J81" s="281"/>
      <c r="K81" s="281"/>
      <c r="L81" s="281"/>
      <c r="M81" s="281"/>
      <c r="N81" s="281"/>
      <c r="O81" s="281"/>
      <c r="P81" s="269"/>
      <c r="Q81" s="281"/>
      <c r="R81" s="281"/>
      <c r="S81" s="281"/>
      <c r="T81" s="281"/>
      <c r="U81" s="281"/>
      <c r="V81" s="281"/>
      <c r="W81" s="281"/>
      <c r="X81" s="269"/>
      <c r="Y81" s="281"/>
      <c r="Z81" s="269"/>
      <c r="AA81" s="281"/>
      <c r="AB81" s="269"/>
      <c r="AC81" s="269"/>
      <c r="AD81" s="269"/>
      <c r="AE81" s="269"/>
      <c r="AF81" s="269"/>
      <c r="AG81" s="269"/>
      <c r="AH81" s="271">
        <f t="shared" si="13"/>
        <v>0</v>
      </c>
      <c r="AI81" s="272">
        <f t="shared" si="7"/>
        <v>0</v>
      </c>
      <c r="AJ81" s="271">
        <f t="shared" si="8"/>
        <v>0</v>
      </c>
      <c r="AK81" s="271">
        <f t="shared" si="9"/>
        <v>0</v>
      </c>
      <c r="AL81" s="271">
        <f t="shared" si="10"/>
        <v>0</v>
      </c>
      <c r="AM81" s="271">
        <f t="shared" si="11"/>
        <v>0</v>
      </c>
      <c r="AN81" s="271">
        <f t="shared" si="12"/>
        <v>0</v>
      </c>
    </row>
    <row r="82" spans="2:40" ht="14.25">
      <c r="B82" s="420" t="str">
        <f>IF(INDEX(TabSeance[Date],ROW()-6)&lt;&gt;0,INDEX(TabSeance[Date],ROW()-6),"")</f>
        <v/>
      </c>
      <c r="C82" s="421" t="str">
        <f>IF(INDEX(TabSeance[Durée],ROW()-6)&lt;&gt;0,INDEX(TabSeance[Durée],ROW()-6),"")</f>
        <v/>
      </c>
      <c r="D82" s="281"/>
      <c r="E82" s="281"/>
      <c r="F82" s="281"/>
      <c r="G82" s="281"/>
      <c r="H82" s="281"/>
      <c r="I82" s="281"/>
      <c r="J82" s="281"/>
      <c r="K82" s="281"/>
      <c r="L82" s="281"/>
      <c r="M82" s="281"/>
      <c r="N82" s="281"/>
      <c r="O82" s="281"/>
      <c r="P82" s="269"/>
      <c r="Q82" s="281"/>
      <c r="R82" s="281"/>
      <c r="S82" s="281"/>
      <c r="T82" s="281"/>
      <c r="U82" s="281"/>
      <c r="V82" s="281"/>
      <c r="W82" s="281"/>
      <c r="X82" s="269"/>
      <c r="Y82" s="281"/>
      <c r="Z82" s="269"/>
      <c r="AA82" s="281"/>
      <c r="AB82" s="269"/>
      <c r="AC82" s="269"/>
      <c r="AD82" s="269"/>
      <c r="AE82" s="269"/>
      <c r="AF82" s="269"/>
      <c r="AG82" s="269"/>
      <c r="AH82" s="271">
        <f t="shared" si="13"/>
        <v>0</v>
      </c>
      <c r="AI82" s="272">
        <f t="shared" si="7"/>
        <v>0</v>
      </c>
      <c r="AJ82" s="271">
        <f t="shared" si="8"/>
        <v>0</v>
      </c>
      <c r="AK82" s="271">
        <f t="shared" si="9"/>
        <v>0</v>
      </c>
      <c r="AL82" s="271">
        <f t="shared" si="10"/>
        <v>0</v>
      </c>
      <c r="AM82" s="271">
        <f t="shared" si="11"/>
        <v>0</v>
      </c>
      <c r="AN82" s="271">
        <f t="shared" si="12"/>
        <v>0</v>
      </c>
    </row>
    <row r="83" spans="2:40" ht="14.25">
      <c r="B83" s="420" t="str">
        <f>IF(INDEX(TabSeance[Date],ROW()-6)&lt;&gt;0,INDEX(TabSeance[Date],ROW()-6),"")</f>
        <v/>
      </c>
      <c r="C83" s="421" t="str">
        <f>IF(INDEX(TabSeance[Durée],ROW()-6)&lt;&gt;0,INDEX(TabSeance[Durée],ROW()-6),"")</f>
        <v/>
      </c>
      <c r="D83" s="281"/>
      <c r="E83" s="281"/>
      <c r="F83" s="281"/>
      <c r="G83" s="281"/>
      <c r="H83" s="281"/>
      <c r="I83" s="281"/>
      <c r="J83" s="281"/>
      <c r="K83" s="281"/>
      <c r="L83" s="281"/>
      <c r="M83" s="281"/>
      <c r="N83" s="281"/>
      <c r="O83" s="281"/>
      <c r="P83" s="269"/>
      <c r="Q83" s="281"/>
      <c r="R83" s="281"/>
      <c r="S83" s="281"/>
      <c r="T83" s="281"/>
      <c r="U83" s="281"/>
      <c r="V83" s="281"/>
      <c r="W83" s="281"/>
      <c r="X83" s="269"/>
      <c r="Y83" s="281"/>
      <c r="Z83" s="269"/>
      <c r="AA83" s="281"/>
      <c r="AB83" s="269"/>
      <c r="AC83" s="269"/>
      <c r="AD83" s="269"/>
      <c r="AE83" s="269"/>
      <c r="AF83" s="269"/>
      <c r="AG83" s="269"/>
      <c r="AH83" s="271">
        <f t="shared" si="13"/>
        <v>0</v>
      </c>
      <c r="AI83" s="272">
        <f t="shared" si="7"/>
        <v>0</v>
      </c>
      <c r="AJ83" s="271">
        <f t="shared" si="8"/>
        <v>0</v>
      </c>
      <c r="AK83" s="271">
        <f t="shared" si="9"/>
        <v>0</v>
      </c>
      <c r="AL83" s="271">
        <f t="shared" si="10"/>
        <v>0</v>
      </c>
      <c r="AM83" s="271">
        <f t="shared" si="11"/>
        <v>0</v>
      </c>
      <c r="AN83" s="271">
        <f t="shared" si="12"/>
        <v>0</v>
      </c>
    </row>
    <row r="84" spans="2:40" ht="14.25">
      <c r="B84" s="420" t="str">
        <f>IF(INDEX(TabSeance[Date],ROW()-6)&lt;&gt;0,INDEX(TabSeance[Date],ROW()-6),"")</f>
        <v/>
      </c>
      <c r="C84" s="421" t="str">
        <f>IF(INDEX(TabSeance[Durée],ROW()-6)&lt;&gt;0,INDEX(TabSeance[Durée],ROW()-6),"")</f>
        <v/>
      </c>
      <c r="D84" s="281"/>
      <c r="E84" s="281"/>
      <c r="F84" s="281"/>
      <c r="G84" s="281"/>
      <c r="H84" s="281"/>
      <c r="I84" s="281"/>
      <c r="J84" s="281"/>
      <c r="K84" s="281"/>
      <c r="L84" s="281"/>
      <c r="M84" s="281"/>
      <c r="N84" s="281"/>
      <c r="O84" s="281"/>
      <c r="P84" s="269"/>
      <c r="Q84" s="281"/>
      <c r="R84" s="281"/>
      <c r="S84" s="281"/>
      <c r="T84" s="281"/>
      <c r="U84" s="281"/>
      <c r="V84" s="281"/>
      <c r="W84" s="281"/>
      <c r="X84" s="269"/>
      <c r="Y84" s="281"/>
      <c r="Z84" s="269"/>
      <c r="AA84" s="281"/>
      <c r="AB84" s="269"/>
      <c r="AC84" s="269"/>
      <c r="AD84" s="269"/>
      <c r="AE84" s="269"/>
      <c r="AF84" s="269"/>
      <c r="AG84" s="269"/>
      <c r="AH84" s="271">
        <f t="shared" si="13"/>
        <v>0</v>
      </c>
      <c r="AI84" s="272">
        <f t="shared" si="7"/>
        <v>0</v>
      </c>
      <c r="AJ84" s="271">
        <f t="shared" si="8"/>
        <v>0</v>
      </c>
      <c r="AK84" s="271">
        <f t="shared" si="9"/>
        <v>0</v>
      </c>
      <c r="AL84" s="271">
        <f t="shared" si="10"/>
        <v>0</v>
      </c>
      <c r="AM84" s="271">
        <f t="shared" si="11"/>
        <v>0</v>
      </c>
      <c r="AN84" s="271">
        <f t="shared" si="12"/>
        <v>0</v>
      </c>
    </row>
    <row r="85" spans="2:40" ht="14.25">
      <c r="B85" s="420" t="str">
        <f>IF(INDEX(TabSeance[Date],ROW()-6)&lt;&gt;0,INDEX(TabSeance[Date],ROW()-6),"")</f>
        <v/>
      </c>
      <c r="C85" s="421" t="str">
        <f>IF(INDEX(TabSeance[Durée],ROW()-6)&lt;&gt;0,INDEX(TabSeance[Durée],ROW()-6),"")</f>
        <v/>
      </c>
      <c r="D85" s="281"/>
      <c r="E85" s="281"/>
      <c r="F85" s="281"/>
      <c r="G85" s="281"/>
      <c r="H85" s="281"/>
      <c r="I85" s="281"/>
      <c r="J85" s="281"/>
      <c r="K85" s="281"/>
      <c r="L85" s="281"/>
      <c r="M85" s="281"/>
      <c r="N85" s="281"/>
      <c r="O85" s="281"/>
      <c r="P85" s="269"/>
      <c r="Q85" s="281"/>
      <c r="R85" s="281"/>
      <c r="S85" s="281"/>
      <c r="T85" s="281"/>
      <c r="U85" s="281"/>
      <c r="V85" s="281"/>
      <c r="W85" s="281"/>
      <c r="X85" s="269"/>
      <c r="Y85" s="281"/>
      <c r="Z85" s="269"/>
      <c r="AA85" s="281"/>
      <c r="AB85" s="269"/>
      <c r="AC85" s="269"/>
      <c r="AD85" s="269"/>
      <c r="AE85" s="269"/>
      <c r="AF85" s="269"/>
      <c r="AG85" s="269"/>
      <c r="AH85" s="271">
        <f t="shared" si="13"/>
        <v>0</v>
      </c>
      <c r="AI85" s="272">
        <f t="shared" si="7"/>
        <v>0</v>
      </c>
      <c r="AJ85" s="271">
        <f t="shared" si="8"/>
        <v>0</v>
      </c>
      <c r="AK85" s="271">
        <f t="shared" si="9"/>
        <v>0</v>
      </c>
      <c r="AL85" s="271">
        <f t="shared" si="10"/>
        <v>0</v>
      </c>
      <c r="AM85" s="271">
        <f t="shared" si="11"/>
        <v>0</v>
      </c>
      <c r="AN85" s="271">
        <f t="shared" si="12"/>
        <v>0</v>
      </c>
    </row>
    <row r="86" spans="2:40" ht="14.25">
      <c r="B86" s="420" t="str">
        <f>IF(INDEX(TabSeance[Date],ROW()-6)&lt;&gt;0,INDEX(TabSeance[Date],ROW()-6),"")</f>
        <v/>
      </c>
      <c r="C86" s="421" t="str">
        <f>IF(INDEX(TabSeance[Durée],ROW()-6)&lt;&gt;0,INDEX(TabSeance[Durée],ROW()-6),"")</f>
        <v/>
      </c>
      <c r="D86" s="269"/>
      <c r="E86" s="269"/>
      <c r="F86" s="269"/>
      <c r="G86" s="269"/>
      <c r="H86" s="269"/>
      <c r="I86" s="269"/>
      <c r="J86" s="269"/>
      <c r="K86" s="269"/>
      <c r="L86" s="269"/>
      <c r="M86" s="269"/>
      <c r="N86" s="269"/>
      <c r="O86" s="269"/>
      <c r="P86" s="269"/>
      <c r="Q86" s="269"/>
      <c r="R86" s="269"/>
      <c r="S86" s="269"/>
      <c r="T86" s="269"/>
      <c r="U86" s="269"/>
      <c r="V86" s="269"/>
      <c r="W86" s="269"/>
      <c r="X86" s="269"/>
      <c r="Y86" s="269"/>
      <c r="Z86" s="269"/>
      <c r="AA86" s="269"/>
      <c r="AB86" s="269"/>
      <c r="AC86" s="269"/>
      <c r="AD86" s="269"/>
      <c r="AE86" s="269"/>
      <c r="AF86" s="269"/>
      <c r="AG86" s="269"/>
      <c r="AH86" s="271">
        <f t="shared" si="13"/>
        <v>0</v>
      </c>
      <c r="AI86" s="272">
        <f t="shared" si="7"/>
        <v>0</v>
      </c>
      <c r="AJ86" s="271">
        <f t="shared" si="8"/>
        <v>0</v>
      </c>
      <c r="AK86" s="271">
        <f t="shared" si="9"/>
        <v>0</v>
      </c>
      <c r="AL86" s="271">
        <f t="shared" si="10"/>
        <v>0</v>
      </c>
      <c r="AM86" s="271">
        <f t="shared" si="11"/>
        <v>0</v>
      </c>
      <c r="AN86" s="271">
        <f t="shared" si="12"/>
        <v>0</v>
      </c>
    </row>
    <row r="87" spans="2:40" ht="14.25">
      <c r="B87" s="420" t="str">
        <f>IF(INDEX(TabSeance[Date],ROW()-6)&lt;&gt;0,INDEX(TabSeance[Date],ROW()-6),"")</f>
        <v/>
      </c>
      <c r="C87" s="421" t="str">
        <f>IF(INDEX(TabSeance[Durée],ROW()-6)&lt;&gt;0,INDEX(TabSeance[Durée],ROW()-6),"")</f>
        <v/>
      </c>
      <c r="D87" s="269"/>
      <c r="E87" s="269"/>
      <c r="F87" s="269"/>
      <c r="G87" s="269"/>
      <c r="H87" s="269"/>
      <c r="I87" s="269"/>
      <c r="J87" s="269"/>
      <c r="K87" s="269"/>
      <c r="L87" s="269"/>
      <c r="M87" s="269"/>
      <c r="N87" s="269"/>
      <c r="O87" s="269"/>
      <c r="P87" s="269"/>
      <c r="Q87" s="269"/>
      <c r="R87" s="269"/>
      <c r="S87" s="269"/>
      <c r="T87" s="269"/>
      <c r="U87" s="269"/>
      <c r="V87" s="269"/>
      <c r="W87" s="269"/>
      <c r="X87" s="269"/>
      <c r="Y87" s="269"/>
      <c r="Z87" s="269"/>
      <c r="AA87" s="269"/>
      <c r="AB87" s="269"/>
      <c r="AC87" s="269"/>
      <c r="AD87" s="269"/>
      <c r="AE87" s="269"/>
      <c r="AF87" s="269"/>
      <c r="AG87" s="269"/>
      <c r="AH87" s="271">
        <f t="shared" si="13"/>
        <v>0</v>
      </c>
      <c r="AI87" s="272">
        <f t="shared" si="7"/>
        <v>0</v>
      </c>
      <c r="AJ87" s="271">
        <f t="shared" si="8"/>
        <v>0</v>
      </c>
      <c r="AK87" s="271">
        <f t="shared" si="9"/>
        <v>0</v>
      </c>
      <c r="AL87" s="271">
        <f t="shared" si="10"/>
        <v>0</v>
      </c>
      <c r="AM87" s="271">
        <f t="shared" si="11"/>
        <v>0</v>
      </c>
      <c r="AN87" s="271">
        <f t="shared" si="12"/>
        <v>0</v>
      </c>
    </row>
    <row r="88" spans="2:40" ht="14.25">
      <c r="B88" s="420" t="str">
        <f>IF(INDEX(TabSeance[Date],ROW()-6)&lt;&gt;0,INDEX(TabSeance[Date],ROW()-6),"")</f>
        <v/>
      </c>
      <c r="C88" s="421" t="str">
        <f>IF(INDEX(TabSeance[Durée],ROW()-6)&lt;&gt;0,INDEX(TabSeance[Durée],ROW()-6),"")</f>
        <v/>
      </c>
      <c r="D88" s="269"/>
      <c r="E88" s="269"/>
      <c r="F88" s="269"/>
      <c r="G88" s="269"/>
      <c r="H88" s="269"/>
      <c r="I88" s="269"/>
      <c r="J88" s="269"/>
      <c r="K88" s="269"/>
      <c r="L88" s="269"/>
      <c r="M88" s="269"/>
      <c r="N88" s="269"/>
      <c r="O88" s="269"/>
      <c r="P88" s="269"/>
      <c r="Q88" s="269"/>
      <c r="R88" s="269"/>
      <c r="S88" s="269"/>
      <c r="T88" s="269"/>
      <c r="U88" s="269"/>
      <c r="V88" s="269"/>
      <c r="W88" s="269"/>
      <c r="X88" s="269"/>
      <c r="Y88" s="269"/>
      <c r="Z88" s="269"/>
      <c r="AA88" s="269"/>
      <c r="AB88" s="269"/>
      <c r="AC88" s="269"/>
      <c r="AD88" s="269"/>
      <c r="AE88" s="269"/>
      <c r="AF88" s="269"/>
      <c r="AG88" s="269"/>
      <c r="AH88" s="271">
        <f t="shared" si="13"/>
        <v>0</v>
      </c>
      <c r="AI88" s="272">
        <f t="shared" si="7"/>
        <v>0</v>
      </c>
      <c r="AJ88" s="271">
        <f t="shared" si="8"/>
        <v>0</v>
      </c>
      <c r="AK88" s="271">
        <f t="shared" si="9"/>
        <v>0</v>
      </c>
      <c r="AL88" s="271">
        <f t="shared" si="10"/>
        <v>0</v>
      </c>
      <c r="AM88" s="271">
        <f t="shared" si="11"/>
        <v>0</v>
      </c>
      <c r="AN88" s="271">
        <f t="shared" si="12"/>
        <v>0</v>
      </c>
    </row>
    <row r="89" spans="2:40" ht="14.25">
      <c r="B89" s="420" t="str">
        <f>IF(INDEX(TabSeance[Date],ROW()-6)&lt;&gt;0,INDEX(TabSeance[Date],ROW()-6),"")</f>
        <v/>
      </c>
      <c r="C89" s="421" t="str">
        <f>IF(INDEX(TabSeance[Durée],ROW()-6)&lt;&gt;0,INDEX(TabSeance[Durée],ROW()-6),"")</f>
        <v/>
      </c>
      <c r="D89" s="269"/>
      <c r="E89" s="269"/>
      <c r="F89" s="269"/>
      <c r="G89" s="269"/>
      <c r="H89" s="269"/>
      <c r="I89" s="269"/>
      <c r="J89" s="269"/>
      <c r="K89" s="269"/>
      <c r="L89" s="269"/>
      <c r="M89" s="269"/>
      <c r="N89" s="269"/>
      <c r="O89" s="269"/>
      <c r="P89" s="269"/>
      <c r="Q89" s="269"/>
      <c r="R89" s="269"/>
      <c r="S89" s="269"/>
      <c r="T89" s="269"/>
      <c r="U89" s="269"/>
      <c r="V89" s="269"/>
      <c r="W89" s="269"/>
      <c r="X89" s="269"/>
      <c r="Y89" s="269"/>
      <c r="Z89" s="269"/>
      <c r="AA89" s="269"/>
      <c r="AB89" s="269"/>
      <c r="AC89" s="269"/>
      <c r="AD89" s="269"/>
      <c r="AE89" s="269"/>
      <c r="AF89" s="269"/>
      <c r="AG89" s="269"/>
      <c r="AH89" s="271">
        <f t="shared" si="13"/>
        <v>0</v>
      </c>
      <c r="AI89" s="272">
        <f t="shared" si="7"/>
        <v>0</v>
      </c>
      <c r="AJ89" s="271">
        <f t="shared" si="8"/>
        <v>0</v>
      </c>
      <c r="AK89" s="271">
        <f t="shared" si="9"/>
        <v>0</v>
      </c>
      <c r="AL89" s="271">
        <f t="shared" si="10"/>
        <v>0</v>
      </c>
      <c r="AM89" s="271">
        <f t="shared" si="11"/>
        <v>0</v>
      </c>
      <c r="AN89" s="271">
        <f t="shared" si="12"/>
        <v>0</v>
      </c>
    </row>
    <row r="90" spans="2:40" ht="14.25">
      <c r="B90" s="420" t="str">
        <f>IF(INDEX(TabSeance[Date],ROW()-6)&lt;&gt;0,INDEX(TabSeance[Date],ROW()-6),"")</f>
        <v/>
      </c>
      <c r="C90" s="421" t="str">
        <f>IF(INDEX(TabSeance[Durée],ROW()-6)&lt;&gt;0,INDEX(TabSeance[Durée],ROW()-6),"")</f>
        <v/>
      </c>
      <c r="D90" s="269"/>
      <c r="E90" s="269"/>
      <c r="F90" s="269"/>
      <c r="G90" s="269"/>
      <c r="H90" s="269"/>
      <c r="I90" s="269"/>
      <c r="J90" s="269"/>
      <c r="K90" s="269"/>
      <c r="L90" s="269"/>
      <c r="M90" s="269"/>
      <c r="N90" s="269"/>
      <c r="O90" s="269"/>
      <c r="P90" s="269"/>
      <c r="Q90" s="269"/>
      <c r="R90" s="269"/>
      <c r="S90" s="269"/>
      <c r="T90" s="269"/>
      <c r="U90" s="269"/>
      <c r="V90" s="269"/>
      <c r="W90" s="269"/>
      <c r="X90" s="269"/>
      <c r="Y90" s="269"/>
      <c r="Z90" s="269"/>
      <c r="AA90" s="269"/>
      <c r="AB90" s="269"/>
      <c r="AC90" s="269"/>
      <c r="AD90" s="269"/>
      <c r="AE90" s="269"/>
      <c r="AF90" s="269"/>
      <c r="AG90" s="269"/>
      <c r="AH90" s="271">
        <f t="shared" si="13"/>
        <v>0</v>
      </c>
      <c r="AI90" s="272">
        <f t="shared" si="7"/>
        <v>0</v>
      </c>
      <c r="AJ90" s="271">
        <f t="shared" si="8"/>
        <v>0</v>
      </c>
      <c r="AK90" s="271">
        <f t="shared" si="9"/>
        <v>0</v>
      </c>
      <c r="AL90" s="271">
        <f t="shared" si="10"/>
        <v>0</v>
      </c>
      <c r="AM90" s="271">
        <f t="shared" si="11"/>
        <v>0</v>
      </c>
      <c r="AN90" s="271">
        <f t="shared" si="12"/>
        <v>0</v>
      </c>
    </row>
    <row r="91" spans="2:40" ht="14.25">
      <c r="B91" s="420" t="str">
        <f>IF(INDEX(TabSeance[Date],ROW()-6)&lt;&gt;0,INDEX(TabSeance[Date],ROW()-6),"")</f>
        <v/>
      </c>
      <c r="C91" s="421" t="str">
        <f>IF(INDEX(TabSeance[Durée],ROW()-6)&lt;&gt;0,INDEX(TabSeance[Durée],ROW()-6),"")</f>
        <v/>
      </c>
      <c r="D91" s="269"/>
      <c r="E91" s="269"/>
      <c r="F91" s="269"/>
      <c r="G91" s="269"/>
      <c r="H91" s="269"/>
      <c r="I91" s="269"/>
      <c r="J91" s="269"/>
      <c r="K91" s="269"/>
      <c r="L91" s="269"/>
      <c r="M91" s="269"/>
      <c r="N91" s="269"/>
      <c r="O91" s="269"/>
      <c r="P91" s="269"/>
      <c r="Q91" s="269"/>
      <c r="R91" s="269"/>
      <c r="S91" s="269"/>
      <c r="T91" s="269"/>
      <c r="U91" s="269"/>
      <c r="V91" s="269"/>
      <c r="W91" s="269"/>
      <c r="X91" s="269"/>
      <c r="Y91" s="269"/>
      <c r="Z91" s="269"/>
      <c r="AA91" s="269"/>
      <c r="AB91" s="269"/>
      <c r="AC91" s="269"/>
      <c r="AD91" s="269"/>
      <c r="AE91" s="269"/>
      <c r="AF91" s="269"/>
      <c r="AG91" s="269"/>
      <c r="AH91" s="271">
        <f t="shared" si="13"/>
        <v>0</v>
      </c>
      <c r="AI91" s="272">
        <f t="shared" si="7"/>
        <v>0</v>
      </c>
      <c r="AJ91" s="271">
        <f t="shared" si="8"/>
        <v>0</v>
      </c>
      <c r="AK91" s="271">
        <f t="shared" si="9"/>
        <v>0</v>
      </c>
      <c r="AL91" s="271">
        <f t="shared" si="10"/>
        <v>0</v>
      </c>
      <c r="AM91" s="271">
        <f t="shared" si="11"/>
        <v>0</v>
      </c>
      <c r="AN91" s="271">
        <f t="shared" si="12"/>
        <v>0</v>
      </c>
    </row>
    <row r="92" spans="2:40" ht="14.25">
      <c r="B92" s="420" t="str">
        <f>IF(INDEX(TabSeance[Date],ROW()-6)&lt;&gt;0,INDEX(TabSeance[Date],ROW()-6),"")</f>
        <v/>
      </c>
      <c r="C92" s="421" t="str">
        <f>IF(INDEX(TabSeance[Durée],ROW()-6)&lt;&gt;0,INDEX(TabSeance[Durée],ROW()-6),"")</f>
        <v/>
      </c>
      <c r="D92" s="269"/>
      <c r="E92" s="269"/>
      <c r="F92" s="269"/>
      <c r="G92" s="269"/>
      <c r="H92" s="269"/>
      <c r="I92" s="269"/>
      <c r="J92" s="269"/>
      <c r="K92" s="269"/>
      <c r="L92" s="269"/>
      <c r="M92" s="269"/>
      <c r="N92" s="269"/>
      <c r="O92" s="269"/>
      <c r="P92" s="269"/>
      <c r="Q92" s="269"/>
      <c r="R92" s="269"/>
      <c r="S92" s="269"/>
      <c r="T92" s="269"/>
      <c r="U92" s="269"/>
      <c r="V92" s="269"/>
      <c r="W92" s="269"/>
      <c r="X92" s="269"/>
      <c r="Y92" s="269"/>
      <c r="Z92" s="269"/>
      <c r="AA92" s="269"/>
      <c r="AB92" s="269"/>
      <c r="AC92" s="269"/>
      <c r="AD92" s="269"/>
      <c r="AE92" s="269"/>
      <c r="AF92" s="269"/>
      <c r="AG92" s="269"/>
      <c r="AH92" s="271">
        <f t="shared" si="13"/>
        <v>0</v>
      </c>
      <c r="AI92" s="272">
        <f t="shared" si="7"/>
        <v>0</v>
      </c>
      <c r="AJ92" s="271">
        <f t="shared" si="8"/>
        <v>0</v>
      </c>
      <c r="AK92" s="271">
        <f t="shared" si="9"/>
        <v>0</v>
      </c>
      <c r="AL92" s="271">
        <f t="shared" si="10"/>
        <v>0</v>
      </c>
      <c r="AM92" s="271">
        <f t="shared" si="11"/>
        <v>0</v>
      </c>
      <c r="AN92" s="271">
        <f t="shared" si="12"/>
        <v>0</v>
      </c>
    </row>
    <row r="93" spans="2:40" ht="14.25">
      <c r="B93" s="420" t="str">
        <f>IF(INDEX(TabSeance[Date],ROW()-6)&lt;&gt;0,INDEX(TabSeance[Date],ROW()-6),"")</f>
        <v/>
      </c>
      <c r="C93" s="421" t="str">
        <f>IF(INDEX(TabSeance[Durée],ROW()-6)&lt;&gt;0,INDEX(TabSeance[Durée],ROW()-6),"")</f>
        <v/>
      </c>
      <c r="D93" s="269"/>
      <c r="E93" s="269"/>
      <c r="F93" s="269"/>
      <c r="G93" s="269"/>
      <c r="H93" s="269"/>
      <c r="I93" s="269"/>
      <c r="J93" s="269"/>
      <c r="K93" s="269"/>
      <c r="L93" s="269"/>
      <c r="M93" s="269"/>
      <c r="N93" s="269"/>
      <c r="O93" s="269"/>
      <c r="P93" s="269"/>
      <c r="Q93" s="269"/>
      <c r="R93" s="269"/>
      <c r="S93" s="269"/>
      <c r="T93" s="269"/>
      <c r="U93" s="269"/>
      <c r="V93" s="269"/>
      <c r="W93" s="269"/>
      <c r="X93" s="269"/>
      <c r="Y93" s="269"/>
      <c r="Z93" s="269"/>
      <c r="AA93" s="269"/>
      <c r="AB93" s="269"/>
      <c r="AC93" s="269"/>
      <c r="AD93" s="269"/>
      <c r="AE93" s="269"/>
      <c r="AF93" s="269"/>
      <c r="AG93" s="269"/>
      <c r="AH93" s="271">
        <f t="shared" si="13"/>
        <v>0</v>
      </c>
      <c r="AI93" s="272">
        <f t="shared" si="7"/>
        <v>0</v>
      </c>
      <c r="AJ93" s="271">
        <f t="shared" si="8"/>
        <v>0</v>
      </c>
      <c r="AK93" s="271">
        <f t="shared" si="9"/>
        <v>0</v>
      </c>
      <c r="AL93" s="271">
        <f t="shared" si="10"/>
        <v>0</v>
      </c>
      <c r="AM93" s="271">
        <f t="shared" si="11"/>
        <v>0</v>
      </c>
      <c r="AN93" s="271">
        <f t="shared" si="12"/>
        <v>0</v>
      </c>
    </row>
    <row r="94" spans="2:40" ht="14.25">
      <c r="B94" s="420" t="str">
        <f>IF(INDEX(TabSeance[Date],ROW()-6)&lt;&gt;0,INDEX(TabSeance[Date],ROW()-6),"")</f>
        <v/>
      </c>
      <c r="C94" s="421" t="str">
        <f>IF(INDEX(TabSeance[Durée],ROW()-6)&lt;&gt;0,INDEX(TabSeance[Durée],ROW()-6),"")</f>
        <v/>
      </c>
      <c r="D94" s="269"/>
      <c r="E94" s="269"/>
      <c r="F94" s="269"/>
      <c r="G94" s="269"/>
      <c r="H94" s="269"/>
      <c r="I94" s="269"/>
      <c r="J94" s="269"/>
      <c r="K94" s="269"/>
      <c r="L94" s="269"/>
      <c r="M94" s="269"/>
      <c r="N94" s="269"/>
      <c r="O94" s="269"/>
      <c r="P94" s="269"/>
      <c r="Q94" s="269"/>
      <c r="R94" s="269"/>
      <c r="S94" s="269"/>
      <c r="T94" s="269"/>
      <c r="U94" s="269"/>
      <c r="V94" s="269"/>
      <c r="W94" s="269"/>
      <c r="X94" s="269"/>
      <c r="Y94" s="269"/>
      <c r="Z94" s="269"/>
      <c r="AA94" s="269"/>
      <c r="AB94" s="269"/>
      <c r="AC94" s="269"/>
      <c r="AD94" s="269"/>
      <c r="AE94" s="269"/>
      <c r="AF94" s="269"/>
      <c r="AG94" s="269"/>
      <c r="AH94" s="271">
        <f t="shared" si="13"/>
        <v>0</v>
      </c>
      <c r="AI94" s="272">
        <f t="shared" si="7"/>
        <v>0</v>
      </c>
      <c r="AJ94" s="271">
        <f t="shared" si="8"/>
        <v>0</v>
      </c>
      <c r="AK94" s="271">
        <f t="shared" si="9"/>
        <v>0</v>
      </c>
      <c r="AL94" s="271">
        <f t="shared" si="10"/>
        <v>0</v>
      </c>
      <c r="AM94" s="271">
        <f t="shared" si="11"/>
        <v>0</v>
      </c>
      <c r="AN94" s="271">
        <f t="shared" si="12"/>
        <v>0</v>
      </c>
    </row>
    <row r="95" spans="2:40" ht="14.25">
      <c r="B95" s="420" t="str">
        <f>IF(INDEX(TabSeance[Date],ROW()-6)&lt;&gt;0,INDEX(TabSeance[Date],ROW()-6),"")</f>
        <v/>
      </c>
      <c r="C95" s="421" t="str">
        <f>IF(INDEX(TabSeance[Durée],ROW()-6)&lt;&gt;0,INDEX(TabSeance[Durée],ROW()-6),"")</f>
        <v/>
      </c>
      <c r="D95" s="269"/>
      <c r="E95" s="269"/>
      <c r="F95" s="269"/>
      <c r="G95" s="269"/>
      <c r="H95" s="269"/>
      <c r="I95" s="269"/>
      <c r="J95" s="269"/>
      <c r="K95" s="269"/>
      <c r="L95" s="269"/>
      <c r="M95" s="269"/>
      <c r="N95" s="269"/>
      <c r="O95" s="269"/>
      <c r="P95" s="269"/>
      <c r="Q95" s="269"/>
      <c r="R95" s="269"/>
      <c r="S95" s="269"/>
      <c r="T95" s="269"/>
      <c r="U95" s="269"/>
      <c r="V95" s="269"/>
      <c r="W95" s="269"/>
      <c r="X95" s="269"/>
      <c r="Y95" s="269"/>
      <c r="Z95" s="269"/>
      <c r="AA95" s="269"/>
      <c r="AB95" s="269"/>
      <c r="AC95" s="269"/>
      <c r="AD95" s="269"/>
      <c r="AE95" s="269"/>
      <c r="AF95" s="269"/>
      <c r="AG95" s="269"/>
      <c r="AH95" s="271">
        <f t="shared" si="13"/>
        <v>0</v>
      </c>
      <c r="AI95" s="272">
        <f t="shared" si="7"/>
        <v>0</v>
      </c>
      <c r="AJ95" s="271">
        <f t="shared" si="8"/>
        <v>0</v>
      </c>
      <c r="AK95" s="271">
        <f t="shared" si="9"/>
        <v>0</v>
      </c>
      <c r="AL95" s="271">
        <f t="shared" si="10"/>
        <v>0</v>
      </c>
      <c r="AM95" s="271">
        <f t="shared" si="11"/>
        <v>0</v>
      </c>
      <c r="AN95" s="271">
        <f t="shared" si="12"/>
        <v>0</v>
      </c>
    </row>
    <row r="96" spans="2:40" ht="14.25">
      <c r="B96" s="420" t="str">
        <f>IF(INDEX(TabSeance[Date],ROW()-6)&lt;&gt;0,INDEX(TabSeance[Date],ROW()-6),"")</f>
        <v/>
      </c>
      <c r="C96" s="421" t="str">
        <f>IF(INDEX(TabSeance[Durée],ROW()-6)&lt;&gt;0,INDEX(TabSeance[Durée],ROW()-6),"")</f>
        <v/>
      </c>
      <c r="D96" s="269"/>
      <c r="E96" s="269"/>
      <c r="F96" s="269"/>
      <c r="G96" s="269"/>
      <c r="H96" s="269"/>
      <c r="I96" s="269"/>
      <c r="J96" s="269"/>
      <c r="K96" s="269"/>
      <c r="L96" s="269"/>
      <c r="M96" s="269"/>
      <c r="N96" s="269"/>
      <c r="O96" s="269"/>
      <c r="P96" s="269"/>
      <c r="Q96" s="269"/>
      <c r="R96" s="269"/>
      <c r="S96" s="269"/>
      <c r="T96" s="269"/>
      <c r="U96" s="269"/>
      <c r="V96" s="269"/>
      <c r="W96" s="269"/>
      <c r="X96" s="269"/>
      <c r="Y96" s="269"/>
      <c r="Z96" s="269"/>
      <c r="AA96" s="269"/>
      <c r="AB96" s="269"/>
      <c r="AC96" s="269"/>
      <c r="AD96" s="269"/>
      <c r="AE96" s="269"/>
      <c r="AF96" s="269"/>
      <c r="AG96" s="269"/>
      <c r="AH96" s="271">
        <f t="shared" si="13"/>
        <v>0</v>
      </c>
      <c r="AI96" s="272">
        <f t="shared" si="7"/>
        <v>0</v>
      </c>
      <c r="AJ96" s="271">
        <f t="shared" si="8"/>
        <v>0</v>
      </c>
      <c r="AK96" s="271">
        <f t="shared" si="9"/>
        <v>0</v>
      </c>
      <c r="AL96" s="271">
        <f t="shared" si="10"/>
        <v>0</v>
      </c>
      <c r="AM96" s="271">
        <f t="shared" si="11"/>
        <v>0</v>
      </c>
      <c r="AN96" s="271">
        <f t="shared" si="12"/>
        <v>0</v>
      </c>
    </row>
    <row r="97" spans="2:40" ht="14.25">
      <c r="B97" s="420" t="str">
        <f>IF(INDEX(TabSeance[Date],ROW()-6)&lt;&gt;0,INDEX(TabSeance[Date],ROW()-6),"")</f>
        <v/>
      </c>
      <c r="C97" s="421" t="str">
        <f>IF(INDEX(TabSeance[Durée],ROW()-6)&lt;&gt;0,INDEX(TabSeance[Durée],ROW()-6),"")</f>
        <v/>
      </c>
      <c r="D97" s="269"/>
      <c r="E97" s="269"/>
      <c r="F97" s="269"/>
      <c r="G97" s="269"/>
      <c r="H97" s="269"/>
      <c r="I97" s="269"/>
      <c r="J97" s="269"/>
      <c r="K97" s="269"/>
      <c r="L97" s="269"/>
      <c r="M97" s="269"/>
      <c r="N97" s="269"/>
      <c r="O97" s="269"/>
      <c r="P97" s="269"/>
      <c r="Q97" s="269"/>
      <c r="R97" s="269"/>
      <c r="S97" s="269"/>
      <c r="T97" s="269"/>
      <c r="U97" s="269"/>
      <c r="V97" s="269"/>
      <c r="W97" s="269"/>
      <c r="X97" s="269"/>
      <c r="Y97" s="269"/>
      <c r="Z97" s="269"/>
      <c r="AA97" s="269"/>
      <c r="AB97" s="269"/>
      <c r="AC97" s="269"/>
      <c r="AD97" s="269"/>
      <c r="AE97" s="269"/>
      <c r="AF97" s="269"/>
      <c r="AG97" s="269"/>
      <c r="AH97" s="271">
        <f t="shared" si="13"/>
        <v>0</v>
      </c>
      <c r="AI97" s="272">
        <f t="shared" si="7"/>
        <v>0</v>
      </c>
      <c r="AJ97" s="271">
        <f t="shared" si="8"/>
        <v>0</v>
      </c>
      <c r="AK97" s="271">
        <f t="shared" si="9"/>
        <v>0</v>
      </c>
      <c r="AL97" s="271">
        <f t="shared" si="10"/>
        <v>0</v>
      </c>
      <c r="AM97" s="271">
        <f t="shared" si="11"/>
        <v>0</v>
      </c>
      <c r="AN97" s="271">
        <f t="shared" si="12"/>
        <v>0</v>
      </c>
    </row>
    <row r="98" spans="2:40" ht="14.25">
      <c r="B98" s="420" t="str">
        <f>IF(INDEX(TabSeance[Date],ROW()-6)&lt;&gt;0,INDEX(TabSeance[Date],ROW()-6),"")</f>
        <v/>
      </c>
      <c r="C98" s="421" t="str">
        <f>IF(INDEX(TabSeance[Durée],ROW()-6)&lt;&gt;0,INDEX(TabSeance[Durée],ROW()-6),"")</f>
        <v/>
      </c>
      <c r="D98" s="269"/>
      <c r="E98" s="269"/>
      <c r="F98" s="269"/>
      <c r="G98" s="269"/>
      <c r="H98" s="269"/>
      <c r="I98" s="269"/>
      <c r="J98" s="269"/>
      <c r="K98" s="269"/>
      <c r="L98" s="269"/>
      <c r="M98" s="269"/>
      <c r="N98" s="269"/>
      <c r="O98" s="269"/>
      <c r="P98" s="269"/>
      <c r="Q98" s="269"/>
      <c r="R98" s="269"/>
      <c r="S98" s="269"/>
      <c r="T98" s="269"/>
      <c r="U98" s="269"/>
      <c r="V98" s="269"/>
      <c r="W98" s="269"/>
      <c r="X98" s="269"/>
      <c r="Y98" s="269"/>
      <c r="Z98" s="269"/>
      <c r="AA98" s="269"/>
      <c r="AB98" s="269"/>
      <c r="AC98" s="269"/>
      <c r="AD98" s="269"/>
      <c r="AE98" s="269"/>
      <c r="AF98" s="269"/>
      <c r="AG98" s="269"/>
      <c r="AH98" s="271">
        <f t="shared" si="13"/>
        <v>0</v>
      </c>
      <c r="AI98" s="272">
        <f t="shared" si="7"/>
        <v>0</v>
      </c>
      <c r="AJ98" s="271">
        <f t="shared" si="8"/>
        <v>0</v>
      </c>
      <c r="AK98" s="271">
        <f t="shared" si="9"/>
        <v>0</v>
      </c>
      <c r="AL98" s="271">
        <f t="shared" si="10"/>
        <v>0</v>
      </c>
      <c r="AM98" s="271">
        <f t="shared" si="11"/>
        <v>0</v>
      </c>
      <c r="AN98" s="271">
        <f t="shared" si="12"/>
        <v>0</v>
      </c>
    </row>
    <row r="99" spans="2:40" ht="14.25">
      <c r="B99" s="420" t="str">
        <f>IF(INDEX(TabSeance[Date],ROW()-6)&lt;&gt;0,INDEX(TabSeance[Date],ROW()-6),"")</f>
        <v/>
      </c>
      <c r="C99" s="421" t="str">
        <f>IF(INDEX(TabSeance[Durée],ROW()-6)&lt;&gt;0,INDEX(TabSeance[Durée],ROW()-6),"")</f>
        <v/>
      </c>
      <c r="D99" s="269"/>
      <c r="E99" s="269"/>
      <c r="F99" s="269"/>
      <c r="G99" s="269"/>
      <c r="H99" s="269"/>
      <c r="I99" s="269"/>
      <c r="J99" s="269"/>
      <c r="K99" s="269"/>
      <c r="L99" s="269"/>
      <c r="M99" s="269"/>
      <c r="N99" s="269"/>
      <c r="O99" s="269"/>
      <c r="P99" s="269"/>
      <c r="Q99" s="269"/>
      <c r="R99" s="269"/>
      <c r="S99" s="269"/>
      <c r="T99" s="269"/>
      <c r="U99" s="269"/>
      <c r="V99" s="269"/>
      <c r="W99" s="269"/>
      <c r="X99" s="269"/>
      <c r="Y99" s="269"/>
      <c r="Z99" s="269"/>
      <c r="AA99" s="269"/>
      <c r="AB99" s="269"/>
      <c r="AC99" s="269"/>
      <c r="AD99" s="269"/>
      <c r="AE99" s="269"/>
      <c r="AF99" s="269"/>
      <c r="AG99" s="269"/>
      <c r="AH99" s="271">
        <f t="shared" si="13"/>
        <v>0</v>
      </c>
      <c r="AI99" s="272">
        <f t="shared" si="7"/>
        <v>0</v>
      </c>
      <c r="AJ99" s="271">
        <f t="shared" si="8"/>
        <v>0</v>
      </c>
      <c r="AK99" s="271">
        <f t="shared" si="9"/>
        <v>0</v>
      </c>
      <c r="AL99" s="271">
        <f t="shared" si="10"/>
        <v>0</v>
      </c>
      <c r="AM99" s="271">
        <f t="shared" si="11"/>
        <v>0</v>
      </c>
      <c r="AN99" s="271">
        <f t="shared" si="12"/>
        <v>0</v>
      </c>
    </row>
    <row r="100" spans="2:40" ht="14.25">
      <c r="B100" s="420" t="str">
        <f>IF(INDEX(TabSeance[Date],ROW()-6)&lt;&gt;0,INDEX(TabSeance[Date],ROW()-6),"")</f>
        <v/>
      </c>
      <c r="C100" s="421" t="str">
        <f>IF(INDEX(TabSeance[Durée],ROW()-6)&lt;&gt;0,INDEX(TabSeance[Durée],ROW()-6),"")</f>
        <v/>
      </c>
      <c r="D100" s="269"/>
      <c r="E100" s="269"/>
      <c r="F100" s="269"/>
      <c r="G100" s="269"/>
      <c r="H100" s="269"/>
      <c r="I100" s="269"/>
      <c r="J100" s="269"/>
      <c r="K100" s="269"/>
      <c r="L100" s="269"/>
      <c r="M100" s="269"/>
      <c r="N100" s="269"/>
      <c r="O100" s="269"/>
      <c r="P100" s="269"/>
      <c r="Q100" s="269"/>
      <c r="R100" s="269"/>
      <c r="S100" s="269"/>
      <c r="T100" s="269"/>
      <c r="U100" s="269"/>
      <c r="V100" s="269"/>
      <c r="W100" s="269"/>
      <c r="X100" s="269"/>
      <c r="Y100" s="269"/>
      <c r="Z100" s="269"/>
      <c r="AA100" s="269"/>
      <c r="AB100" s="269"/>
      <c r="AC100" s="269"/>
      <c r="AD100" s="269"/>
      <c r="AE100" s="269"/>
      <c r="AF100" s="269"/>
      <c r="AG100" s="269"/>
      <c r="AH100" s="271">
        <f t="shared" si="13"/>
        <v>0</v>
      </c>
      <c r="AI100" s="272">
        <f t="shared" si="7"/>
        <v>0</v>
      </c>
      <c r="AJ100" s="271">
        <f t="shared" si="8"/>
        <v>0</v>
      </c>
      <c r="AK100" s="271">
        <f t="shared" si="9"/>
        <v>0</v>
      </c>
      <c r="AL100" s="271">
        <f t="shared" si="10"/>
        <v>0</v>
      </c>
      <c r="AM100" s="271">
        <f t="shared" si="11"/>
        <v>0</v>
      </c>
      <c r="AN100" s="271">
        <f t="shared" si="12"/>
        <v>0</v>
      </c>
    </row>
    <row r="101" spans="2:40" ht="14.25">
      <c r="B101" s="420" t="str">
        <f>IF(INDEX(TabSeance[Date],ROW()-6)&lt;&gt;0,INDEX(TabSeance[Date],ROW()-6),"")</f>
        <v/>
      </c>
      <c r="C101" s="421" t="str">
        <f>IF(INDEX(TabSeance[Durée],ROW()-6)&lt;&gt;0,INDEX(TabSeance[Durée],ROW()-6),"")</f>
        <v/>
      </c>
      <c r="D101" s="269"/>
      <c r="E101" s="269"/>
      <c r="F101" s="269"/>
      <c r="G101" s="269"/>
      <c r="H101" s="269"/>
      <c r="I101" s="269"/>
      <c r="J101" s="269"/>
      <c r="K101" s="269"/>
      <c r="L101" s="269"/>
      <c r="M101" s="269"/>
      <c r="N101" s="269"/>
      <c r="O101" s="269"/>
      <c r="P101" s="269"/>
      <c r="Q101" s="269"/>
      <c r="R101" s="269"/>
      <c r="S101" s="269"/>
      <c r="T101" s="269"/>
      <c r="U101" s="269"/>
      <c r="V101" s="269"/>
      <c r="W101" s="269"/>
      <c r="X101" s="269"/>
      <c r="Y101" s="269"/>
      <c r="Z101" s="269"/>
      <c r="AA101" s="269"/>
      <c r="AB101" s="269"/>
      <c r="AC101" s="269"/>
      <c r="AD101" s="269"/>
      <c r="AE101" s="269"/>
      <c r="AF101" s="269"/>
      <c r="AG101" s="269"/>
      <c r="AH101" s="271">
        <f t="shared" si="13"/>
        <v>0</v>
      </c>
      <c r="AI101" s="272">
        <f t="shared" si="7"/>
        <v>0</v>
      </c>
      <c r="AJ101" s="271">
        <f t="shared" si="8"/>
        <v>0</v>
      </c>
      <c r="AK101" s="271">
        <f t="shared" si="9"/>
        <v>0</v>
      </c>
      <c r="AL101" s="271">
        <f t="shared" si="10"/>
        <v>0</v>
      </c>
      <c r="AM101" s="271">
        <f t="shared" si="11"/>
        <v>0</v>
      </c>
      <c r="AN101" s="271">
        <f t="shared" si="12"/>
        <v>0</v>
      </c>
    </row>
    <row r="102" spans="2:40" ht="14.25">
      <c r="B102" s="420" t="str">
        <f>IF(INDEX(TabSeance[Date],ROW()-6)&lt;&gt;0,INDEX(TabSeance[Date],ROW()-6),"")</f>
        <v/>
      </c>
      <c r="C102" s="421" t="str">
        <f>IF(INDEX(TabSeance[Durée],ROW()-6)&lt;&gt;0,INDEX(TabSeance[Durée],ROW()-6),"")</f>
        <v/>
      </c>
      <c r="D102" s="269"/>
      <c r="E102" s="269"/>
      <c r="F102" s="269"/>
      <c r="G102" s="269"/>
      <c r="H102" s="269"/>
      <c r="I102" s="269"/>
      <c r="J102" s="269"/>
      <c r="K102" s="269"/>
      <c r="L102" s="269"/>
      <c r="M102" s="269"/>
      <c r="N102" s="269"/>
      <c r="O102" s="269"/>
      <c r="P102" s="269"/>
      <c r="Q102" s="269"/>
      <c r="R102" s="269"/>
      <c r="S102" s="269"/>
      <c r="T102" s="269"/>
      <c r="U102" s="269"/>
      <c r="V102" s="269"/>
      <c r="W102" s="269"/>
      <c r="X102" s="269"/>
      <c r="Y102" s="269"/>
      <c r="Z102" s="269"/>
      <c r="AA102" s="269"/>
      <c r="AB102" s="269"/>
      <c r="AC102" s="269"/>
      <c r="AD102" s="269"/>
      <c r="AE102" s="269"/>
      <c r="AF102" s="269"/>
      <c r="AG102" s="269"/>
      <c r="AH102" s="271">
        <f t="shared" si="13"/>
        <v>0</v>
      </c>
      <c r="AI102" s="272">
        <f t="shared" si="7"/>
        <v>0</v>
      </c>
      <c r="AJ102" s="271">
        <f t="shared" si="8"/>
        <v>0</v>
      </c>
      <c r="AK102" s="271">
        <f t="shared" si="9"/>
        <v>0</v>
      </c>
      <c r="AL102" s="271">
        <f t="shared" si="10"/>
        <v>0</v>
      </c>
      <c r="AM102" s="271">
        <f t="shared" si="11"/>
        <v>0</v>
      </c>
      <c r="AN102" s="271">
        <f t="shared" si="12"/>
        <v>0</v>
      </c>
    </row>
    <row r="103" spans="2:40" ht="14.25">
      <c r="B103" s="420" t="str">
        <f>IF(INDEX(TabSeance[Date],ROW()-6)&lt;&gt;0,INDEX(TabSeance[Date],ROW()-6),"")</f>
        <v/>
      </c>
      <c r="C103" s="421" t="str">
        <f>IF(INDEX(TabSeance[Durée],ROW()-6)&lt;&gt;0,INDEX(TabSeance[Durée],ROW()-6),"")</f>
        <v/>
      </c>
      <c r="D103" s="269"/>
      <c r="E103" s="269"/>
      <c r="F103" s="269"/>
      <c r="G103" s="269"/>
      <c r="H103" s="269"/>
      <c r="I103" s="269"/>
      <c r="J103" s="269"/>
      <c r="K103" s="269"/>
      <c r="L103" s="269"/>
      <c r="M103" s="269"/>
      <c r="N103" s="269"/>
      <c r="O103" s="269"/>
      <c r="P103" s="269"/>
      <c r="Q103" s="269"/>
      <c r="R103" s="269"/>
      <c r="S103" s="269"/>
      <c r="T103" s="269"/>
      <c r="U103" s="269"/>
      <c r="V103" s="269"/>
      <c r="W103" s="269"/>
      <c r="X103" s="269"/>
      <c r="Y103" s="269"/>
      <c r="Z103" s="269"/>
      <c r="AA103" s="269"/>
      <c r="AB103" s="269"/>
      <c r="AC103" s="269"/>
      <c r="AD103" s="269"/>
      <c r="AE103" s="269"/>
      <c r="AF103" s="269"/>
      <c r="AG103" s="269"/>
      <c r="AH103" s="271">
        <f t="shared" si="13"/>
        <v>0</v>
      </c>
      <c r="AI103" s="272">
        <f t="shared" si="7"/>
        <v>0</v>
      </c>
      <c r="AJ103" s="271">
        <f t="shared" si="8"/>
        <v>0</v>
      </c>
      <c r="AK103" s="271">
        <f t="shared" si="9"/>
        <v>0</v>
      </c>
      <c r="AL103" s="271">
        <f t="shared" si="10"/>
        <v>0</v>
      </c>
      <c r="AM103" s="271">
        <f t="shared" si="11"/>
        <v>0</v>
      </c>
      <c r="AN103" s="271">
        <f t="shared" si="12"/>
        <v>0</v>
      </c>
    </row>
    <row r="104" spans="2:40" ht="14.25">
      <c r="B104" s="420" t="str">
        <f>IF(INDEX(TabSeance[Date],ROW()-6)&lt;&gt;0,INDEX(TabSeance[Date],ROW()-6),"")</f>
        <v/>
      </c>
      <c r="C104" s="421" t="str">
        <f>IF(INDEX(TabSeance[Durée],ROW()-6)&lt;&gt;0,INDEX(TabSeance[Durée],ROW()-6),"")</f>
        <v/>
      </c>
      <c r="D104" s="269"/>
      <c r="E104" s="269"/>
      <c r="F104" s="269"/>
      <c r="G104" s="269"/>
      <c r="H104" s="269"/>
      <c r="I104" s="269"/>
      <c r="J104" s="269"/>
      <c r="K104" s="269"/>
      <c r="L104" s="269"/>
      <c r="M104" s="269"/>
      <c r="N104" s="269"/>
      <c r="O104" s="269"/>
      <c r="P104" s="269"/>
      <c r="Q104" s="269"/>
      <c r="R104" s="269"/>
      <c r="S104" s="269"/>
      <c r="T104" s="269"/>
      <c r="U104" s="269"/>
      <c r="V104" s="269"/>
      <c r="W104" s="269"/>
      <c r="X104" s="269"/>
      <c r="Y104" s="269"/>
      <c r="Z104" s="269"/>
      <c r="AA104" s="269"/>
      <c r="AB104" s="269"/>
      <c r="AC104" s="269"/>
      <c r="AD104" s="269"/>
      <c r="AE104" s="269"/>
      <c r="AF104" s="269"/>
      <c r="AG104" s="269"/>
      <c r="AH104" s="271">
        <f t="shared" si="13"/>
        <v>0</v>
      </c>
      <c r="AI104" s="272">
        <f t="shared" si="7"/>
        <v>0</v>
      </c>
      <c r="AJ104" s="271">
        <f t="shared" si="8"/>
        <v>0</v>
      </c>
      <c r="AK104" s="271">
        <f t="shared" si="9"/>
        <v>0</v>
      </c>
      <c r="AL104" s="271">
        <f t="shared" si="10"/>
        <v>0</v>
      </c>
      <c r="AM104" s="271">
        <f t="shared" si="11"/>
        <v>0</v>
      </c>
      <c r="AN104" s="271">
        <f t="shared" si="12"/>
        <v>0</v>
      </c>
    </row>
    <row r="105" spans="2:40" ht="14.25">
      <c r="B105" s="420" t="str">
        <f>IF(INDEX(TabSeance[Date],ROW()-6)&lt;&gt;0,INDEX(TabSeance[Date],ROW()-6),"")</f>
        <v/>
      </c>
      <c r="C105" s="421" t="str">
        <f>IF(INDEX(TabSeance[Durée],ROW()-6)&lt;&gt;0,INDEX(TabSeance[Durée],ROW()-6),"")</f>
        <v/>
      </c>
      <c r="D105" s="269"/>
      <c r="E105" s="269"/>
      <c r="F105" s="269"/>
      <c r="G105" s="269"/>
      <c r="H105" s="269"/>
      <c r="I105" s="269"/>
      <c r="J105" s="269"/>
      <c r="K105" s="269"/>
      <c r="L105" s="269"/>
      <c r="M105" s="269"/>
      <c r="N105" s="269"/>
      <c r="O105" s="269"/>
      <c r="P105" s="269"/>
      <c r="Q105" s="269"/>
      <c r="R105" s="269"/>
      <c r="S105" s="269"/>
      <c r="T105" s="269"/>
      <c r="U105" s="269"/>
      <c r="V105" s="269"/>
      <c r="W105" s="269"/>
      <c r="X105" s="269"/>
      <c r="Y105" s="269"/>
      <c r="Z105" s="269"/>
      <c r="AA105" s="269"/>
      <c r="AB105" s="269"/>
      <c r="AC105" s="269"/>
      <c r="AD105" s="269"/>
      <c r="AE105" s="269"/>
      <c r="AF105" s="269"/>
      <c r="AG105" s="269"/>
      <c r="AH105" s="271">
        <f t="shared" si="13"/>
        <v>0</v>
      </c>
      <c r="AI105" s="272">
        <f t="shared" si="7"/>
        <v>0</v>
      </c>
      <c r="AJ105" s="271">
        <f t="shared" si="8"/>
        <v>0</v>
      </c>
      <c r="AK105" s="271">
        <f t="shared" si="9"/>
        <v>0</v>
      </c>
      <c r="AL105" s="271">
        <f t="shared" si="10"/>
        <v>0</v>
      </c>
      <c r="AM105" s="271">
        <f t="shared" si="11"/>
        <v>0</v>
      </c>
      <c r="AN105" s="271">
        <f t="shared" si="12"/>
        <v>0</v>
      </c>
    </row>
    <row r="106" spans="2:40" ht="14.25">
      <c r="B106" s="420" t="str">
        <f>IF(INDEX(TabSeance[Date],ROW()-6)&lt;&gt;0,INDEX(TabSeance[Date],ROW()-6),"")</f>
        <v/>
      </c>
      <c r="C106" s="421" t="str">
        <f>IF(INDEX(TabSeance[Durée],ROW()-6)&lt;&gt;0,INDEX(TabSeance[Durée],ROW()-6),"")</f>
        <v/>
      </c>
      <c r="D106" s="269"/>
      <c r="E106" s="269"/>
      <c r="F106" s="269"/>
      <c r="G106" s="269"/>
      <c r="H106" s="269"/>
      <c r="I106" s="269"/>
      <c r="J106" s="269"/>
      <c r="K106" s="269"/>
      <c r="L106" s="269"/>
      <c r="M106" s="269"/>
      <c r="N106" s="269"/>
      <c r="O106" s="269"/>
      <c r="P106" s="269"/>
      <c r="Q106" s="269"/>
      <c r="R106" s="269"/>
      <c r="S106" s="269"/>
      <c r="T106" s="269"/>
      <c r="U106" s="269"/>
      <c r="V106" s="269"/>
      <c r="W106" s="269"/>
      <c r="X106" s="269"/>
      <c r="Y106" s="269"/>
      <c r="Z106" s="269"/>
      <c r="AA106" s="269"/>
      <c r="AB106" s="269"/>
      <c r="AC106" s="269"/>
      <c r="AD106" s="269"/>
      <c r="AE106" s="269"/>
      <c r="AF106" s="269"/>
      <c r="AG106" s="269"/>
      <c r="AH106" s="271">
        <f t="shared" si="13"/>
        <v>0</v>
      </c>
      <c r="AI106" s="272">
        <f t="shared" si="7"/>
        <v>0</v>
      </c>
      <c r="AJ106" s="271">
        <f t="shared" si="8"/>
        <v>0</v>
      </c>
      <c r="AK106" s="271">
        <f t="shared" si="9"/>
        <v>0</v>
      </c>
      <c r="AL106" s="271">
        <f t="shared" si="10"/>
        <v>0</v>
      </c>
      <c r="AM106" s="271">
        <f t="shared" si="11"/>
        <v>0</v>
      </c>
      <c r="AN106" s="271">
        <f t="shared" si="12"/>
        <v>0</v>
      </c>
    </row>
    <row r="107" spans="2:40" ht="14.25">
      <c r="B107" s="420" t="str">
        <f>IF(INDEX(TabSeance[Date],ROW()-6)&lt;&gt;0,INDEX(TabSeance[Date],ROW()-6),"")</f>
        <v/>
      </c>
      <c r="C107" s="421" t="str">
        <f>IF(INDEX(TabSeance[Durée],ROW()-6)&lt;&gt;0,INDEX(TabSeance[Durée],ROW()-6),"")</f>
        <v/>
      </c>
      <c r="D107" s="269"/>
      <c r="E107" s="269"/>
      <c r="F107" s="269"/>
      <c r="G107" s="269"/>
      <c r="H107" s="269"/>
      <c r="I107" s="269"/>
      <c r="J107" s="269"/>
      <c r="K107" s="269"/>
      <c r="L107" s="269"/>
      <c r="M107" s="269"/>
      <c r="N107" s="269"/>
      <c r="O107" s="269"/>
      <c r="P107" s="269"/>
      <c r="Q107" s="269"/>
      <c r="R107" s="269"/>
      <c r="S107" s="269"/>
      <c r="T107" s="269"/>
      <c r="U107" s="269"/>
      <c r="V107" s="269"/>
      <c r="W107" s="269"/>
      <c r="X107" s="269"/>
      <c r="Y107" s="269"/>
      <c r="Z107" s="269"/>
      <c r="AA107" s="269"/>
      <c r="AB107" s="269"/>
      <c r="AC107" s="269"/>
      <c r="AD107" s="269"/>
      <c r="AE107" s="269"/>
      <c r="AF107" s="269"/>
      <c r="AG107" s="269"/>
      <c r="AH107" s="271">
        <f t="shared" si="13"/>
        <v>0</v>
      </c>
      <c r="AI107" s="272">
        <f t="shared" si="7"/>
        <v>0</v>
      </c>
      <c r="AJ107" s="271">
        <f t="shared" si="8"/>
        <v>0</v>
      </c>
      <c r="AK107" s="271">
        <f t="shared" si="9"/>
        <v>0</v>
      </c>
      <c r="AL107" s="271">
        <f t="shared" si="10"/>
        <v>0</v>
      </c>
      <c r="AM107" s="271">
        <f t="shared" si="11"/>
        <v>0</v>
      </c>
      <c r="AN107" s="271">
        <f t="shared" si="12"/>
        <v>0</v>
      </c>
    </row>
    <row r="108" spans="2:40" ht="14.25">
      <c r="B108" s="420" t="str">
        <f>IF(INDEX(TabSeance[Date],ROW()-6)&lt;&gt;0,INDEX(TabSeance[Date],ROW()-6),"")</f>
        <v/>
      </c>
      <c r="C108" s="421" t="str">
        <f>IF(INDEX(TabSeance[Durée],ROW()-6)&lt;&gt;0,INDEX(TabSeance[Durée],ROW()-6),"")</f>
        <v/>
      </c>
      <c r="D108" s="269"/>
      <c r="E108" s="269"/>
      <c r="F108" s="269"/>
      <c r="G108" s="269"/>
      <c r="H108" s="269"/>
      <c r="I108" s="269"/>
      <c r="J108" s="269"/>
      <c r="K108" s="269"/>
      <c r="L108" s="269"/>
      <c r="M108" s="269"/>
      <c r="N108" s="269"/>
      <c r="O108" s="269"/>
      <c r="P108" s="269"/>
      <c r="Q108" s="269"/>
      <c r="R108" s="269"/>
      <c r="S108" s="269"/>
      <c r="T108" s="269"/>
      <c r="U108" s="269"/>
      <c r="V108" s="269"/>
      <c r="W108" s="269"/>
      <c r="X108" s="269"/>
      <c r="Y108" s="269"/>
      <c r="Z108" s="269"/>
      <c r="AA108" s="269"/>
      <c r="AB108" s="269"/>
      <c r="AC108" s="269"/>
      <c r="AD108" s="269"/>
      <c r="AE108" s="269"/>
      <c r="AF108" s="269"/>
      <c r="AG108" s="269"/>
      <c r="AH108" s="271">
        <f t="shared" si="13"/>
        <v>0</v>
      </c>
      <c r="AI108" s="272">
        <f t="shared" si="7"/>
        <v>0</v>
      </c>
      <c r="AJ108" s="271">
        <f t="shared" si="8"/>
        <v>0</v>
      </c>
      <c r="AK108" s="271">
        <f t="shared" si="9"/>
        <v>0</v>
      </c>
      <c r="AL108" s="271">
        <f t="shared" si="10"/>
        <v>0</v>
      </c>
      <c r="AM108" s="271">
        <f t="shared" si="11"/>
        <v>0</v>
      </c>
      <c r="AN108" s="271">
        <f t="shared" si="12"/>
        <v>0</v>
      </c>
    </row>
    <row r="109" spans="2:40" ht="14.25">
      <c r="B109" s="420" t="str">
        <f>IF(INDEX(TabSeance[Date],ROW()-6)&lt;&gt;0,INDEX(TabSeance[Date],ROW()-6),"")</f>
        <v/>
      </c>
      <c r="C109" s="421" t="str">
        <f>IF(INDEX(TabSeance[Durée],ROW()-6)&lt;&gt;0,INDEX(TabSeance[Durée],ROW()-6),"")</f>
        <v/>
      </c>
      <c r="D109" s="269"/>
      <c r="E109" s="269"/>
      <c r="F109" s="269"/>
      <c r="G109" s="269"/>
      <c r="H109" s="269"/>
      <c r="I109" s="269"/>
      <c r="J109" s="269"/>
      <c r="K109" s="269"/>
      <c r="L109" s="269"/>
      <c r="M109" s="269"/>
      <c r="N109" s="269"/>
      <c r="O109" s="269"/>
      <c r="P109" s="269"/>
      <c r="Q109" s="269"/>
      <c r="R109" s="269"/>
      <c r="S109" s="269"/>
      <c r="T109" s="269"/>
      <c r="U109" s="269"/>
      <c r="V109" s="269"/>
      <c r="W109" s="269"/>
      <c r="X109" s="269"/>
      <c r="Y109" s="269"/>
      <c r="Z109" s="269"/>
      <c r="AA109" s="269"/>
      <c r="AB109" s="269"/>
      <c r="AC109" s="269"/>
      <c r="AD109" s="269"/>
      <c r="AE109" s="269"/>
      <c r="AF109" s="269"/>
      <c r="AG109" s="269"/>
      <c r="AH109" s="271">
        <f t="shared" si="13"/>
        <v>0</v>
      </c>
      <c r="AI109" s="272">
        <f t="shared" si="7"/>
        <v>0</v>
      </c>
      <c r="AJ109" s="271">
        <f t="shared" si="8"/>
        <v>0</v>
      </c>
      <c r="AK109" s="271">
        <f t="shared" si="9"/>
        <v>0</v>
      </c>
      <c r="AL109" s="271">
        <f t="shared" si="10"/>
        <v>0</v>
      </c>
      <c r="AM109" s="271">
        <f t="shared" si="11"/>
        <v>0</v>
      </c>
      <c r="AN109" s="271">
        <f t="shared" si="12"/>
        <v>0</v>
      </c>
    </row>
    <row r="110" spans="2:40" ht="14.25">
      <c r="B110" s="420" t="str">
        <f>IF(INDEX(TabSeance[Date],ROW()-6)&lt;&gt;0,INDEX(TabSeance[Date],ROW()-6),"")</f>
        <v/>
      </c>
      <c r="C110" s="421" t="str">
        <f>IF(INDEX(TabSeance[Durée],ROW()-6)&lt;&gt;0,INDEX(TabSeance[Durée],ROW()-6),"")</f>
        <v/>
      </c>
      <c r="D110" s="269"/>
      <c r="E110" s="269"/>
      <c r="F110" s="269"/>
      <c r="G110" s="269"/>
      <c r="H110" s="269"/>
      <c r="I110" s="269"/>
      <c r="J110" s="269"/>
      <c r="K110" s="269"/>
      <c r="L110" s="269"/>
      <c r="M110" s="269"/>
      <c r="N110" s="269"/>
      <c r="O110" s="269"/>
      <c r="P110" s="269"/>
      <c r="Q110" s="269"/>
      <c r="R110" s="269"/>
      <c r="S110" s="269"/>
      <c r="T110" s="269"/>
      <c r="U110" s="269"/>
      <c r="V110" s="269"/>
      <c r="W110" s="269"/>
      <c r="X110" s="269"/>
      <c r="Y110" s="269"/>
      <c r="Z110" s="269"/>
      <c r="AA110" s="269"/>
      <c r="AB110" s="269"/>
      <c r="AC110" s="269"/>
      <c r="AD110" s="269"/>
      <c r="AE110" s="269"/>
      <c r="AF110" s="269"/>
      <c r="AG110" s="269"/>
      <c r="AH110" s="271">
        <f t="shared" si="13"/>
        <v>0</v>
      </c>
      <c r="AI110" s="272">
        <f t="shared" si="7"/>
        <v>0</v>
      </c>
      <c r="AJ110" s="271">
        <f t="shared" si="8"/>
        <v>0</v>
      </c>
      <c r="AK110" s="271">
        <f t="shared" si="9"/>
        <v>0</v>
      </c>
      <c r="AL110" s="271">
        <f t="shared" si="10"/>
        <v>0</v>
      </c>
      <c r="AM110" s="271">
        <f t="shared" si="11"/>
        <v>0</v>
      </c>
      <c r="AN110" s="271">
        <f t="shared" si="12"/>
        <v>0</v>
      </c>
    </row>
    <row r="111" spans="2:40" ht="14.25">
      <c r="B111" s="420" t="str">
        <f>IF(INDEX(TabSeance[Date],ROW()-6)&lt;&gt;0,INDEX(TabSeance[Date],ROW()-6),"")</f>
        <v/>
      </c>
      <c r="C111" s="421" t="str">
        <f>IF(INDEX(TabSeance[Durée],ROW()-6)&lt;&gt;0,INDEX(TabSeance[Durée],ROW()-6),"")</f>
        <v/>
      </c>
      <c r="D111" s="269"/>
      <c r="E111" s="269"/>
      <c r="F111" s="269"/>
      <c r="G111" s="269"/>
      <c r="H111" s="269"/>
      <c r="I111" s="269"/>
      <c r="J111" s="269"/>
      <c r="K111" s="269"/>
      <c r="L111" s="269"/>
      <c r="M111" s="269"/>
      <c r="N111" s="269"/>
      <c r="O111" s="269"/>
      <c r="P111" s="269"/>
      <c r="Q111" s="269"/>
      <c r="R111" s="269"/>
      <c r="S111" s="269"/>
      <c r="T111" s="269"/>
      <c r="U111" s="269"/>
      <c r="V111" s="269"/>
      <c r="W111" s="269"/>
      <c r="X111" s="269"/>
      <c r="Y111" s="269"/>
      <c r="Z111" s="269"/>
      <c r="AA111" s="269"/>
      <c r="AB111" s="269"/>
      <c r="AC111" s="269"/>
      <c r="AD111" s="269"/>
      <c r="AE111" s="269"/>
      <c r="AF111" s="269"/>
      <c r="AG111" s="269"/>
      <c r="AH111" s="271">
        <f t="shared" si="13"/>
        <v>0</v>
      </c>
      <c r="AI111" s="272">
        <f t="shared" si="7"/>
        <v>0</v>
      </c>
      <c r="AJ111" s="271">
        <f t="shared" si="8"/>
        <v>0</v>
      </c>
      <c r="AK111" s="271">
        <f t="shared" si="9"/>
        <v>0</v>
      </c>
      <c r="AL111" s="271">
        <f t="shared" si="10"/>
        <v>0</v>
      </c>
      <c r="AM111" s="271">
        <f t="shared" si="11"/>
        <v>0</v>
      </c>
      <c r="AN111" s="271">
        <f t="shared" si="12"/>
        <v>0</v>
      </c>
    </row>
    <row r="112" spans="2:40" ht="14.25">
      <c r="B112" s="420" t="str">
        <f>IF(INDEX(TabSeance[Date],ROW()-6)&lt;&gt;0,INDEX(TabSeance[Date],ROW()-6),"")</f>
        <v/>
      </c>
      <c r="C112" s="421" t="str">
        <f>IF(INDEX(TabSeance[Durée],ROW()-6)&lt;&gt;0,INDEX(TabSeance[Durée],ROW()-6),"")</f>
        <v/>
      </c>
      <c r="D112" s="269"/>
      <c r="E112" s="269"/>
      <c r="F112" s="269"/>
      <c r="G112" s="269"/>
      <c r="H112" s="269"/>
      <c r="I112" s="269"/>
      <c r="J112" s="269"/>
      <c r="K112" s="269"/>
      <c r="L112" s="269"/>
      <c r="M112" s="269"/>
      <c r="N112" s="269"/>
      <c r="O112" s="269"/>
      <c r="P112" s="269"/>
      <c r="Q112" s="269"/>
      <c r="R112" s="269"/>
      <c r="S112" s="269"/>
      <c r="T112" s="269"/>
      <c r="U112" s="269"/>
      <c r="V112" s="269"/>
      <c r="W112" s="269"/>
      <c r="X112" s="269"/>
      <c r="Y112" s="269"/>
      <c r="Z112" s="269"/>
      <c r="AA112" s="269"/>
      <c r="AB112" s="269"/>
      <c r="AC112" s="269"/>
      <c r="AD112" s="269"/>
      <c r="AE112" s="269"/>
      <c r="AF112" s="269"/>
      <c r="AG112" s="269"/>
      <c r="AH112" s="271">
        <f t="shared" si="13"/>
        <v>0</v>
      </c>
      <c r="AI112" s="272">
        <f t="shared" si="7"/>
        <v>0</v>
      </c>
      <c r="AJ112" s="271">
        <f t="shared" si="8"/>
        <v>0</v>
      </c>
      <c r="AK112" s="271">
        <f t="shared" si="9"/>
        <v>0</v>
      </c>
      <c r="AL112" s="271">
        <f t="shared" si="10"/>
        <v>0</v>
      </c>
      <c r="AM112" s="271">
        <f t="shared" si="11"/>
        <v>0</v>
      </c>
      <c r="AN112" s="271">
        <f t="shared" si="12"/>
        <v>0</v>
      </c>
    </row>
    <row r="113" spans="2:40" ht="14.25">
      <c r="B113" s="420" t="str">
        <f>IF(INDEX(TabSeance[Date],ROW()-6)&lt;&gt;0,INDEX(TabSeance[Date],ROW()-6),"")</f>
        <v/>
      </c>
      <c r="C113" s="421" t="str">
        <f>IF(INDEX(TabSeance[Durée],ROW()-6)&lt;&gt;0,INDEX(TabSeance[Durée],ROW()-6),"")</f>
        <v/>
      </c>
      <c r="D113" s="269"/>
      <c r="E113" s="269"/>
      <c r="F113" s="269"/>
      <c r="G113" s="269"/>
      <c r="H113" s="269"/>
      <c r="I113" s="269"/>
      <c r="J113" s="269"/>
      <c r="K113" s="269"/>
      <c r="L113" s="269"/>
      <c r="M113" s="269"/>
      <c r="N113" s="269"/>
      <c r="O113" s="269"/>
      <c r="P113" s="269"/>
      <c r="Q113" s="269"/>
      <c r="R113" s="269"/>
      <c r="S113" s="269"/>
      <c r="T113" s="269"/>
      <c r="U113" s="269"/>
      <c r="V113" s="269"/>
      <c r="W113" s="269"/>
      <c r="X113" s="269"/>
      <c r="Y113" s="269"/>
      <c r="Z113" s="269"/>
      <c r="AA113" s="269"/>
      <c r="AB113" s="269"/>
      <c r="AC113" s="269"/>
      <c r="AD113" s="269"/>
      <c r="AE113" s="269"/>
      <c r="AF113" s="269"/>
      <c r="AG113" s="269"/>
      <c r="AH113" s="271">
        <f t="shared" si="13"/>
        <v>0</v>
      </c>
      <c r="AI113" s="272">
        <f t="shared" si="7"/>
        <v>0</v>
      </c>
      <c r="AJ113" s="271">
        <f t="shared" si="8"/>
        <v>0</v>
      </c>
      <c r="AK113" s="271">
        <f t="shared" si="9"/>
        <v>0</v>
      </c>
      <c r="AL113" s="271">
        <f t="shared" si="10"/>
        <v>0</v>
      </c>
      <c r="AM113" s="271">
        <f t="shared" si="11"/>
        <v>0</v>
      </c>
      <c r="AN113" s="271">
        <f t="shared" si="12"/>
        <v>0</v>
      </c>
    </row>
    <row r="114" spans="2:40" ht="14.25">
      <c r="B114" s="420" t="str">
        <f>IF(INDEX(TabSeance[Date],ROW()-6)&lt;&gt;0,INDEX(TabSeance[Date],ROW()-6),"")</f>
        <v/>
      </c>
      <c r="C114" s="421" t="str">
        <f>IF(INDEX(TabSeance[Durée],ROW()-6)&lt;&gt;0,INDEX(TabSeance[Durée],ROW()-6),"")</f>
        <v/>
      </c>
      <c r="D114" s="269"/>
      <c r="E114" s="269"/>
      <c r="F114" s="269"/>
      <c r="G114" s="269"/>
      <c r="H114" s="269"/>
      <c r="I114" s="269"/>
      <c r="J114" s="269"/>
      <c r="K114" s="269"/>
      <c r="L114" s="269"/>
      <c r="M114" s="269"/>
      <c r="N114" s="269"/>
      <c r="O114" s="269"/>
      <c r="P114" s="269"/>
      <c r="Q114" s="269"/>
      <c r="R114" s="269"/>
      <c r="S114" s="269"/>
      <c r="T114" s="269"/>
      <c r="U114" s="269"/>
      <c r="V114" s="269"/>
      <c r="W114" s="269"/>
      <c r="X114" s="269"/>
      <c r="Y114" s="269"/>
      <c r="Z114" s="269"/>
      <c r="AA114" s="269"/>
      <c r="AB114" s="269"/>
      <c r="AC114" s="269"/>
      <c r="AD114" s="269"/>
      <c r="AE114" s="269"/>
      <c r="AF114" s="269"/>
      <c r="AG114" s="269"/>
      <c r="AH114" s="271">
        <f t="shared" si="13"/>
        <v>0</v>
      </c>
      <c r="AI114" s="272">
        <f t="shared" si="7"/>
        <v>0</v>
      </c>
      <c r="AJ114" s="271">
        <f t="shared" si="8"/>
        <v>0</v>
      </c>
      <c r="AK114" s="271">
        <f t="shared" si="9"/>
        <v>0</v>
      </c>
      <c r="AL114" s="271">
        <f t="shared" si="10"/>
        <v>0</v>
      </c>
      <c r="AM114" s="271">
        <f t="shared" si="11"/>
        <v>0</v>
      </c>
      <c r="AN114" s="271">
        <f t="shared" si="12"/>
        <v>0</v>
      </c>
    </row>
    <row r="115" spans="2:40" ht="14.25">
      <c r="B115" s="420" t="str">
        <f>IF(INDEX(TabSeance[Date],ROW()-6)&lt;&gt;0,INDEX(TabSeance[Date],ROW()-6),"")</f>
        <v/>
      </c>
      <c r="C115" s="421" t="str">
        <f>IF(INDEX(TabSeance[Durée],ROW()-6)&lt;&gt;0,INDEX(TabSeance[Durée],ROW()-6),"")</f>
        <v/>
      </c>
      <c r="D115" s="269"/>
      <c r="E115" s="269"/>
      <c r="F115" s="269"/>
      <c r="G115" s="269"/>
      <c r="H115" s="269"/>
      <c r="I115" s="269"/>
      <c r="J115" s="269"/>
      <c r="K115" s="269"/>
      <c r="L115" s="269"/>
      <c r="M115" s="269"/>
      <c r="N115" s="269"/>
      <c r="O115" s="269"/>
      <c r="P115" s="269"/>
      <c r="Q115" s="269"/>
      <c r="R115" s="269"/>
      <c r="S115" s="269"/>
      <c r="T115" s="269"/>
      <c r="U115" s="269"/>
      <c r="V115" s="269"/>
      <c r="W115" s="269"/>
      <c r="X115" s="269"/>
      <c r="Y115" s="269"/>
      <c r="Z115" s="269"/>
      <c r="AA115" s="269"/>
      <c r="AB115" s="269"/>
      <c r="AC115" s="269"/>
      <c r="AD115" s="269"/>
      <c r="AE115" s="269"/>
      <c r="AF115" s="269"/>
      <c r="AG115" s="269"/>
      <c r="AH115" s="271">
        <f t="shared" si="13"/>
        <v>0</v>
      </c>
      <c r="AI115" s="272">
        <f t="shared" si="7"/>
        <v>0</v>
      </c>
      <c r="AJ115" s="271">
        <f t="shared" si="8"/>
        <v>0</v>
      </c>
      <c r="AK115" s="271">
        <f t="shared" si="9"/>
        <v>0</v>
      </c>
      <c r="AL115" s="271">
        <f t="shared" si="10"/>
        <v>0</v>
      </c>
      <c r="AM115" s="271">
        <f t="shared" si="11"/>
        <v>0</v>
      </c>
      <c r="AN115" s="271">
        <f t="shared" si="12"/>
        <v>0</v>
      </c>
    </row>
    <row r="116" spans="2:40" ht="14.25">
      <c r="B116" s="420" t="str">
        <f>IF(INDEX(TabSeance[Date],ROW()-6)&lt;&gt;0,INDEX(TabSeance[Date],ROW()-6),"")</f>
        <v/>
      </c>
      <c r="C116" s="421" t="str">
        <f>IF(INDEX(TabSeance[Durée],ROW()-6)&lt;&gt;0,INDEX(TabSeance[Durée],ROW()-6),"")</f>
        <v/>
      </c>
      <c r="D116" s="269"/>
      <c r="E116" s="269"/>
      <c r="F116" s="269"/>
      <c r="G116" s="269"/>
      <c r="H116" s="269"/>
      <c r="I116" s="269"/>
      <c r="J116" s="269"/>
      <c r="K116" s="269"/>
      <c r="L116" s="269"/>
      <c r="M116" s="269"/>
      <c r="N116" s="269"/>
      <c r="O116" s="269"/>
      <c r="P116" s="269"/>
      <c r="Q116" s="269"/>
      <c r="R116" s="269"/>
      <c r="S116" s="269"/>
      <c r="T116" s="269"/>
      <c r="U116" s="269"/>
      <c r="V116" s="269"/>
      <c r="W116" s="269"/>
      <c r="X116" s="269"/>
      <c r="Y116" s="269"/>
      <c r="Z116" s="269"/>
      <c r="AA116" s="269"/>
      <c r="AB116" s="269"/>
      <c r="AC116" s="269"/>
      <c r="AD116" s="269"/>
      <c r="AE116" s="269"/>
      <c r="AF116" s="269"/>
      <c r="AG116" s="269"/>
      <c r="AH116" s="271">
        <f t="shared" si="13"/>
        <v>0</v>
      </c>
      <c r="AI116" s="272">
        <f t="shared" si="7"/>
        <v>0</v>
      </c>
      <c r="AJ116" s="271">
        <f t="shared" si="8"/>
        <v>0</v>
      </c>
      <c r="AK116" s="271">
        <f t="shared" si="9"/>
        <v>0</v>
      </c>
      <c r="AL116" s="271">
        <f t="shared" si="10"/>
        <v>0</v>
      </c>
      <c r="AM116" s="271">
        <f t="shared" si="11"/>
        <v>0</v>
      </c>
      <c r="AN116" s="271">
        <f t="shared" si="12"/>
        <v>0</v>
      </c>
    </row>
    <row r="117" spans="2:40" ht="14.25">
      <c r="B117" s="420" t="str">
        <f>IF(INDEX(TabSeance[Date],ROW()-6)&lt;&gt;0,INDEX(TabSeance[Date],ROW()-6),"")</f>
        <v/>
      </c>
      <c r="C117" s="421" t="str">
        <f>IF(INDEX(TabSeance[Durée],ROW()-6)&lt;&gt;0,INDEX(TabSeance[Durée],ROW()-6),"")</f>
        <v/>
      </c>
      <c r="D117" s="269"/>
      <c r="E117" s="269"/>
      <c r="F117" s="269"/>
      <c r="G117" s="269"/>
      <c r="H117" s="269"/>
      <c r="I117" s="269"/>
      <c r="J117" s="269"/>
      <c r="K117" s="269"/>
      <c r="L117" s="269"/>
      <c r="M117" s="269"/>
      <c r="N117" s="269"/>
      <c r="O117" s="269"/>
      <c r="P117" s="269"/>
      <c r="Q117" s="269"/>
      <c r="R117" s="269"/>
      <c r="S117" s="269"/>
      <c r="T117" s="269"/>
      <c r="U117" s="269"/>
      <c r="V117" s="269"/>
      <c r="W117" s="269"/>
      <c r="X117" s="269"/>
      <c r="Y117" s="269"/>
      <c r="Z117" s="269"/>
      <c r="AA117" s="269"/>
      <c r="AB117" s="269"/>
      <c r="AC117" s="269"/>
      <c r="AD117" s="269"/>
      <c r="AE117" s="269"/>
      <c r="AF117" s="269"/>
      <c r="AG117" s="269"/>
      <c r="AH117" s="271">
        <f t="shared" si="13"/>
        <v>0</v>
      </c>
      <c r="AI117" s="272">
        <f t="shared" si="7"/>
        <v>0</v>
      </c>
      <c r="AJ117" s="271">
        <f t="shared" si="8"/>
        <v>0</v>
      </c>
      <c r="AK117" s="271">
        <f t="shared" si="9"/>
        <v>0</v>
      </c>
      <c r="AL117" s="271">
        <f t="shared" si="10"/>
        <v>0</v>
      </c>
      <c r="AM117" s="271">
        <f t="shared" si="11"/>
        <v>0</v>
      </c>
      <c r="AN117" s="271">
        <f t="shared" si="12"/>
        <v>0</v>
      </c>
    </row>
    <row r="118" spans="2:40" ht="14.25">
      <c r="B118" s="420" t="str">
        <f>IF(INDEX(TabSeance[Date],ROW()-6)&lt;&gt;0,INDEX(TabSeance[Date],ROW()-6),"")</f>
        <v/>
      </c>
      <c r="C118" s="421" t="str">
        <f>IF(INDEX(TabSeance[Durée],ROW()-6)&lt;&gt;0,INDEX(TabSeance[Durée],ROW()-6),"")</f>
        <v/>
      </c>
      <c r="D118" s="269"/>
      <c r="E118" s="269"/>
      <c r="F118" s="269"/>
      <c r="G118" s="269"/>
      <c r="H118" s="269"/>
      <c r="I118" s="269"/>
      <c r="J118" s="269"/>
      <c r="K118" s="269"/>
      <c r="L118" s="269"/>
      <c r="M118" s="269"/>
      <c r="N118" s="269"/>
      <c r="O118" s="269"/>
      <c r="P118" s="269"/>
      <c r="Q118" s="269"/>
      <c r="R118" s="269"/>
      <c r="S118" s="269"/>
      <c r="T118" s="269"/>
      <c r="U118" s="269"/>
      <c r="V118" s="269"/>
      <c r="W118" s="269"/>
      <c r="X118" s="269"/>
      <c r="Y118" s="269"/>
      <c r="Z118" s="269"/>
      <c r="AA118" s="269"/>
      <c r="AB118" s="269"/>
      <c r="AC118" s="269"/>
      <c r="AD118" s="269"/>
      <c r="AE118" s="269"/>
      <c r="AF118" s="269"/>
      <c r="AG118" s="269"/>
      <c r="AH118" s="271">
        <f t="shared" si="13"/>
        <v>0</v>
      </c>
      <c r="AI118" s="272">
        <f t="shared" si="7"/>
        <v>0</v>
      </c>
      <c r="AJ118" s="271">
        <f t="shared" si="8"/>
        <v>0</v>
      </c>
      <c r="AK118" s="271">
        <f t="shared" si="9"/>
        <v>0</v>
      </c>
      <c r="AL118" s="271">
        <f t="shared" si="10"/>
        <v>0</v>
      </c>
      <c r="AM118" s="271">
        <f t="shared" si="11"/>
        <v>0</v>
      </c>
      <c r="AN118" s="271">
        <f t="shared" si="12"/>
        <v>0</v>
      </c>
    </row>
    <row r="119" spans="2:40" ht="14.25">
      <c r="B119" s="420" t="str">
        <f>IF(INDEX(TabSeance[Date],ROW()-6)&lt;&gt;0,INDEX(TabSeance[Date],ROW()-6),"")</f>
        <v/>
      </c>
      <c r="C119" s="421" t="str">
        <f>IF(INDEX(TabSeance[Durée],ROW()-6)&lt;&gt;0,INDEX(TabSeance[Durée],ROW()-6),"")</f>
        <v/>
      </c>
      <c r="D119" s="269"/>
      <c r="E119" s="269"/>
      <c r="F119" s="269"/>
      <c r="G119" s="269"/>
      <c r="H119" s="269"/>
      <c r="I119" s="269"/>
      <c r="J119" s="269"/>
      <c r="K119" s="269"/>
      <c r="L119" s="269"/>
      <c r="M119" s="269"/>
      <c r="N119" s="269"/>
      <c r="O119" s="269"/>
      <c r="P119" s="269"/>
      <c r="Q119" s="269"/>
      <c r="R119" s="269"/>
      <c r="S119" s="269"/>
      <c r="T119" s="269"/>
      <c r="U119" s="269"/>
      <c r="V119" s="269"/>
      <c r="W119" s="269"/>
      <c r="X119" s="269"/>
      <c r="Y119" s="269"/>
      <c r="Z119" s="269"/>
      <c r="AA119" s="269"/>
      <c r="AB119" s="269"/>
      <c r="AC119" s="269"/>
      <c r="AD119" s="269"/>
      <c r="AE119" s="269"/>
      <c r="AF119" s="269"/>
      <c r="AG119" s="269"/>
      <c r="AH119" s="271">
        <f t="shared" si="13"/>
        <v>0</v>
      </c>
      <c r="AI119" s="272">
        <f t="shared" si="7"/>
        <v>0</v>
      </c>
      <c r="AJ119" s="271">
        <f t="shared" si="8"/>
        <v>0</v>
      </c>
      <c r="AK119" s="271">
        <f t="shared" si="9"/>
        <v>0</v>
      </c>
      <c r="AL119" s="271">
        <f t="shared" si="10"/>
        <v>0</v>
      </c>
      <c r="AM119" s="271">
        <f t="shared" si="11"/>
        <v>0</v>
      </c>
      <c r="AN119" s="271">
        <f t="shared" si="12"/>
        <v>0</v>
      </c>
    </row>
    <row r="120" spans="2:40" ht="14.25">
      <c r="B120" s="420" t="str">
        <f>IF(INDEX(TabSeance[Date],ROW()-6)&lt;&gt;0,INDEX(TabSeance[Date],ROW()-6),"")</f>
        <v/>
      </c>
      <c r="C120" s="421" t="str">
        <f>IF(INDEX(TabSeance[Durée],ROW()-6)&lt;&gt;0,INDEX(TabSeance[Durée],ROW()-6),"")</f>
        <v/>
      </c>
      <c r="D120" s="269"/>
      <c r="E120" s="269"/>
      <c r="F120" s="269"/>
      <c r="G120" s="269"/>
      <c r="H120" s="269"/>
      <c r="I120" s="269"/>
      <c r="J120" s="269"/>
      <c r="K120" s="269"/>
      <c r="L120" s="269"/>
      <c r="M120" s="269"/>
      <c r="N120" s="269"/>
      <c r="O120" s="269"/>
      <c r="P120" s="269"/>
      <c r="Q120" s="269"/>
      <c r="R120" s="269"/>
      <c r="S120" s="269"/>
      <c r="T120" s="269"/>
      <c r="U120" s="269"/>
      <c r="V120" s="269"/>
      <c r="W120" s="269"/>
      <c r="X120" s="269"/>
      <c r="Y120" s="269"/>
      <c r="Z120" s="269"/>
      <c r="AA120" s="269"/>
      <c r="AB120" s="269"/>
      <c r="AC120" s="269"/>
      <c r="AD120" s="269"/>
      <c r="AE120" s="269"/>
      <c r="AF120" s="269"/>
      <c r="AG120" s="269"/>
      <c r="AH120" s="271">
        <f t="shared" si="13"/>
        <v>0</v>
      </c>
      <c r="AI120" s="272">
        <f t="shared" si="7"/>
        <v>0</v>
      </c>
      <c r="AJ120" s="271">
        <f t="shared" si="8"/>
        <v>0</v>
      </c>
      <c r="AK120" s="271">
        <f t="shared" si="9"/>
        <v>0</v>
      </c>
      <c r="AL120" s="271">
        <f t="shared" si="10"/>
        <v>0</v>
      </c>
      <c r="AM120" s="271">
        <f t="shared" si="11"/>
        <v>0</v>
      </c>
      <c r="AN120" s="271">
        <f t="shared" si="12"/>
        <v>0</v>
      </c>
    </row>
    <row r="121" spans="2:40" ht="14.25">
      <c r="B121" s="420" t="str">
        <f>IF(INDEX(TabSeance[Date],ROW()-6)&lt;&gt;0,INDEX(TabSeance[Date],ROW()-6),"")</f>
        <v/>
      </c>
      <c r="C121" s="421" t="str">
        <f>IF(INDEX(TabSeance[Durée],ROW()-6)&lt;&gt;0,INDEX(TabSeance[Durée],ROW()-6),"")</f>
        <v/>
      </c>
      <c r="D121" s="269"/>
      <c r="E121" s="269"/>
      <c r="F121" s="269"/>
      <c r="G121" s="269"/>
      <c r="H121" s="269"/>
      <c r="I121" s="269"/>
      <c r="J121" s="269"/>
      <c r="K121" s="269"/>
      <c r="L121" s="269"/>
      <c r="M121" s="269"/>
      <c r="N121" s="269"/>
      <c r="O121" s="269"/>
      <c r="P121" s="269"/>
      <c r="Q121" s="269"/>
      <c r="R121" s="269"/>
      <c r="S121" s="269"/>
      <c r="T121" s="269"/>
      <c r="U121" s="269"/>
      <c r="V121" s="269"/>
      <c r="W121" s="269"/>
      <c r="X121" s="269"/>
      <c r="Y121" s="269"/>
      <c r="Z121" s="269"/>
      <c r="AA121" s="269"/>
      <c r="AB121" s="269"/>
      <c r="AC121" s="269"/>
      <c r="AD121" s="269"/>
      <c r="AE121" s="269"/>
      <c r="AF121" s="269"/>
      <c r="AG121" s="269"/>
      <c r="AH121" s="271">
        <f t="shared" si="13"/>
        <v>0</v>
      </c>
      <c r="AI121" s="272">
        <f t="shared" si="7"/>
        <v>0</v>
      </c>
      <c r="AJ121" s="271">
        <f t="shared" si="8"/>
        <v>0</v>
      </c>
      <c r="AK121" s="271">
        <f t="shared" si="9"/>
        <v>0</v>
      </c>
      <c r="AL121" s="271">
        <f t="shared" si="10"/>
        <v>0</v>
      </c>
      <c r="AM121" s="271">
        <f t="shared" si="11"/>
        <v>0</v>
      </c>
      <c r="AN121" s="271">
        <f t="shared" si="12"/>
        <v>0</v>
      </c>
    </row>
    <row r="122" spans="2:40" ht="14.25">
      <c r="B122" s="420" t="str">
        <f>IF(INDEX(TabSeance[Date],ROW()-6)&lt;&gt;0,INDEX(TabSeance[Date],ROW()-6),"")</f>
        <v/>
      </c>
      <c r="C122" s="421" t="str">
        <f>IF(INDEX(TabSeance[Durée],ROW()-6)&lt;&gt;0,INDEX(TabSeance[Durée],ROW()-6),"")</f>
        <v/>
      </c>
      <c r="D122" s="269"/>
      <c r="E122" s="269"/>
      <c r="F122" s="269"/>
      <c r="G122" s="269"/>
      <c r="H122" s="269"/>
      <c r="I122" s="269"/>
      <c r="J122" s="269"/>
      <c r="K122" s="269"/>
      <c r="L122" s="269"/>
      <c r="M122" s="269"/>
      <c r="N122" s="269"/>
      <c r="O122" s="269"/>
      <c r="P122" s="269"/>
      <c r="Q122" s="269"/>
      <c r="R122" s="269"/>
      <c r="S122" s="269"/>
      <c r="T122" s="269"/>
      <c r="U122" s="269"/>
      <c r="V122" s="269"/>
      <c r="W122" s="269"/>
      <c r="X122" s="269"/>
      <c r="Y122" s="269"/>
      <c r="Z122" s="269"/>
      <c r="AA122" s="269"/>
      <c r="AB122" s="269"/>
      <c r="AC122" s="269"/>
      <c r="AD122" s="269"/>
      <c r="AE122" s="269"/>
      <c r="AF122" s="269"/>
      <c r="AG122" s="269"/>
      <c r="AH122" s="271">
        <f t="shared" si="13"/>
        <v>0</v>
      </c>
      <c r="AI122" s="272">
        <f t="shared" si="7"/>
        <v>0</v>
      </c>
      <c r="AJ122" s="271">
        <f t="shared" si="8"/>
        <v>0</v>
      </c>
      <c r="AK122" s="271">
        <f t="shared" si="9"/>
        <v>0</v>
      </c>
      <c r="AL122" s="271">
        <f t="shared" si="10"/>
        <v>0</v>
      </c>
      <c r="AM122" s="271">
        <f t="shared" si="11"/>
        <v>0</v>
      </c>
      <c r="AN122" s="271">
        <f t="shared" si="12"/>
        <v>0</v>
      </c>
    </row>
    <row r="123" spans="2:40" ht="14.25">
      <c r="B123" s="420" t="str">
        <f>IF(INDEX(TabSeance[Date],ROW()-6)&lt;&gt;0,INDEX(TabSeance[Date],ROW()-6),"")</f>
        <v/>
      </c>
      <c r="C123" s="421" t="str">
        <f>IF(INDEX(TabSeance[Durée],ROW()-6)&lt;&gt;0,INDEX(TabSeance[Durée],ROW()-6),"")</f>
        <v/>
      </c>
      <c r="D123" s="269"/>
      <c r="E123" s="269"/>
      <c r="F123" s="269"/>
      <c r="G123" s="269"/>
      <c r="H123" s="269"/>
      <c r="I123" s="269"/>
      <c r="J123" s="269"/>
      <c r="K123" s="269"/>
      <c r="L123" s="269"/>
      <c r="M123" s="269"/>
      <c r="N123" s="269"/>
      <c r="O123" s="269"/>
      <c r="P123" s="269"/>
      <c r="Q123" s="269"/>
      <c r="R123" s="269"/>
      <c r="S123" s="269"/>
      <c r="T123" s="269"/>
      <c r="U123" s="269"/>
      <c r="V123" s="269"/>
      <c r="W123" s="269"/>
      <c r="X123" s="269"/>
      <c r="Y123" s="269"/>
      <c r="Z123" s="269"/>
      <c r="AA123" s="269"/>
      <c r="AB123" s="269"/>
      <c r="AC123" s="269"/>
      <c r="AD123" s="269"/>
      <c r="AE123" s="269"/>
      <c r="AF123" s="269"/>
      <c r="AG123" s="269"/>
      <c r="AH123" s="271">
        <f t="shared" si="13"/>
        <v>0</v>
      </c>
      <c r="AI123" s="272">
        <f t="shared" si="7"/>
        <v>0</v>
      </c>
      <c r="AJ123" s="271">
        <f t="shared" si="8"/>
        <v>0</v>
      </c>
      <c r="AK123" s="271">
        <f t="shared" si="9"/>
        <v>0</v>
      </c>
      <c r="AL123" s="271">
        <f t="shared" si="10"/>
        <v>0</v>
      </c>
      <c r="AM123" s="271">
        <f t="shared" si="11"/>
        <v>0</v>
      </c>
      <c r="AN123" s="271">
        <f t="shared" si="12"/>
        <v>0</v>
      </c>
    </row>
    <row r="124" spans="2:40" ht="14.25">
      <c r="B124" s="420" t="str">
        <f>IF(INDEX(TabSeance[Date],ROW()-6)&lt;&gt;0,INDEX(TabSeance[Date],ROW()-6),"")</f>
        <v/>
      </c>
      <c r="C124" s="421" t="str">
        <f>IF(INDEX(TabSeance[Durée],ROW()-6)&lt;&gt;0,INDEX(TabSeance[Durée],ROW()-6),"")</f>
        <v/>
      </c>
      <c r="D124" s="269"/>
      <c r="E124" s="269"/>
      <c r="F124" s="269"/>
      <c r="G124" s="269"/>
      <c r="H124" s="269"/>
      <c r="I124" s="269"/>
      <c r="J124" s="269"/>
      <c r="K124" s="269"/>
      <c r="L124" s="269"/>
      <c r="M124" s="269"/>
      <c r="N124" s="269"/>
      <c r="O124" s="269"/>
      <c r="P124" s="269"/>
      <c r="Q124" s="269"/>
      <c r="R124" s="269"/>
      <c r="S124" s="269"/>
      <c r="T124" s="269"/>
      <c r="U124" s="269"/>
      <c r="V124" s="269"/>
      <c r="W124" s="269"/>
      <c r="X124" s="269"/>
      <c r="Y124" s="269"/>
      <c r="Z124" s="269"/>
      <c r="AA124" s="269"/>
      <c r="AB124" s="269"/>
      <c r="AC124" s="269"/>
      <c r="AD124" s="269"/>
      <c r="AE124" s="269"/>
      <c r="AF124" s="269"/>
      <c r="AG124" s="269"/>
      <c r="AH124" s="271">
        <f t="shared" si="13"/>
        <v>0</v>
      </c>
      <c r="AI124" s="272">
        <f t="shared" si="7"/>
        <v>0</v>
      </c>
      <c r="AJ124" s="271">
        <f t="shared" si="8"/>
        <v>0</v>
      </c>
      <c r="AK124" s="271">
        <f t="shared" si="9"/>
        <v>0</v>
      </c>
      <c r="AL124" s="271">
        <f t="shared" si="10"/>
        <v>0</v>
      </c>
      <c r="AM124" s="271">
        <f t="shared" si="11"/>
        <v>0</v>
      </c>
      <c r="AN124" s="271">
        <f t="shared" si="12"/>
        <v>0</v>
      </c>
    </row>
    <row r="125" spans="2:40" ht="14.25">
      <c r="B125" s="420" t="str">
        <f>IF(INDEX(TabSeance[Date],ROW()-6)&lt;&gt;0,INDEX(TabSeance[Date],ROW()-6),"")</f>
        <v/>
      </c>
      <c r="C125" s="421" t="str">
        <f>IF(INDEX(TabSeance[Durée],ROW()-6)&lt;&gt;0,INDEX(TabSeance[Durée],ROW()-6),"")</f>
        <v/>
      </c>
      <c r="D125" s="269"/>
      <c r="E125" s="269"/>
      <c r="F125" s="269"/>
      <c r="G125" s="269"/>
      <c r="H125" s="269"/>
      <c r="I125" s="269"/>
      <c r="J125" s="269"/>
      <c r="K125" s="269"/>
      <c r="L125" s="269"/>
      <c r="M125" s="269"/>
      <c r="N125" s="269"/>
      <c r="O125" s="269"/>
      <c r="P125" s="269"/>
      <c r="Q125" s="269"/>
      <c r="R125" s="269"/>
      <c r="S125" s="269"/>
      <c r="T125" s="269"/>
      <c r="U125" s="269"/>
      <c r="V125" s="269"/>
      <c r="W125" s="269"/>
      <c r="X125" s="269"/>
      <c r="Y125" s="269"/>
      <c r="Z125" s="269"/>
      <c r="AA125" s="269"/>
      <c r="AB125" s="269"/>
      <c r="AC125" s="269"/>
      <c r="AD125" s="269"/>
      <c r="AE125" s="269"/>
      <c r="AF125" s="269"/>
      <c r="AG125" s="269"/>
      <c r="AH125" s="271">
        <f t="shared" si="13"/>
        <v>0</v>
      </c>
      <c r="AI125" s="272">
        <f t="shared" si="7"/>
        <v>0</v>
      </c>
      <c r="AJ125" s="271">
        <f t="shared" si="8"/>
        <v>0</v>
      </c>
      <c r="AK125" s="271">
        <f t="shared" si="9"/>
        <v>0</v>
      </c>
      <c r="AL125" s="271">
        <f t="shared" si="10"/>
        <v>0</v>
      </c>
      <c r="AM125" s="271">
        <f t="shared" si="11"/>
        <v>0</v>
      </c>
      <c r="AN125" s="271">
        <f t="shared" si="12"/>
        <v>0</v>
      </c>
    </row>
    <row r="126" spans="2:40" ht="14.25">
      <c r="B126" s="420" t="str">
        <f>IF(INDEX(TabSeance[Date],ROW()-6)&lt;&gt;0,INDEX(TabSeance[Date],ROW()-6),"")</f>
        <v/>
      </c>
      <c r="C126" s="421" t="str">
        <f>IF(INDEX(TabSeance[Durée],ROW()-6)&lt;&gt;0,INDEX(TabSeance[Durée],ROW()-6),"")</f>
        <v/>
      </c>
      <c r="D126" s="269"/>
      <c r="E126" s="269"/>
      <c r="F126" s="269"/>
      <c r="G126" s="269"/>
      <c r="H126" s="269"/>
      <c r="I126" s="269"/>
      <c r="J126" s="269"/>
      <c r="K126" s="269"/>
      <c r="L126" s="269"/>
      <c r="M126" s="269"/>
      <c r="N126" s="269"/>
      <c r="O126" s="269"/>
      <c r="P126" s="269"/>
      <c r="Q126" s="269"/>
      <c r="R126" s="269"/>
      <c r="S126" s="269"/>
      <c r="T126" s="269"/>
      <c r="U126" s="269"/>
      <c r="V126" s="269"/>
      <c r="W126" s="269"/>
      <c r="X126" s="269"/>
      <c r="Y126" s="269"/>
      <c r="Z126" s="269"/>
      <c r="AA126" s="269"/>
      <c r="AB126" s="269"/>
      <c r="AC126" s="269"/>
      <c r="AD126" s="269"/>
      <c r="AE126" s="269"/>
      <c r="AF126" s="269"/>
      <c r="AG126" s="269"/>
      <c r="AH126" s="271">
        <f t="shared" si="13"/>
        <v>0</v>
      </c>
      <c r="AI126" s="272">
        <f t="shared" si="7"/>
        <v>0</v>
      </c>
      <c r="AJ126" s="271">
        <f t="shared" si="8"/>
        <v>0</v>
      </c>
      <c r="AK126" s="271">
        <f t="shared" si="9"/>
        <v>0</v>
      </c>
      <c r="AL126" s="271">
        <f t="shared" si="10"/>
        <v>0</v>
      </c>
      <c r="AM126" s="271">
        <f t="shared" si="11"/>
        <v>0</v>
      </c>
      <c r="AN126" s="271">
        <f t="shared" si="12"/>
        <v>0</v>
      </c>
    </row>
    <row r="127" spans="2:40" ht="14.25">
      <c r="B127" s="420" t="str">
        <f>IF(INDEX(TabSeance[Date],ROW()-6)&lt;&gt;0,INDEX(TabSeance[Date],ROW()-6),"")</f>
        <v/>
      </c>
      <c r="C127" s="421" t="str">
        <f>IF(INDEX(TabSeance[Durée],ROW()-6)&lt;&gt;0,INDEX(TabSeance[Durée],ROW()-6),"")</f>
        <v/>
      </c>
      <c r="D127" s="269"/>
      <c r="E127" s="269"/>
      <c r="F127" s="269"/>
      <c r="G127" s="269"/>
      <c r="H127" s="269"/>
      <c r="I127" s="269"/>
      <c r="J127" s="269"/>
      <c r="K127" s="269"/>
      <c r="L127" s="269"/>
      <c r="M127" s="269"/>
      <c r="N127" s="269"/>
      <c r="O127" s="269"/>
      <c r="P127" s="269"/>
      <c r="Q127" s="269"/>
      <c r="R127" s="269"/>
      <c r="S127" s="269"/>
      <c r="T127" s="269"/>
      <c r="U127" s="269"/>
      <c r="V127" s="269"/>
      <c r="W127" s="269"/>
      <c r="X127" s="269"/>
      <c r="Y127" s="269"/>
      <c r="Z127" s="269"/>
      <c r="AA127" s="269"/>
      <c r="AB127" s="269"/>
      <c r="AC127" s="269"/>
      <c r="AD127" s="269"/>
      <c r="AE127" s="269"/>
      <c r="AF127" s="269"/>
      <c r="AG127" s="269"/>
      <c r="AH127" s="271">
        <f t="shared" si="13"/>
        <v>0</v>
      </c>
      <c r="AI127" s="272">
        <f t="shared" si="7"/>
        <v>0</v>
      </c>
      <c r="AJ127" s="271">
        <f t="shared" si="8"/>
        <v>0</v>
      </c>
      <c r="AK127" s="271">
        <f t="shared" si="9"/>
        <v>0</v>
      </c>
      <c r="AL127" s="271">
        <f t="shared" si="10"/>
        <v>0</v>
      </c>
      <c r="AM127" s="271">
        <f t="shared" si="11"/>
        <v>0</v>
      </c>
      <c r="AN127" s="271">
        <f t="shared" si="12"/>
        <v>0</v>
      </c>
    </row>
    <row r="128" spans="2:40" ht="14.25">
      <c r="B128" s="420" t="str">
        <f>IF(INDEX(TabSeance[Date],ROW()-6)&lt;&gt;0,INDEX(TabSeance[Date],ROW()-6),"")</f>
        <v/>
      </c>
      <c r="C128" s="421" t="str">
        <f>IF(INDEX(TabSeance[Durée],ROW()-6)&lt;&gt;0,INDEX(TabSeance[Durée],ROW()-6),"")</f>
        <v/>
      </c>
      <c r="D128" s="269"/>
      <c r="E128" s="269"/>
      <c r="F128" s="269"/>
      <c r="G128" s="269"/>
      <c r="H128" s="269"/>
      <c r="I128" s="269"/>
      <c r="J128" s="269"/>
      <c r="K128" s="269"/>
      <c r="L128" s="269"/>
      <c r="M128" s="269"/>
      <c r="N128" s="269"/>
      <c r="O128" s="269"/>
      <c r="P128" s="269"/>
      <c r="Q128" s="269"/>
      <c r="R128" s="269"/>
      <c r="S128" s="269"/>
      <c r="T128" s="269"/>
      <c r="U128" s="269"/>
      <c r="V128" s="269"/>
      <c r="W128" s="269"/>
      <c r="X128" s="269"/>
      <c r="Y128" s="269"/>
      <c r="Z128" s="269"/>
      <c r="AA128" s="269"/>
      <c r="AB128" s="269"/>
      <c r="AC128" s="269"/>
      <c r="AD128" s="269"/>
      <c r="AE128" s="269"/>
      <c r="AF128" s="269"/>
      <c r="AG128" s="269"/>
      <c r="AH128" s="271">
        <f t="shared" si="13"/>
        <v>0</v>
      </c>
      <c r="AI128" s="272">
        <f t="shared" si="7"/>
        <v>0</v>
      </c>
      <c r="AJ128" s="271">
        <f t="shared" si="8"/>
        <v>0</v>
      </c>
      <c r="AK128" s="271">
        <f t="shared" si="9"/>
        <v>0</v>
      </c>
      <c r="AL128" s="271">
        <f t="shared" si="10"/>
        <v>0</v>
      </c>
      <c r="AM128" s="271">
        <f t="shared" si="11"/>
        <v>0</v>
      </c>
      <c r="AN128" s="271">
        <f t="shared" si="12"/>
        <v>0</v>
      </c>
    </row>
    <row r="129" spans="2:40" ht="14.25">
      <c r="B129" s="420" t="str">
        <f>IF(INDEX(TabSeance[Date],ROW()-6)&lt;&gt;0,INDEX(TabSeance[Date],ROW()-6),"")</f>
        <v/>
      </c>
      <c r="C129" s="421" t="str">
        <f>IF(INDEX(TabSeance[Durée],ROW()-6)&lt;&gt;0,INDEX(TabSeance[Durée],ROW()-6),"")</f>
        <v/>
      </c>
      <c r="D129" s="269"/>
      <c r="E129" s="269"/>
      <c r="F129" s="269"/>
      <c r="G129" s="269"/>
      <c r="H129" s="269"/>
      <c r="I129" s="269"/>
      <c r="J129" s="269"/>
      <c r="K129" s="269"/>
      <c r="L129" s="269"/>
      <c r="M129" s="269"/>
      <c r="N129" s="269"/>
      <c r="O129" s="269"/>
      <c r="P129" s="269"/>
      <c r="Q129" s="269"/>
      <c r="R129" s="269"/>
      <c r="S129" s="269"/>
      <c r="T129" s="269"/>
      <c r="U129" s="269"/>
      <c r="V129" s="269"/>
      <c r="W129" s="269"/>
      <c r="X129" s="269"/>
      <c r="Y129" s="269"/>
      <c r="Z129" s="269"/>
      <c r="AA129" s="269"/>
      <c r="AB129" s="269"/>
      <c r="AC129" s="269"/>
      <c r="AD129" s="269"/>
      <c r="AE129" s="269"/>
      <c r="AF129" s="269"/>
      <c r="AG129" s="269"/>
      <c r="AH129" s="271">
        <f t="shared" si="13"/>
        <v>0</v>
      </c>
      <c r="AI129" s="272">
        <f t="shared" si="7"/>
        <v>0</v>
      </c>
      <c r="AJ129" s="271">
        <f t="shared" si="8"/>
        <v>0</v>
      </c>
      <c r="AK129" s="271">
        <f t="shared" si="9"/>
        <v>0</v>
      </c>
      <c r="AL129" s="271">
        <f t="shared" si="10"/>
        <v>0</v>
      </c>
      <c r="AM129" s="271">
        <f t="shared" si="11"/>
        <v>0</v>
      </c>
      <c r="AN129" s="271">
        <f t="shared" si="12"/>
        <v>0</v>
      </c>
    </row>
    <row r="130" spans="2:40" ht="14.25">
      <c r="B130" s="420" t="str">
        <f>IF(INDEX(TabSeance[Date],ROW()-6)&lt;&gt;0,INDEX(TabSeance[Date],ROW()-6),"")</f>
        <v/>
      </c>
      <c r="C130" s="421" t="str">
        <f>IF(INDEX(TabSeance[Durée],ROW()-6)&lt;&gt;0,INDEX(TabSeance[Durée],ROW()-6),"")</f>
        <v/>
      </c>
      <c r="D130" s="269"/>
      <c r="E130" s="269"/>
      <c r="F130" s="269"/>
      <c r="G130" s="269"/>
      <c r="H130" s="269"/>
      <c r="I130" s="269"/>
      <c r="J130" s="269"/>
      <c r="K130" s="269"/>
      <c r="L130" s="269"/>
      <c r="M130" s="269"/>
      <c r="N130" s="269"/>
      <c r="O130" s="269"/>
      <c r="P130" s="269"/>
      <c r="Q130" s="269"/>
      <c r="R130" s="269"/>
      <c r="S130" s="269"/>
      <c r="T130" s="269"/>
      <c r="U130" s="269"/>
      <c r="V130" s="269"/>
      <c r="W130" s="269"/>
      <c r="X130" s="269"/>
      <c r="Y130" s="269"/>
      <c r="Z130" s="269"/>
      <c r="AA130" s="269"/>
      <c r="AB130" s="269"/>
      <c r="AC130" s="269"/>
      <c r="AD130" s="269"/>
      <c r="AE130" s="269"/>
      <c r="AF130" s="269"/>
      <c r="AG130" s="269"/>
      <c r="AH130" s="271">
        <f t="shared" si="13"/>
        <v>0</v>
      </c>
      <c r="AI130" s="272">
        <f t="shared" si="7"/>
        <v>0</v>
      </c>
      <c r="AJ130" s="271">
        <f t="shared" si="8"/>
        <v>0</v>
      </c>
      <c r="AK130" s="271">
        <f t="shared" si="9"/>
        <v>0</v>
      </c>
      <c r="AL130" s="271">
        <f t="shared" si="10"/>
        <v>0</v>
      </c>
      <c r="AM130" s="271">
        <f t="shared" si="11"/>
        <v>0</v>
      </c>
      <c r="AN130" s="271">
        <f t="shared" si="12"/>
        <v>0</v>
      </c>
    </row>
    <row r="131" spans="2:40" ht="14.25">
      <c r="B131" s="420" t="str">
        <f>IF(INDEX(TabSeance[Date],ROW()-6)&lt;&gt;0,INDEX(TabSeance[Date],ROW()-6),"")</f>
        <v/>
      </c>
      <c r="C131" s="421" t="str">
        <f>IF(INDEX(TabSeance[Durée],ROW()-6)&lt;&gt;0,INDEX(TabSeance[Durée],ROW()-6),"")</f>
        <v/>
      </c>
      <c r="D131" s="269"/>
      <c r="E131" s="269"/>
      <c r="F131" s="269"/>
      <c r="G131" s="269"/>
      <c r="H131" s="269"/>
      <c r="I131" s="269"/>
      <c r="J131" s="269"/>
      <c r="K131" s="269"/>
      <c r="L131" s="269"/>
      <c r="M131" s="269"/>
      <c r="N131" s="269"/>
      <c r="O131" s="269"/>
      <c r="P131" s="269"/>
      <c r="Q131" s="269"/>
      <c r="R131" s="269"/>
      <c r="S131" s="269"/>
      <c r="T131" s="269"/>
      <c r="U131" s="269"/>
      <c r="V131" s="269"/>
      <c r="W131" s="269"/>
      <c r="X131" s="269"/>
      <c r="Y131" s="269"/>
      <c r="Z131" s="269"/>
      <c r="AA131" s="269"/>
      <c r="AB131" s="269"/>
      <c r="AC131" s="269"/>
      <c r="AD131" s="269"/>
      <c r="AE131" s="269"/>
      <c r="AF131" s="269"/>
      <c r="AG131" s="269"/>
      <c r="AH131" s="271">
        <f t="shared" si="13"/>
        <v>0</v>
      </c>
      <c r="AI131" s="272">
        <f t="shared" si="7"/>
        <v>0</v>
      </c>
      <c r="AJ131" s="271">
        <f t="shared" si="8"/>
        <v>0</v>
      </c>
      <c r="AK131" s="271">
        <f t="shared" si="9"/>
        <v>0</v>
      </c>
      <c r="AL131" s="271">
        <f t="shared" si="10"/>
        <v>0</v>
      </c>
      <c r="AM131" s="271">
        <f t="shared" si="11"/>
        <v>0</v>
      </c>
      <c r="AN131" s="271">
        <f t="shared" si="12"/>
        <v>0</v>
      </c>
    </row>
    <row r="132" spans="2:40" ht="14.25">
      <c r="B132" s="420" t="str">
        <f>IF(INDEX(TabSeance[Date],ROW()-6)&lt;&gt;0,INDEX(TabSeance[Date],ROW()-6),"")</f>
        <v/>
      </c>
      <c r="C132" s="421" t="str">
        <f>IF(INDEX(TabSeance[Durée],ROW()-6)&lt;&gt;0,INDEX(TabSeance[Durée],ROW()-6),"")</f>
        <v/>
      </c>
      <c r="D132" s="269"/>
      <c r="E132" s="269"/>
      <c r="F132" s="269"/>
      <c r="G132" s="269"/>
      <c r="H132" s="269"/>
      <c r="I132" s="269"/>
      <c r="J132" s="269"/>
      <c r="K132" s="269"/>
      <c r="L132" s="269"/>
      <c r="M132" s="269"/>
      <c r="N132" s="269"/>
      <c r="O132" s="269"/>
      <c r="P132" s="269"/>
      <c r="Q132" s="269"/>
      <c r="R132" s="269"/>
      <c r="S132" s="269"/>
      <c r="T132" s="269"/>
      <c r="U132" s="269"/>
      <c r="V132" s="269"/>
      <c r="W132" s="269"/>
      <c r="X132" s="269"/>
      <c r="Y132" s="269"/>
      <c r="Z132" s="269"/>
      <c r="AA132" s="269"/>
      <c r="AB132" s="269"/>
      <c r="AC132" s="269"/>
      <c r="AD132" s="269"/>
      <c r="AE132" s="269"/>
      <c r="AF132" s="269"/>
      <c r="AG132" s="269"/>
      <c r="AH132" s="271">
        <f t="shared" si="13"/>
        <v>0</v>
      </c>
      <c r="AI132" s="272">
        <f t="shared" si="7"/>
        <v>0</v>
      </c>
      <c r="AJ132" s="271">
        <f t="shared" si="8"/>
        <v>0</v>
      </c>
      <c r="AK132" s="271">
        <f t="shared" si="9"/>
        <v>0</v>
      </c>
      <c r="AL132" s="271">
        <f t="shared" si="10"/>
        <v>0</v>
      </c>
      <c r="AM132" s="271">
        <f t="shared" si="11"/>
        <v>0</v>
      </c>
      <c r="AN132" s="271">
        <f t="shared" si="12"/>
        <v>0</v>
      </c>
    </row>
    <row r="133" spans="2:40" ht="14.25">
      <c r="B133" s="420" t="str">
        <f>IF(INDEX(TabSeance[Date],ROW()-6)&lt;&gt;0,INDEX(TabSeance[Date],ROW()-6),"")</f>
        <v/>
      </c>
      <c r="C133" s="421" t="str">
        <f>IF(INDEX(TabSeance[Durée],ROW()-6)&lt;&gt;0,INDEX(TabSeance[Durée],ROW()-6),"")</f>
        <v/>
      </c>
      <c r="D133" s="269"/>
      <c r="E133" s="269"/>
      <c r="F133" s="269"/>
      <c r="G133" s="269"/>
      <c r="H133" s="269"/>
      <c r="I133" s="269"/>
      <c r="J133" s="269"/>
      <c r="K133" s="269"/>
      <c r="L133" s="269"/>
      <c r="M133" s="269"/>
      <c r="N133" s="269"/>
      <c r="O133" s="269"/>
      <c r="P133" s="269"/>
      <c r="Q133" s="269"/>
      <c r="R133" s="269"/>
      <c r="S133" s="269"/>
      <c r="T133" s="269"/>
      <c r="U133" s="269"/>
      <c r="V133" s="269"/>
      <c r="W133" s="269"/>
      <c r="X133" s="269"/>
      <c r="Y133" s="269"/>
      <c r="Z133" s="269"/>
      <c r="AA133" s="269"/>
      <c r="AB133" s="269"/>
      <c r="AC133" s="269"/>
      <c r="AD133" s="269"/>
      <c r="AE133" s="269"/>
      <c r="AF133" s="269"/>
      <c r="AG133" s="269"/>
      <c r="AH133" s="271">
        <f t="shared" si="13"/>
        <v>0</v>
      </c>
      <c r="AI133" s="272">
        <f t="shared" si="7"/>
        <v>0</v>
      </c>
      <c r="AJ133" s="271">
        <f t="shared" si="8"/>
        <v>0</v>
      </c>
      <c r="AK133" s="271">
        <f t="shared" si="9"/>
        <v>0</v>
      </c>
      <c r="AL133" s="271">
        <f t="shared" si="10"/>
        <v>0</v>
      </c>
      <c r="AM133" s="271">
        <f t="shared" si="11"/>
        <v>0</v>
      </c>
      <c r="AN133" s="271">
        <f t="shared" si="12"/>
        <v>0</v>
      </c>
    </row>
    <row r="134" spans="2:40" ht="14.25">
      <c r="B134" s="420" t="str">
        <f>IF(INDEX(TabSeance[Date],ROW()-6)&lt;&gt;0,INDEX(TabSeance[Date],ROW()-6),"")</f>
        <v/>
      </c>
      <c r="C134" s="421" t="str">
        <f>IF(INDEX(TabSeance[Durée],ROW()-6)&lt;&gt;0,INDEX(TabSeance[Durée],ROW()-6),"")</f>
        <v/>
      </c>
      <c r="D134" s="269"/>
      <c r="E134" s="269"/>
      <c r="F134" s="269"/>
      <c r="G134" s="269"/>
      <c r="H134" s="269"/>
      <c r="I134" s="269"/>
      <c r="J134" s="269"/>
      <c r="K134" s="269"/>
      <c r="L134" s="269"/>
      <c r="M134" s="269"/>
      <c r="N134" s="269"/>
      <c r="O134" s="269"/>
      <c r="P134" s="269"/>
      <c r="Q134" s="269"/>
      <c r="R134" s="269"/>
      <c r="S134" s="269"/>
      <c r="T134" s="269"/>
      <c r="U134" s="269"/>
      <c r="V134" s="269"/>
      <c r="W134" s="269"/>
      <c r="X134" s="269"/>
      <c r="Y134" s="269"/>
      <c r="Z134" s="269"/>
      <c r="AA134" s="269"/>
      <c r="AB134" s="269"/>
      <c r="AC134" s="269"/>
      <c r="AD134" s="269"/>
      <c r="AE134" s="269"/>
      <c r="AF134" s="269"/>
      <c r="AG134" s="269"/>
      <c r="AH134" s="271">
        <f t="shared" si="13"/>
        <v>0</v>
      </c>
      <c r="AI134" s="272">
        <f t="shared" si="7"/>
        <v>0</v>
      </c>
      <c r="AJ134" s="271">
        <f t="shared" si="8"/>
        <v>0</v>
      </c>
      <c r="AK134" s="271">
        <f t="shared" si="9"/>
        <v>0</v>
      </c>
      <c r="AL134" s="271">
        <f t="shared" si="10"/>
        <v>0</v>
      </c>
      <c r="AM134" s="271">
        <f t="shared" si="11"/>
        <v>0</v>
      </c>
      <c r="AN134" s="271">
        <f t="shared" si="12"/>
        <v>0</v>
      </c>
    </row>
    <row r="135" spans="2:40" ht="14.25">
      <c r="B135" s="420" t="str">
        <f>IF(INDEX(TabSeance[Date],ROW()-6)&lt;&gt;0,INDEX(TabSeance[Date],ROW()-6),"")</f>
        <v/>
      </c>
      <c r="C135" s="421" t="str">
        <f>IF(INDEX(TabSeance[Durée],ROW()-6)&lt;&gt;0,INDEX(TabSeance[Durée],ROW()-6),"")</f>
        <v/>
      </c>
      <c r="D135" s="269"/>
      <c r="E135" s="269"/>
      <c r="F135" s="269"/>
      <c r="G135" s="269"/>
      <c r="H135" s="269"/>
      <c r="I135" s="269"/>
      <c r="J135" s="269"/>
      <c r="K135" s="269"/>
      <c r="L135" s="269"/>
      <c r="M135" s="269"/>
      <c r="N135" s="269"/>
      <c r="O135" s="269"/>
      <c r="P135" s="269"/>
      <c r="Q135" s="269"/>
      <c r="R135" s="269"/>
      <c r="S135" s="269"/>
      <c r="T135" s="269"/>
      <c r="U135" s="269"/>
      <c r="V135" s="269"/>
      <c r="W135" s="269"/>
      <c r="X135" s="269"/>
      <c r="Y135" s="269"/>
      <c r="Z135" s="269"/>
      <c r="AA135" s="269"/>
      <c r="AB135" s="269"/>
      <c r="AC135" s="269"/>
      <c r="AD135" s="269"/>
      <c r="AE135" s="269"/>
      <c r="AF135" s="269"/>
      <c r="AG135" s="269"/>
      <c r="AH135" s="271">
        <f t="shared" si="13"/>
        <v>0</v>
      </c>
      <c r="AI135" s="272">
        <f t="shared" si="7"/>
        <v>0</v>
      </c>
      <c r="AJ135" s="271">
        <f t="shared" si="8"/>
        <v>0</v>
      </c>
      <c r="AK135" s="271">
        <f t="shared" si="9"/>
        <v>0</v>
      </c>
      <c r="AL135" s="271">
        <f t="shared" si="10"/>
        <v>0</v>
      </c>
      <c r="AM135" s="271">
        <f t="shared" si="11"/>
        <v>0</v>
      </c>
      <c r="AN135" s="271">
        <f t="shared" si="12"/>
        <v>0</v>
      </c>
    </row>
    <row r="136" spans="2:40" ht="14.25">
      <c r="B136" s="420" t="str">
        <f>IF(INDEX(TabSeance[Date],ROW()-6)&lt;&gt;0,INDEX(TabSeance[Date],ROW()-6),"")</f>
        <v/>
      </c>
      <c r="C136" s="421" t="str">
        <f>IF(INDEX(TabSeance[Durée],ROW()-6)&lt;&gt;0,INDEX(TabSeance[Durée],ROW()-6),"")</f>
        <v/>
      </c>
      <c r="D136" s="269"/>
      <c r="E136" s="269"/>
      <c r="F136" s="269"/>
      <c r="G136" s="269"/>
      <c r="H136" s="269"/>
      <c r="I136" s="269"/>
      <c r="J136" s="269"/>
      <c r="K136" s="269"/>
      <c r="L136" s="269"/>
      <c r="M136" s="269"/>
      <c r="N136" s="269"/>
      <c r="O136" s="269"/>
      <c r="P136" s="269"/>
      <c r="Q136" s="269"/>
      <c r="R136" s="269"/>
      <c r="S136" s="269"/>
      <c r="T136" s="269"/>
      <c r="U136" s="269"/>
      <c r="V136" s="269"/>
      <c r="W136" s="269"/>
      <c r="X136" s="269"/>
      <c r="Y136" s="269"/>
      <c r="Z136" s="269"/>
      <c r="AA136" s="269"/>
      <c r="AB136" s="269"/>
      <c r="AC136" s="269"/>
      <c r="AD136" s="269"/>
      <c r="AE136" s="269"/>
      <c r="AF136" s="269"/>
      <c r="AG136" s="269"/>
      <c r="AH136" s="271">
        <f t="shared" si="13"/>
        <v>0</v>
      </c>
      <c r="AI136" s="272">
        <f t="shared" ref="AI136:AI137" si="14">COUNTIF(D136:AG136,"Blessé")</f>
        <v>0</v>
      </c>
      <c r="AJ136" s="271">
        <f t="shared" ref="AJ136:AJ137" si="15">COUNTIF(D136:AG136,"Malade")</f>
        <v>0</v>
      </c>
      <c r="AK136" s="271">
        <f t="shared" ref="AK136:AK137" si="16">COUNTIF(D136:AG136,"Repos")</f>
        <v>0</v>
      </c>
      <c r="AL136" s="271">
        <f t="shared" ref="AL136:AL137" si="17">COUNTIF(D136:AG136,"Vacances")</f>
        <v>0</v>
      </c>
      <c r="AM136" s="271">
        <f t="shared" ref="AM136:AM137" si="18">COUNTIF(I136:AL136,"Absent")</f>
        <v>0</v>
      </c>
      <c r="AN136" s="271">
        <f t="shared" ref="AN136:AN137" si="19">COUNTIF(D136:AG136,"Excusé")</f>
        <v>0</v>
      </c>
    </row>
    <row r="137" spans="2:40" ht="14.25">
      <c r="B137" s="420" t="str">
        <f>IF(INDEX(TabSeance[Date],ROW()-6)&lt;&gt;0,INDEX(TabSeance[Date],ROW()-6),"")</f>
        <v/>
      </c>
      <c r="C137" s="421" t="str">
        <f>IF(INDEX(TabSeance[Durée],ROW()-6)&lt;&gt;0,INDEX(TabSeance[Durée],ROW()-6),"")</f>
        <v/>
      </c>
      <c r="D137" s="269"/>
      <c r="E137" s="269"/>
      <c r="F137" s="269"/>
      <c r="G137" s="269"/>
      <c r="H137" s="269"/>
      <c r="I137" s="269"/>
      <c r="J137" s="269"/>
      <c r="K137" s="269"/>
      <c r="L137" s="269"/>
      <c r="M137" s="269"/>
      <c r="N137" s="269"/>
      <c r="O137" s="269"/>
      <c r="P137" s="269"/>
      <c r="Q137" s="269"/>
      <c r="R137" s="269"/>
      <c r="S137" s="269"/>
      <c r="T137" s="269"/>
      <c r="U137" s="269"/>
      <c r="V137" s="269"/>
      <c r="W137" s="269"/>
      <c r="X137" s="269"/>
      <c r="Y137" s="269"/>
      <c r="Z137" s="269"/>
      <c r="AA137" s="269"/>
      <c r="AB137" s="269"/>
      <c r="AC137" s="269"/>
      <c r="AD137" s="269"/>
      <c r="AE137" s="269"/>
      <c r="AF137" s="269"/>
      <c r="AG137" s="269"/>
      <c r="AH137" s="271">
        <f t="shared" ref="AH137" si="20">COUNTIF(D137:AG137,"Présent")</f>
        <v>0</v>
      </c>
      <c r="AI137" s="272">
        <f t="shared" si="14"/>
        <v>0</v>
      </c>
      <c r="AJ137" s="271">
        <f t="shared" si="15"/>
        <v>0</v>
      </c>
      <c r="AK137" s="271">
        <f t="shared" si="16"/>
        <v>0</v>
      </c>
      <c r="AL137" s="271">
        <f t="shared" si="17"/>
        <v>0</v>
      </c>
      <c r="AM137" s="271">
        <f t="shared" si="18"/>
        <v>0</v>
      </c>
      <c r="AN137" s="271">
        <f t="shared" si="19"/>
        <v>0</v>
      </c>
    </row>
    <row r="138" spans="2:40" ht="13.5">
      <c r="B138" s="12" t="s">
        <v>0</v>
      </c>
      <c r="C138" s="31"/>
      <c r="D138" s="13">
        <f>COUNTIF(TabEntrainement[J1],"Présent")</f>
        <v>24</v>
      </c>
      <c r="E138" s="13"/>
      <c r="F138" s="13"/>
      <c r="G138" s="13"/>
      <c r="H138" s="13"/>
      <c r="I138" s="13"/>
      <c r="J138" s="13"/>
      <c r="K138" s="13"/>
      <c r="L138" s="13"/>
      <c r="M138" s="13"/>
      <c r="N138" s="13"/>
      <c r="O138" s="13"/>
      <c r="P138" s="394"/>
      <c r="Q138" s="13"/>
      <c r="R138" s="394"/>
      <c r="S138" s="13"/>
      <c r="T138" s="13"/>
      <c r="U138" s="13"/>
      <c r="V138" s="13"/>
      <c r="W138" s="13"/>
      <c r="X138" s="13"/>
      <c r="Y138" s="13"/>
      <c r="Z138" s="13"/>
      <c r="AA138" s="13"/>
      <c r="AB138" s="13"/>
      <c r="AC138" s="13"/>
      <c r="AD138" s="13"/>
      <c r="AE138" s="13"/>
      <c r="AF138" s="13"/>
      <c r="AG138" s="13"/>
    </row>
    <row r="139" spans="2:40" ht="14.25">
      <c r="B139" s="273"/>
      <c r="C139" s="274"/>
      <c r="D139" s="274"/>
      <c r="E139" s="274"/>
      <c r="F139" s="274"/>
      <c r="G139" s="274"/>
      <c r="H139" s="274"/>
      <c r="I139" s="274"/>
      <c r="J139" s="274"/>
      <c r="K139" s="274"/>
      <c r="L139" s="274"/>
      <c r="M139" s="274"/>
      <c r="N139" s="274"/>
      <c r="O139" s="274"/>
      <c r="P139" s="274"/>
      <c r="Q139" s="274"/>
      <c r="R139" s="274"/>
      <c r="S139" s="274"/>
      <c r="T139" s="274"/>
      <c r="U139" s="274"/>
      <c r="V139" s="274"/>
      <c r="W139" s="274"/>
      <c r="X139" s="274"/>
      <c r="Y139" s="274"/>
      <c r="Z139" s="274"/>
      <c r="AA139" s="274"/>
      <c r="AB139" s="274"/>
      <c r="AC139" s="274"/>
      <c r="AD139" s="274"/>
      <c r="AE139" s="274"/>
      <c r="AF139" s="274"/>
      <c r="AG139" s="274"/>
      <c r="AH139" s="275"/>
      <c r="AI139" s="276"/>
      <c r="AJ139" s="276"/>
      <c r="AK139" s="277"/>
    </row>
    <row r="140" spans="2:40" ht="14.25">
      <c r="B140" s="273"/>
      <c r="C140" s="274"/>
      <c r="D140" s="274"/>
      <c r="E140" s="274"/>
      <c r="F140" s="274"/>
      <c r="G140" s="274"/>
      <c r="H140" s="274"/>
      <c r="I140" s="274"/>
      <c r="J140" s="274"/>
      <c r="K140" s="274"/>
      <c r="L140" s="274"/>
      <c r="M140" s="274"/>
      <c r="N140" s="274"/>
      <c r="O140" s="274"/>
      <c r="P140" s="274"/>
      <c r="Q140" s="274"/>
      <c r="R140" s="274"/>
      <c r="S140" s="274"/>
      <c r="T140" s="274"/>
      <c r="U140" s="274"/>
      <c r="V140" s="274"/>
      <c r="W140" s="274"/>
      <c r="X140" s="274"/>
      <c r="Y140" s="274"/>
      <c r="Z140" s="274"/>
      <c r="AA140" s="274"/>
      <c r="AB140" s="274"/>
      <c r="AC140" s="274"/>
      <c r="AD140" s="274"/>
      <c r="AE140" s="274"/>
      <c r="AF140" s="274"/>
      <c r="AG140" s="274"/>
      <c r="AH140" s="275"/>
      <c r="AI140" s="276"/>
      <c r="AJ140" s="276"/>
      <c r="AK140" s="277"/>
    </row>
    <row r="141" spans="2:40" ht="14.25">
      <c r="F141" s="400"/>
      <c r="AG141" s="278"/>
      <c r="AH141" s="275"/>
      <c r="AI141" s="279"/>
      <c r="AJ141" s="279"/>
      <c r="AK141" s="280"/>
    </row>
    <row r="142" spans="2:40" ht="12.75">
      <c r="B142" s="94"/>
      <c r="C142" s="94"/>
      <c r="F142" s="400"/>
    </row>
    <row r="143" spans="2:40" ht="12.75">
      <c r="B143" s="94"/>
      <c r="E143" s="94"/>
      <c r="F143" s="94"/>
    </row>
    <row r="144" spans="2:40" ht="12.75">
      <c r="E144" s="396"/>
    </row>
    <row r="145" spans="4:5" ht="12.75">
      <c r="D145" s="94"/>
    </row>
    <row r="146" spans="4:5" ht="12.75"/>
    <row r="147" spans="4:5" ht="12.75">
      <c r="E147" s="94"/>
    </row>
    <row r="148" spans="4:5" ht="12.75"/>
    <row r="149" spans="4:5" ht="12.75"/>
    <row r="150" spans="4:5" ht="12.75">
      <c r="D150" s="94"/>
    </row>
    <row r="151" spans="4:5" ht="12.75"/>
    <row r="152" spans="4:5" ht="12.75"/>
    <row r="153" spans="4:5" ht="12.75"/>
    <row r="154" spans="4:5" ht="12.75"/>
    <row r="155" spans="4:5" ht="12.75"/>
    <row r="156" spans="4:5" ht="12.75"/>
    <row r="157" spans="4:5" ht="12.75"/>
    <row r="158" spans="4:5" ht="12.75"/>
    <row r="159" spans="4:5" ht="12.75"/>
    <row r="160" spans="4:5" ht="12.75"/>
    <row r="161" ht="12.75"/>
    <row r="162" ht="12.75"/>
    <row r="163" ht="12.75"/>
    <row r="164" ht="12.75"/>
    <row r="165" ht="12.75"/>
    <row r="166" ht="12.75"/>
    <row r="167" ht="12.75"/>
    <row r="168" ht="12.75"/>
    <row r="169" ht="12.75"/>
    <row r="170" ht="12.75"/>
    <row r="171" ht="12.75"/>
    <row r="172" ht="12.75"/>
    <row r="173" ht="12.75"/>
    <row r="174" ht="12.75"/>
    <row r="175" ht="12.75"/>
    <row r="176" ht="12.75"/>
    <row r="177" ht="12.75"/>
    <row r="178" ht="12.75"/>
    <row r="179" ht="12.75"/>
    <row r="180" ht="12.75"/>
    <row r="181" ht="12.75"/>
    <row r="182" ht="12.75"/>
    <row r="183" ht="12.75"/>
    <row r="184" ht="12.75"/>
    <row r="185" ht="12.75"/>
    <row r="186" ht="12.75"/>
    <row r="187" ht="12.75"/>
    <row r="188" ht="12.75"/>
    <row r="189" ht="12.75"/>
    <row r="190" ht="12.75"/>
    <row r="191" ht="12.75"/>
    <row r="192" ht="12.75"/>
    <row r="193" ht="12.75"/>
    <row r="194" ht="12.75"/>
    <row r="195" ht="12.75"/>
    <row r="196" ht="12.75"/>
    <row r="197" ht="12.75"/>
    <row r="198" ht="12.75"/>
    <row r="199" ht="12.75"/>
    <row r="200" ht="12.75"/>
    <row r="201" ht="12.75"/>
    <row r="202" ht="12.75"/>
    <row r="203" ht="12.75"/>
    <row r="204" ht="12.75"/>
    <row r="205" ht="12.75"/>
    <row r="206" ht="12.75"/>
    <row r="207" ht="12.75"/>
    <row r="208" ht="12.75"/>
    <row r="209" ht="12.75"/>
    <row r="210" ht="12.75"/>
    <row r="211" ht="12.75"/>
    <row r="212" ht="12.75"/>
    <row r="213" ht="12.75"/>
    <row r="214" ht="12.75"/>
    <row r="215" ht="12.75"/>
    <row r="216" ht="12.75"/>
    <row r="217" ht="12.75"/>
    <row r="218" ht="12.75"/>
    <row r="219" ht="12.75"/>
    <row r="220" ht="12.75"/>
    <row r="221" ht="12.75"/>
    <row r="222" ht="12.75"/>
    <row r="223" ht="12.75"/>
    <row r="224" ht="12.75"/>
    <row r="225" ht="12.75"/>
    <row r="226" ht="12.75"/>
    <row r="227" ht="12.75"/>
    <row r="228" ht="12.75"/>
    <row r="229" ht="12.75"/>
    <row r="230" ht="12.75"/>
    <row r="231" ht="12.75"/>
    <row r="232" ht="12.75"/>
    <row r="233" ht="12.75"/>
    <row r="234" ht="12.75"/>
    <row r="235" ht="12.75"/>
    <row r="236" ht="12.75"/>
    <row r="237" ht="12.75"/>
    <row r="238" ht="12.75"/>
    <row r="239" ht="12.75"/>
    <row r="240" ht="12.75"/>
    <row r="241" ht="12.75"/>
    <row r="242" ht="12.75"/>
    <row r="243" ht="12.75"/>
    <row r="244" ht="12.75"/>
    <row r="245" ht="12.75"/>
    <row r="246" ht="12.75"/>
    <row r="247" ht="12.75"/>
    <row r="248" ht="12.75"/>
    <row r="249" ht="12.75"/>
    <row r="250" ht="12.75"/>
    <row r="251" ht="12.75"/>
    <row r="252" ht="12.75"/>
    <row r="253" ht="12.75"/>
    <row r="254" ht="12.75"/>
    <row r="255" ht="12.75"/>
    <row r="256" ht="12.75"/>
    <row r="257" ht="12.75"/>
    <row r="258" ht="12.75"/>
    <row r="259" ht="12.75"/>
    <row r="260" ht="12.75"/>
    <row r="261" ht="12.75"/>
    <row r="262" ht="12.75"/>
    <row r="263" ht="12.75"/>
  </sheetData>
  <sheetProtection sort="0" autoFilter="0"/>
  <phoneticPr fontId="24" type="noConversion"/>
  <dataValidations count="1">
    <dataValidation type="date" allowBlank="1" showInputMessage="1" showErrorMessage="1" sqref="B7:B137" xr:uid="{00000000-0002-0000-0100-000000000000}">
      <formula1>36526</formula1>
      <formula2>1497861</formula2>
    </dataValidation>
  </dataValidations>
  <pageMargins left="0.7" right="0.7" top="0.75" bottom="0.75" header="0.3" footer="0.3"/>
  <pageSetup paperSize="9" orientation="landscape" verticalDpi="0" r:id="rId1"/>
  <rowBreaks count="1" manualBreakCount="1">
    <brk id="4" max="16383" man="1"/>
  </rowBreaks>
  <ignoredErrors>
    <ignoredError sqref="P7:S25 AA7:AG137 P31:S137 P26:S26 P27:S27 P28:S28 P29:S29 P30:S30" calculatedColumn="1"/>
    <ignoredError sqref="B28:B137 C28:C137" listDataValidation="1"/>
  </ignoredErrors>
  <drawing r:id="rId2"/>
  <legacyDrawing r:id="rId3"/>
  <mc:AlternateContent xmlns:mc="http://schemas.openxmlformats.org/markup-compatibility/2006">
    <mc:Choice Requires="x14">
      <controls>
        <mc:AlternateContent xmlns:mc="http://schemas.openxmlformats.org/markup-compatibility/2006">
          <mc:Choice Requires="x14">
            <control shapeId="2051" r:id="rId4" name="Button 3">
              <controlPr defaultSize="0" print="0" autoFill="0" autoPict="0" macro="[0]!CloseOnglet">
                <anchor moveWithCells="1" sizeWithCells="1">
                  <from>
                    <xdr:col>21</xdr:col>
                    <xdr:colOff>342900</xdr:colOff>
                    <xdr:row>1</xdr:row>
                    <xdr:rowOff>38100</xdr:rowOff>
                  </from>
                  <to>
                    <xdr:col>24</xdr:col>
                    <xdr:colOff>0</xdr:colOff>
                    <xdr:row>2</xdr:row>
                    <xdr:rowOff>28575</xdr:rowOff>
                  </to>
                </anchor>
              </controlPr>
            </control>
          </mc:Choice>
        </mc:AlternateContent>
        <mc:AlternateContent xmlns:mc="http://schemas.openxmlformats.org/markup-compatibility/2006">
          <mc:Choice Requires="x14">
            <control shapeId="2052" r:id="rId5" name="Forme">
              <controlPr defaultSize="0" print="0" autoFill="0" autoPict="0" macro="[0]!OpenOnglet">
                <anchor moveWithCells="1" sizeWithCells="1">
                  <from>
                    <xdr:col>18</xdr:col>
                    <xdr:colOff>371475</xdr:colOff>
                    <xdr:row>1</xdr:row>
                    <xdr:rowOff>47625</xdr:rowOff>
                  </from>
                  <to>
                    <xdr:col>21</xdr:col>
                    <xdr:colOff>28575</xdr:colOff>
                    <xdr:row>2</xdr:row>
                    <xdr:rowOff>38100</xdr:rowOff>
                  </to>
                </anchor>
              </controlPr>
            </control>
          </mc:Choice>
        </mc:AlternateContent>
      </controls>
    </mc:Choice>
  </mc:AlternateContent>
  <tableParts count="1">
    <tablePart r:id="rId6"/>
  </tableParts>
  <extLst>
    <ext xmlns:x14="http://schemas.microsoft.com/office/spreadsheetml/2009/9/main" uri="{CCE6A557-97BC-4b89-ADB6-D9C93CAAB3DF}">
      <x14:dataValidations xmlns:xm="http://schemas.microsoft.com/office/excel/2006/main" count="2">
        <x14:dataValidation type="list" allowBlank="1" showInputMessage="1" showErrorMessage="1" xr:uid="{00000000-0002-0000-0100-000001000000}">
          <x14:formula1>
            <xm:f>Paramétres!$B$5:$B$13</xm:f>
          </x14:formula1>
          <xm:sqref>D7:AG137</xm:sqref>
        </x14:dataValidation>
        <x14:dataValidation type="whole" allowBlank="1" showInputMessage="1" showErrorMessage="1" xr:uid="{00000000-0002-0000-0100-000002000000}">
          <x14:formula1>
            <xm:f>0</xm:f>
          </x14:formula1>
          <x14:formula2>
            <xm:f>Paramétres!B22</xm:f>
          </x14:formula2>
          <xm:sqref>C7:C137</xm:sqref>
        </x14:dataValidation>
      </x14:dataValidations>
    </ext>
    <ext xmlns:x14="http://schemas.microsoft.com/office/spreadsheetml/2009/9/main" uri="{05C60535-1F16-4fd2-B633-F4F36F0B64E0}">
      <x14:sparklineGroups xmlns:xm="http://schemas.microsoft.com/office/excel/2006/main">
        <x14:sparklineGroup manualMax="0" manualMin="0" displayEmptyCellsAs="gap" markers="1" high="1" low="1" first="1" last="1" negative="1" xr2:uid="{00000000-0003-0000-0100-000000000000}">
          <x14:colorSeries theme="0" tint="-0.499984740745262"/>
          <x14:colorNegative theme="6"/>
          <x14:colorAxis rgb="FF000000"/>
          <x14:colorMarkers theme="7"/>
          <x14:colorFirst theme="7"/>
          <x14:colorLast theme="7"/>
          <x14:colorHigh theme="7"/>
          <x14:colorLow theme="7"/>
          <x14:sparklines>
            <x14:sparkline>
              <xm:f>Entrainement!C139:AF139</xm:f>
              <xm:sqref>AH139</xm:sqref>
            </x14:sparkline>
            <x14:sparkline>
              <xm:f>Entrainement!C140:AF140</xm:f>
              <xm:sqref>AH140</xm:sqref>
            </x14:sparkline>
          </x14:sparklines>
        </x14:sparklineGroup>
      </x14:sparklineGroups>
    </ext>
  </extLst>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BCBB032-060C-41C0-842B-9C619B576CC2}">
  <sheetPr codeName="Feuil23">
    <tabColor rgb="FF0070C0"/>
  </sheetPr>
  <dimension ref="B1:AF16"/>
  <sheetViews>
    <sheetView showGridLines="0" workbookViewId="0">
      <selection activeCell="B15" sqref="B15"/>
    </sheetView>
  </sheetViews>
  <sheetFormatPr baseColWidth="10" defaultRowHeight="12.75"/>
  <cols>
    <col min="1" max="1" width="3.140625" customWidth="1"/>
    <col min="2" max="2" width="16.140625" customWidth="1"/>
    <col min="3" max="32" width="8.85546875" customWidth="1"/>
  </cols>
  <sheetData>
    <row r="1" spans="2:32" s="256" customFormat="1" ht="16.5" customHeight="1"/>
    <row r="2" spans="2:32" s="256" customFormat="1" ht="31.5" customHeight="1">
      <c r="B2" s="55" t="s">
        <v>493</v>
      </c>
      <c r="S2" s="257"/>
    </row>
    <row r="3" spans="2:32" s="256" customFormat="1" ht="16.5" customHeight="1"/>
    <row r="4" spans="2:32" s="256" customFormat="1" ht="30" customHeight="1">
      <c r="B4" s="380" t="s">
        <v>474</v>
      </c>
      <c r="C4" s="259" t="s">
        <v>350</v>
      </c>
      <c r="D4" s="259" t="s">
        <v>360</v>
      </c>
      <c r="E4" s="259" t="s">
        <v>361</v>
      </c>
      <c r="F4" s="259" t="s">
        <v>366</v>
      </c>
      <c r="G4" s="259" t="s">
        <v>370</v>
      </c>
      <c r="H4" s="259" t="s">
        <v>373</v>
      </c>
      <c r="I4" s="259" t="s">
        <v>379</v>
      </c>
      <c r="J4" s="259" t="s">
        <v>383</v>
      </c>
      <c r="K4" s="259" t="s">
        <v>387</v>
      </c>
      <c r="L4" s="259" t="s">
        <v>393</v>
      </c>
      <c r="M4" s="259" t="s">
        <v>394</v>
      </c>
      <c r="N4" s="259" t="s">
        <v>395</v>
      </c>
      <c r="O4" s="259" t="s">
        <v>399</v>
      </c>
      <c r="P4" s="259" t="s">
        <v>407</v>
      </c>
      <c r="Q4" s="259" t="s">
        <v>408</v>
      </c>
      <c r="R4" s="259" t="s">
        <v>411</v>
      </c>
      <c r="S4" s="259" t="s">
        <v>418</v>
      </c>
      <c r="T4" s="259" t="s">
        <v>424</v>
      </c>
      <c r="U4" s="259" t="s">
        <v>429</v>
      </c>
      <c r="V4" s="259" t="s">
        <v>436</v>
      </c>
      <c r="W4" s="259" t="s">
        <v>446</v>
      </c>
      <c r="X4" s="259" t="s">
        <v>54</v>
      </c>
      <c r="Y4" s="259" t="s">
        <v>55</v>
      </c>
      <c r="Z4" s="259" t="s">
        <v>56</v>
      </c>
      <c r="AA4" s="259" t="s">
        <v>57</v>
      </c>
      <c r="AB4" s="259" t="s">
        <v>58</v>
      </c>
      <c r="AC4" s="259" t="s">
        <v>59</v>
      </c>
      <c r="AD4" s="259" t="s">
        <v>60</v>
      </c>
      <c r="AE4" s="259" t="s">
        <v>61</v>
      </c>
      <c r="AF4" s="259" t="s">
        <v>62</v>
      </c>
    </row>
    <row r="5" spans="2:32" s="44" customFormat="1" ht="15" customHeight="1">
      <c r="B5" s="375" t="str">
        <f>INDEX(ParamPresence[#Data],1)</f>
        <v>Présent</v>
      </c>
      <c r="C5" s="44">
        <f>COUNTIF(TabEntrainement[J1],INDEX(ParamPresence[#Data],1))</f>
        <v>24</v>
      </c>
      <c r="D5" s="44">
        <f>COUNTIF(TabEntrainement[J2],INDEX(ParamPresence[#Data],1))</f>
        <v>18</v>
      </c>
      <c r="E5" s="44">
        <f>COUNTIF(TabEntrainement[J3],INDEX(ParamPresence[#Data],1))</f>
        <v>17</v>
      </c>
      <c r="F5" s="44">
        <f>COUNTIF(TabEntrainement[J4],INDEX(ParamPresence[#Data],1))</f>
        <v>15</v>
      </c>
      <c r="G5" s="44">
        <f>COUNTIF(TabEntrainement[J5],INDEX(ParamPresence[#Data],1))</f>
        <v>3</v>
      </c>
      <c r="H5" s="44">
        <f>COUNTIF(TabEntrainement[J6],INDEX(ParamPresence[#Data],1))</f>
        <v>18</v>
      </c>
      <c r="I5" s="44">
        <f>COUNTIF(TabEntrainement[J7],INDEX(ParamPresence[#Data],1))</f>
        <v>14</v>
      </c>
      <c r="J5" s="44">
        <f>COUNTIF(TabEntrainement[J8],INDEX(ParamPresence[#Data],1))</f>
        <v>14</v>
      </c>
      <c r="K5" s="44">
        <f>COUNTIF(TabEntrainement[J9],INDEX(ParamPresence[#Data],1))</f>
        <v>10</v>
      </c>
      <c r="L5" s="44">
        <f>COUNTIF(TabEntrainement[J10],INDEX(ParamPresence[#Data],1))</f>
        <v>16</v>
      </c>
      <c r="M5" s="44">
        <f>COUNTIF(TabEntrainement[J11],INDEX(ParamPresence[#Data],1))</f>
        <v>10</v>
      </c>
      <c r="N5" s="44">
        <f>COUNTIF(TabEntrainement[J12],INDEX(ParamPresence[#Data],1))</f>
        <v>17</v>
      </c>
      <c r="O5" s="44">
        <f>COUNTIF(TabEntrainement[J13],INDEX(ParamPresence[#Data],1))</f>
        <v>14</v>
      </c>
      <c r="P5" s="44">
        <f>COUNTIF(TabEntrainement[J14],INDEX(ParamPresence[#Data],1))</f>
        <v>24</v>
      </c>
      <c r="Q5" s="44">
        <f>COUNTIF(TabEntrainement[J15],INDEX(ParamPresence[#Data],1))</f>
        <v>24</v>
      </c>
      <c r="R5" s="44">
        <f>COUNTIF(TabEntrainement[J16],INDEX(ParamPresence[#Data],1))</f>
        <v>12</v>
      </c>
      <c r="S5" s="44">
        <f>COUNTIF(TabEntrainement[J17],INDEX(ParamPresence[#Data],1))</f>
        <v>13</v>
      </c>
      <c r="T5" s="44">
        <f>COUNTIF(TabEntrainement[J18],INDEX(ParamPresence[#Data],1))</f>
        <v>22</v>
      </c>
      <c r="U5" s="44">
        <f>COUNTIF(TabEntrainement[J19],INDEX(ParamPresence[#Data],1))</f>
        <v>5</v>
      </c>
      <c r="V5" s="44">
        <f>COUNTIF(TabEntrainement[J20],INDEX(ParamPresence[#Data],1))</f>
        <v>6</v>
      </c>
      <c r="W5" s="44">
        <f>COUNTIF(TabEntrainement[J21],INDEX(ParamPresence[#Data],1))</f>
        <v>21</v>
      </c>
      <c r="X5" s="44">
        <f>COUNTIF(TabEntrainement[J22],INDEX(ParamPresence[#Data],1))</f>
        <v>0</v>
      </c>
      <c r="Y5" s="44">
        <f>COUNTIF(TabEntrainement[J23],INDEX(ParamPresence[#Data],1))</f>
        <v>0</v>
      </c>
      <c r="Z5" s="44">
        <f>COUNTIF(TabEntrainement[J24],INDEX(ParamPresence[#Data],1))</f>
        <v>0</v>
      </c>
      <c r="AA5" s="44">
        <f>COUNTIF(TabEntrainement[J25],INDEX(ParamPresence[#Data],1))</f>
        <v>0</v>
      </c>
      <c r="AB5" s="44">
        <f>COUNTIF(TabEntrainement[J26],INDEX(ParamPresence[#Data],1))</f>
        <v>0</v>
      </c>
      <c r="AC5" s="44">
        <f>COUNTIF(TabEntrainement[J27],INDEX(ParamPresence[#Data],1))</f>
        <v>0</v>
      </c>
      <c r="AD5" s="44">
        <f>COUNTIF(TabEntrainement[J28],INDEX(ParamPresence[#Data],1))</f>
        <v>0</v>
      </c>
      <c r="AE5" s="44">
        <f>COUNTIF(TabEntrainement[J29],INDEX(ParamPresence[#Data],1))</f>
        <v>0</v>
      </c>
      <c r="AF5" s="44">
        <f>COUNTIF(TabEntrainement[J30],INDEX(ParamPresence[#Data],1))</f>
        <v>0</v>
      </c>
    </row>
    <row r="6" spans="2:32" s="44" customFormat="1" ht="15" customHeight="1">
      <c r="B6" s="376" t="str">
        <f>INDEX(ParamPresence[#Data],2)</f>
        <v>Absent</v>
      </c>
      <c r="C6" s="374">
        <f>COUNTIF(TabEntrainement[J1],INDEX(ParamPresence[#Data],2))</f>
        <v>0</v>
      </c>
      <c r="D6" s="374">
        <f>COUNTIF(TabEntrainement[J2],INDEX(ParamPresence[#Data],2))</f>
        <v>5</v>
      </c>
      <c r="E6" s="374">
        <f>COUNTIF(TabEntrainement[J3],INDEX(ParamPresence[#Data],2))</f>
        <v>0</v>
      </c>
      <c r="F6" s="374">
        <f>COUNTIF(TabEntrainement[J4],INDEX(ParamPresence[#Data],2))</f>
        <v>8</v>
      </c>
      <c r="G6" s="374">
        <f>COUNTIF(TabEntrainement[J5],INDEX(ParamPresence[#Data],2))</f>
        <v>20</v>
      </c>
      <c r="H6" s="374">
        <f>COUNTIF(TabEntrainement[J6],INDEX(ParamPresence[#Data],2))</f>
        <v>0</v>
      </c>
      <c r="I6" s="374">
        <f>COUNTIF(TabEntrainement[J7],INDEX(ParamPresence[#Data],2))</f>
        <v>5</v>
      </c>
      <c r="J6" s="374">
        <f>COUNTIF(TabEntrainement[J8],INDEX(ParamPresence[#Data],2))</f>
        <v>5</v>
      </c>
      <c r="K6" s="374">
        <f>COUNTIF(TabEntrainement[J9],INDEX(ParamPresence[#Data],2))</f>
        <v>0</v>
      </c>
      <c r="L6" s="374">
        <f>COUNTIF(TabEntrainement[J10],INDEX(ParamPresence[#Data],2))</f>
        <v>0</v>
      </c>
      <c r="M6" s="374">
        <f>COUNTIF(TabEntrainement[J11],INDEX(ParamPresence[#Data],2))</f>
        <v>2</v>
      </c>
      <c r="N6" s="374">
        <f>COUNTIF(TabEntrainement[J12],INDEX(ParamPresence[#Data],2))</f>
        <v>1</v>
      </c>
      <c r="O6" s="374">
        <f>COUNTIF(TabEntrainement[J13],INDEX(ParamPresence[#Data],2))</f>
        <v>0</v>
      </c>
      <c r="P6" s="374">
        <f>COUNTIF(TabEntrainement[J14],INDEX(ParamPresence[#Data],2))</f>
        <v>0</v>
      </c>
      <c r="Q6" s="374">
        <f>COUNTIF(TabEntrainement[J15],INDEX(ParamPresence[#Data],2))</f>
        <v>0</v>
      </c>
      <c r="R6" s="374">
        <f>COUNTIF(TabEntrainement[J16],INDEX(ParamPresence[#Data],2))</f>
        <v>11</v>
      </c>
      <c r="S6" s="374">
        <f>COUNTIF(TabEntrainement[J17],INDEX(ParamPresence[#Data],2))</f>
        <v>0</v>
      </c>
      <c r="T6" s="374">
        <f>COUNTIF(TabEntrainement[J18],INDEX(ParamPresence[#Data],2))</f>
        <v>0</v>
      </c>
      <c r="U6" s="374">
        <f>COUNTIF(TabEntrainement[J19],INDEX(ParamPresence[#Data],2))</f>
        <v>0</v>
      </c>
      <c r="V6" s="374">
        <f>COUNTIF(TabEntrainement[J20],INDEX(ParamPresence[#Data],2))</f>
        <v>4</v>
      </c>
      <c r="W6" s="374">
        <f>COUNTIF(TabEntrainement[J21],INDEX(ParamPresence[#Data],2))</f>
        <v>3</v>
      </c>
      <c r="X6" s="374">
        <f>COUNTIF(TabEntrainement[J22],INDEX(ParamPresence[#Data],2))</f>
        <v>0</v>
      </c>
      <c r="Y6" s="374">
        <f>COUNTIF(TabEntrainement[J23],INDEX(ParamPresence[#Data],2))</f>
        <v>0</v>
      </c>
      <c r="Z6" s="374">
        <f>COUNTIF(TabEntrainement[J24],INDEX(ParamPresence[#Data],2))</f>
        <v>0</v>
      </c>
      <c r="AA6" s="374">
        <f>COUNTIF(TabEntrainement[J25],INDEX(ParamPresence[#Data],2))</f>
        <v>0</v>
      </c>
      <c r="AB6" s="374">
        <f>COUNTIF(TabEntrainement[J26],INDEX(ParamPresence[#Data],2))</f>
        <v>0</v>
      </c>
      <c r="AC6" s="374">
        <f>COUNTIF(TabEntrainement[J27],INDEX(ParamPresence[#Data],2))</f>
        <v>0</v>
      </c>
      <c r="AD6" s="374">
        <f>COUNTIF(TabEntrainement[J28],INDEX(ParamPresence[#Data],2))</f>
        <v>0</v>
      </c>
      <c r="AE6" s="374">
        <f>COUNTIF(TabEntrainement[J29],INDEX(ParamPresence[#Data],2))</f>
        <v>0</v>
      </c>
      <c r="AF6" s="374">
        <f>COUNTIF(TabEntrainement[J30],INDEX(ParamPresence[#Data],2))</f>
        <v>0</v>
      </c>
    </row>
    <row r="7" spans="2:32" s="44" customFormat="1" ht="15" customHeight="1">
      <c r="B7" s="375" t="str">
        <f>INDEX(ParamPresence[#Data],3)</f>
        <v>Blessé</v>
      </c>
      <c r="C7" s="44">
        <f>COUNTIF(TabEntrainement[J1],INDEX(ParamPresence[#Data],31))</f>
        <v>0</v>
      </c>
      <c r="D7" s="44">
        <f>COUNTIF(TabEntrainement[J2],INDEX(ParamPresence[#Data],31))</f>
        <v>0</v>
      </c>
      <c r="E7" s="44">
        <f>COUNTIF(TabEntrainement[J3],INDEX(ParamPresence[#Data],31))</f>
        <v>0</v>
      </c>
      <c r="F7" s="44">
        <f>COUNTIF(TabEntrainement[J4],INDEX(ParamPresence[#Data],31))</f>
        <v>0</v>
      </c>
      <c r="G7" s="44">
        <f>COUNTIF(TabEntrainement[J5],INDEX(ParamPresence[#Data],31))</f>
        <v>0</v>
      </c>
      <c r="H7" s="44">
        <f>COUNTIF(TabEntrainement[J6],INDEX(ParamPresence[#Data],31))</f>
        <v>0</v>
      </c>
      <c r="I7" s="44">
        <f>COUNTIF(TabEntrainement[J7],INDEX(ParamPresence[#Data],31))</f>
        <v>0</v>
      </c>
      <c r="J7" s="44">
        <f>COUNTIF(TabEntrainement[J8],INDEX(ParamPresence[#Data],31))</f>
        <v>0</v>
      </c>
      <c r="K7" s="44">
        <f>COUNTIF(TabEntrainement[J9],INDEX(ParamPresence[#Data],31))</f>
        <v>0</v>
      </c>
      <c r="L7" s="44">
        <f>COUNTIF(TabEntrainement[J10],INDEX(ParamPresence[#Data],31))</f>
        <v>0</v>
      </c>
      <c r="M7" s="44">
        <f>COUNTIF(TabEntrainement[J11],INDEX(ParamPresence[#Data],31))</f>
        <v>0</v>
      </c>
      <c r="N7" s="44">
        <f>COUNTIF(TabEntrainement[J12],INDEX(ParamPresence[#Data],31))</f>
        <v>0</v>
      </c>
      <c r="O7" s="44">
        <f>COUNTIF(TabEntrainement[J13],INDEX(ParamPresence[#Data],31))</f>
        <v>0</v>
      </c>
      <c r="P7" s="44">
        <f>COUNTIF(TabEntrainement[J14],INDEX(ParamPresence[#Data],31))</f>
        <v>0</v>
      </c>
      <c r="Q7" s="44">
        <f>COUNTIF(TabEntrainement[J15],INDEX(ParamPresence[#Data],31))</f>
        <v>0</v>
      </c>
      <c r="R7" s="44">
        <f>COUNTIF(TabEntrainement[J16],INDEX(ParamPresence[#Data],31))</f>
        <v>0</v>
      </c>
      <c r="S7" s="44">
        <f>COUNTIF(TabEntrainement[J17],INDEX(ParamPresence[#Data],31))</f>
        <v>0</v>
      </c>
      <c r="T7" s="44">
        <f>COUNTIF(TabEntrainement[J18],INDEX(ParamPresence[#Data],31))</f>
        <v>0</v>
      </c>
      <c r="U7" s="44">
        <f>COUNTIF(TabEntrainement[J19],INDEX(ParamPresence[#Data],31))</f>
        <v>0</v>
      </c>
      <c r="V7" s="44">
        <f>COUNTIF(TabEntrainement[J20],INDEX(ParamPresence[#Data],31))</f>
        <v>0</v>
      </c>
      <c r="W7" s="44">
        <f>COUNTIF(TabEntrainement[J21],INDEX(ParamPresence[#Data],31))</f>
        <v>0</v>
      </c>
      <c r="X7" s="44">
        <f>COUNTIF(TabEntrainement[J22],INDEX(ParamPresence[#Data],31))</f>
        <v>0</v>
      </c>
      <c r="Y7" s="44">
        <f>COUNTIF(TabEntrainement[J23],INDEX(ParamPresence[#Data],31))</f>
        <v>0</v>
      </c>
      <c r="Z7" s="44">
        <f>COUNTIF(TabEntrainement[J24],INDEX(ParamPresence[#Data],31))</f>
        <v>0</v>
      </c>
      <c r="AA7" s="44">
        <f>COUNTIF(TabEntrainement[J25],INDEX(ParamPresence[#Data],31))</f>
        <v>0</v>
      </c>
      <c r="AB7" s="44">
        <f>COUNTIF(TabEntrainement[J26],INDEX(ParamPresence[#Data],31))</f>
        <v>0</v>
      </c>
      <c r="AC7" s="44">
        <f>COUNTIF(TabEntrainement[J27],INDEX(ParamPresence[#Data],31))</f>
        <v>0</v>
      </c>
      <c r="AD7" s="44">
        <f>COUNTIF(TabEntrainement[J28],INDEX(ParamPresence[#Data],31))</f>
        <v>0</v>
      </c>
      <c r="AE7" s="44">
        <f>COUNTIF(TabEntrainement[J29],INDEX(ParamPresence[#Data],31))</f>
        <v>0</v>
      </c>
      <c r="AF7" s="44">
        <f>COUNTIF(TabEntrainement[J30],INDEX(ParamPresence[#Data],31))</f>
        <v>0</v>
      </c>
    </row>
    <row r="8" spans="2:32" s="44" customFormat="1" ht="15" customHeight="1">
      <c r="B8" s="376" t="str">
        <f>INDEX(ParamPresence[#Data],4)</f>
        <v>Eq. Sup.</v>
      </c>
      <c r="C8" s="374">
        <f>COUNTIF(TabEntrainement[J1],INDEX(ParamPresence[#Data],4))</f>
        <v>0</v>
      </c>
      <c r="D8" s="374">
        <f>COUNTIF(TabEntrainement[J2],INDEX(ParamPresence[#Data],4))</f>
        <v>0</v>
      </c>
      <c r="E8" s="374">
        <f>COUNTIF(TabEntrainement[J3],INDEX(ParamPresence[#Data],4))</f>
        <v>0</v>
      </c>
      <c r="F8" s="374">
        <f>COUNTIF(TabEntrainement[J4],INDEX(ParamPresence[#Data],4))</f>
        <v>0</v>
      </c>
      <c r="G8" s="374">
        <f>COUNTIF(TabEntrainement[J5],INDEX(ParamPresence[#Data],4))</f>
        <v>0</v>
      </c>
      <c r="H8" s="374">
        <f>COUNTIF(TabEntrainement[J6],INDEX(ParamPresence[#Data],4))</f>
        <v>0</v>
      </c>
      <c r="I8" s="374">
        <f>COUNTIF(TabEntrainement[J7],INDEX(ParamPresence[#Data],4))</f>
        <v>0</v>
      </c>
      <c r="J8" s="374">
        <f>COUNTIF(TabEntrainement[J8],INDEX(ParamPresence[#Data],4))</f>
        <v>0</v>
      </c>
      <c r="K8" s="374">
        <f>COUNTIF(TabEntrainement[J9],INDEX(ParamPresence[#Data],4))</f>
        <v>0</v>
      </c>
      <c r="L8" s="374">
        <f>COUNTIF(TabEntrainement[J10],INDEX(ParamPresence[#Data],4))</f>
        <v>0</v>
      </c>
      <c r="M8" s="374">
        <f>COUNTIF(TabEntrainement[J11],INDEX(ParamPresence[#Data],4))</f>
        <v>0</v>
      </c>
      <c r="N8" s="374">
        <f>COUNTIF(TabEntrainement[J12],INDEX(ParamPresence[#Data],4))</f>
        <v>0</v>
      </c>
      <c r="O8" s="374">
        <f>COUNTIF(TabEntrainement[J13],INDEX(ParamPresence[#Data],4))</f>
        <v>0</v>
      </c>
      <c r="P8" s="374">
        <f>COUNTIF(TabEntrainement[J14],INDEX(ParamPresence[#Data],4))</f>
        <v>0</v>
      </c>
      <c r="Q8" s="374">
        <f>COUNTIF(TabEntrainement[J15],INDEX(ParamPresence[#Data],4))</f>
        <v>0</v>
      </c>
      <c r="R8" s="374">
        <f>COUNTIF(TabEntrainement[J16],INDEX(ParamPresence[#Data],4))</f>
        <v>0</v>
      </c>
      <c r="S8" s="374">
        <f>COUNTIF(TabEntrainement[J17],INDEX(ParamPresence[#Data],4))</f>
        <v>0</v>
      </c>
      <c r="T8" s="374">
        <f>COUNTIF(TabEntrainement[J18],INDEX(ParamPresence[#Data],4))</f>
        <v>0</v>
      </c>
      <c r="U8" s="374">
        <f>COUNTIF(TabEntrainement[J19],INDEX(ParamPresence[#Data],4))</f>
        <v>0</v>
      </c>
      <c r="V8" s="374">
        <f>COUNTIF(TabEntrainement[J20],INDEX(ParamPresence[#Data],4))</f>
        <v>0</v>
      </c>
      <c r="W8" s="374">
        <f>COUNTIF(TabEntrainement[J21],INDEX(ParamPresence[#Data],4))</f>
        <v>0</v>
      </c>
      <c r="X8" s="374">
        <f>COUNTIF(TabEntrainement[J22],INDEX(ParamPresence[#Data],4))</f>
        <v>0</v>
      </c>
      <c r="Y8" s="374">
        <f>COUNTIF(TabEntrainement[J23],INDEX(ParamPresence[#Data],4))</f>
        <v>0</v>
      </c>
      <c r="Z8" s="374">
        <f>COUNTIF(TabEntrainement[J24],INDEX(ParamPresence[#Data],4))</f>
        <v>0</v>
      </c>
      <c r="AA8" s="374">
        <f>COUNTIF(TabEntrainement[J25],INDEX(ParamPresence[#Data],4))</f>
        <v>0</v>
      </c>
      <c r="AB8" s="374">
        <f>COUNTIF(TabEntrainement[J26],INDEX(ParamPresence[#Data],4))</f>
        <v>0</v>
      </c>
      <c r="AC8" s="374">
        <f>COUNTIF(TabEntrainement[J27],INDEX(ParamPresence[#Data],4))</f>
        <v>0</v>
      </c>
      <c r="AD8" s="374">
        <f>COUNTIF(TabEntrainement[J28],INDEX(ParamPresence[#Data],4))</f>
        <v>0</v>
      </c>
      <c r="AE8" s="374">
        <f>COUNTIF(TabEntrainement[J29],INDEX(ParamPresence[#Data],4))</f>
        <v>0</v>
      </c>
      <c r="AF8" s="374">
        <f>COUNTIF(TabEntrainement[J30],INDEX(ParamPresence[#Data],4))</f>
        <v>0</v>
      </c>
    </row>
    <row r="9" spans="2:32" s="44" customFormat="1" ht="15" customHeight="1">
      <c r="B9" s="375" t="str">
        <f>INDEX(ParamPresence[#Data],5)</f>
        <v>Excusé</v>
      </c>
      <c r="C9" s="44">
        <f>COUNTIF(TabEntrainement[J1],INDEX(ParamPresence[#Data],5))</f>
        <v>0</v>
      </c>
      <c r="D9" s="44">
        <f>COUNTIF(TabEntrainement[J2],INDEX(ParamPresence[#Data],5))</f>
        <v>1</v>
      </c>
      <c r="E9" s="44">
        <f>COUNTIF(TabEntrainement[J3],INDEX(ParamPresence[#Data],5))</f>
        <v>3</v>
      </c>
      <c r="F9" s="44">
        <f>COUNTIF(TabEntrainement[J4],INDEX(ParamPresence[#Data],5))</f>
        <v>1</v>
      </c>
      <c r="G9" s="44">
        <f>COUNTIF(TabEntrainement[J5],INDEX(ParamPresence[#Data],5))</f>
        <v>1</v>
      </c>
      <c r="H9" s="44">
        <f>COUNTIF(TabEntrainement[J6],INDEX(ParamPresence[#Data],5))</f>
        <v>2</v>
      </c>
      <c r="I9" s="44">
        <f>COUNTIF(TabEntrainement[J7],INDEX(ParamPresence[#Data],5))</f>
        <v>2</v>
      </c>
      <c r="J9" s="44">
        <f>COUNTIF(TabEntrainement[J8],INDEX(ParamPresence[#Data],5))</f>
        <v>1</v>
      </c>
      <c r="K9" s="44">
        <f>COUNTIF(TabEntrainement[J9],INDEX(ParamPresence[#Data],5))</f>
        <v>3</v>
      </c>
      <c r="L9" s="44">
        <f>COUNTIF(TabEntrainement[J10],INDEX(ParamPresence[#Data],5))</f>
        <v>6</v>
      </c>
      <c r="M9" s="44">
        <f>COUNTIF(TabEntrainement[J11],INDEX(ParamPresence[#Data],5))</f>
        <v>2</v>
      </c>
      <c r="N9" s="44">
        <f>COUNTIF(TabEntrainement[J12],INDEX(ParamPresence[#Data],5))</f>
        <v>1</v>
      </c>
      <c r="O9" s="44">
        <f>COUNTIF(TabEntrainement[J13],INDEX(ParamPresence[#Data],5))</f>
        <v>2</v>
      </c>
      <c r="P9" s="44">
        <f>COUNTIF(TabEntrainement[J14],INDEX(ParamPresence[#Data],5))</f>
        <v>0</v>
      </c>
      <c r="Q9" s="44">
        <f>COUNTIF(TabEntrainement[J15],INDEX(ParamPresence[#Data],5))</f>
        <v>0</v>
      </c>
      <c r="R9" s="44">
        <f>COUNTIF(TabEntrainement[J16],INDEX(ParamPresence[#Data],5))</f>
        <v>1</v>
      </c>
      <c r="S9" s="44">
        <f>COUNTIF(TabEntrainement[J17],INDEX(ParamPresence[#Data],5))</f>
        <v>11</v>
      </c>
      <c r="T9" s="44">
        <f>COUNTIF(TabEntrainement[J18],INDEX(ParamPresence[#Data],5))</f>
        <v>2</v>
      </c>
      <c r="U9" s="44">
        <f>COUNTIF(TabEntrainement[J19],INDEX(ParamPresence[#Data],5))</f>
        <v>0</v>
      </c>
      <c r="V9" s="44">
        <f>COUNTIF(TabEntrainement[J20],INDEX(ParamPresence[#Data],5))</f>
        <v>0</v>
      </c>
      <c r="W9" s="44">
        <f>COUNTIF(TabEntrainement[J21],INDEX(ParamPresence[#Data],5))</f>
        <v>0</v>
      </c>
      <c r="X9" s="44">
        <f>COUNTIF(TabEntrainement[J22],INDEX(ParamPresence[#Data],5))</f>
        <v>0</v>
      </c>
      <c r="Y9" s="44">
        <f>COUNTIF(TabEntrainement[J23],INDEX(ParamPresence[#Data],5))</f>
        <v>0</v>
      </c>
      <c r="Z9" s="44">
        <f>COUNTIF(TabEntrainement[J24],INDEX(ParamPresence[#Data],5))</f>
        <v>0</v>
      </c>
      <c r="AA9" s="44">
        <f>COUNTIF(TabEntrainement[J25],INDEX(ParamPresence[#Data],5))</f>
        <v>0</v>
      </c>
      <c r="AB9" s="44">
        <f>COUNTIF(TabEntrainement[J26],INDEX(ParamPresence[#Data],5))</f>
        <v>0</v>
      </c>
      <c r="AC9" s="44">
        <f>COUNTIF(TabEntrainement[J27],INDEX(ParamPresence[#Data],5))</f>
        <v>0</v>
      </c>
      <c r="AD9" s="44">
        <f>COUNTIF(TabEntrainement[J28],INDEX(ParamPresence[#Data],5))</f>
        <v>0</v>
      </c>
      <c r="AE9" s="44">
        <f>COUNTIF(TabEntrainement[J29],INDEX(ParamPresence[#Data],5))</f>
        <v>0</v>
      </c>
      <c r="AF9" s="44">
        <f>COUNTIF(TabEntrainement[J30],INDEX(ParamPresence[#Data],5))</f>
        <v>0</v>
      </c>
    </row>
    <row r="10" spans="2:32" s="44" customFormat="1" ht="15" customHeight="1">
      <c r="B10" s="376" t="str">
        <f>INDEX(ParamPresence[#Data],6)</f>
        <v>Malade</v>
      </c>
      <c r="C10" s="374">
        <f>COUNTIF(TabEntrainement[J1],INDEX(ParamPresence[#Data],6))</f>
        <v>0</v>
      </c>
      <c r="D10" s="374">
        <f>COUNTIF(TabEntrainement[J2],INDEX(ParamPresence[#Data],6))</f>
        <v>0</v>
      </c>
      <c r="E10" s="374">
        <f>COUNTIF(TabEntrainement[J3],INDEX(ParamPresence[#Data],6))</f>
        <v>0</v>
      </c>
      <c r="F10" s="374">
        <f>COUNTIF(TabEntrainement[J4],INDEX(ParamPresence[#Data],6))</f>
        <v>0</v>
      </c>
      <c r="G10" s="374">
        <f>COUNTIF(TabEntrainement[J5],INDEX(ParamPresence[#Data],6))</f>
        <v>0</v>
      </c>
      <c r="H10" s="374">
        <f>COUNTIF(TabEntrainement[J6],INDEX(ParamPresence[#Data],6))</f>
        <v>0</v>
      </c>
      <c r="I10" s="374">
        <f>COUNTIF(TabEntrainement[J7],INDEX(ParamPresence[#Data],6))</f>
        <v>0</v>
      </c>
      <c r="J10" s="374">
        <f>COUNTIF(TabEntrainement[J8],INDEX(ParamPresence[#Data],6))</f>
        <v>0</v>
      </c>
      <c r="K10" s="374">
        <f>COUNTIF(TabEntrainement[J9],INDEX(ParamPresence[#Data],6))</f>
        <v>0</v>
      </c>
      <c r="L10" s="374">
        <f>COUNTIF(TabEntrainement[J10],INDEX(ParamPresence[#Data],6))</f>
        <v>0</v>
      </c>
      <c r="M10" s="374">
        <f>COUNTIF(TabEntrainement[J11],INDEX(ParamPresence[#Data],6))</f>
        <v>0</v>
      </c>
      <c r="N10" s="374">
        <f>COUNTIF(TabEntrainement[J12],INDEX(ParamPresence[#Data],6))</f>
        <v>0</v>
      </c>
      <c r="O10" s="374">
        <f>COUNTIF(TabEntrainement[J13],INDEX(ParamPresence[#Data],6))</f>
        <v>0</v>
      </c>
      <c r="P10" s="374">
        <f>COUNTIF(TabEntrainement[J14],INDEX(ParamPresence[#Data],6))</f>
        <v>0</v>
      </c>
      <c r="Q10" s="374">
        <f>COUNTIF(TabEntrainement[J15],INDEX(ParamPresence[#Data],6))</f>
        <v>0</v>
      </c>
      <c r="R10" s="374">
        <f>COUNTIF(TabEntrainement[J16],INDEX(ParamPresence[#Data],6))</f>
        <v>0</v>
      </c>
      <c r="S10" s="374">
        <f>COUNTIF(TabEntrainement[J17],INDEX(ParamPresence[#Data],6))</f>
        <v>0</v>
      </c>
      <c r="T10" s="374">
        <f>COUNTIF(TabEntrainement[J18],INDEX(ParamPresence[#Data],6))</f>
        <v>0</v>
      </c>
      <c r="U10" s="374">
        <f>COUNTIF(TabEntrainement[J19],INDEX(ParamPresence[#Data],6))</f>
        <v>0</v>
      </c>
      <c r="V10" s="374">
        <f>COUNTIF(TabEntrainement[J20],INDEX(ParamPresence[#Data],6))</f>
        <v>0</v>
      </c>
      <c r="W10" s="374">
        <f>COUNTIF(TabEntrainement[J21],INDEX(ParamPresence[#Data],6))</f>
        <v>0</v>
      </c>
      <c r="X10" s="374">
        <f>COUNTIF(TabEntrainement[J22],INDEX(ParamPresence[#Data],6))</f>
        <v>0</v>
      </c>
      <c r="Y10" s="374">
        <f>COUNTIF(TabEntrainement[J23],INDEX(ParamPresence[#Data],6))</f>
        <v>0</v>
      </c>
      <c r="Z10" s="374">
        <f>COUNTIF(TabEntrainement[J24],INDEX(ParamPresence[#Data],6))</f>
        <v>0</v>
      </c>
      <c r="AA10" s="374">
        <f>COUNTIF(TabEntrainement[J25],INDEX(ParamPresence[#Data],6))</f>
        <v>0</v>
      </c>
      <c r="AB10" s="374">
        <f>COUNTIF(TabEntrainement[J26],INDEX(ParamPresence[#Data],6))</f>
        <v>0</v>
      </c>
      <c r="AC10" s="374">
        <f>COUNTIF(TabEntrainement[J27],INDEX(ParamPresence[#Data],6))</f>
        <v>0</v>
      </c>
      <c r="AD10" s="374">
        <f>COUNTIF(TabEntrainement[J28],INDEX(ParamPresence[#Data],6))</f>
        <v>0</v>
      </c>
      <c r="AE10" s="374">
        <f>COUNTIF(TabEntrainement[J29],INDEX(ParamPresence[#Data],6))</f>
        <v>0</v>
      </c>
      <c r="AF10" s="374">
        <f>COUNTIF(TabEntrainement[J30],INDEX(ParamPresence[#Data],6))</f>
        <v>0</v>
      </c>
    </row>
    <row r="11" spans="2:32" s="44" customFormat="1" ht="15" customHeight="1">
      <c r="B11" s="375" t="str">
        <f>INDEX(ParamPresence[#Data],7)</f>
        <v>Repos</v>
      </c>
      <c r="C11" s="44">
        <f>COUNTIF(TabEntrainement[J1],INDEX(ParamPresence[#Data],7))</f>
        <v>0</v>
      </c>
      <c r="D11" s="44">
        <f>COUNTIF(TabEntrainement[J2],INDEX(ParamPresence[#Data],7))</f>
        <v>0</v>
      </c>
      <c r="E11" s="44">
        <f>COUNTIF(TabEntrainement[J3],INDEX(ParamPresence[#Data],7))</f>
        <v>0</v>
      </c>
      <c r="F11" s="44">
        <f>COUNTIF(TabEntrainement[J4],INDEX(ParamPresence[#Data],7))</f>
        <v>0</v>
      </c>
      <c r="G11" s="44">
        <f>COUNTIF(TabEntrainement[J5],INDEX(ParamPresence[#Data],7))</f>
        <v>0</v>
      </c>
      <c r="H11" s="44">
        <f>COUNTIF(TabEntrainement[J6],INDEX(ParamPresence[#Data],7))</f>
        <v>0</v>
      </c>
      <c r="I11" s="44">
        <f>COUNTIF(TabEntrainement[J7],INDEX(ParamPresence[#Data],7))</f>
        <v>0</v>
      </c>
      <c r="J11" s="44">
        <f>COUNTIF(TabEntrainement[J8],INDEX(ParamPresence[#Data],7))</f>
        <v>1</v>
      </c>
      <c r="K11" s="44">
        <f>COUNTIF(TabEntrainement[J9],INDEX(ParamPresence[#Data],7))</f>
        <v>1</v>
      </c>
      <c r="L11" s="44">
        <f>COUNTIF(TabEntrainement[J10],INDEX(ParamPresence[#Data],7))</f>
        <v>0</v>
      </c>
      <c r="M11" s="44">
        <f>COUNTIF(TabEntrainement[J11],INDEX(ParamPresence[#Data],7))</f>
        <v>0</v>
      </c>
      <c r="N11" s="44">
        <f>COUNTIF(TabEntrainement[J12],INDEX(ParamPresence[#Data],7))</f>
        <v>0</v>
      </c>
      <c r="O11" s="44">
        <f>COUNTIF(TabEntrainement[J13],INDEX(ParamPresence[#Data],7))</f>
        <v>0</v>
      </c>
      <c r="P11" s="44">
        <f>COUNTIF(TabEntrainement[J14],INDEX(ParamPresence[#Data],7))</f>
        <v>0</v>
      </c>
      <c r="Q11" s="44">
        <f>COUNTIF(TabEntrainement[J15],INDEX(ParamPresence[#Data],7))</f>
        <v>0</v>
      </c>
      <c r="R11" s="44">
        <f>COUNTIF(TabEntrainement[J16],INDEX(ParamPresence[#Data],7))</f>
        <v>0</v>
      </c>
      <c r="S11" s="44">
        <f>COUNTIF(TabEntrainement[J17],INDEX(ParamPresence[#Data],7))</f>
        <v>0</v>
      </c>
      <c r="T11" s="44">
        <f>COUNTIF(TabEntrainement[J18],INDEX(ParamPresence[#Data],7))</f>
        <v>0</v>
      </c>
      <c r="U11" s="44">
        <f>COUNTIF(TabEntrainement[J19],INDEX(ParamPresence[#Data],7))</f>
        <v>0</v>
      </c>
      <c r="V11" s="44">
        <f>COUNTIF(TabEntrainement[J20],INDEX(ParamPresence[#Data],7))</f>
        <v>0</v>
      </c>
      <c r="W11" s="44">
        <f>COUNTIF(TabEntrainement[J21],INDEX(ParamPresence[#Data],7))</f>
        <v>0</v>
      </c>
      <c r="X11" s="44">
        <f>COUNTIF(TabEntrainement[J22],INDEX(ParamPresence[#Data],7))</f>
        <v>0</v>
      </c>
      <c r="Y11" s="44">
        <f>COUNTIF(TabEntrainement[J23],INDEX(ParamPresence[#Data],7))</f>
        <v>0</v>
      </c>
      <c r="Z11" s="44">
        <f>COUNTIF(TabEntrainement[J24],INDEX(ParamPresence[#Data],7))</f>
        <v>0</v>
      </c>
      <c r="AA11" s="44">
        <f>COUNTIF(TabEntrainement[J25],INDEX(ParamPresence[#Data],7))</f>
        <v>0</v>
      </c>
      <c r="AB11" s="44">
        <f>COUNTIF(TabEntrainement[J26],INDEX(ParamPresence[#Data],7))</f>
        <v>0</v>
      </c>
      <c r="AC11" s="44">
        <f>COUNTIF(TabEntrainement[J27],INDEX(ParamPresence[#Data],7))</f>
        <v>0</v>
      </c>
      <c r="AD11" s="44">
        <f>COUNTIF(TabEntrainement[J28],INDEX(ParamPresence[#Data],7))</f>
        <v>0</v>
      </c>
      <c r="AE11" s="44">
        <f>COUNTIF(TabEntrainement[J29],INDEX(ParamPresence[#Data],7))</f>
        <v>0</v>
      </c>
      <c r="AF11" s="44">
        <f>COUNTIF(TabEntrainement[J30],INDEX(ParamPresence[#Data],7))</f>
        <v>0</v>
      </c>
    </row>
    <row r="12" spans="2:32" s="44" customFormat="1" ht="15" customHeight="1">
      <c r="B12" s="376" t="str">
        <f>INDEX(ParamPresence[#Data],8)</f>
        <v>Section S.</v>
      </c>
      <c r="C12" s="374">
        <f>COUNTIF(TabEntrainement[J1],INDEX(ParamPresence[#Data],8))</f>
        <v>0</v>
      </c>
      <c r="D12" s="374">
        <f>COUNTIF(TabEntrainement[J2],INDEX(ParamPresence[#Data],8))</f>
        <v>0</v>
      </c>
      <c r="E12" s="374">
        <f>COUNTIF(TabEntrainement[J3],INDEX(ParamPresence[#Data],8))</f>
        <v>0</v>
      </c>
      <c r="F12" s="374">
        <f>COUNTIF(TabEntrainement[J4],INDEX(ParamPresence[#Data],8))</f>
        <v>0</v>
      </c>
      <c r="G12" s="374">
        <f>COUNTIF(TabEntrainement[J5],INDEX(ParamPresence[#Data],8))</f>
        <v>0</v>
      </c>
      <c r="H12" s="374">
        <f>COUNTIF(TabEntrainement[J6],INDEX(ParamPresence[#Data],8))</f>
        <v>4</v>
      </c>
      <c r="I12" s="374">
        <f>COUNTIF(TabEntrainement[J7],INDEX(ParamPresence[#Data],8))</f>
        <v>0</v>
      </c>
      <c r="J12" s="374">
        <f>COUNTIF(TabEntrainement[J8],INDEX(ParamPresence[#Data],8))</f>
        <v>0</v>
      </c>
      <c r="K12" s="374">
        <f>COUNTIF(TabEntrainement[J9],INDEX(ParamPresence[#Data],8))</f>
        <v>0</v>
      </c>
      <c r="L12" s="374">
        <f>COUNTIF(TabEntrainement[J10],INDEX(ParamPresence[#Data],8))</f>
        <v>0</v>
      </c>
      <c r="M12" s="374">
        <f>COUNTIF(TabEntrainement[J11],INDEX(ParamPresence[#Data],8))</f>
        <v>0</v>
      </c>
      <c r="N12" s="374">
        <f>COUNTIF(TabEntrainement[J12],INDEX(ParamPresence[#Data],8))</f>
        <v>0</v>
      </c>
      <c r="O12" s="374">
        <f>COUNTIF(TabEntrainement[J13],INDEX(ParamPresence[#Data],8))</f>
        <v>0</v>
      </c>
      <c r="P12" s="374">
        <f>COUNTIF(TabEntrainement[J14],INDEX(ParamPresence[#Data],8))</f>
        <v>0</v>
      </c>
      <c r="Q12" s="374">
        <f>COUNTIF(TabEntrainement[J15],INDEX(ParamPresence[#Data],8))</f>
        <v>0</v>
      </c>
      <c r="R12" s="374">
        <f>COUNTIF(TabEntrainement[J16],INDEX(ParamPresence[#Data],8))</f>
        <v>0</v>
      </c>
      <c r="S12" s="374">
        <f>COUNTIF(TabEntrainement[J17],INDEX(ParamPresence[#Data],8))</f>
        <v>0</v>
      </c>
      <c r="T12" s="374">
        <f>COUNTIF(TabEntrainement[J18],INDEX(ParamPresence[#Data],8))</f>
        <v>0</v>
      </c>
      <c r="U12" s="374">
        <f>COUNTIF(TabEntrainement[J19],INDEX(ParamPresence[#Data],8))</f>
        <v>4</v>
      </c>
      <c r="V12" s="374">
        <f>COUNTIF(TabEntrainement[J20],INDEX(ParamPresence[#Data],8))</f>
        <v>0</v>
      </c>
      <c r="W12" s="374">
        <f>COUNTIF(TabEntrainement[J21],INDEX(ParamPresence[#Data],8))</f>
        <v>0</v>
      </c>
      <c r="X12" s="374">
        <f>COUNTIF(TabEntrainement[J22],INDEX(ParamPresence[#Data],8))</f>
        <v>0</v>
      </c>
      <c r="Y12" s="374">
        <f>COUNTIF(TabEntrainement[J23],INDEX(ParamPresence[#Data],8))</f>
        <v>0</v>
      </c>
      <c r="Z12" s="374">
        <f>COUNTIF(TabEntrainement[J24],INDEX(ParamPresence[#Data],8))</f>
        <v>0</v>
      </c>
      <c r="AA12" s="374">
        <f>COUNTIF(TabEntrainement[J25],INDEX(ParamPresence[#Data],8))</f>
        <v>0</v>
      </c>
      <c r="AB12" s="374">
        <f>COUNTIF(TabEntrainement[J26],INDEX(ParamPresence[#Data],8))</f>
        <v>0</v>
      </c>
      <c r="AC12" s="374">
        <f>COUNTIF(TabEntrainement[J27],INDEX(ParamPresence[#Data],8))</f>
        <v>0</v>
      </c>
      <c r="AD12" s="374">
        <f>COUNTIF(TabEntrainement[J28],INDEX(ParamPresence[#Data],8))</f>
        <v>0</v>
      </c>
      <c r="AE12" s="374">
        <f>COUNTIF(TabEntrainement[J29],INDEX(ParamPresence[#Data],8))</f>
        <v>0</v>
      </c>
      <c r="AF12" s="374">
        <f>COUNTIF(TabEntrainement[J30],INDEX(ParamPresence[#Data],8))</f>
        <v>0</v>
      </c>
    </row>
    <row r="13" spans="2:32" s="44" customFormat="1" ht="15" customHeight="1">
      <c r="B13" s="382" t="str">
        <f>INDEX(ParamPresence[#Data],9)</f>
        <v>Vacances</v>
      </c>
      <c r="C13" s="383">
        <f>COUNTIF(TabEntrainement[J1],INDEX(ParamPresence[#Data],9))</f>
        <v>0</v>
      </c>
      <c r="D13" s="383">
        <f>COUNTIF(TabEntrainement[J2],INDEX(ParamPresence[#Data],9))</f>
        <v>0</v>
      </c>
      <c r="E13" s="383">
        <f>COUNTIF(TabEntrainement[J3],INDEX(ParamPresence[#Data],9))</f>
        <v>4</v>
      </c>
      <c r="F13" s="383">
        <f>COUNTIF(TabEntrainement[J4],INDEX(ParamPresence[#Data],9))</f>
        <v>0</v>
      </c>
      <c r="G13" s="383">
        <f>COUNTIF(TabEntrainement[J5],INDEX(ParamPresence[#Data],9))</f>
        <v>0</v>
      </c>
      <c r="H13" s="383">
        <f>COUNTIF(TabEntrainement[J6],INDEX(ParamPresence[#Data],9))</f>
        <v>0</v>
      </c>
      <c r="I13" s="383">
        <f>COUNTIF(TabEntrainement[J7],INDEX(ParamPresence[#Data],9))</f>
        <v>0</v>
      </c>
      <c r="J13" s="383">
        <f>COUNTIF(TabEntrainement[J8],INDEX(ParamPresence[#Data],9))</f>
        <v>3</v>
      </c>
      <c r="K13" s="383">
        <f>COUNTIF(TabEntrainement[J9],INDEX(ParamPresence[#Data],9))</f>
        <v>10</v>
      </c>
      <c r="L13" s="383">
        <f>COUNTIF(TabEntrainement[J10],INDEX(ParamPresence[#Data],9))</f>
        <v>2</v>
      </c>
      <c r="M13" s="383">
        <f>COUNTIF(TabEntrainement[J11],INDEX(ParamPresence[#Data],9))</f>
        <v>10</v>
      </c>
      <c r="N13" s="383">
        <f>COUNTIF(TabEntrainement[J12],INDEX(ParamPresence[#Data],9))</f>
        <v>5</v>
      </c>
      <c r="O13" s="383">
        <f>COUNTIF(TabEntrainement[J13],INDEX(ParamPresence[#Data],9))</f>
        <v>8</v>
      </c>
      <c r="P13" s="383">
        <f>COUNTIF(TabEntrainement[J14],INDEX(ParamPresence[#Data],9))</f>
        <v>0</v>
      </c>
      <c r="Q13" s="383">
        <f>COUNTIF(TabEntrainement[J15],INDEX(ParamPresence[#Data],9))</f>
        <v>0</v>
      </c>
      <c r="R13" s="383">
        <f>COUNTIF(TabEntrainement[J16],INDEX(ParamPresence[#Data],9))</f>
        <v>0</v>
      </c>
      <c r="S13" s="383">
        <f>COUNTIF(TabEntrainement[J17],INDEX(ParamPresence[#Data],9))</f>
        <v>0</v>
      </c>
      <c r="T13" s="383">
        <f>COUNTIF(TabEntrainement[J18],INDEX(ParamPresence[#Data],9))</f>
        <v>0</v>
      </c>
      <c r="U13" s="383">
        <f>COUNTIF(TabEntrainement[J19],INDEX(ParamPresence[#Data],9))</f>
        <v>15</v>
      </c>
      <c r="V13" s="383">
        <f>COUNTIF(TabEntrainement[J20],INDEX(ParamPresence[#Data],9))</f>
        <v>14</v>
      </c>
      <c r="W13" s="383">
        <f>COUNTIF(TabEntrainement[J21],INDEX(ParamPresence[#Data],9))</f>
        <v>0</v>
      </c>
      <c r="X13" s="383">
        <f>COUNTIF(TabEntrainement[J22],INDEX(ParamPresence[#Data],9))</f>
        <v>0</v>
      </c>
      <c r="Y13" s="383">
        <f>COUNTIF(TabEntrainement[J23],INDEX(ParamPresence[#Data],9))</f>
        <v>0</v>
      </c>
      <c r="Z13" s="383">
        <f>COUNTIF(TabEntrainement[J24],INDEX(ParamPresence[#Data],9))</f>
        <v>0</v>
      </c>
      <c r="AA13" s="383">
        <f>COUNTIF(TabEntrainement[J25],INDEX(ParamPresence[#Data],9))</f>
        <v>0</v>
      </c>
      <c r="AB13" s="383">
        <f>COUNTIF(TabEntrainement[J26],INDEX(ParamPresence[#Data],9))</f>
        <v>0</v>
      </c>
      <c r="AC13" s="383">
        <f>COUNTIF(TabEntrainement[J27],INDEX(ParamPresence[#Data],9))</f>
        <v>0</v>
      </c>
      <c r="AD13" s="383">
        <f>COUNTIF(TabEntrainement[J28],INDEX(ParamPresence[#Data],9))</f>
        <v>0</v>
      </c>
      <c r="AE13" s="383">
        <f>COUNTIF(TabEntrainement[J29],INDEX(ParamPresence[#Data],9))</f>
        <v>0</v>
      </c>
      <c r="AF13" s="383">
        <f>COUNTIF(TabEntrainement[J30],INDEX(ParamPresence[#Data],9))</f>
        <v>0</v>
      </c>
    </row>
    <row r="14" spans="2:32">
      <c r="B14" s="18" t="s">
        <v>471</v>
      </c>
      <c r="C14" s="377">
        <f>C5/COUNTA(TabSeance[N°])</f>
        <v>1</v>
      </c>
      <c r="D14" s="377">
        <f>D5/COUNTA(TabSeance[N°])</f>
        <v>0.75</v>
      </c>
      <c r="E14" s="377">
        <f>E5/COUNTA(TabSeance[N°])</f>
        <v>0.70833333333333337</v>
      </c>
      <c r="F14" s="377">
        <f>F5/COUNTA(TabSeance[N°])</f>
        <v>0.625</v>
      </c>
      <c r="G14" s="377">
        <f>G5/COUNTA(TabSeance[N°])</f>
        <v>0.125</v>
      </c>
      <c r="H14" s="377">
        <f>H5/COUNTA(TabSeance[N°])</f>
        <v>0.75</v>
      </c>
      <c r="I14" s="377">
        <f>I5/COUNTA(TabSeance[N°])</f>
        <v>0.58333333333333337</v>
      </c>
      <c r="J14" s="377">
        <f>J5/COUNTA(TabSeance[N°])</f>
        <v>0.58333333333333337</v>
      </c>
      <c r="K14" s="377">
        <f>K5/COUNTA(TabSeance[N°])</f>
        <v>0.41666666666666669</v>
      </c>
      <c r="L14" s="377">
        <f>L5/COUNTA(TabSeance[N°])</f>
        <v>0.66666666666666663</v>
      </c>
      <c r="M14" s="377">
        <f>M5/COUNTA(TabSeance[N°])</f>
        <v>0.41666666666666669</v>
      </c>
      <c r="N14" s="377">
        <f>N5/COUNTA(TabSeance[N°])</f>
        <v>0.70833333333333337</v>
      </c>
      <c r="O14" s="377">
        <f>O5/COUNTA(TabSeance[N°])</f>
        <v>0.58333333333333337</v>
      </c>
      <c r="P14" s="377">
        <f>P5/COUNTA(TabSeance[N°])</f>
        <v>1</v>
      </c>
      <c r="Q14" s="377">
        <f>Q5/COUNTA(TabSeance[N°])</f>
        <v>1</v>
      </c>
      <c r="R14" s="377">
        <f>R5/COUNTA(TabSeance[N°])</f>
        <v>0.5</v>
      </c>
      <c r="S14" s="377">
        <f>S5/COUNTA(TabSeance[N°])</f>
        <v>0.54166666666666663</v>
      </c>
      <c r="T14" s="377">
        <f>T5/COUNTA(TabSeance[N°])</f>
        <v>0.91666666666666663</v>
      </c>
      <c r="U14" s="377">
        <f>U5/COUNTA(TabSeance[N°])</f>
        <v>0.20833333333333334</v>
      </c>
      <c r="V14" s="377">
        <f>V5/COUNTA(TabSeance[N°])</f>
        <v>0.25</v>
      </c>
      <c r="W14" s="377">
        <f>W5/COUNTA(TabSeance[N°])</f>
        <v>0.875</v>
      </c>
      <c r="X14" s="377">
        <f>X5/COUNTA(TabSeance[N°])</f>
        <v>0</v>
      </c>
      <c r="Y14" s="377">
        <f>Y5/COUNTA(TabSeance[N°])</f>
        <v>0</v>
      </c>
      <c r="Z14" s="377">
        <f>Z5/COUNTA(TabSeance[N°])</f>
        <v>0</v>
      </c>
      <c r="AA14" s="377">
        <f>AA5/COUNTA(TabSeance[N°])</f>
        <v>0</v>
      </c>
      <c r="AB14" s="377">
        <f>AB5/COUNTA(TabSeance[N°])</f>
        <v>0</v>
      </c>
      <c r="AC14" s="377">
        <f>AC5/COUNTA(TabSeance[N°])</f>
        <v>0</v>
      </c>
      <c r="AD14" s="377">
        <f>AD5/COUNTA(TabSeance[N°])</f>
        <v>0</v>
      </c>
      <c r="AE14" s="377">
        <f>AE5/COUNTA(TabSeance[N°])</f>
        <v>0</v>
      </c>
      <c r="AF14" s="377">
        <f>AF5/COUNTA(TabSeance[N°])</f>
        <v>0</v>
      </c>
    </row>
    <row r="15" spans="2:32">
      <c r="B15" s="378" t="s">
        <v>473</v>
      </c>
      <c r="C15" s="379">
        <f>C6/COUNTA(TabSeance[N°])</f>
        <v>0</v>
      </c>
      <c r="D15" s="379">
        <f>D6/COUNTA(TabSeance[N°])</f>
        <v>0.20833333333333334</v>
      </c>
      <c r="E15" s="379">
        <f>E6/COUNTA(TabSeance[N°])</f>
        <v>0</v>
      </c>
      <c r="F15" s="379">
        <f>F6/COUNTA(TabSeance[N°])</f>
        <v>0.33333333333333331</v>
      </c>
      <c r="G15" s="379">
        <f>G6/COUNTA(TabSeance[N°])</f>
        <v>0.83333333333333337</v>
      </c>
      <c r="H15" s="379">
        <f>H6/COUNTA(TabSeance[N°])</f>
        <v>0</v>
      </c>
      <c r="I15" s="379">
        <f>I6/COUNTA(TabSeance[N°])</f>
        <v>0.20833333333333334</v>
      </c>
      <c r="J15" s="379">
        <f>J6/COUNTA(TabSeance[N°])</f>
        <v>0.20833333333333334</v>
      </c>
      <c r="K15" s="379">
        <f>K6/COUNTA(TabSeance[N°])</f>
        <v>0</v>
      </c>
      <c r="L15" s="379">
        <f>L6/COUNTA(TabSeance[N°])</f>
        <v>0</v>
      </c>
      <c r="M15" s="379">
        <f>M6/COUNTA(TabSeance[N°])</f>
        <v>8.3333333333333329E-2</v>
      </c>
      <c r="N15" s="379">
        <f>N6/COUNTA(TabSeance[N°])</f>
        <v>4.1666666666666664E-2</v>
      </c>
      <c r="O15" s="379">
        <f>O6/COUNTA(TabSeance[N°])</f>
        <v>0</v>
      </c>
      <c r="P15" s="379">
        <f>P6/COUNTA(TabSeance[N°])</f>
        <v>0</v>
      </c>
      <c r="Q15" s="379">
        <f>Q6/COUNTA(TabSeance[N°])</f>
        <v>0</v>
      </c>
      <c r="R15" s="379">
        <f>R6/COUNTA(TabSeance[N°])</f>
        <v>0.45833333333333331</v>
      </c>
      <c r="S15" s="379">
        <f>S6/COUNTA(TabSeance[N°])</f>
        <v>0</v>
      </c>
      <c r="T15" s="379">
        <f>T6/COUNTA(TabSeance[N°])</f>
        <v>0</v>
      </c>
      <c r="U15" s="379">
        <f>U6/COUNTA(TabSeance[N°])</f>
        <v>0</v>
      </c>
      <c r="V15" s="379">
        <f>V6/COUNTA(TabSeance[N°])</f>
        <v>0.16666666666666666</v>
      </c>
      <c r="W15" s="379">
        <f>W6/COUNTA(TabSeance[N°])</f>
        <v>0.125</v>
      </c>
      <c r="X15" s="379">
        <f>X6/COUNTA(TabSeance[N°])</f>
        <v>0</v>
      </c>
      <c r="Y15" s="379">
        <f>Y6/COUNTA(TabSeance[N°])</f>
        <v>0</v>
      </c>
      <c r="Z15" s="379">
        <f>Z6/COUNTA(TabSeance[N°])</f>
        <v>0</v>
      </c>
      <c r="AA15" s="379">
        <f>AA6/COUNTA(TabSeance[N°])</f>
        <v>0</v>
      </c>
      <c r="AB15" s="379">
        <f>AB6/COUNTA(TabSeance[N°])</f>
        <v>0</v>
      </c>
      <c r="AC15" s="379">
        <f>AC6/COUNTA(TabSeance[N°])</f>
        <v>0</v>
      </c>
      <c r="AD15" s="379">
        <f>AD6/COUNTA(TabSeance[N°])</f>
        <v>0</v>
      </c>
      <c r="AE15" s="379">
        <f>AE6/COUNTA(TabSeance[N°])</f>
        <v>0</v>
      </c>
      <c r="AF15" s="379">
        <f>AF6/COUNTA(TabSeance[N°])</f>
        <v>0</v>
      </c>
    </row>
    <row r="16" spans="2:32">
      <c r="B16" s="18" t="s">
        <v>472</v>
      </c>
      <c r="C16" s="377">
        <f>SUM(C7:C13)/COUNTA(TabSeance[N°])</f>
        <v>0</v>
      </c>
      <c r="D16" s="377">
        <f>SUM(D7:D13)/COUNTA(TabSeance[N°])</f>
        <v>4.1666666666666664E-2</v>
      </c>
      <c r="E16" s="377">
        <f>SUM(E7:E13)/COUNTA(TabSeance[N°])</f>
        <v>0.29166666666666669</v>
      </c>
      <c r="F16" s="377">
        <f>SUM(F7:F13)/COUNTA(TabSeance[N°])</f>
        <v>4.1666666666666664E-2</v>
      </c>
      <c r="G16" s="377">
        <f>SUM(G7:G13)/COUNTA(TabSeance[N°])</f>
        <v>4.1666666666666664E-2</v>
      </c>
      <c r="H16" s="377">
        <f>SUM(H7:H13)/COUNTA(TabSeance[N°])</f>
        <v>0.25</v>
      </c>
      <c r="I16" s="377">
        <f>SUM(I7:I13)/COUNTA(TabSeance[N°])</f>
        <v>8.3333333333333329E-2</v>
      </c>
      <c r="J16" s="377">
        <f>SUM(J7:J13)/COUNTA(TabSeance[N°])</f>
        <v>0.20833333333333334</v>
      </c>
      <c r="K16" s="377">
        <f>SUM(K7:K13)/COUNTA(TabSeance[N°])</f>
        <v>0.58333333333333337</v>
      </c>
      <c r="L16" s="377">
        <f>SUM(L7:L13)/COUNTA(TabSeance[N°])</f>
        <v>0.33333333333333331</v>
      </c>
      <c r="M16" s="377">
        <f>SUM(M7:M13)/COUNTA(TabSeance[N°])</f>
        <v>0.5</v>
      </c>
      <c r="N16" s="377">
        <f>SUM(N7:N13)/COUNTA(TabSeance[N°])</f>
        <v>0.25</v>
      </c>
      <c r="O16" s="377">
        <f>SUM(O7:O13)/COUNTA(TabSeance[N°])</f>
        <v>0.41666666666666669</v>
      </c>
      <c r="P16" s="377">
        <f>SUM(P7:P13)/COUNTA(TabSeance[N°])</f>
        <v>0</v>
      </c>
      <c r="Q16" s="377">
        <f>SUM(Q7:Q13)/COUNTA(TabSeance[N°])</f>
        <v>0</v>
      </c>
      <c r="R16" s="377">
        <f>SUM(R7:R13)/COUNTA(TabSeance[N°])</f>
        <v>4.1666666666666664E-2</v>
      </c>
      <c r="S16" s="377">
        <f>SUM(S7:S13)/COUNTA(TabSeance[N°])</f>
        <v>0.45833333333333331</v>
      </c>
      <c r="T16" s="377">
        <f>SUM(T7:T13)/COUNTA(TabSeance[N°])</f>
        <v>8.3333333333333329E-2</v>
      </c>
      <c r="U16" s="377">
        <f>SUM(U7:U13)/COUNTA(TabSeance[N°])</f>
        <v>0.79166666666666663</v>
      </c>
      <c r="V16" s="377">
        <f>SUM(V7:V13)/COUNTA(TabSeance[N°])</f>
        <v>0.58333333333333337</v>
      </c>
      <c r="W16" s="377">
        <f>SUM(W7:W13)/COUNTA(TabSeance[N°])</f>
        <v>0</v>
      </c>
      <c r="X16" s="377">
        <f>SUM(X7:X13)/COUNTA(TabSeance[N°])</f>
        <v>0</v>
      </c>
      <c r="Y16" s="377">
        <f>SUM(Y7:Y13)/COUNTA(TabSeance[N°])</f>
        <v>0</v>
      </c>
      <c r="Z16" s="377">
        <f>SUM(Z7:Z13)/COUNTA(TabSeance[N°])</f>
        <v>0</v>
      </c>
      <c r="AA16" s="377">
        <f>SUM(AA7:AA13)/COUNTA(TabSeance[N°])</f>
        <v>0</v>
      </c>
      <c r="AB16" s="377">
        <f>SUM(AB7:AB13)/COUNTA(TabSeance[N°])</f>
        <v>0</v>
      </c>
      <c r="AC16" s="377">
        <f>SUM(AC7:AC13)/COUNTA(TabSeance[N°])</f>
        <v>0</v>
      </c>
      <c r="AD16" s="377">
        <f>SUM(AD7:AD13)/COUNTA(TabSeance[N°])</f>
        <v>0</v>
      </c>
      <c r="AE16" s="377">
        <f>SUM(AE7:AE13)/COUNTA(TabSeance[N°])</f>
        <v>0</v>
      </c>
      <c r="AF16" s="377">
        <f>SUM(AF7:AF13)/COUNTA(TabSeance[N°])</f>
        <v>0</v>
      </c>
    </row>
  </sheetData>
  <pageMargins left="0.7" right="0.7" top="0.75" bottom="0.75" header="0.3" footer="0.3"/>
  <drawing r:id="rId1"/>
  <legacyDrawing r:id="rId2"/>
  <mc:AlternateContent xmlns:mc="http://schemas.openxmlformats.org/markup-compatibility/2006">
    <mc:Choice Requires="x14">
      <controls>
        <mc:AlternateContent xmlns:mc="http://schemas.openxmlformats.org/markup-compatibility/2006">
          <mc:Choice Requires="x14">
            <control shapeId="3075" r:id="rId3" name="Button 3">
              <controlPr defaultSize="0" print="0" autoFill="0" autoPict="0" macro="[0]!CloseOnglet">
                <anchor moveWithCells="1" sizeWithCells="1">
                  <from>
                    <xdr:col>23</xdr:col>
                    <xdr:colOff>161925</xdr:colOff>
                    <xdr:row>1</xdr:row>
                    <xdr:rowOff>0</xdr:rowOff>
                  </from>
                  <to>
                    <xdr:col>26</xdr:col>
                    <xdr:colOff>9525</xdr:colOff>
                    <xdr:row>1</xdr:row>
                    <xdr:rowOff>381000</xdr:rowOff>
                  </to>
                </anchor>
              </controlPr>
            </control>
          </mc:Choice>
        </mc:AlternateContent>
      </controls>
    </mc:Choice>
  </mc:AlternateContent>
  <tableParts count="1">
    <tablePart r:id="rId4"/>
  </tableParts>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96D4487-5232-4C35-B828-E476C8E809AA}">
  <sheetPr codeName="Feuil25">
    <tabColor rgb="FF0070C0"/>
  </sheetPr>
  <dimension ref="B1:AJ37"/>
  <sheetViews>
    <sheetView showGridLines="0" workbookViewId="0">
      <selection activeCell="T2" sqref="T2"/>
    </sheetView>
  </sheetViews>
  <sheetFormatPr baseColWidth="10" defaultRowHeight="12.75"/>
  <cols>
    <col min="1" max="1" width="3.140625" customWidth="1"/>
    <col min="2" max="2" width="10.5703125" customWidth="1"/>
    <col min="3" max="3" width="10.85546875" hidden="1" customWidth="1"/>
    <col min="4" max="4" width="0" hidden="1" customWidth="1"/>
    <col min="5" max="5" width="9.42578125" customWidth="1"/>
    <col min="6" max="6" width="10" customWidth="1"/>
  </cols>
  <sheetData>
    <row r="1" spans="2:36" s="256" customFormat="1" ht="16.5" customHeight="1"/>
    <row r="2" spans="2:36" s="256" customFormat="1" ht="31.5" customHeight="1">
      <c r="B2" s="55" t="s">
        <v>492</v>
      </c>
      <c r="C2" s="55"/>
      <c r="D2" s="55"/>
      <c r="E2" s="55"/>
      <c r="F2" s="55"/>
      <c r="W2" s="257"/>
    </row>
    <row r="3" spans="2:36" s="256" customFormat="1" ht="16.5" customHeight="1"/>
    <row r="4" spans="2:36" s="256" customFormat="1" ht="30" customHeight="1" thickBot="1">
      <c r="B4" s="401" t="s">
        <v>491</v>
      </c>
      <c r="C4" s="401" t="s">
        <v>488</v>
      </c>
      <c r="D4" s="401" t="s">
        <v>489</v>
      </c>
      <c r="E4" s="401" t="s">
        <v>487</v>
      </c>
      <c r="F4" s="401" t="s">
        <v>474</v>
      </c>
      <c r="G4" s="402" t="s">
        <v>350</v>
      </c>
      <c r="H4" s="402" t="s">
        <v>360</v>
      </c>
      <c r="I4" s="402" t="s">
        <v>361</v>
      </c>
      <c r="J4" s="402" t="s">
        <v>366</v>
      </c>
      <c r="K4" s="402" t="s">
        <v>370</v>
      </c>
      <c r="L4" s="402" t="s">
        <v>373</v>
      </c>
      <c r="M4" s="402" t="s">
        <v>379</v>
      </c>
      <c r="N4" s="402" t="s">
        <v>383</v>
      </c>
      <c r="O4" s="402" t="s">
        <v>387</v>
      </c>
      <c r="P4" s="402" t="s">
        <v>393</v>
      </c>
      <c r="Q4" s="402" t="s">
        <v>394</v>
      </c>
      <c r="R4" s="402" t="s">
        <v>395</v>
      </c>
      <c r="S4" s="402" t="s">
        <v>399</v>
      </c>
      <c r="T4" s="402" t="s">
        <v>407</v>
      </c>
      <c r="U4" s="402" t="s">
        <v>408</v>
      </c>
      <c r="V4" s="402" t="s">
        <v>411</v>
      </c>
      <c r="W4" s="402" t="s">
        <v>418</v>
      </c>
      <c r="X4" s="402" t="s">
        <v>424</v>
      </c>
      <c r="Y4" s="402" t="s">
        <v>429</v>
      </c>
      <c r="Z4" s="402" t="s">
        <v>436</v>
      </c>
      <c r="AA4" s="402" t="s">
        <v>446</v>
      </c>
      <c r="AB4" s="402" t="s">
        <v>54</v>
      </c>
      <c r="AC4" s="402" t="s">
        <v>55</v>
      </c>
      <c r="AD4" s="402" t="s">
        <v>56</v>
      </c>
      <c r="AE4" s="402" t="s">
        <v>57</v>
      </c>
      <c r="AF4" s="402" t="s">
        <v>58</v>
      </c>
      <c r="AG4" s="402" t="s">
        <v>59</v>
      </c>
      <c r="AH4" s="402" t="s">
        <v>60</v>
      </c>
      <c r="AI4" s="402" t="s">
        <v>61</v>
      </c>
      <c r="AJ4" s="402" t="s">
        <v>62</v>
      </c>
    </row>
    <row r="5" spans="2:36" s="44" customFormat="1" ht="15" customHeight="1">
      <c r="B5" s="545" t="s">
        <v>478</v>
      </c>
      <c r="C5" s="547">
        <f>DATE(Paramétres!$L$19,8,1)</f>
        <v>43313</v>
      </c>
      <c r="D5" s="547">
        <f>DATE(Paramétres!$L$19,8,31)</f>
        <v>43343</v>
      </c>
      <c r="E5" s="543">
        <f>IF(ISERROR(GETPIVOTDATA("N°",'TDC Nb Tranningg'!$A$3,"Mois",8)),0,GETPIVOTDATA("N°",'TDC Nb Tranningg'!$A$3,"Mois",8))</f>
        <v>18</v>
      </c>
      <c r="F5" s="409" t="s">
        <v>10</v>
      </c>
      <c r="G5" s="410">
        <f>COUNTIFS(TabEntrainement[J1],"Présent",TabEntrainement[Seance],"&gt;="&amp;C5,TabEntrainement[Seance],"&lt;="&amp;D5)</f>
        <v>18</v>
      </c>
      <c r="H5" s="410">
        <f>COUNTIFS(TabEntrainement[J2],"Présent",TabEntrainement[Seance],"&gt;="&amp;'Bilan Entrainement - Mensuel'!$C5,TabEntrainement[Seance],"&lt;="&amp;'Bilan Entrainement - Mensuel'!$D5)</f>
        <v>15</v>
      </c>
      <c r="I5" s="410">
        <f>COUNTIFS(TabEntrainement[J3],"Présent",TabEntrainement[Seance],"&gt;="&amp;'Bilan Entrainement - Mensuel'!$C5,TabEntrainement[Seance],"&lt;="&amp;'Bilan Entrainement - Mensuel'!$D5)</f>
        <v>12</v>
      </c>
      <c r="J5" s="410">
        <f>COUNTIFS(TabEntrainement[J4],"Présent",TabEntrainement[Seance],"&gt;="&amp;'Bilan Entrainement - Mensuel'!$C5,TabEntrainement[Seance],"&lt;="&amp;'Bilan Entrainement - Mensuel'!$D5)</f>
        <v>12</v>
      </c>
      <c r="K5" s="410">
        <f>COUNTIFS(TabEntrainement[J5],"Présent",TabEntrainement[Seance],"&gt;="&amp;'Bilan Entrainement - Mensuel'!$C5,TabEntrainement[Seance],"&lt;="&amp;'Bilan Entrainement - Mensuel'!$D5)</f>
        <v>2</v>
      </c>
      <c r="L5" s="410">
        <f>COUNTIFS(TabEntrainement[J6],"Présent",TabEntrainement[Seance],"&gt;="&amp;'Bilan Entrainement - Mensuel'!$C5,TabEntrainement[Seance],"&lt;="&amp;'Bilan Entrainement - Mensuel'!$D5)</f>
        <v>16</v>
      </c>
      <c r="M5" s="410">
        <f>COUNTIFS(TabEntrainement[J7],"Présent",TabEntrainement[Seance],"&gt;="&amp;'Bilan Entrainement - Mensuel'!$C5,TabEntrainement[Seance],"&lt;="&amp;'Bilan Entrainement - Mensuel'!$D5)</f>
        <v>12</v>
      </c>
      <c r="N5" s="410">
        <f>COUNTIFS(TabEntrainement[J8],"Présent",TabEntrainement[Seance],"&gt;="&amp;'Bilan Entrainement - Mensuel'!$C5,TabEntrainement[Seance],"&lt;="&amp;'Bilan Entrainement - Mensuel'!$D5)</f>
        <v>10</v>
      </c>
      <c r="O5" s="410">
        <f>COUNTIFS(TabEntrainement[J9],"Présent",TabEntrainement[Seance],"&gt;="&amp;'Bilan Entrainement - Mensuel'!$C5,TabEntrainement[Seance],"&lt;="&amp;'Bilan Entrainement - Mensuel'!$D5)</f>
        <v>6</v>
      </c>
      <c r="P5" s="410">
        <f>COUNTIFS(TabEntrainement[J10],"Présent",TabEntrainement[Seance],"&gt;="&amp;'Bilan Entrainement - Mensuel'!$C5,TabEntrainement[Seance],"&lt;="&amp;'Bilan Entrainement - Mensuel'!$D5)</f>
        <v>12</v>
      </c>
      <c r="Q5" s="410">
        <f>COUNTIFS(TabEntrainement[J11],"Présent",TabEntrainement[Seance],"&gt;="&amp;'Bilan Entrainement - Mensuel'!$C5,TabEntrainement[Seance],"&lt;="&amp;'Bilan Entrainement - Mensuel'!$D5)</f>
        <v>6</v>
      </c>
      <c r="R5" s="410">
        <f>COUNTIFS(TabEntrainement[J12],"Présent",TabEntrainement[Seance],"&gt;="&amp;'Bilan Entrainement - Mensuel'!$C5,TabEntrainement[Seance],"&lt;="&amp;'Bilan Entrainement - Mensuel'!$D5)</f>
        <v>12</v>
      </c>
      <c r="S5" s="410">
        <f>COUNTIFS(TabEntrainement[J13],"Présent",TabEntrainement[Seance],"&gt;="&amp;'Bilan Entrainement - Mensuel'!$C5,TabEntrainement[Seance],"&lt;="&amp;'Bilan Entrainement - Mensuel'!$D5)</f>
        <v>8</v>
      </c>
      <c r="T5" s="410">
        <f>COUNTIFS(TabEntrainement[J14],"Présent",TabEntrainement[Seance],"&gt;="&amp;'Bilan Entrainement - Mensuel'!$C5,TabEntrainement[Seance],"&lt;="&amp;'Bilan Entrainement - Mensuel'!$D5)</f>
        <v>18</v>
      </c>
      <c r="U5" s="410">
        <f>COUNTIFS(TabEntrainement[J15],"Présent",TabEntrainement[Seance],"&gt;="&amp;'Bilan Entrainement - Mensuel'!$C5,TabEntrainement[Seance],"&lt;="&amp;'Bilan Entrainement - Mensuel'!$D5)</f>
        <v>18</v>
      </c>
      <c r="V5" s="410">
        <f>COUNTIFS(TabEntrainement[J16],"Présent",TabEntrainement[Seance],"&gt;="&amp;'Bilan Entrainement - Mensuel'!$C5,TabEntrainement[Seance],"&lt;="&amp;'Bilan Entrainement - Mensuel'!$D5)</f>
        <v>8</v>
      </c>
      <c r="W5" s="410">
        <f>COUNTIFS(TabEntrainement[J17],"Présent",TabEntrainement[Seance],"&gt;="&amp;'Bilan Entrainement - Mensuel'!$C5,TabEntrainement[Seance],"&lt;="&amp;'Bilan Entrainement - Mensuel'!$D5)</f>
        <v>10</v>
      </c>
      <c r="X5" s="410">
        <f>COUNTIFS(TabEntrainement[J18],"Présent",TabEntrainement[Seance],"&gt;="&amp;'Bilan Entrainement - Mensuel'!$C5,TabEntrainement[Seance],"&lt;="&amp;'Bilan Entrainement - Mensuel'!$D5)</f>
        <v>17</v>
      </c>
      <c r="Y5" s="410">
        <f>COUNTIFS(TabEntrainement[J19],"Présent",TabEntrainement[Seance],"&gt;="&amp;'Bilan Entrainement - Mensuel'!$C5,TabEntrainement[Seance],"&lt;="&amp;'Bilan Entrainement - Mensuel'!$D5)</f>
        <v>3</v>
      </c>
      <c r="Z5" s="410">
        <f>COUNTIFS(TabEntrainement[J20],"Présent",TabEntrainement[Seance],"&gt;="&amp;'Bilan Entrainement - Mensuel'!$C5,TabEntrainement[Seance],"&lt;="&amp;'Bilan Entrainement - Mensuel'!$D5)</f>
        <v>0</v>
      </c>
      <c r="AA5" s="410">
        <f>COUNTIFS(TabEntrainement[J21],"Présent",TabEntrainement[Seance],"&gt;="&amp;'Bilan Entrainement - Mensuel'!$C5,TabEntrainement[Seance],"&lt;="&amp;'Bilan Entrainement - Mensuel'!$D5)</f>
        <v>18</v>
      </c>
      <c r="AB5" s="410">
        <f>COUNTIFS(TabEntrainement[J22],"Présent",TabEntrainement[Seance],"&gt;="&amp;'Bilan Entrainement - Mensuel'!$C5,TabEntrainement[Seance],"&lt;="&amp;'Bilan Entrainement - Mensuel'!$D5)</f>
        <v>0</v>
      </c>
      <c r="AC5" s="410">
        <f>COUNTIFS(TabEntrainement[J23],"Présent",TabEntrainement[Seance],"&gt;="&amp;'Bilan Entrainement - Mensuel'!$C5,TabEntrainement[Seance],"&lt;="&amp;'Bilan Entrainement - Mensuel'!$D5)</f>
        <v>0</v>
      </c>
      <c r="AD5" s="410">
        <f>COUNTIFS(TabEntrainement[J24],"Présent",TabEntrainement[Seance],"&gt;="&amp;'Bilan Entrainement - Mensuel'!$C5,TabEntrainement[Seance],"&lt;="&amp;'Bilan Entrainement - Mensuel'!$D5)</f>
        <v>0</v>
      </c>
      <c r="AE5" s="410">
        <f>COUNTIFS(TabEntrainement[J25],"Présent",TabEntrainement[Seance],"&gt;="&amp;'Bilan Entrainement - Mensuel'!$C5,TabEntrainement[Seance],"&lt;="&amp;'Bilan Entrainement - Mensuel'!$D5)</f>
        <v>0</v>
      </c>
      <c r="AF5" s="410">
        <f>COUNTIFS(TabEntrainement[J26],"Présent",TabEntrainement[Seance],"&gt;="&amp;'Bilan Entrainement - Mensuel'!$C5,TabEntrainement[Seance],"&lt;="&amp;'Bilan Entrainement - Mensuel'!$D5)</f>
        <v>0</v>
      </c>
      <c r="AG5" s="410">
        <f>COUNTIFS(TabEntrainement[J27],"Présent",TabEntrainement[Seance],"&gt;="&amp;'Bilan Entrainement - Mensuel'!$C5,TabEntrainement[Seance],"&lt;="&amp;'Bilan Entrainement - Mensuel'!$D5)</f>
        <v>0</v>
      </c>
      <c r="AH5" s="410">
        <f>COUNTIFS(TabEntrainement[J28],"Présent",TabEntrainement[Seance],"&gt;="&amp;'Bilan Entrainement - Mensuel'!$C5,TabEntrainement[Seance],"&lt;="&amp;'Bilan Entrainement - Mensuel'!$D5)</f>
        <v>0</v>
      </c>
      <c r="AI5" s="410">
        <f>COUNTIFS(TabEntrainement[J29],"Présent",TabEntrainement[Seance],"&gt;="&amp;'Bilan Entrainement - Mensuel'!$C5,TabEntrainement[Seance],"&lt;="&amp;'Bilan Entrainement - Mensuel'!$D5)</f>
        <v>0</v>
      </c>
      <c r="AJ5" s="410">
        <f>COUNTIFS(TabEntrainement[J30],"Présent",TabEntrainement[Seance],"&gt;="&amp;'Bilan Entrainement - Mensuel'!$C5,TabEntrainement[Seance],"&lt;="&amp;'Bilan Entrainement - Mensuel'!$D5)</f>
        <v>0</v>
      </c>
    </row>
    <row r="6" spans="2:36" s="44" customFormat="1" ht="15" customHeight="1">
      <c r="B6" s="546"/>
      <c r="C6" s="548"/>
      <c r="D6" s="548"/>
      <c r="E6" s="544"/>
      <c r="F6" s="403" t="s">
        <v>18</v>
      </c>
      <c r="G6" s="404">
        <f>COUNTIFS(TabEntrainement[J1],"Absent",TabEntrainement[Seance],"&gt;="&amp;C5,TabEntrainement[Seance],"&lt;="&amp;D5)</f>
        <v>0</v>
      </c>
      <c r="H6" s="404">
        <f>COUNTIFS(TabEntrainement[J2],"Absent",TabEntrainement[Seance],"&gt;="&amp;'Bilan Entrainement - Mensuel'!$C5,TabEntrainement[Seance],"&lt;="&amp;'Bilan Entrainement - Mensuel'!$D5)</f>
        <v>2</v>
      </c>
      <c r="I6" s="404">
        <f>COUNTIFS(TabEntrainement[J3],"Absent",TabEntrainement[Seance],"&gt;="&amp;'Bilan Entrainement - Mensuel'!$C5,TabEntrainement[Seance],"&lt;="&amp;'Bilan Entrainement - Mensuel'!$D5)</f>
        <v>0</v>
      </c>
      <c r="J6" s="404">
        <f>COUNTIFS(TabEntrainement[J4],"Absent",TabEntrainement[Seance],"&gt;="&amp;'Bilan Entrainement - Mensuel'!$C5,TabEntrainement[Seance],"&lt;="&amp;'Bilan Entrainement - Mensuel'!$D5)</f>
        <v>6</v>
      </c>
      <c r="K6" s="404">
        <f>COUNTIFS(TabEntrainement[J5],"Absent",TabEntrainement[Seance],"&gt;="&amp;'Bilan Entrainement - Mensuel'!$C5,TabEntrainement[Seance],"&lt;="&amp;'Bilan Entrainement - Mensuel'!$D5)</f>
        <v>15</v>
      </c>
      <c r="L6" s="404">
        <f>COUNTIFS(TabEntrainement[J6],"Absent",TabEntrainement[Seance],"&gt;="&amp;'Bilan Entrainement - Mensuel'!$C5,TabEntrainement[Seance],"&lt;="&amp;'Bilan Entrainement - Mensuel'!$D5)</f>
        <v>0</v>
      </c>
      <c r="M6" s="404">
        <f>COUNTIFS(TabEntrainement[J7],"Absent",TabEntrainement[Seance],"&gt;="&amp;'Bilan Entrainement - Mensuel'!$C5,TabEntrainement[Seance],"&lt;="&amp;'Bilan Entrainement - Mensuel'!$D5)</f>
        <v>4</v>
      </c>
      <c r="N6" s="404">
        <f>COUNTIFS(TabEntrainement[J8],"Absent",TabEntrainement[Seance],"&gt;="&amp;'Bilan Entrainement - Mensuel'!$C5,TabEntrainement[Seance],"&lt;="&amp;'Bilan Entrainement - Mensuel'!$D5)</f>
        <v>4</v>
      </c>
      <c r="O6" s="404">
        <f>COUNTIFS(TabEntrainement[J9],"Absent",TabEntrainement[Seance],"&gt;="&amp;'Bilan Entrainement - Mensuel'!$C5,TabEntrainement[Seance],"&lt;="&amp;'Bilan Entrainement - Mensuel'!$D5)</f>
        <v>0</v>
      </c>
      <c r="P6" s="404">
        <f>COUNTIFS(TabEntrainement[J10],"Absent",TabEntrainement[Seance],"&gt;="&amp;'Bilan Entrainement - Mensuel'!$C5,TabEntrainement[Seance],"&lt;="&amp;'Bilan Entrainement - Mensuel'!$D5)</f>
        <v>0</v>
      </c>
      <c r="Q6" s="404">
        <f>COUNTIFS(TabEntrainement[J11],"Absent",TabEntrainement[Seance],"&gt;="&amp;'Bilan Entrainement - Mensuel'!$C5,TabEntrainement[Seance],"&lt;="&amp;'Bilan Entrainement - Mensuel'!$D5)</f>
        <v>1</v>
      </c>
      <c r="R6" s="404">
        <f>COUNTIFS(TabEntrainement[J12],"Absent",TabEntrainement[Seance],"&gt;="&amp;'Bilan Entrainement - Mensuel'!$C5,TabEntrainement[Seance],"&lt;="&amp;'Bilan Entrainement - Mensuel'!$D5)</f>
        <v>1</v>
      </c>
      <c r="S6" s="404">
        <f>COUNTIFS(TabEntrainement[J13],"Absent",TabEntrainement[Seance],"&gt;="&amp;'Bilan Entrainement - Mensuel'!$C5,TabEntrainement[Seance],"&lt;="&amp;'Bilan Entrainement - Mensuel'!$D5)</f>
        <v>0</v>
      </c>
      <c r="T6" s="404">
        <f>COUNTIFS(TabEntrainement[J14],"Absent",TabEntrainement[Seance],"&gt;="&amp;'Bilan Entrainement - Mensuel'!$C5,TabEntrainement[Seance],"&lt;="&amp;'Bilan Entrainement - Mensuel'!$D5)</f>
        <v>0</v>
      </c>
      <c r="U6" s="404">
        <f>COUNTIFS(TabEntrainement[J15],"Absent",TabEntrainement[Seance],"&gt;="&amp;'Bilan Entrainement - Mensuel'!$C5,TabEntrainement[Seance],"&lt;="&amp;'Bilan Entrainement - Mensuel'!$D5)</f>
        <v>0</v>
      </c>
      <c r="V6" s="404">
        <f>COUNTIFS(TabEntrainement[J16],"Absent",TabEntrainement[Seance],"&gt;="&amp;'Bilan Entrainement - Mensuel'!$C5,TabEntrainement[Seance],"&lt;="&amp;'Bilan Entrainement - Mensuel'!$D5)</f>
        <v>10</v>
      </c>
      <c r="W6" s="404">
        <f>COUNTIFS(TabEntrainement[J17],"Absent",TabEntrainement[Seance],"&gt;="&amp;'Bilan Entrainement - Mensuel'!$C5,TabEntrainement[Seance],"&lt;="&amp;'Bilan Entrainement - Mensuel'!$D5)</f>
        <v>0</v>
      </c>
      <c r="X6" s="404">
        <f>COUNTIFS(TabEntrainement[J18],"Absent",TabEntrainement[Seance],"&gt;="&amp;'Bilan Entrainement - Mensuel'!$C5,TabEntrainement[Seance],"&lt;="&amp;'Bilan Entrainement - Mensuel'!$D5)</f>
        <v>0</v>
      </c>
      <c r="Y6" s="404">
        <f>COUNTIFS(TabEntrainement[J19],"Absent",TabEntrainement[Seance],"&gt;="&amp;'Bilan Entrainement - Mensuel'!$C5,TabEntrainement[Seance],"&lt;="&amp;'Bilan Entrainement - Mensuel'!$D5)</f>
        <v>0</v>
      </c>
      <c r="Z6" s="404">
        <f>COUNTIFS(TabEntrainement[J20],"Absent",TabEntrainement[Seance],"&gt;="&amp;'Bilan Entrainement - Mensuel'!$C5,TabEntrainement[Seance],"&lt;="&amp;'Bilan Entrainement - Mensuel'!$D5)</f>
        <v>4</v>
      </c>
      <c r="AA6" s="404">
        <f>COUNTIFS(TabEntrainement[J21],"Absent",TabEntrainement[Seance],"&gt;="&amp;'Bilan Entrainement - Mensuel'!$C5,TabEntrainement[Seance],"&lt;="&amp;'Bilan Entrainement - Mensuel'!$D5)</f>
        <v>0</v>
      </c>
      <c r="AB6" s="404">
        <f>COUNTIFS(TabEntrainement[J22],"Absent",TabEntrainement[Seance],"&gt;="&amp;'Bilan Entrainement - Mensuel'!$C5,TabEntrainement[Seance],"&lt;="&amp;'Bilan Entrainement - Mensuel'!$D5)</f>
        <v>0</v>
      </c>
      <c r="AC6" s="404">
        <f>COUNTIFS(TabEntrainement[J23],"Absent",TabEntrainement[Seance],"&gt;="&amp;'Bilan Entrainement - Mensuel'!$C5,TabEntrainement[Seance],"&lt;="&amp;'Bilan Entrainement - Mensuel'!$D5)</f>
        <v>0</v>
      </c>
      <c r="AD6" s="404">
        <f>COUNTIFS(TabEntrainement[J24],"Absent",TabEntrainement[Seance],"&gt;="&amp;'Bilan Entrainement - Mensuel'!$C5,TabEntrainement[Seance],"&lt;="&amp;'Bilan Entrainement - Mensuel'!$D5)</f>
        <v>0</v>
      </c>
      <c r="AE6" s="404">
        <f>COUNTIFS(TabEntrainement[J25],"Absent",TabEntrainement[Seance],"&gt;="&amp;'Bilan Entrainement - Mensuel'!$C5,TabEntrainement[Seance],"&lt;="&amp;'Bilan Entrainement - Mensuel'!$D5)</f>
        <v>0</v>
      </c>
      <c r="AF6" s="404">
        <f>COUNTIFS(TabEntrainement[J26],"Absent",TabEntrainement[Seance],"&gt;="&amp;'Bilan Entrainement - Mensuel'!$C5,TabEntrainement[Seance],"&lt;="&amp;'Bilan Entrainement - Mensuel'!$D5)</f>
        <v>0</v>
      </c>
      <c r="AG6" s="404">
        <f>COUNTIFS(TabEntrainement[J27],"Absent",TabEntrainement[Seance],"&gt;="&amp;'Bilan Entrainement - Mensuel'!$C5,TabEntrainement[Seance],"&lt;="&amp;'Bilan Entrainement - Mensuel'!$D5)</f>
        <v>0</v>
      </c>
      <c r="AH6" s="404">
        <f>COUNTIFS(TabEntrainement[J28],"Absent",TabEntrainement[Seance],"&gt;="&amp;'Bilan Entrainement - Mensuel'!$C5,TabEntrainement[Seance],"&lt;="&amp;'Bilan Entrainement - Mensuel'!$D5)</f>
        <v>0</v>
      </c>
      <c r="AI6" s="404">
        <f>COUNTIFS(TabEntrainement[J29],"Absent",TabEntrainement[Seance],"&gt;="&amp;'Bilan Entrainement - Mensuel'!$C5,TabEntrainement[Seance],"&lt;="&amp;'Bilan Entrainement - Mensuel'!$D5)</f>
        <v>0</v>
      </c>
      <c r="AJ6" s="404">
        <f>COUNTIFS(TabEntrainement[J30],"Absent",TabEntrainement[Seance],"&gt;="&amp;'Bilan Entrainement - Mensuel'!$C5,TabEntrainement[Seance],"&lt;="&amp;'Bilan Entrainement - Mensuel'!$D5)</f>
        <v>0</v>
      </c>
    </row>
    <row r="7" spans="2:36" s="44" customFormat="1" ht="15" customHeight="1">
      <c r="B7" s="546"/>
      <c r="C7" s="548"/>
      <c r="D7" s="548"/>
      <c r="E7" s="544"/>
      <c r="F7" s="403" t="s">
        <v>44</v>
      </c>
      <c r="G7" s="404">
        <f t="shared" ref="G7:AJ7" si="0">$E$5-G5-G6</f>
        <v>0</v>
      </c>
      <c r="H7" s="404">
        <f t="shared" si="0"/>
        <v>1</v>
      </c>
      <c r="I7" s="404">
        <f t="shared" si="0"/>
        <v>6</v>
      </c>
      <c r="J7" s="404">
        <f t="shared" si="0"/>
        <v>0</v>
      </c>
      <c r="K7" s="404">
        <f t="shared" si="0"/>
        <v>1</v>
      </c>
      <c r="L7" s="404">
        <f t="shared" si="0"/>
        <v>2</v>
      </c>
      <c r="M7" s="404">
        <f t="shared" si="0"/>
        <v>2</v>
      </c>
      <c r="N7" s="404">
        <f t="shared" si="0"/>
        <v>4</v>
      </c>
      <c r="O7" s="404">
        <f t="shared" si="0"/>
        <v>12</v>
      </c>
      <c r="P7" s="404">
        <f t="shared" si="0"/>
        <v>6</v>
      </c>
      <c r="Q7" s="404">
        <f t="shared" si="0"/>
        <v>11</v>
      </c>
      <c r="R7" s="404">
        <f t="shared" si="0"/>
        <v>5</v>
      </c>
      <c r="S7" s="404">
        <f t="shared" si="0"/>
        <v>10</v>
      </c>
      <c r="T7" s="404">
        <f t="shared" si="0"/>
        <v>0</v>
      </c>
      <c r="U7" s="404">
        <f t="shared" si="0"/>
        <v>0</v>
      </c>
      <c r="V7" s="404">
        <f t="shared" si="0"/>
        <v>0</v>
      </c>
      <c r="W7" s="404">
        <f t="shared" si="0"/>
        <v>8</v>
      </c>
      <c r="X7" s="404">
        <f t="shared" si="0"/>
        <v>1</v>
      </c>
      <c r="Y7" s="404">
        <f t="shared" si="0"/>
        <v>15</v>
      </c>
      <c r="Z7" s="404">
        <f t="shared" si="0"/>
        <v>14</v>
      </c>
      <c r="AA7" s="404">
        <f t="shared" si="0"/>
        <v>0</v>
      </c>
      <c r="AB7" s="404">
        <f t="shared" si="0"/>
        <v>18</v>
      </c>
      <c r="AC7" s="404">
        <f t="shared" si="0"/>
        <v>18</v>
      </c>
      <c r="AD7" s="404">
        <f t="shared" si="0"/>
        <v>18</v>
      </c>
      <c r="AE7" s="404">
        <f t="shared" si="0"/>
        <v>18</v>
      </c>
      <c r="AF7" s="404">
        <f t="shared" si="0"/>
        <v>18</v>
      </c>
      <c r="AG7" s="404">
        <f t="shared" si="0"/>
        <v>18</v>
      </c>
      <c r="AH7" s="404">
        <f t="shared" si="0"/>
        <v>18</v>
      </c>
      <c r="AI7" s="404">
        <f t="shared" si="0"/>
        <v>18</v>
      </c>
      <c r="AJ7" s="404">
        <f t="shared" si="0"/>
        <v>18</v>
      </c>
    </row>
    <row r="8" spans="2:36" s="44" customFormat="1" ht="15" customHeight="1">
      <c r="B8" s="549" t="s">
        <v>453</v>
      </c>
      <c r="C8" s="550">
        <f>DATE(Paramétres!$L$19,9,1)</f>
        <v>43344</v>
      </c>
      <c r="D8" s="550">
        <f>DATE(Paramétres!$L$19,9,30)</f>
        <v>43373</v>
      </c>
      <c r="E8" s="543">
        <f>IF(ISERROR(GETPIVOTDATA("N°",'TDC Nb Tranningg'!$A$3,"Mois",9)),0,GETPIVOTDATA("N°",'TDC Nb Tranningg'!$A$3,"Mois",9))</f>
        <v>6</v>
      </c>
      <c r="F8" s="405" t="s">
        <v>10</v>
      </c>
      <c r="G8" s="406">
        <f>COUNTIFS(TabEntrainement[J1],"Présent",TabEntrainement[Seance],"&gt;="&amp;C8,TabEntrainement[Seance],"&lt;="&amp;D8)</f>
        <v>6</v>
      </c>
      <c r="H8" s="406">
        <f>COUNTIFS(TabEntrainement[J2],"Présent",TabEntrainement[Seance],"&gt;="&amp;'Bilan Entrainement - Mensuel'!$C8,TabEntrainement[Seance],"&lt;="&amp;'Bilan Entrainement - Mensuel'!$D8)</f>
        <v>3</v>
      </c>
      <c r="I8" s="406">
        <f>COUNTIFS(TabEntrainement[J3],"Présent",TabEntrainement[Seance],"&gt;="&amp;'Bilan Entrainement - Mensuel'!$C8,TabEntrainement[Seance],"&lt;="&amp;'Bilan Entrainement - Mensuel'!$D8)</f>
        <v>5</v>
      </c>
      <c r="J8" s="406">
        <f>COUNTIFS(TabEntrainement[J4],"Présent",TabEntrainement[Seance],"&gt;="&amp;'Bilan Entrainement - Mensuel'!$C8,TabEntrainement[Seance],"&lt;="&amp;'Bilan Entrainement - Mensuel'!$D8)</f>
        <v>3</v>
      </c>
      <c r="K8" s="406">
        <f>COUNTIFS(TabEntrainement[J5],"Présent",TabEntrainement[Seance],"&gt;="&amp;'Bilan Entrainement - Mensuel'!$C8,TabEntrainement[Seance],"&lt;="&amp;'Bilan Entrainement - Mensuel'!$D8)</f>
        <v>1</v>
      </c>
      <c r="L8" s="406">
        <f>COUNTIFS(TabEntrainement[J6],"Présent",TabEntrainement[Seance],"&gt;="&amp;'Bilan Entrainement - Mensuel'!$C8,TabEntrainement[Seance],"&lt;="&amp;'Bilan Entrainement - Mensuel'!$D8)</f>
        <v>2</v>
      </c>
      <c r="M8" s="406">
        <f>COUNTIFS(TabEntrainement[J7],"Présent",TabEntrainement[Seance],"&gt;="&amp;'Bilan Entrainement - Mensuel'!$C8,TabEntrainement[Seance],"&lt;="&amp;'Bilan Entrainement - Mensuel'!$D8)</f>
        <v>2</v>
      </c>
      <c r="N8" s="406">
        <f>COUNTIFS(TabEntrainement[J8],"Présent",TabEntrainement[Seance],"&gt;="&amp;'Bilan Entrainement - Mensuel'!$C8,TabEntrainement[Seance],"&lt;="&amp;'Bilan Entrainement - Mensuel'!$D8)</f>
        <v>4</v>
      </c>
      <c r="O8" s="406">
        <f>COUNTIFS(TabEntrainement[J9],"Présent",TabEntrainement[Seance],"&gt;="&amp;'Bilan Entrainement - Mensuel'!$C8,TabEntrainement[Seance],"&lt;="&amp;'Bilan Entrainement - Mensuel'!$D8)</f>
        <v>4</v>
      </c>
      <c r="P8" s="406">
        <f>COUNTIFS(TabEntrainement[J10],"Présent",TabEntrainement[Seance],"&gt;="&amp;'Bilan Entrainement - Mensuel'!$C8,TabEntrainement[Seance],"&lt;="&amp;'Bilan Entrainement - Mensuel'!$D8)</f>
        <v>4</v>
      </c>
      <c r="Q8" s="406">
        <f>COUNTIFS(TabEntrainement[J11],"Présent",TabEntrainement[Seance],"&gt;="&amp;'Bilan Entrainement - Mensuel'!$C8,TabEntrainement[Seance],"&lt;="&amp;'Bilan Entrainement - Mensuel'!$D8)</f>
        <v>4</v>
      </c>
      <c r="R8" s="406">
        <f>COUNTIFS(TabEntrainement[J12],"Présent",TabEntrainement[Seance],"&gt;="&amp;'Bilan Entrainement - Mensuel'!$C8,TabEntrainement[Seance],"&lt;="&amp;'Bilan Entrainement - Mensuel'!$D8)</f>
        <v>5</v>
      </c>
      <c r="S8" s="406">
        <f>COUNTIFS(TabEntrainement[J13],"Présent",TabEntrainement[Seance],"&gt;="&amp;'Bilan Entrainement - Mensuel'!$C8,TabEntrainement[Seance],"&lt;="&amp;'Bilan Entrainement - Mensuel'!$D8)</f>
        <v>6</v>
      </c>
      <c r="T8" s="406">
        <f>COUNTIFS(TabEntrainement[J14],"Présent",TabEntrainement[Seance],"&gt;="&amp;'Bilan Entrainement - Mensuel'!$C8,TabEntrainement[Seance],"&lt;="&amp;'Bilan Entrainement - Mensuel'!$D8)</f>
        <v>6</v>
      </c>
      <c r="U8" s="406">
        <f>COUNTIFS(TabEntrainement[J15],"Présent",TabEntrainement[Seance],"&gt;="&amp;'Bilan Entrainement - Mensuel'!$C8,TabEntrainement[Seance],"&lt;="&amp;'Bilan Entrainement - Mensuel'!$D8)</f>
        <v>6</v>
      </c>
      <c r="V8" s="406">
        <f>COUNTIFS(TabEntrainement[J16],"Présent",TabEntrainement[Seance],"&gt;="&amp;'Bilan Entrainement - Mensuel'!$C8,TabEntrainement[Seance],"&lt;="&amp;'Bilan Entrainement - Mensuel'!$D8)</f>
        <v>4</v>
      </c>
      <c r="W8" s="406">
        <f>COUNTIFS(TabEntrainement[J17],"Présent",TabEntrainement[Seance],"&gt;="&amp;'Bilan Entrainement - Mensuel'!$C8,TabEntrainement[Seance],"&lt;="&amp;'Bilan Entrainement - Mensuel'!$D8)</f>
        <v>3</v>
      </c>
      <c r="X8" s="406">
        <f>COUNTIFS(TabEntrainement[J18],"Présent",TabEntrainement[Seance],"&gt;="&amp;'Bilan Entrainement - Mensuel'!$C8,TabEntrainement[Seance],"&lt;="&amp;'Bilan Entrainement - Mensuel'!$D8)</f>
        <v>5</v>
      </c>
      <c r="Y8" s="406">
        <f>COUNTIFS(TabEntrainement[J19],"Présent",TabEntrainement[Seance],"&gt;="&amp;'Bilan Entrainement - Mensuel'!$C8,TabEntrainement[Seance],"&lt;="&amp;'Bilan Entrainement - Mensuel'!$D8)</f>
        <v>2</v>
      </c>
      <c r="Z8" s="406">
        <f>COUNTIFS(TabEntrainement[J20],"Présent",TabEntrainement[Seance],"&gt;="&amp;'Bilan Entrainement - Mensuel'!$C8,TabEntrainement[Seance],"&lt;="&amp;'Bilan Entrainement - Mensuel'!$D8)</f>
        <v>6</v>
      </c>
      <c r="AA8" s="406">
        <f>COUNTIFS(TabEntrainement[J21],"Présent",TabEntrainement[Seance],"&gt;="&amp;'Bilan Entrainement - Mensuel'!$C8,TabEntrainement[Seance],"&lt;="&amp;'Bilan Entrainement - Mensuel'!$D8)</f>
        <v>3</v>
      </c>
      <c r="AB8" s="406">
        <f>COUNTIFS(TabEntrainement[J22],"Présent",TabEntrainement[Seance],"&gt;="&amp;'Bilan Entrainement - Mensuel'!$C8,TabEntrainement[Seance],"&lt;="&amp;'Bilan Entrainement - Mensuel'!$D8)</f>
        <v>0</v>
      </c>
      <c r="AC8" s="406">
        <f>COUNTIFS(TabEntrainement[J23],"Présent",TabEntrainement[Seance],"&gt;="&amp;'Bilan Entrainement - Mensuel'!$C8,TabEntrainement[Seance],"&lt;="&amp;'Bilan Entrainement - Mensuel'!$D8)</f>
        <v>0</v>
      </c>
      <c r="AD8" s="406">
        <f>COUNTIFS(TabEntrainement[J24],"Présent",TabEntrainement[Seance],"&gt;="&amp;'Bilan Entrainement - Mensuel'!$C8,TabEntrainement[Seance],"&lt;="&amp;'Bilan Entrainement - Mensuel'!$D8)</f>
        <v>0</v>
      </c>
      <c r="AE8" s="406">
        <f>COUNTIFS(TabEntrainement[J25],"Présent",TabEntrainement[Seance],"&gt;="&amp;'Bilan Entrainement - Mensuel'!$C8,TabEntrainement[Seance],"&lt;="&amp;'Bilan Entrainement - Mensuel'!$D8)</f>
        <v>0</v>
      </c>
      <c r="AF8" s="406">
        <f>COUNTIFS(TabEntrainement[J26],"Présent",TabEntrainement[Seance],"&gt;="&amp;'Bilan Entrainement - Mensuel'!$C8,TabEntrainement[Seance],"&lt;="&amp;'Bilan Entrainement - Mensuel'!$D8)</f>
        <v>0</v>
      </c>
      <c r="AG8" s="406">
        <f>COUNTIFS(TabEntrainement[J27],"Présent",TabEntrainement[Seance],"&gt;="&amp;'Bilan Entrainement - Mensuel'!$C8,TabEntrainement[Seance],"&lt;="&amp;'Bilan Entrainement - Mensuel'!$D8)</f>
        <v>0</v>
      </c>
      <c r="AH8" s="406">
        <f>COUNTIFS(TabEntrainement[J28],"Présent",TabEntrainement[Seance],"&gt;="&amp;'Bilan Entrainement - Mensuel'!$C8,TabEntrainement[Seance],"&lt;="&amp;'Bilan Entrainement - Mensuel'!$D8)</f>
        <v>0</v>
      </c>
      <c r="AI8" s="406">
        <f>COUNTIFS(TabEntrainement[J29],"Présent",TabEntrainement[Seance],"&gt;="&amp;'Bilan Entrainement - Mensuel'!$C8,TabEntrainement[Seance],"&lt;="&amp;'Bilan Entrainement - Mensuel'!$D8)</f>
        <v>0</v>
      </c>
      <c r="AJ8" s="406">
        <f>COUNTIFS(TabEntrainement[J30],"Présent",TabEntrainement[Seance],"&gt;="&amp;'Bilan Entrainement - Mensuel'!$C8,TabEntrainement[Seance],"&lt;="&amp;'Bilan Entrainement - Mensuel'!$D8)</f>
        <v>0</v>
      </c>
    </row>
    <row r="9" spans="2:36" s="44" customFormat="1" ht="15" customHeight="1">
      <c r="B9" s="549"/>
      <c r="C9" s="550"/>
      <c r="D9" s="550"/>
      <c r="E9" s="544"/>
      <c r="F9" s="405" t="s">
        <v>18</v>
      </c>
      <c r="G9" s="406">
        <f>COUNTIFS(TabEntrainement[J1],"Absent",TabEntrainement[Seance],"&gt;="&amp;C8,TabEntrainement[Seance],"&lt;="&amp;D8)</f>
        <v>0</v>
      </c>
      <c r="H9" s="406">
        <f>COUNTIFS(TabEntrainement[J2],"Absent",TabEntrainement[Seance],"&gt;="&amp;'Bilan Entrainement - Mensuel'!$C8,TabEntrainement[Seance],"&lt;="&amp;'Bilan Entrainement - Mensuel'!$D8)</f>
        <v>3</v>
      </c>
      <c r="I9" s="406">
        <f>COUNTIFS(TabEntrainement[J3],"Absent",TabEntrainement[Seance],"&gt;="&amp;'Bilan Entrainement - Mensuel'!$C8,TabEntrainement[Seance],"&lt;="&amp;'Bilan Entrainement - Mensuel'!$D8)</f>
        <v>0</v>
      </c>
      <c r="J9" s="406">
        <f>COUNTIFS(TabEntrainement[J4],"Absent",TabEntrainement[Seance],"&gt;="&amp;'Bilan Entrainement - Mensuel'!$C8,TabEntrainement[Seance],"&lt;="&amp;'Bilan Entrainement - Mensuel'!$D8)</f>
        <v>2</v>
      </c>
      <c r="K9" s="406">
        <f>COUNTIFS(TabEntrainement[J5],"Absent",TabEntrainement[Seance],"&gt;="&amp;'Bilan Entrainement - Mensuel'!$C8,TabEntrainement[Seance],"&lt;="&amp;'Bilan Entrainement - Mensuel'!$D8)</f>
        <v>5</v>
      </c>
      <c r="L9" s="406">
        <f>COUNTIFS(TabEntrainement[J6],"Absent",TabEntrainement[Seance],"&gt;="&amp;'Bilan Entrainement - Mensuel'!$C8,TabEntrainement[Seance],"&lt;="&amp;'Bilan Entrainement - Mensuel'!$D8)</f>
        <v>0</v>
      </c>
      <c r="M9" s="406">
        <f>COUNTIFS(TabEntrainement[J7],"Absent",TabEntrainement[Seance],"&gt;="&amp;'Bilan Entrainement - Mensuel'!$C8,TabEntrainement[Seance],"&lt;="&amp;'Bilan Entrainement - Mensuel'!$D8)</f>
        <v>1</v>
      </c>
      <c r="N9" s="406">
        <f>COUNTIFS(TabEntrainement[J8],"Absent",TabEntrainement[Seance],"&gt;="&amp;'Bilan Entrainement - Mensuel'!$C8,TabEntrainement[Seance],"&lt;="&amp;'Bilan Entrainement - Mensuel'!$D8)</f>
        <v>1</v>
      </c>
      <c r="O9" s="406">
        <f>COUNTIFS(TabEntrainement[J9],"Absent",TabEntrainement[Seance],"&gt;="&amp;'Bilan Entrainement - Mensuel'!$C8,TabEntrainement[Seance],"&lt;="&amp;'Bilan Entrainement - Mensuel'!$D8)</f>
        <v>0</v>
      </c>
      <c r="P9" s="406">
        <f>COUNTIFS(TabEntrainement[J10],"Absent",TabEntrainement[Seance],"&gt;="&amp;'Bilan Entrainement - Mensuel'!$C8,TabEntrainement[Seance],"&lt;="&amp;'Bilan Entrainement - Mensuel'!$D8)</f>
        <v>0</v>
      </c>
      <c r="Q9" s="406">
        <f>COUNTIFS(TabEntrainement[J11],"Absent",TabEntrainement[Seance],"&gt;="&amp;'Bilan Entrainement - Mensuel'!$C8,TabEntrainement[Seance],"&lt;="&amp;'Bilan Entrainement - Mensuel'!$D8)</f>
        <v>1</v>
      </c>
      <c r="R9" s="406">
        <f>COUNTIFS(TabEntrainement[J12],"Absent",TabEntrainement[Seance],"&gt;="&amp;'Bilan Entrainement - Mensuel'!$C8,TabEntrainement[Seance],"&lt;="&amp;'Bilan Entrainement - Mensuel'!$D8)</f>
        <v>0</v>
      </c>
      <c r="S9" s="406">
        <f>COUNTIFS(TabEntrainement[J13],"Absent",TabEntrainement[Seance],"&gt;="&amp;'Bilan Entrainement - Mensuel'!$C8,TabEntrainement[Seance],"&lt;="&amp;'Bilan Entrainement - Mensuel'!$D8)</f>
        <v>0</v>
      </c>
      <c r="T9" s="406">
        <f>COUNTIFS(TabEntrainement[J14],"Absent",TabEntrainement[Seance],"&gt;="&amp;'Bilan Entrainement - Mensuel'!$C8,TabEntrainement[Seance],"&lt;="&amp;'Bilan Entrainement - Mensuel'!$D8)</f>
        <v>0</v>
      </c>
      <c r="U9" s="406">
        <f>COUNTIFS(TabEntrainement[J15],"Absent",TabEntrainement[Seance],"&gt;="&amp;'Bilan Entrainement - Mensuel'!$C8,TabEntrainement[Seance],"&lt;="&amp;'Bilan Entrainement - Mensuel'!$D8)</f>
        <v>0</v>
      </c>
      <c r="V9" s="406">
        <f>COUNTIFS(TabEntrainement[J16],"Absent",TabEntrainement[Seance],"&gt;="&amp;'Bilan Entrainement - Mensuel'!$C8,TabEntrainement[Seance],"&lt;="&amp;'Bilan Entrainement - Mensuel'!$D8)</f>
        <v>1</v>
      </c>
      <c r="W9" s="406">
        <f>COUNTIFS(TabEntrainement[J17],"Absent",TabEntrainement[Seance],"&gt;="&amp;'Bilan Entrainement - Mensuel'!$C8,TabEntrainement[Seance],"&lt;="&amp;'Bilan Entrainement - Mensuel'!$D8)</f>
        <v>0</v>
      </c>
      <c r="X9" s="406">
        <f>COUNTIFS(TabEntrainement[J18],"Absent",TabEntrainement[Seance],"&gt;="&amp;'Bilan Entrainement - Mensuel'!$C8,TabEntrainement[Seance],"&lt;="&amp;'Bilan Entrainement - Mensuel'!$D8)</f>
        <v>0</v>
      </c>
      <c r="Y9" s="406">
        <f>COUNTIFS(TabEntrainement[J19],"Absent",TabEntrainement[Seance],"&gt;="&amp;'Bilan Entrainement - Mensuel'!$C8,TabEntrainement[Seance],"&lt;="&amp;'Bilan Entrainement - Mensuel'!$D8)</f>
        <v>0</v>
      </c>
      <c r="Z9" s="406">
        <f>COUNTIFS(TabEntrainement[J20],"Absent",TabEntrainement[Seance],"&gt;="&amp;'Bilan Entrainement - Mensuel'!$C8,TabEntrainement[Seance],"&lt;="&amp;'Bilan Entrainement - Mensuel'!$D8)</f>
        <v>0</v>
      </c>
      <c r="AA9" s="406">
        <f>COUNTIFS(TabEntrainement[J21],"Absent",TabEntrainement[Seance],"&gt;="&amp;'Bilan Entrainement - Mensuel'!$C8,TabEntrainement[Seance],"&lt;="&amp;'Bilan Entrainement - Mensuel'!$D8)</f>
        <v>3</v>
      </c>
      <c r="AB9" s="406">
        <f>COUNTIFS(TabEntrainement[J22],"Absent",TabEntrainement[Seance],"&gt;="&amp;'Bilan Entrainement - Mensuel'!$C8,TabEntrainement[Seance],"&lt;="&amp;'Bilan Entrainement - Mensuel'!$D8)</f>
        <v>0</v>
      </c>
      <c r="AC9" s="406">
        <f>COUNTIFS(TabEntrainement[J23],"Absent",TabEntrainement[Seance],"&gt;="&amp;'Bilan Entrainement - Mensuel'!$C8,TabEntrainement[Seance],"&lt;="&amp;'Bilan Entrainement - Mensuel'!$D8)</f>
        <v>0</v>
      </c>
      <c r="AD9" s="406">
        <f>COUNTIFS(TabEntrainement[J24],"Absent",TabEntrainement[Seance],"&gt;="&amp;'Bilan Entrainement - Mensuel'!$C8,TabEntrainement[Seance],"&lt;="&amp;'Bilan Entrainement - Mensuel'!$D8)</f>
        <v>0</v>
      </c>
      <c r="AE9" s="406">
        <f>COUNTIFS(TabEntrainement[J25],"Absent",TabEntrainement[Seance],"&gt;="&amp;'Bilan Entrainement - Mensuel'!$C8,TabEntrainement[Seance],"&lt;="&amp;'Bilan Entrainement - Mensuel'!$D8)</f>
        <v>0</v>
      </c>
      <c r="AF9" s="406">
        <f>COUNTIFS(TabEntrainement[J26],"Absent",TabEntrainement[Seance],"&gt;="&amp;'Bilan Entrainement - Mensuel'!$C8,TabEntrainement[Seance],"&lt;="&amp;'Bilan Entrainement - Mensuel'!$D8)</f>
        <v>0</v>
      </c>
      <c r="AG9" s="406">
        <f>COUNTIFS(TabEntrainement[J27],"Absent",TabEntrainement[Seance],"&gt;="&amp;'Bilan Entrainement - Mensuel'!$C8,TabEntrainement[Seance],"&lt;="&amp;'Bilan Entrainement - Mensuel'!$D8)</f>
        <v>0</v>
      </c>
      <c r="AH9" s="406">
        <f>COUNTIFS(TabEntrainement[J28],"Absent",TabEntrainement[Seance],"&gt;="&amp;'Bilan Entrainement - Mensuel'!$C8,TabEntrainement[Seance],"&lt;="&amp;'Bilan Entrainement - Mensuel'!$D8)</f>
        <v>0</v>
      </c>
      <c r="AI9" s="406">
        <f>COUNTIFS(TabEntrainement[J29],"Absent",TabEntrainement[Seance],"&gt;="&amp;'Bilan Entrainement - Mensuel'!$C8,TabEntrainement[Seance],"&lt;="&amp;'Bilan Entrainement - Mensuel'!$D8)</f>
        <v>0</v>
      </c>
      <c r="AJ9" s="406">
        <f>COUNTIFS(TabEntrainement[J30],"Absent",TabEntrainement[Seance],"&gt;="&amp;'Bilan Entrainement - Mensuel'!$C8,TabEntrainement[Seance],"&lt;="&amp;'Bilan Entrainement - Mensuel'!$D8)</f>
        <v>0</v>
      </c>
    </row>
    <row r="10" spans="2:36" s="44" customFormat="1" ht="15" customHeight="1">
      <c r="B10" s="549"/>
      <c r="C10" s="550"/>
      <c r="D10" s="550"/>
      <c r="E10" s="544"/>
      <c r="F10" s="405" t="s">
        <v>44</v>
      </c>
      <c r="G10" s="406">
        <f t="shared" ref="G10:AJ10" si="1">$E$8-G8-G9</f>
        <v>0</v>
      </c>
      <c r="H10" s="406">
        <f t="shared" si="1"/>
        <v>0</v>
      </c>
      <c r="I10" s="406">
        <f t="shared" si="1"/>
        <v>1</v>
      </c>
      <c r="J10" s="406">
        <f t="shared" si="1"/>
        <v>1</v>
      </c>
      <c r="K10" s="406">
        <f t="shared" si="1"/>
        <v>0</v>
      </c>
      <c r="L10" s="406">
        <f t="shared" si="1"/>
        <v>4</v>
      </c>
      <c r="M10" s="406">
        <f t="shared" si="1"/>
        <v>3</v>
      </c>
      <c r="N10" s="406">
        <f t="shared" si="1"/>
        <v>1</v>
      </c>
      <c r="O10" s="406">
        <f t="shared" si="1"/>
        <v>2</v>
      </c>
      <c r="P10" s="406">
        <f t="shared" si="1"/>
        <v>2</v>
      </c>
      <c r="Q10" s="406">
        <f t="shared" si="1"/>
        <v>1</v>
      </c>
      <c r="R10" s="406">
        <f t="shared" si="1"/>
        <v>1</v>
      </c>
      <c r="S10" s="406">
        <f t="shared" si="1"/>
        <v>0</v>
      </c>
      <c r="T10" s="406">
        <f t="shared" si="1"/>
        <v>0</v>
      </c>
      <c r="U10" s="406">
        <f t="shared" si="1"/>
        <v>0</v>
      </c>
      <c r="V10" s="406">
        <f t="shared" si="1"/>
        <v>1</v>
      </c>
      <c r="W10" s="406">
        <f t="shared" si="1"/>
        <v>3</v>
      </c>
      <c r="X10" s="406">
        <f t="shared" si="1"/>
        <v>1</v>
      </c>
      <c r="Y10" s="406">
        <f t="shared" si="1"/>
        <v>4</v>
      </c>
      <c r="Z10" s="406">
        <f t="shared" si="1"/>
        <v>0</v>
      </c>
      <c r="AA10" s="406">
        <f t="shared" si="1"/>
        <v>0</v>
      </c>
      <c r="AB10" s="406">
        <f t="shared" si="1"/>
        <v>6</v>
      </c>
      <c r="AC10" s="406">
        <f t="shared" si="1"/>
        <v>6</v>
      </c>
      <c r="AD10" s="406">
        <f t="shared" si="1"/>
        <v>6</v>
      </c>
      <c r="AE10" s="406">
        <f t="shared" si="1"/>
        <v>6</v>
      </c>
      <c r="AF10" s="406">
        <f t="shared" si="1"/>
        <v>6</v>
      </c>
      <c r="AG10" s="406">
        <f t="shared" si="1"/>
        <v>6</v>
      </c>
      <c r="AH10" s="406">
        <f t="shared" si="1"/>
        <v>6</v>
      </c>
      <c r="AI10" s="406">
        <f t="shared" si="1"/>
        <v>6</v>
      </c>
      <c r="AJ10" s="406">
        <f t="shared" si="1"/>
        <v>6</v>
      </c>
    </row>
    <row r="11" spans="2:36" s="44" customFormat="1" ht="15" customHeight="1">
      <c r="B11" s="546" t="s">
        <v>454</v>
      </c>
      <c r="C11" s="548">
        <f>DATE(Paramétres!$L$19,10,1)</f>
        <v>43374</v>
      </c>
      <c r="D11" s="548">
        <f>DATE(Paramétres!$L$19,10,31)</f>
        <v>43404</v>
      </c>
      <c r="E11" s="543">
        <f>IF(ISERROR(GETPIVOTDATA("N°",'TDC Nb Tranningg'!$A$3,"Mois",10)),0,GETPIVOTDATA("N°",'TDC Nb Tranningg'!$A$3,"Mois",10))</f>
        <v>0</v>
      </c>
      <c r="F11" s="403" t="s">
        <v>10</v>
      </c>
      <c r="G11" s="404">
        <f>COUNTIFS(TabEntrainement[J1],"Présent",TabEntrainement[Seance],"&gt;="&amp;C11,TabEntrainement[Seance],"&lt;="&amp;D11)</f>
        <v>0</v>
      </c>
      <c r="H11" s="404">
        <f>COUNTIFS(TabEntrainement[J2],"Présent",TabEntrainement[Seance],"&gt;="&amp;'Bilan Entrainement - Mensuel'!$C11,TabEntrainement[Seance],"&lt;="&amp;'Bilan Entrainement - Mensuel'!$D11)</f>
        <v>0</v>
      </c>
      <c r="I11" s="404">
        <f>COUNTIFS(TabEntrainement[J3],"Présent",TabEntrainement[Seance],"&gt;="&amp;'Bilan Entrainement - Mensuel'!$C11,TabEntrainement[Seance],"&lt;="&amp;'Bilan Entrainement - Mensuel'!$D11)</f>
        <v>0</v>
      </c>
      <c r="J11" s="404">
        <f>COUNTIFS(TabEntrainement[J4],"Présent",TabEntrainement[Seance],"&gt;="&amp;'Bilan Entrainement - Mensuel'!$C11,TabEntrainement[Seance],"&lt;="&amp;'Bilan Entrainement - Mensuel'!$D11)</f>
        <v>0</v>
      </c>
      <c r="K11" s="404">
        <f>COUNTIFS(TabEntrainement[J5],"Présent",TabEntrainement[Seance],"&gt;="&amp;'Bilan Entrainement - Mensuel'!$C11,TabEntrainement[Seance],"&lt;="&amp;'Bilan Entrainement - Mensuel'!$D11)</f>
        <v>0</v>
      </c>
      <c r="L11" s="404">
        <f>COUNTIFS(TabEntrainement[J6],"Présent",TabEntrainement[Seance],"&gt;="&amp;'Bilan Entrainement - Mensuel'!$C11,TabEntrainement[Seance],"&lt;="&amp;'Bilan Entrainement - Mensuel'!$D11)</f>
        <v>0</v>
      </c>
      <c r="M11" s="404">
        <f>COUNTIFS(TabEntrainement[J7],"Présent",TabEntrainement[Seance],"&gt;="&amp;'Bilan Entrainement - Mensuel'!$C11,TabEntrainement[Seance],"&lt;="&amp;'Bilan Entrainement - Mensuel'!$D11)</f>
        <v>0</v>
      </c>
      <c r="N11" s="404">
        <f>COUNTIFS(TabEntrainement[J8],"Présent",TabEntrainement[Seance],"&gt;="&amp;'Bilan Entrainement - Mensuel'!$C11,TabEntrainement[Seance],"&lt;="&amp;'Bilan Entrainement - Mensuel'!$D11)</f>
        <v>0</v>
      </c>
      <c r="O11" s="404">
        <f>COUNTIFS(TabEntrainement[J9],"Présent",TabEntrainement[Seance],"&gt;="&amp;'Bilan Entrainement - Mensuel'!$C11,TabEntrainement[Seance],"&lt;="&amp;'Bilan Entrainement - Mensuel'!$D11)</f>
        <v>0</v>
      </c>
      <c r="P11" s="404">
        <f>COUNTIFS(TabEntrainement[J10],"Présent",TabEntrainement[Seance],"&gt;="&amp;'Bilan Entrainement - Mensuel'!$C11,TabEntrainement[Seance],"&lt;="&amp;'Bilan Entrainement - Mensuel'!$D11)</f>
        <v>0</v>
      </c>
      <c r="Q11" s="404">
        <f>COUNTIFS(TabEntrainement[J11],"Présent",TabEntrainement[Seance],"&gt;="&amp;'Bilan Entrainement - Mensuel'!$C11,TabEntrainement[Seance],"&lt;="&amp;'Bilan Entrainement - Mensuel'!$D11)</f>
        <v>0</v>
      </c>
      <c r="R11" s="404">
        <f>COUNTIFS(TabEntrainement[J12],"Présent",TabEntrainement[Seance],"&gt;="&amp;'Bilan Entrainement - Mensuel'!$C11,TabEntrainement[Seance],"&lt;="&amp;'Bilan Entrainement - Mensuel'!$D11)</f>
        <v>0</v>
      </c>
      <c r="S11" s="404">
        <f>COUNTIFS(TabEntrainement[J13],"Présent",TabEntrainement[Seance],"&gt;="&amp;'Bilan Entrainement - Mensuel'!$C11,TabEntrainement[Seance],"&lt;="&amp;'Bilan Entrainement - Mensuel'!$D11)</f>
        <v>0</v>
      </c>
      <c r="T11" s="404">
        <f>COUNTIFS(TabEntrainement[J14],"Présent",TabEntrainement[Seance],"&gt;="&amp;'Bilan Entrainement - Mensuel'!$C11,TabEntrainement[Seance],"&lt;="&amp;'Bilan Entrainement - Mensuel'!$D11)</f>
        <v>0</v>
      </c>
      <c r="U11" s="404">
        <f>COUNTIFS(TabEntrainement[J15],"Présent",TabEntrainement[Seance],"&gt;="&amp;'Bilan Entrainement - Mensuel'!$C11,TabEntrainement[Seance],"&lt;="&amp;'Bilan Entrainement - Mensuel'!$D11)</f>
        <v>0</v>
      </c>
      <c r="V11" s="404">
        <f>COUNTIFS(TabEntrainement[J16],"Présent",TabEntrainement[Seance],"&gt;="&amp;'Bilan Entrainement - Mensuel'!$C11,TabEntrainement[Seance],"&lt;="&amp;'Bilan Entrainement - Mensuel'!$D11)</f>
        <v>0</v>
      </c>
      <c r="W11" s="404">
        <f>COUNTIFS(TabEntrainement[J17],"Présent",TabEntrainement[Seance],"&gt;="&amp;'Bilan Entrainement - Mensuel'!$C11,TabEntrainement[Seance],"&lt;="&amp;'Bilan Entrainement - Mensuel'!$D11)</f>
        <v>0</v>
      </c>
      <c r="X11" s="404">
        <f>COUNTIFS(TabEntrainement[J18],"Présent",TabEntrainement[Seance],"&gt;="&amp;'Bilan Entrainement - Mensuel'!$C11,TabEntrainement[Seance],"&lt;="&amp;'Bilan Entrainement - Mensuel'!$D11)</f>
        <v>0</v>
      </c>
      <c r="Y11" s="404">
        <f>COUNTIFS(TabEntrainement[J19],"Présent",TabEntrainement[Seance],"&gt;="&amp;'Bilan Entrainement - Mensuel'!$C11,TabEntrainement[Seance],"&lt;="&amp;'Bilan Entrainement - Mensuel'!$D11)</f>
        <v>0</v>
      </c>
      <c r="Z11" s="404">
        <f>COUNTIFS(TabEntrainement[J20],"Présent",TabEntrainement[Seance],"&gt;="&amp;'Bilan Entrainement - Mensuel'!$C11,TabEntrainement[Seance],"&lt;="&amp;'Bilan Entrainement - Mensuel'!$D11)</f>
        <v>0</v>
      </c>
      <c r="AA11" s="404">
        <f>COUNTIFS(TabEntrainement[J21],"Présent",TabEntrainement[Seance],"&gt;="&amp;'Bilan Entrainement - Mensuel'!$C11,TabEntrainement[Seance],"&lt;="&amp;'Bilan Entrainement - Mensuel'!$D11)</f>
        <v>0</v>
      </c>
      <c r="AB11" s="404">
        <f>COUNTIFS(TabEntrainement[J22],"Présent",TabEntrainement[Seance],"&gt;="&amp;'Bilan Entrainement - Mensuel'!$C11,TabEntrainement[Seance],"&lt;="&amp;'Bilan Entrainement - Mensuel'!$D11)</f>
        <v>0</v>
      </c>
      <c r="AC11" s="404">
        <f>COUNTIFS(TabEntrainement[J23],"Présent",TabEntrainement[Seance],"&gt;="&amp;'Bilan Entrainement - Mensuel'!$C11,TabEntrainement[Seance],"&lt;="&amp;'Bilan Entrainement - Mensuel'!$D11)</f>
        <v>0</v>
      </c>
      <c r="AD11" s="404">
        <f>COUNTIFS(TabEntrainement[J24],"Présent",TabEntrainement[Seance],"&gt;="&amp;'Bilan Entrainement - Mensuel'!$C11,TabEntrainement[Seance],"&lt;="&amp;'Bilan Entrainement - Mensuel'!$D11)</f>
        <v>0</v>
      </c>
      <c r="AE11" s="404">
        <f>COUNTIFS(TabEntrainement[J25],"Présent",TabEntrainement[Seance],"&gt;="&amp;'Bilan Entrainement - Mensuel'!$C11,TabEntrainement[Seance],"&lt;="&amp;'Bilan Entrainement - Mensuel'!$D11)</f>
        <v>0</v>
      </c>
      <c r="AF11" s="404">
        <f>COUNTIFS(TabEntrainement[J26],"Présent",TabEntrainement[Seance],"&gt;="&amp;'Bilan Entrainement - Mensuel'!$C11,TabEntrainement[Seance],"&lt;="&amp;'Bilan Entrainement - Mensuel'!$D11)</f>
        <v>0</v>
      </c>
      <c r="AG11" s="404">
        <f>COUNTIFS(TabEntrainement[J27],"Présent",TabEntrainement[Seance],"&gt;="&amp;'Bilan Entrainement - Mensuel'!$C11,TabEntrainement[Seance],"&lt;="&amp;'Bilan Entrainement - Mensuel'!$D11)</f>
        <v>0</v>
      </c>
      <c r="AH11" s="404">
        <f>COUNTIFS(TabEntrainement[J28],"Présent",TabEntrainement[Seance],"&gt;="&amp;'Bilan Entrainement - Mensuel'!$C11,TabEntrainement[Seance],"&lt;="&amp;'Bilan Entrainement - Mensuel'!$D11)</f>
        <v>0</v>
      </c>
      <c r="AI11" s="404">
        <f>COUNTIFS(TabEntrainement[J29],"Présent",TabEntrainement[Seance],"&gt;="&amp;'Bilan Entrainement - Mensuel'!$C11,TabEntrainement[Seance],"&lt;="&amp;'Bilan Entrainement - Mensuel'!$D11)</f>
        <v>0</v>
      </c>
      <c r="AJ11" s="404">
        <f>COUNTIFS(TabEntrainement[J30],"Présent",TabEntrainement[Seance],"&gt;="&amp;'Bilan Entrainement - Mensuel'!$C11,TabEntrainement[Seance],"&lt;="&amp;'Bilan Entrainement - Mensuel'!$D11)</f>
        <v>0</v>
      </c>
    </row>
    <row r="12" spans="2:36" s="44" customFormat="1" ht="15" customHeight="1">
      <c r="B12" s="546"/>
      <c r="C12" s="548"/>
      <c r="D12" s="548"/>
      <c r="E12" s="544"/>
      <c r="F12" s="403" t="s">
        <v>18</v>
      </c>
      <c r="G12" s="404">
        <f>COUNTIFS(TabEntrainement[J1],"Absent",TabEntrainement[Seance],"&gt;="&amp;C11,TabEntrainement[Seance],"&lt;="&amp;D11)</f>
        <v>0</v>
      </c>
      <c r="H12" s="404">
        <f>COUNTIFS(TabEntrainement[J2],"Absent",TabEntrainement[Seance],"&gt;="&amp;'Bilan Entrainement - Mensuel'!$C11,TabEntrainement[Seance],"&lt;="&amp;'Bilan Entrainement - Mensuel'!$D11)</f>
        <v>0</v>
      </c>
      <c r="I12" s="404">
        <f>COUNTIFS(TabEntrainement[J3],"Absent",TabEntrainement[Seance],"&gt;="&amp;'Bilan Entrainement - Mensuel'!$C11,TabEntrainement[Seance],"&lt;="&amp;'Bilan Entrainement - Mensuel'!$D11)</f>
        <v>0</v>
      </c>
      <c r="J12" s="404">
        <f>COUNTIFS(TabEntrainement[J4],"Absent",TabEntrainement[Seance],"&gt;="&amp;'Bilan Entrainement - Mensuel'!$C11,TabEntrainement[Seance],"&lt;="&amp;'Bilan Entrainement - Mensuel'!$D11)</f>
        <v>0</v>
      </c>
      <c r="K12" s="404">
        <f>COUNTIFS(TabEntrainement[J5],"Absent",TabEntrainement[Seance],"&gt;="&amp;'Bilan Entrainement - Mensuel'!$C11,TabEntrainement[Seance],"&lt;="&amp;'Bilan Entrainement - Mensuel'!$D11)</f>
        <v>0</v>
      </c>
      <c r="L12" s="404">
        <f>COUNTIFS(TabEntrainement[J6],"Absent",TabEntrainement[Seance],"&gt;="&amp;'Bilan Entrainement - Mensuel'!$C11,TabEntrainement[Seance],"&lt;="&amp;'Bilan Entrainement - Mensuel'!$D11)</f>
        <v>0</v>
      </c>
      <c r="M12" s="404">
        <f>COUNTIFS(TabEntrainement[J7],"Absent",TabEntrainement[Seance],"&gt;="&amp;'Bilan Entrainement - Mensuel'!$C11,TabEntrainement[Seance],"&lt;="&amp;'Bilan Entrainement - Mensuel'!$D11)</f>
        <v>0</v>
      </c>
      <c r="N12" s="404">
        <f>COUNTIFS(TabEntrainement[J8],"Absent",TabEntrainement[Seance],"&gt;="&amp;'Bilan Entrainement - Mensuel'!$C11,TabEntrainement[Seance],"&lt;="&amp;'Bilan Entrainement - Mensuel'!$D11)</f>
        <v>0</v>
      </c>
      <c r="O12" s="404">
        <f>COUNTIFS(TabEntrainement[J9],"Absent",TabEntrainement[Seance],"&gt;="&amp;'Bilan Entrainement - Mensuel'!$C11,TabEntrainement[Seance],"&lt;="&amp;'Bilan Entrainement - Mensuel'!$D11)</f>
        <v>0</v>
      </c>
      <c r="P12" s="404">
        <f>COUNTIFS(TabEntrainement[J10],"Absent",TabEntrainement[Seance],"&gt;="&amp;'Bilan Entrainement - Mensuel'!$C11,TabEntrainement[Seance],"&lt;="&amp;'Bilan Entrainement - Mensuel'!$D11)</f>
        <v>0</v>
      </c>
      <c r="Q12" s="404">
        <f>COUNTIFS(TabEntrainement[J11],"Absent",TabEntrainement[Seance],"&gt;="&amp;'Bilan Entrainement - Mensuel'!$C11,TabEntrainement[Seance],"&lt;="&amp;'Bilan Entrainement - Mensuel'!$D11)</f>
        <v>0</v>
      </c>
      <c r="R12" s="404">
        <f>COUNTIFS(TabEntrainement[J12],"Absent",TabEntrainement[Seance],"&gt;="&amp;'Bilan Entrainement - Mensuel'!$C11,TabEntrainement[Seance],"&lt;="&amp;'Bilan Entrainement - Mensuel'!$D11)</f>
        <v>0</v>
      </c>
      <c r="S12" s="404">
        <f>COUNTIFS(TabEntrainement[J13],"Absent",TabEntrainement[Seance],"&gt;="&amp;'Bilan Entrainement - Mensuel'!$C11,TabEntrainement[Seance],"&lt;="&amp;'Bilan Entrainement - Mensuel'!$D11)</f>
        <v>0</v>
      </c>
      <c r="T12" s="404">
        <f>COUNTIFS(TabEntrainement[J14],"Absent",TabEntrainement[Seance],"&gt;="&amp;'Bilan Entrainement - Mensuel'!$C11,TabEntrainement[Seance],"&lt;="&amp;'Bilan Entrainement - Mensuel'!$D11)</f>
        <v>0</v>
      </c>
      <c r="U12" s="404">
        <f>COUNTIFS(TabEntrainement[J15],"Absent",TabEntrainement[Seance],"&gt;="&amp;'Bilan Entrainement - Mensuel'!$C11,TabEntrainement[Seance],"&lt;="&amp;'Bilan Entrainement - Mensuel'!$D11)</f>
        <v>0</v>
      </c>
      <c r="V12" s="404">
        <f>COUNTIFS(TabEntrainement[J16],"Absent",TabEntrainement[Seance],"&gt;="&amp;'Bilan Entrainement - Mensuel'!$C11,TabEntrainement[Seance],"&lt;="&amp;'Bilan Entrainement - Mensuel'!$D11)</f>
        <v>0</v>
      </c>
      <c r="W12" s="404">
        <f>COUNTIFS(TabEntrainement[J17],"Absent",TabEntrainement[Seance],"&gt;="&amp;'Bilan Entrainement - Mensuel'!$C11,TabEntrainement[Seance],"&lt;="&amp;'Bilan Entrainement - Mensuel'!$D11)</f>
        <v>0</v>
      </c>
      <c r="X12" s="404">
        <f>COUNTIFS(TabEntrainement[J18],"Absent",TabEntrainement[Seance],"&gt;="&amp;'Bilan Entrainement - Mensuel'!$C11,TabEntrainement[Seance],"&lt;="&amp;'Bilan Entrainement - Mensuel'!$D11)</f>
        <v>0</v>
      </c>
      <c r="Y12" s="404">
        <f>COUNTIFS(TabEntrainement[J19],"Absent",TabEntrainement[Seance],"&gt;="&amp;'Bilan Entrainement - Mensuel'!$C11,TabEntrainement[Seance],"&lt;="&amp;'Bilan Entrainement - Mensuel'!$D11)</f>
        <v>0</v>
      </c>
      <c r="Z12" s="404">
        <f>COUNTIFS(TabEntrainement[J20],"Absent",TabEntrainement[Seance],"&gt;="&amp;'Bilan Entrainement - Mensuel'!$C11,TabEntrainement[Seance],"&lt;="&amp;'Bilan Entrainement - Mensuel'!$D11)</f>
        <v>0</v>
      </c>
      <c r="AA12" s="404">
        <f>COUNTIFS(TabEntrainement[J21],"Absent",TabEntrainement[Seance],"&gt;="&amp;'Bilan Entrainement - Mensuel'!$C11,TabEntrainement[Seance],"&lt;="&amp;'Bilan Entrainement - Mensuel'!$D11)</f>
        <v>0</v>
      </c>
      <c r="AB12" s="404">
        <f>COUNTIFS(TabEntrainement[J22],"Absent",TabEntrainement[Seance],"&gt;="&amp;'Bilan Entrainement - Mensuel'!$C11,TabEntrainement[Seance],"&lt;="&amp;'Bilan Entrainement - Mensuel'!$D11)</f>
        <v>0</v>
      </c>
      <c r="AC12" s="404">
        <f>COUNTIFS(TabEntrainement[J23],"Absent",TabEntrainement[Seance],"&gt;="&amp;'Bilan Entrainement - Mensuel'!$C11,TabEntrainement[Seance],"&lt;="&amp;'Bilan Entrainement - Mensuel'!$D11)</f>
        <v>0</v>
      </c>
      <c r="AD12" s="404">
        <f>COUNTIFS(TabEntrainement[J24],"Absent",TabEntrainement[Seance],"&gt;="&amp;'Bilan Entrainement - Mensuel'!$C11,TabEntrainement[Seance],"&lt;="&amp;'Bilan Entrainement - Mensuel'!$D11)</f>
        <v>0</v>
      </c>
      <c r="AE12" s="404">
        <f>COUNTIFS(TabEntrainement[J25],"Absent",TabEntrainement[Seance],"&gt;="&amp;'Bilan Entrainement - Mensuel'!$C11,TabEntrainement[Seance],"&lt;="&amp;'Bilan Entrainement - Mensuel'!$D11)</f>
        <v>0</v>
      </c>
      <c r="AF12" s="404">
        <f>COUNTIFS(TabEntrainement[J26],"Absent",TabEntrainement[Seance],"&gt;="&amp;'Bilan Entrainement - Mensuel'!$C11,TabEntrainement[Seance],"&lt;="&amp;'Bilan Entrainement - Mensuel'!$D11)</f>
        <v>0</v>
      </c>
      <c r="AG12" s="404">
        <f>COUNTIFS(TabEntrainement[J27],"Absent",TabEntrainement[Seance],"&gt;="&amp;'Bilan Entrainement - Mensuel'!$C11,TabEntrainement[Seance],"&lt;="&amp;'Bilan Entrainement - Mensuel'!$D11)</f>
        <v>0</v>
      </c>
      <c r="AH12" s="404">
        <f>COUNTIFS(TabEntrainement[J28],"Absent",TabEntrainement[Seance],"&gt;="&amp;'Bilan Entrainement - Mensuel'!$C11,TabEntrainement[Seance],"&lt;="&amp;'Bilan Entrainement - Mensuel'!$D11)</f>
        <v>0</v>
      </c>
      <c r="AI12" s="404">
        <f>COUNTIFS(TabEntrainement[J29],"Absent",TabEntrainement[Seance],"&gt;="&amp;'Bilan Entrainement - Mensuel'!$C11,TabEntrainement[Seance],"&lt;="&amp;'Bilan Entrainement - Mensuel'!$D11)</f>
        <v>0</v>
      </c>
      <c r="AJ12" s="404">
        <f>COUNTIFS(TabEntrainement[J30],"Absent",TabEntrainement[Seance],"&gt;="&amp;'Bilan Entrainement - Mensuel'!$C11,TabEntrainement[Seance],"&lt;="&amp;'Bilan Entrainement - Mensuel'!$D11)</f>
        <v>0</v>
      </c>
    </row>
    <row r="13" spans="2:36" s="44" customFormat="1" ht="15" customHeight="1">
      <c r="B13" s="546"/>
      <c r="C13" s="548"/>
      <c r="D13" s="548"/>
      <c r="E13" s="544"/>
      <c r="F13" s="403" t="s">
        <v>44</v>
      </c>
      <c r="G13" s="404">
        <f>$E$11-G11-G12</f>
        <v>0</v>
      </c>
      <c r="H13" s="404">
        <f t="shared" ref="H13:AJ13" si="2">$E$11-H11-H12</f>
        <v>0</v>
      </c>
      <c r="I13" s="404">
        <f t="shared" si="2"/>
        <v>0</v>
      </c>
      <c r="J13" s="404">
        <f t="shared" si="2"/>
        <v>0</v>
      </c>
      <c r="K13" s="404">
        <f t="shared" si="2"/>
        <v>0</v>
      </c>
      <c r="L13" s="404">
        <f t="shared" si="2"/>
        <v>0</v>
      </c>
      <c r="M13" s="404">
        <f t="shared" si="2"/>
        <v>0</v>
      </c>
      <c r="N13" s="404">
        <f t="shared" si="2"/>
        <v>0</v>
      </c>
      <c r="O13" s="404">
        <f t="shared" si="2"/>
        <v>0</v>
      </c>
      <c r="P13" s="404">
        <f t="shared" si="2"/>
        <v>0</v>
      </c>
      <c r="Q13" s="404">
        <f t="shared" si="2"/>
        <v>0</v>
      </c>
      <c r="R13" s="404">
        <f t="shared" si="2"/>
        <v>0</v>
      </c>
      <c r="S13" s="404">
        <f t="shared" si="2"/>
        <v>0</v>
      </c>
      <c r="T13" s="404">
        <f t="shared" si="2"/>
        <v>0</v>
      </c>
      <c r="U13" s="404">
        <f t="shared" si="2"/>
        <v>0</v>
      </c>
      <c r="V13" s="404">
        <f t="shared" si="2"/>
        <v>0</v>
      </c>
      <c r="W13" s="404">
        <f t="shared" si="2"/>
        <v>0</v>
      </c>
      <c r="X13" s="404">
        <f t="shared" si="2"/>
        <v>0</v>
      </c>
      <c r="Y13" s="404">
        <f t="shared" si="2"/>
        <v>0</v>
      </c>
      <c r="Z13" s="404">
        <f t="shared" si="2"/>
        <v>0</v>
      </c>
      <c r="AA13" s="404">
        <f t="shared" si="2"/>
        <v>0</v>
      </c>
      <c r="AB13" s="404">
        <f t="shared" si="2"/>
        <v>0</v>
      </c>
      <c r="AC13" s="404">
        <f t="shared" si="2"/>
        <v>0</v>
      </c>
      <c r="AD13" s="404">
        <f t="shared" si="2"/>
        <v>0</v>
      </c>
      <c r="AE13" s="404">
        <f t="shared" si="2"/>
        <v>0</v>
      </c>
      <c r="AF13" s="404">
        <f t="shared" si="2"/>
        <v>0</v>
      </c>
      <c r="AG13" s="404">
        <f t="shared" si="2"/>
        <v>0</v>
      </c>
      <c r="AH13" s="404">
        <f t="shared" si="2"/>
        <v>0</v>
      </c>
      <c r="AI13" s="404">
        <f t="shared" si="2"/>
        <v>0</v>
      </c>
      <c r="AJ13" s="404">
        <f t="shared" si="2"/>
        <v>0</v>
      </c>
    </row>
    <row r="14" spans="2:36" s="44" customFormat="1" ht="15" customHeight="1">
      <c r="B14" s="549" t="s">
        <v>455</v>
      </c>
      <c r="C14" s="550">
        <f>DATE(Paramétres!$L$19,11,1)</f>
        <v>43405</v>
      </c>
      <c r="D14" s="550">
        <f>DATE(Paramétres!$L$19,11,30)</f>
        <v>43434</v>
      </c>
      <c r="E14" s="543">
        <f>IF(ISERROR(GETPIVOTDATA("N°",'TDC Nb Tranningg'!$A$3,"Mois",11)),0,GETPIVOTDATA("N°",'TDC Nb Tranningg'!$A$3,"Mois",11))</f>
        <v>0</v>
      </c>
      <c r="F14" s="405" t="s">
        <v>10</v>
      </c>
      <c r="G14" s="406">
        <f>COUNTIFS(TabEntrainement[J1],"Présent",TabEntrainement[Seance],"&gt;="&amp;C14,TabEntrainement[Seance],"&lt;="&amp;D14)</f>
        <v>0</v>
      </c>
      <c r="H14" s="406">
        <f>COUNTIFS(TabEntrainement[J2],"Présent",TabEntrainement[Seance],"&gt;="&amp;'Bilan Entrainement - Mensuel'!$C14,TabEntrainement[Seance],"&lt;="&amp;'Bilan Entrainement - Mensuel'!$D14)</f>
        <v>0</v>
      </c>
      <c r="I14" s="406">
        <f>COUNTIFS(TabEntrainement[J3],"Présent",TabEntrainement[Seance],"&gt;="&amp;'Bilan Entrainement - Mensuel'!$C14,TabEntrainement[Seance],"&lt;="&amp;'Bilan Entrainement - Mensuel'!$D14)</f>
        <v>0</v>
      </c>
      <c r="J14" s="406">
        <f>COUNTIFS(TabEntrainement[J4],"Présent",TabEntrainement[Seance],"&gt;="&amp;'Bilan Entrainement - Mensuel'!$C14,TabEntrainement[Seance],"&lt;="&amp;'Bilan Entrainement - Mensuel'!$D14)</f>
        <v>0</v>
      </c>
      <c r="K14" s="406">
        <f>COUNTIFS(TabEntrainement[J5],"Présent",TabEntrainement[Seance],"&gt;="&amp;'Bilan Entrainement - Mensuel'!$C14,TabEntrainement[Seance],"&lt;="&amp;'Bilan Entrainement - Mensuel'!$D14)</f>
        <v>0</v>
      </c>
      <c r="L14" s="406">
        <f>COUNTIFS(TabEntrainement[J6],"Présent",TabEntrainement[Seance],"&gt;="&amp;'Bilan Entrainement - Mensuel'!$C14,TabEntrainement[Seance],"&lt;="&amp;'Bilan Entrainement - Mensuel'!$D14)</f>
        <v>0</v>
      </c>
      <c r="M14" s="406">
        <f>COUNTIFS(TabEntrainement[J7],"Présent",TabEntrainement[Seance],"&gt;="&amp;'Bilan Entrainement - Mensuel'!$C14,TabEntrainement[Seance],"&lt;="&amp;'Bilan Entrainement - Mensuel'!$D14)</f>
        <v>0</v>
      </c>
      <c r="N14" s="406">
        <f>COUNTIFS(TabEntrainement[J8],"Présent",TabEntrainement[Seance],"&gt;="&amp;'Bilan Entrainement - Mensuel'!$C14,TabEntrainement[Seance],"&lt;="&amp;'Bilan Entrainement - Mensuel'!$D14)</f>
        <v>0</v>
      </c>
      <c r="O14" s="406">
        <f>COUNTIFS(TabEntrainement[J9],"Présent",TabEntrainement[Seance],"&gt;="&amp;'Bilan Entrainement - Mensuel'!$C14,TabEntrainement[Seance],"&lt;="&amp;'Bilan Entrainement - Mensuel'!$D14)</f>
        <v>0</v>
      </c>
      <c r="P14" s="406">
        <f>COUNTIFS(TabEntrainement[J10],"Présent",TabEntrainement[Seance],"&gt;="&amp;'Bilan Entrainement - Mensuel'!$C14,TabEntrainement[Seance],"&lt;="&amp;'Bilan Entrainement - Mensuel'!$D14)</f>
        <v>0</v>
      </c>
      <c r="Q14" s="406">
        <f>COUNTIFS(TabEntrainement[J11],"Présent",TabEntrainement[Seance],"&gt;="&amp;'Bilan Entrainement - Mensuel'!$C14,TabEntrainement[Seance],"&lt;="&amp;'Bilan Entrainement - Mensuel'!$D14)</f>
        <v>0</v>
      </c>
      <c r="R14" s="406">
        <f>COUNTIFS(TabEntrainement[J12],"Présent",TabEntrainement[Seance],"&gt;="&amp;'Bilan Entrainement - Mensuel'!$C14,TabEntrainement[Seance],"&lt;="&amp;'Bilan Entrainement - Mensuel'!$D14)</f>
        <v>0</v>
      </c>
      <c r="S14" s="406">
        <f>COUNTIFS(TabEntrainement[J13],"Présent",TabEntrainement[Seance],"&gt;="&amp;'Bilan Entrainement - Mensuel'!$C14,TabEntrainement[Seance],"&lt;="&amp;'Bilan Entrainement - Mensuel'!$D14)</f>
        <v>0</v>
      </c>
      <c r="T14" s="406">
        <f>COUNTIFS(TabEntrainement[J14],"Présent",TabEntrainement[Seance],"&gt;="&amp;'Bilan Entrainement - Mensuel'!$C14,TabEntrainement[Seance],"&lt;="&amp;'Bilan Entrainement - Mensuel'!$D14)</f>
        <v>0</v>
      </c>
      <c r="U14" s="406">
        <f>COUNTIFS(TabEntrainement[J15],"Présent",TabEntrainement[Seance],"&gt;="&amp;'Bilan Entrainement - Mensuel'!$C14,TabEntrainement[Seance],"&lt;="&amp;'Bilan Entrainement - Mensuel'!$D14)</f>
        <v>0</v>
      </c>
      <c r="V14" s="406">
        <f>COUNTIFS(TabEntrainement[J16],"Présent",TabEntrainement[Seance],"&gt;="&amp;'Bilan Entrainement - Mensuel'!$C14,TabEntrainement[Seance],"&lt;="&amp;'Bilan Entrainement - Mensuel'!$D14)</f>
        <v>0</v>
      </c>
      <c r="W14" s="406">
        <f>COUNTIFS(TabEntrainement[J17],"Présent",TabEntrainement[Seance],"&gt;="&amp;'Bilan Entrainement - Mensuel'!$C14,TabEntrainement[Seance],"&lt;="&amp;'Bilan Entrainement - Mensuel'!$D14)</f>
        <v>0</v>
      </c>
      <c r="X14" s="406">
        <f>COUNTIFS(TabEntrainement[J18],"Présent",TabEntrainement[Seance],"&gt;="&amp;'Bilan Entrainement - Mensuel'!$C14,TabEntrainement[Seance],"&lt;="&amp;'Bilan Entrainement - Mensuel'!$D14)</f>
        <v>0</v>
      </c>
      <c r="Y14" s="406">
        <f>COUNTIFS(TabEntrainement[J19],"Présent",TabEntrainement[Seance],"&gt;="&amp;'Bilan Entrainement - Mensuel'!$C14,TabEntrainement[Seance],"&lt;="&amp;'Bilan Entrainement - Mensuel'!$D14)</f>
        <v>0</v>
      </c>
      <c r="Z14" s="406">
        <f>COUNTIFS(TabEntrainement[J20],"Présent",TabEntrainement[Seance],"&gt;="&amp;'Bilan Entrainement - Mensuel'!$C14,TabEntrainement[Seance],"&lt;="&amp;'Bilan Entrainement - Mensuel'!$D14)</f>
        <v>0</v>
      </c>
      <c r="AA14" s="406">
        <f>COUNTIFS(TabEntrainement[J21],"Présent",TabEntrainement[Seance],"&gt;="&amp;'Bilan Entrainement - Mensuel'!$C14,TabEntrainement[Seance],"&lt;="&amp;'Bilan Entrainement - Mensuel'!$D14)</f>
        <v>0</v>
      </c>
      <c r="AB14" s="406">
        <f>COUNTIFS(TabEntrainement[J22],"Présent",TabEntrainement[Seance],"&gt;="&amp;'Bilan Entrainement - Mensuel'!$C14,TabEntrainement[Seance],"&lt;="&amp;'Bilan Entrainement - Mensuel'!$D14)</f>
        <v>0</v>
      </c>
      <c r="AC14" s="406">
        <f>COUNTIFS(TabEntrainement[J23],"Présent",TabEntrainement[Seance],"&gt;="&amp;'Bilan Entrainement - Mensuel'!$C14,TabEntrainement[Seance],"&lt;="&amp;'Bilan Entrainement - Mensuel'!$D14)</f>
        <v>0</v>
      </c>
      <c r="AD14" s="406">
        <f>COUNTIFS(TabEntrainement[J24],"Présent",TabEntrainement[Seance],"&gt;="&amp;'Bilan Entrainement - Mensuel'!$C14,TabEntrainement[Seance],"&lt;="&amp;'Bilan Entrainement - Mensuel'!$D14)</f>
        <v>0</v>
      </c>
      <c r="AE14" s="406">
        <f>COUNTIFS(TabEntrainement[J25],"Présent",TabEntrainement[Seance],"&gt;="&amp;'Bilan Entrainement - Mensuel'!$C14,TabEntrainement[Seance],"&lt;="&amp;'Bilan Entrainement - Mensuel'!$D14)</f>
        <v>0</v>
      </c>
      <c r="AF14" s="406">
        <f>COUNTIFS(TabEntrainement[J26],"Présent",TabEntrainement[Seance],"&gt;="&amp;'Bilan Entrainement - Mensuel'!$C14,TabEntrainement[Seance],"&lt;="&amp;'Bilan Entrainement - Mensuel'!$D14)</f>
        <v>0</v>
      </c>
      <c r="AG14" s="406">
        <f>COUNTIFS(TabEntrainement[J27],"Présent",TabEntrainement[Seance],"&gt;="&amp;'Bilan Entrainement - Mensuel'!$C14,TabEntrainement[Seance],"&lt;="&amp;'Bilan Entrainement - Mensuel'!$D14)</f>
        <v>0</v>
      </c>
      <c r="AH14" s="406">
        <f>COUNTIFS(TabEntrainement[J28],"Présent",TabEntrainement[Seance],"&gt;="&amp;'Bilan Entrainement - Mensuel'!$C14,TabEntrainement[Seance],"&lt;="&amp;'Bilan Entrainement - Mensuel'!$D14)</f>
        <v>0</v>
      </c>
      <c r="AI14" s="406">
        <f>COUNTIFS(TabEntrainement[J29],"Présent",TabEntrainement[Seance],"&gt;="&amp;'Bilan Entrainement - Mensuel'!$C14,TabEntrainement[Seance],"&lt;="&amp;'Bilan Entrainement - Mensuel'!$D14)</f>
        <v>0</v>
      </c>
      <c r="AJ14" s="406">
        <f>COUNTIFS(TabEntrainement[J30],"Présent",TabEntrainement[Seance],"&gt;="&amp;'Bilan Entrainement - Mensuel'!$C14,TabEntrainement[Seance],"&lt;="&amp;'Bilan Entrainement - Mensuel'!$D14)</f>
        <v>0</v>
      </c>
    </row>
    <row r="15" spans="2:36" s="44" customFormat="1" ht="15" customHeight="1">
      <c r="B15" s="549"/>
      <c r="C15" s="550"/>
      <c r="D15" s="550"/>
      <c r="E15" s="544"/>
      <c r="F15" s="405" t="s">
        <v>18</v>
      </c>
      <c r="G15" s="406">
        <f>COUNTIFS(TabEntrainement[J1],"Absent",TabEntrainement[Seance],"&gt;="&amp;C14,TabEntrainement[Seance],"&lt;="&amp;D14)</f>
        <v>0</v>
      </c>
      <c r="H15" s="406">
        <f>COUNTIFS(TabEntrainement[J2],"Absent",TabEntrainement[Seance],"&gt;="&amp;'Bilan Entrainement - Mensuel'!$C14,TabEntrainement[Seance],"&lt;="&amp;'Bilan Entrainement - Mensuel'!$D14)</f>
        <v>0</v>
      </c>
      <c r="I15" s="406">
        <f>COUNTIFS(TabEntrainement[J3],"Absent",TabEntrainement[Seance],"&gt;="&amp;'Bilan Entrainement - Mensuel'!$C14,TabEntrainement[Seance],"&lt;="&amp;'Bilan Entrainement - Mensuel'!$D14)</f>
        <v>0</v>
      </c>
      <c r="J15" s="406">
        <f>COUNTIFS(TabEntrainement[J4],"Absent",TabEntrainement[Seance],"&gt;="&amp;'Bilan Entrainement - Mensuel'!$C14,TabEntrainement[Seance],"&lt;="&amp;'Bilan Entrainement - Mensuel'!$D14)</f>
        <v>0</v>
      </c>
      <c r="K15" s="406">
        <f>COUNTIFS(TabEntrainement[J5],"Absent",TabEntrainement[Seance],"&gt;="&amp;'Bilan Entrainement - Mensuel'!$C14,TabEntrainement[Seance],"&lt;="&amp;'Bilan Entrainement - Mensuel'!$D14)</f>
        <v>0</v>
      </c>
      <c r="L15" s="406">
        <f>COUNTIFS(TabEntrainement[J6],"Absent",TabEntrainement[Seance],"&gt;="&amp;'Bilan Entrainement - Mensuel'!$C14,TabEntrainement[Seance],"&lt;="&amp;'Bilan Entrainement - Mensuel'!$D14)</f>
        <v>0</v>
      </c>
      <c r="M15" s="406">
        <f>COUNTIFS(TabEntrainement[J7],"Absent",TabEntrainement[Seance],"&gt;="&amp;'Bilan Entrainement - Mensuel'!$C14,TabEntrainement[Seance],"&lt;="&amp;'Bilan Entrainement - Mensuel'!$D14)</f>
        <v>0</v>
      </c>
      <c r="N15" s="406">
        <f>COUNTIFS(TabEntrainement[J8],"Absent",TabEntrainement[Seance],"&gt;="&amp;'Bilan Entrainement - Mensuel'!$C14,TabEntrainement[Seance],"&lt;="&amp;'Bilan Entrainement - Mensuel'!$D14)</f>
        <v>0</v>
      </c>
      <c r="O15" s="406">
        <f>COUNTIFS(TabEntrainement[J9],"Absent",TabEntrainement[Seance],"&gt;="&amp;'Bilan Entrainement - Mensuel'!$C14,TabEntrainement[Seance],"&lt;="&amp;'Bilan Entrainement - Mensuel'!$D14)</f>
        <v>0</v>
      </c>
      <c r="P15" s="406">
        <f>COUNTIFS(TabEntrainement[J10],"Absent",TabEntrainement[Seance],"&gt;="&amp;'Bilan Entrainement - Mensuel'!$C14,TabEntrainement[Seance],"&lt;="&amp;'Bilan Entrainement - Mensuel'!$D14)</f>
        <v>0</v>
      </c>
      <c r="Q15" s="406">
        <f>COUNTIFS(TabEntrainement[J11],"Absent",TabEntrainement[Seance],"&gt;="&amp;'Bilan Entrainement - Mensuel'!$C14,TabEntrainement[Seance],"&lt;="&amp;'Bilan Entrainement - Mensuel'!$D14)</f>
        <v>0</v>
      </c>
      <c r="R15" s="406">
        <f>COUNTIFS(TabEntrainement[J12],"Absent",TabEntrainement[Seance],"&gt;="&amp;'Bilan Entrainement - Mensuel'!$C14,TabEntrainement[Seance],"&lt;="&amp;'Bilan Entrainement - Mensuel'!$D14)</f>
        <v>0</v>
      </c>
      <c r="S15" s="406">
        <f>COUNTIFS(TabEntrainement[J13],"Absent",TabEntrainement[Seance],"&gt;="&amp;'Bilan Entrainement - Mensuel'!$C14,TabEntrainement[Seance],"&lt;="&amp;'Bilan Entrainement - Mensuel'!$D14)</f>
        <v>0</v>
      </c>
      <c r="T15" s="406">
        <f>COUNTIFS(TabEntrainement[J14],"Absent",TabEntrainement[Seance],"&gt;="&amp;'Bilan Entrainement - Mensuel'!$C14,TabEntrainement[Seance],"&lt;="&amp;'Bilan Entrainement - Mensuel'!$D14)</f>
        <v>0</v>
      </c>
      <c r="U15" s="406">
        <f>COUNTIFS(TabEntrainement[J15],"Absent",TabEntrainement[Seance],"&gt;="&amp;'Bilan Entrainement - Mensuel'!$C14,TabEntrainement[Seance],"&lt;="&amp;'Bilan Entrainement - Mensuel'!$D14)</f>
        <v>0</v>
      </c>
      <c r="V15" s="406">
        <f>COUNTIFS(TabEntrainement[J16],"Absent",TabEntrainement[Seance],"&gt;="&amp;'Bilan Entrainement - Mensuel'!$C14,TabEntrainement[Seance],"&lt;="&amp;'Bilan Entrainement - Mensuel'!$D14)</f>
        <v>0</v>
      </c>
      <c r="W15" s="406">
        <f>COUNTIFS(TabEntrainement[J17],"Absent",TabEntrainement[Seance],"&gt;="&amp;'Bilan Entrainement - Mensuel'!$C14,TabEntrainement[Seance],"&lt;="&amp;'Bilan Entrainement - Mensuel'!$D14)</f>
        <v>0</v>
      </c>
      <c r="X15" s="406">
        <f>COUNTIFS(TabEntrainement[J18],"Absent",TabEntrainement[Seance],"&gt;="&amp;'Bilan Entrainement - Mensuel'!$C14,TabEntrainement[Seance],"&lt;="&amp;'Bilan Entrainement - Mensuel'!$D14)</f>
        <v>0</v>
      </c>
      <c r="Y15" s="406">
        <f>COUNTIFS(TabEntrainement[J19],"Absent",TabEntrainement[Seance],"&gt;="&amp;'Bilan Entrainement - Mensuel'!$C14,TabEntrainement[Seance],"&lt;="&amp;'Bilan Entrainement - Mensuel'!$D14)</f>
        <v>0</v>
      </c>
      <c r="Z15" s="406">
        <f>COUNTIFS(TabEntrainement[J20],"Absent",TabEntrainement[Seance],"&gt;="&amp;'Bilan Entrainement - Mensuel'!$C14,TabEntrainement[Seance],"&lt;="&amp;'Bilan Entrainement - Mensuel'!$D14)</f>
        <v>0</v>
      </c>
      <c r="AA15" s="406">
        <f>COUNTIFS(TabEntrainement[J21],"Absent",TabEntrainement[Seance],"&gt;="&amp;'Bilan Entrainement - Mensuel'!$C14,TabEntrainement[Seance],"&lt;="&amp;'Bilan Entrainement - Mensuel'!$D14)</f>
        <v>0</v>
      </c>
      <c r="AB15" s="406">
        <f>COUNTIFS(TabEntrainement[J22],"Absent",TabEntrainement[Seance],"&gt;="&amp;'Bilan Entrainement - Mensuel'!$C14,TabEntrainement[Seance],"&lt;="&amp;'Bilan Entrainement - Mensuel'!$D14)</f>
        <v>0</v>
      </c>
      <c r="AC15" s="406">
        <f>COUNTIFS(TabEntrainement[J23],"Absent",TabEntrainement[Seance],"&gt;="&amp;'Bilan Entrainement - Mensuel'!$C14,TabEntrainement[Seance],"&lt;="&amp;'Bilan Entrainement - Mensuel'!$D14)</f>
        <v>0</v>
      </c>
      <c r="AD15" s="406">
        <f>COUNTIFS(TabEntrainement[J24],"Absent",TabEntrainement[Seance],"&gt;="&amp;'Bilan Entrainement - Mensuel'!$C14,TabEntrainement[Seance],"&lt;="&amp;'Bilan Entrainement - Mensuel'!$D14)</f>
        <v>0</v>
      </c>
      <c r="AE15" s="406">
        <f>COUNTIFS(TabEntrainement[J25],"Absent",TabEntrainement[Seance],"&gt;="&amp;'Bilan Entrainement - Mensuel'!$C14,TabEntrainement[Seance],"&lt;="&amp;'Bilan Entrainement - Mensuel'!$D14)</f>
        <v>0</v>
      </c>
      <c r="AF15" s="406">
        <f>COUNTIFS(TabEntrainement[J26],"Absent",TabEntrainement[Seance],"&gt;="&amp;'Bilan Entrainement - Mensuel'!$C14,TabEntrainement[Seance],"&lt;="&amp;'Bilan Entrainement - Mensuel'!$D14)</f>
        <v>0</v>
      </c>
      <c r="AG15" s="406">
        <f>COUNTIFS(TabEntrainement[J27],"Absent",TabEntrainement[Seance],"&gt;="&amp;'Bilan Entrainement - Mensuel'!$C14,TabEntrainement[Seance],"&lt;="&amp;'Bilan Entrainement - Mensuel'!$D14)</f>
        <v>0</v>
      </c>
      <c r="AH15" s="406">
        <f>COUNTIFS(TabEntrainement[J28],"Absent",TabEntrainement[Seance],"&gt;="&amp;'Bilan Entrainement - Mensuel'!$C14,TabEntrainement[Seance],"&lt;="&amp;'Bilan Entrainement - Mensuel'!$D14)</f>
        <v>0</v>
      </c>
      <c r="AI15" s="406">
        <f>COUNTIFS(TabEntrainement[J29],"Absent",TabEntrainement[Seance],"&gt;="&amp;'Bilan Entrainement - Mensuel'!$C14,TabEntrainement[Seance],"&lt;="&amp;'Bilan Entrainement - Mensuel'!$D14)</f>
        <v>0</v>
      </c>
      <c r="AJ15" s="406">
        <f>COUNTIFS(TabEntrainement[J30],"Absent",TabEntrainement[Seance],"&gt;="&amp;'Bilan Entrainement - Mensuel'!$C14,TabEntrainement[Seance],"&lt;="&amp;'Bilan Entrainement - Mensuel'!$D14)</f>
        <v>0</v>
      </c>
    </row>
    <row r="16" spans="2:36" s="44" customFormat="1" ht="15" customHeight="1">
      <c r="B16" s="549"/>
      <c r="C16" s="550"/>
      <c r="D16" s="550"/>
      <c r="E16" s="544"/>
      <c r="F16" s="405" t="s">
        <v>44</v>
      </c>
      <c r="G16" s="406">
        <f>$E$14-G14-G15</f>
        <v>0</v>
      </c>
      <c r="H16" s="406">
        <f t="shared" ref="H16:AJ16" si="3">$E$14-H14-H15</f>
        <v>0</v>
      </c>
      <c r="I16" s="406">
        <f t="shared" si="3"/>
        <v>0</v>
      </c>
      <c r="J16" s="406">
        <f t="shared" si="3"/>
        <v>0</v>
      </c>
      <c r="K16" s="406">
        <f t="shared" si="3"/>
        <v>0</v>
      </c>
      <c r="L16" s="406">
        <f t="shared" si="3"/>
        <v>0</v>
      </c>
      <c r="M16" s="406">
        <f t="shared" si="3"/>
        <v>0</v>
      </c>
      <c r="N16" s="406">
        <f t="shared" si="3"/>
        <v>0</v>
      </c>
      <c r="O16" s="406">
        <f t="shared" si="3"/>
        <v>0</v>
      </c>
      <c r="P16" s="406">
        <f t="shared" si="3"/>
        <v>0</v>
      </c>
      <c r="Q16" s="406">
        <f t="shared" si="3"/>
        <v>0</v>
      </c>
      <c r="R16" s="406">
        <f t="shared" si="3"/>
        <v>0</v>
      </c>
      <c r="S16" s="406">
        <f t="shared" si="3"/>
        <v>0</v>
      </c>
      <c r="T16" s="406">
        <f t="shared" si="3"/>
        <v>0</v>
      </c>
      <c r="U16" s="406">
        <f t="shared" si="3"/>
        <v>0</v>
      </c>
      <c r="V16" s="406">
        <f t="shared" si="3"/>
        <v>0</v>
      </c>
      <c r="W16" s="406">
        <f t="shared" si="3"/>
        <v>0</v>
      </c>
      <c r="X16" s="406">
        <f t="shared" si="3"/>
        <v>0</v>
      </c>
      <c r="Y16" s="406">
        <f t="shared" si="3"/>
        <v>0</v>
      </c>
      <c r="Z16" s="406">
        <f t="shared" si="3"/>
        <v>0</v>
      </c>
      <c r="AA16" s="406">
        <f t="shared" si="3"/>
        <v>0</v>
      </c>
      <c r="AB16" s="406">
        <f t="shared" si="3"/>
        <v>0</v>
      </c>
      <c r="AC16" s="406">
        <f t="shared" si="3"/>
        <v>0</v>
      </c>
      <c r="AD16" s="406">
        <f t="shared" si="3"/>
        <v>0</v>
      </c>
      <c r="AE16" s="406">
        <f t="shared" si="3"/>
        <v>0</v>
      </c>
      <c r="AF16" s="406">
        <f t="shared" si="3"/>
        <v>0</v>
      </c>
      <c r="AG16" s="406">
        <f t="shared" si="3"/>
        <v>0</v>
      </c>
      <c r="AH16" s="406">
        <f t="shared" si="3"/>
        <v>0</v>
      </c>
      <c r="AI16" s="406">
        <f t="shared" si="3"/>
        <v>0</v>
      </c>
      <c r="AJ16" s="406">
        <f t="shared" si="3"/>
        <v>0</v>
      </c>
    </row>
    <row r="17" spans="2:36" s="44" customFormat="1" ht="15" customHeight="1">
      <c r="B17" s="546" t="s">
        <v>484</v>
      </c>
      <c r="C17" s="548">
        <f>DATE(Paramétres!$L$19,12,1)</f>
        <v>43435</v>
      </c>
      <c r="D17" s="548">
        <f>DATE(Paramétres!$L$19,12,31)</f>
        <v>43465</v>
      </c>
      <c r="E17" s="543">
        <f>IF(ISERROR(GETPIVOTDATA("N°",'TDC Nb Tranningg'!$A$3,"Mois",12)),0,GETPIVOTDATA("N°",'TDC Nb Tranningg'!$A$3,"Mois",12))</f>
        <v>0</v>
      </c>
      <c r="F17" s="403" t="s">
        <v>10</v>
      </c>
      <c r="G17" s="404">
        <f>COUNTIFS(TabEntrainement[J1],"Présent",TabEntrainement[Seance],"&gt;="&amp;C17,TabEntrainement[Seance],"&lt;="&amp;D17)</f>
        <v>0</v>
      </c>
      <c r="H17" s="404">
        <f>COUNTIFS(TabEntrainement[J2],"Présent",TabEntrainement[Seance],"&gt;="&amp;'Bilan Entrainement - Mensuel'!$C17,TabEntrainement[Seance],"&lt;="&amp;'Bilan Entrainement - Mensuel'!$D17)</f>
        <v>0</v>
      </c>
      <c r="I17" s="404">
        <f>COUNTIFS(TabEntrainement[J3],"Présent",TabEntrainement[Seance],"&gt;="&amp;'Bilan Entrainement - Mensuel'!$C17,TabEntrainement[Seance],"&lt;="&amp;'Bilan Entrainement - Mensuel'!$D17)</f>
        <v>0</v>
      </c>
      <c r="J17" s="404">
        <f>COUNTIFS(TabEntrainement[J4],"Présent",TabEntrainement[Seance],"&gt;="&amp;'Bilan Entrainement - Mensuel'!$C17,TabEntrainement[Seance],"&lt;="&amp;'Bilan Entrainement - Mensuel'!$D17)</f>
        <v>0</v>
      </c>
      <c r="K17" s="404">
        <f>COUNTIFS(TabEntrainement[J5],"Présent",TabEntrainement[Seance],"&gt;="&amp;'Bilan Entrainement - Mensuel'!$C17,TabEntrainement[Seance],"&lt;="&amp;'Bilan Entrainement - Mensuel'!$D17)</f>
        <v>0</v>
      </c>
      <c r="L17" s="404">
        <f>COUNTIFS(TabEntrainement[J6],"Présent",TabEntrainement[Seance],"&gt;="&amp;'Bilan Entrainement - Mensuel'!$C17,TabEntrainement[Seance],"&lt;="&amp;'Bilan Entrainement - Mensuel'!$D17)</f>
        <v>0</v>
      </c>
      <c r="M17" s="404">
        <f>COUNTIFS(TabEntrainement[J7],"Présent",TabEntrainement[Seance],"&gt;="&amp;'Bilan Entrainement - Mensuel'!$C17,TabEntrainement[Seance],"&lt;="&amp;'Bilan Entrainement - Mensuel'!$D17)</f>
        <v>0</v>
      </c>
      <c r="N17" s="404">
        <f>COUNTIFS(TabEntrainement[J8],"Présent",TabEntrainement[Seance],"&gt;="&amp;'Bilan Entrainement - Mensuel'!$C17,TabEntrainement[Seance],"&lt;="&amp;'Bilan Entrainement - Mensuel'!$D17)</f>
        <v>0</v>
      </c>
      <c r="O17" s="404">
        <f>COUNTIFS(TabEntrainement[J9],"Présent",TabEntrainement[Seance],"&gt;="&amp;'Bilan Entrainement - Mensuel'!$C17,TabEntrainement[Seance],"&lt;="&amp;'Bilan Entrainement - Mensuel'!$D17)</f>
        <v>0</v>
      </c>
      <c r="P17" s="404">
        <f>COUNTIFS(TabEntrainement[J10],"Présent",TabEntrainement[Seance],"&gt;="&amp;'Bilan Entrainement - Mensuel'!$C17,TabEntrainement[Seance],"&lt;="&amp;'Bilan Entrainement - Mensuel'!$D17)</f>
        <v>0</v>
      </c>
      <c r="Q17" s="404">
        <f>COUNTIFS(TabEntrainement[J11],"Présent",TabEntrainement[Seance],"&gt;="&amp;'Bilan Entrainement - Mensuel'!$C17,TabEntrainement[Seance],"&lt;="&amp;'Bilan Entrainement - Mensuel'!$D17)</f>
        <v>0</v>
      </c>
      <c r="R17" s="404">
        <f>COUNTIFS(TabEntrainement[J12],"Présent",TabEntrainement[Seance],"&gt;="&amp;'Bilan Entrainement - Mensuel'!$C17,TabEntrainement[Seance],"&lt;="&amp;'Bilan Entrainement - Mensuel'!$D17)</f>
        <v>0</v>
      </c>
      <c r="S17" s="404">
        <f>COUNTIFS(TabEntrainement[J13],"Présent",TabEntrainement[Seance],"&gt;="&amp;'Bilan Entrainement - Mensuel'!$C17,TabEntrainement[Seance],"&lt;="&amp;'Bilan Entrainement - Mensuel'!$D17)</f>
        <v>0</v>
      </c>
      <c r="T17" s="404">
        <f>COUNTIFS(TabEntrainement[J14],"Présent",TabEntrainement[Seance],"&gt;="&amp;'Bilan Entrainement - Mensuel'!$C17,TabEntrainement[Seance],"&lt;="&amp;'Bilan Entrainement - Mensuel'!$D17)</f>
        <v>0</v>
      </c>
      <c r="U17" s="404">
        <f>COUNTIFS(TabEntrainement[J15],"Présent",TabEntrainement[Seance],"&gt;="&amp;'Bilan Entrainement - Mensuel'!$C17,TabEntrainement[Seance],"&lt;="&amp;'Bilan Entrainement - Mensuel'!$D17)</f>
        <v>0</v>
      </c>
      <c r="V17" s="404">
        <f>COUNTIFS(TabEntrainement[J16],"Présent",TabEntrainement[Seance],"&gt;="&amp;'Bilan Entrainement - Mensuel'!$C17,TabEntrainement[Seance],"&lt;="&amp;'Bilan Entrainement - Mensuel'!$D17)</f>
        <v>0</v>
      </c>
      <c r="W17" s="404">
        <f>COUNTIFS(TabEntrainement[J17],"Présent",TabEntrainement[Seance],"&gt;="&amp;'Bilan Entrainement - Mensuel'!$C17,TabEntrainement[Seance],"&lt;="&amp;'Bilan Entrainement - Mensuel'!$D17)</f>
        <v>0</v>
      </c>
      <c r="X17" s="404">
        <f>COUNTIFS(TabEntrainement[J18],"Présent",TabEntrainement[Seance],"&gt;="&amp;'Bilan Entrainement - Mensuel'!$C17,TabEntrainement[Seance],"&lt;="&amp;'Bilan Entrainement - Mensuel'!$D17)</f>
        <v>0</v>
      </c>
      <c r="Y17" s="404">
        <f>COUNTIFS(TabEntrainement[J19],"Présent",TabEntrainement[Seance],"&gt;="&amp;'Bilan Entrainement - Mensuel'!$C17,TabEntrainement[Seance],"&lt;="&amp;'Bilan Entrainement - Mensuel'!$D17)</f>
        <v>0</v>
      </c>
      <c r="Z17" s="404">
        <f>COUNTIFS(TabEntrainement[J20],"Présent",TabEntrainement[Seance],"&gt;="&amp;'Bilan Entrainement - Mensuel'!$C17,TabEntrainement[Seance],"&lt;="&amp;'Bilan Entrainement - Mensuel'!$D17)</f>
        <v>0</v>
      </c>
      <c r="AA17" s="404">
        <f>COUNTIFS(TabEntrainement[J21],"Présent",TabEntrainement[Seance],"&gt;="&amp;'Bilan Entrainement - Mensuel'!$C17,TabEntrainement[Seance],"&lt;="&amp;'Bilan Entrainement - Mensuel'!$D17)</f>
        <v>0</v>
      </c>
      <c r="AB17" s="404">
        <f>COUNTIFS(TabEntrainement[J22],"Présent",TabEntrainement[Seance],"&gt;="&amp;'Bilan Entrainement - Mensuel'!$C17,TabEntrainement[Seance],"&lt;="&amp;'Bilan Entrainement - Mensuel'!$D17)</f>
        <v>0</v>
      </c>
      <c r="AC17" s="404">
        <f>COUNTIFS(TabEntrainement[J23],"Présent",TabEntrainement[Seance],"&gt;="&amp;'Bilan Entrainement - Mensuel'!$C17,TabEntrainement[Seance],"&lt;="&amp;'Bilan Entrainement - Mensuel'!$D17)</f>
        <v>0</v>
      </c>
      <c r="AD17" s="404">
        <f>COUNTIFS(TabEntrainement[J24],"Présent",TabEntrainement[Seance],"&gt;="&amp;'Bilan Entrainement - Mensuel'!$C17,TabEntrainement[Seance],"&lt;="&amp;'Bilan Entrainement - Mensuel'!$D17)</f>
        <v>0</v>
      </c>
      <c r="AE17" s="404">
        <f>COUNTIFS(TabEntrainement[J25],"Présent",TabEntrainement[Seance],"&gt;="&amp;'Bilan Entrainement - Mensuel'!$C17,TabEntrainement[Seance],"&lt;="&amp;'Bilan Entrainement - Mensuel'!$D17)</f>
        <v>0</v>
      </c>
      <c r="AF17" s="404">
        <f>COUNTIFS(TabEntrainement[J26],"Présent",TabEntrainement[Seance],"&gt;="&amp;'Bilan Entrainement - Mensuel'!$C17,TabEntrainement[Seance],"&lt;="&amp;'Bilan Entrainement - Mensuel'!$D17)</f>
        <v>0</v>
      </c>
      <c r="AG17" s="404">
        <f>COUNTIFS(TabEntrainement[J27],"Présent",TabEntrainement[Seance],"&gt;="&amp;'Bilan Entrainement - Mensuel'!$C17,TabEntrainement[Seance],"&lt;="&amp;'Bilan Entrainement - Mensuel'!$D17)</f>
        <v>0</v>
      </c>
      <c r="AH17" s="404">
        <f>COUNTIFS(TabEntrainement[J28],"Présent",TabEntrainement[Seance],"&gt;="&amp;'Bilan Entrainement - Mensuel'!$C17,TabEntrainement[Seance],"&lt;="&amp;'Bilan Entrainement - Mensuel'!$D17)</f>
        <v>0</v>
      </c>
      <c r="AI17" s="404">
        <f>COUNTIFS(TabEntrainement[J29],"Présent",TabEntrainement[Seance],"&gt;="&amp;'Bilan Entrainement - Mensuel'!$C17,TabEntrainement[Seance],"&lt;="&amp;'Bilan Entrainement - Mensuel'!$D17)</f>
        <v>0</v>
      </c>
      <c r="AJ17" s="404">
        <f>COUNTIFS(TabEntrainement[J30],"Présent",TabEntrainement[Seance],"&gt;="&amp;'Bilan Entrainement - Mensuel'!$C17,TabEntrainement[Seance],"&lt;="&amp;'Bilan Entrainement - Mensuel'!$D17)</f>
        <v>0</v>
      </c>
    </row>
    <row r="18" spans="2:36" s="44" customFormat="1" ht="15" customHeight="1">
      <c r="B18" s="546"/>
      <c r="C18" s="548"/>
      <c r="D18" s="548"/>
      <c r="E18" s="544"/>
      <c r="F18" s="403" t="s">
        <v>18</v>
      </c>
      <c r="G18" s="404">
        <f>COUNTIFS(TabEntrainement[J1],"Absent",TabEntrainement[Seance],"&gt;="&amp;C17,TabEntrainement[Seance],"&lt;="&amp;D17)</f>
        <v>0</v>
      </c>
      <c r="H18" s="404">
        <f>COUNTIFS(TabEntrainement[J2],"Absent",TabEntrainement[Seance],"&gt;="&amp;'Bilan Entrainement - Mensuel'!$C17,TabEntrainement[Seance],"&lt;="&amp;'Bilan Entrainement - Mensuel'!$D17)</f>
        <v>0</v>
      </c>
      <c r="I18" s="404">
        <f>COUNTIFS(TabEntrainement[J3],"Absent",TabEntrainement[Seance],"&gt;="&amp;'Bilan Entrainement - Mensuel'!$C17,TabEntrainement[Seance],"&lt;="&amp;'Bilan Entrainement - Mensuel'!$D17)</f>
        <v>0</v>
      </c>
      <c r="J18" s="404">
        <f>COUNTIFS(TabEntrainement[J4],"Absent",TabEntrainement[Seance],"&gt;="&amp;'Bilan Entrainement - Mensuel'!$C17,TabEntrainement[Seance],"&lt;="&amp;'Bilan Entrainement - Mensuel'!$D17)</f>
        <v>0</v>
      </c>
      <c r="K18" s="404">
        <f>COUNTIFS(TabEntrainement[J5],"Absent",TabEntrainement[Seance],"&gt;="&amp;'Bilan Entrainement - Mensuel'!$C17,TabEntrainement[Seance],"&lt;="&amp;'Bilan Entrainement - Mensuel'!$D17)</f>
        <v>0</v>
      </c>
      <c r="L18" s="404">
        <f>COUNTIFS(TabEntrainement[J6],"Absent",TabEntrainement[Seance],"&gt;="&amp;'Bilan Entrainement - Mensuel'!$C17,TabEntrainement[Seance],"&lt;="&amp;'Bilan Entrainement - Mensuel'!$D17)</f>
        <v>0</v>
      </c>
      <c r="M18" s="404">
        <f>COUNTIFS(TabEntrainement[J7],"Absent",TabEntrainement[Seance],"&gt;="&amp;'Bilan Entrainement - Mensuel'!$C17,TabEntrainement[Seance],"&lt;="&amp;'Bilan Entrainement - Mensuel'!$D17)</f>
        <v>0</v>
      </c>
      <c r="N18" s="404">
        <f>COUNTIFS(TabEntrainement[J8],"Absent",TabEntrainement[Seance],"&gt;="&amp;'Bilan Entrainement - Mensuel'!$C17,TabEntrainement[Seance],"&lt;="&amp;'Bilan Entrainement - Mensuel'!$D17)</f>
        <v>0</v>
      </c>
      <c r="O18" s="404">
        <f>COUNTIFS(TabEntrainement[J9],"Absent",TabEntrainement[Seance],"&gt;="&amp;'Bilan Entrainement - Mensuel'!$C17,TabEntrainement[Seance],"&lt;="&amp;'Bilan Entrainement - Mensuel'!$D17)</f>
        <v>0</v>
      </c>
      <c r="P18" s="404">
        <f>COUNTIFS(TabEntrainement[J10],"Absent",TabEntrainement[Seance],"&gt;="&amp;'Bilan Entrainement - Mensuel'!$C17,TabEntrainement[Seance],"&lt;="&amp;'Bilan Entrainement - Mensuel'!$D17)</f>
        <v>0</v>
      </c>
      <c r="Q18" s="404">
        <f>COUNTIFS(TabEntrainement[J11],"Absent",TabEntrainement[Seance],"&gt;="&amp;'Bilan Entrainement - Mensuel'!$C17,TabEntrainement[Seance],"&lt;="&amp;'Bilan Entrainement - Mensuel'!$D17)</f>
        <v>0</v>
      </c>
      <c r="R18" s="404">
        <f>COUNTIFS(TabEntrainement[J12],"Absent",TabEntrainement[Seance],"&gt;="&amp;'Bilan Entrainement - Mensuel'!$C17,TabEntrainement[Seance],"&lt;="&amp;'Bilan Entrainement - Mensuel'!$D17)</f>
        <v>0</v>
      </c>
      <c r="S18" s="404">
        <f>COUNTIFS(TabEntrainement[J13],"Absent",TabEntrainement[Seance],"&gt;="&amp;'Bilan Entrainement - Mensuel'!$C17,TabEntrainement[Seance],"&lt;="&amp;'Bilan Entrainement - Mensuel'!$D17)</f>
        <v>0</v>
      </c>
      <c r="T18" s="404">
        <f>COUNTIFS(TabEntrainement[J14],"Absent",TabEntrainement[Seance],"&gt;="&amp;'Bilan Entrainement - Mensuel'!$C17,TabEntrainement[Seance],"&lt;="&amp;'Bilan Entrainement - Mensuel'!$D17)</f>
        <v>0</v>
      </c>
      <c r="U18" s="404">
        <f>COUNTIFS(TabEntrainement[J15],"Absent",TabEntrainement[Seance],"&gt;="&amp;'Bilan Entrainement - Mensuel'!$C17,TabEntrainement[Seance],"&lt;="&amp;'Bilan Entrainement - Mensuel'!$D17)</f>
        <v>0</v>
      </c>
      <c r="V18" s="404">
        <f>COUNTIFS(TabEntrainement[J16],"Absent",TabEntrainement[Seance],"&gt;="&amp;'Bilan Entrainement - Mensuel'!$C17,TabEntrainement[Seance],"&lt;="&amp;'Bilan Entrainement - Mensuel'!$D17)</f>
        <v>0</v>
      </c>
      <c r="W18" s="404">
        <f>COUNTIFS(TabEntrainement[J17],"Absent",TabEntrainement[Seance],"&gt;="&amp;'Bilan Entrainement - Mensuel'!$C17,TabEntrainement[Seance],"&lt;="&amp;'Bilan Entrainement - Mensuel'!$D17)</f>
        <v>0</v>
      </c>
      <c r="X18" s="404">
        <f>COUNTIFS(TabEntrainement[J18],"Absent",TabEntrainement[Seance],"&gt;="&amp;'Bilan Entrainement - Mensuel'!$C17,TabEntrainement[Seance],"&lt;="&amp;'Bilan Entrainement - Mensuel'!$D17)</f>
        <v>0</v>
      </c>
      <c r="Y18" s="404">
        <f>COUNTIFS(TabEntrainement[J19],"Absent",TabEntrainement[Seance],"&gt;="&amp;'Bilan Entrainement - Mensuel'!$C17,TabEntrainement[Seance],"&lt;="&amp;'Bilan Entrainement - Mensuel'!$D17)</f>
        <v>0</v>
      </c>
      <c r="Z18" s="404">
        <f>COUNTIFS(TabEntrainement[J20],"Absent",TabEntrainement[Seance],"&gt;="&amp;'Bilan Entrainement - Mensuel'!$C17,TabEntrainement[Seance],"&lt;="&amp;'Bilan Entrainement - Mensuel'!$D17)</f>
        <v>0</v>
      </c>
      <c r="AA18" s="404">
        <f>COUNTIFS(TabEntrainement[J21],"Absent",TabEntrainement[Seance],"&gt;="&amp;'Bilan Entrainement - Mensuel'!$C17,TabEntrainement[Seance],"&lt;="&amp;'Bilan Entrainement - Mensuel'!$D17)</f>
        <v>0</v>
      </c>
      <c r="AB18" s="404">
        <f>COUNTIFS(TabEntrainement[J22],"Absent",TabEntrainement[Seance],"&gt;="&amp;'Bilan Entrainement - Mensuel'!$C17,TabEntrainement[Seance],"&lt;="&amp;'Bilan Entrainement - Mensuel'!$D17)</f>
        <v>0</v>
      </c>
      <c r="AC18" s="404">
        <f>COUNTIFS(TabEntrainement[J23],"Absent",TabEntrainement[Seance],"&gt;="&amp;'Bilan Entrainement - Mensuel'!$C17,TabEntrainement[Seance],"&lt;="&amp;'Bilan Entrainement - Mensuel'!$D17)</f>
        <v>0</v>
      </c>
      <c r="AD18" s="404">
        <f>COUNTIFS(TabEntrainement[J24],"Absent",TabEntrainement[Seance],"&gt;="&amp;'Bilan Entrainement - Mensuel'!$C17,TabEntrainement[Seance],"&lt;="&amp;'Bilan Entrainement - Mensuel'!$D17)</f>
        <v>0</v>
      </c>
      <c r="AE18" s="404">
        <f>COUNTIFS(TabEntrainement[J25],"Absent",TabEntrainement[Seance],"&gt;="&amp;'Bilan Entrainement - Mensuel'!$C17,TabEntrainement[Seance],"&lt;="&amp;'Bilan Entrainement - Mensuel'!$D17)</f>
        <v>0</v>
      </c>
      <c r="AF18" s="404">
        <f>COUNTIFS(TabEntrainement[J26],"Absent",TabEntrainement[Seance],"&gt;="&amp;'Bilan Entrainement - Mensuel'!$C17,TabEntrainement[Seance],"&lt;="&amp;'Bilan Entrainement - Mensuel'!$D17)</f>
        <v>0</v>
      </c>
      <c r="AG18" s="404">
        <f>COUNTIFS(TabEntrainement[J27],"Absent",TabEntrainement[Seance],"&gt;="&amp;'Bilan Entrainement - Mensuel'!$C17,TabEntrainement[Seance],"&lt;="&amp;'Bilan Entrainement - Mensuel'!$D17)</f>
        <v>0</v>
      </c>
      <c r="AH18" s="404">
        <f>COUNTIFS(TabEntrainement[J28],"Absent",TabEntrainement[Seance],"&gt;="&amp;'Bilan Entrainement - Mensuel'!$C17,TabEntrainement[Seance],"&lt;="&amp;'Bilan Entrainement - Mensuel'!$D17)</f>
        <v>0</v>
      </c>
      <c r="AI18" s="404">
        <f>COUNTIFS(TabEntrainement[J29],"Absent",TabEntrainement[Seance],"&gt;="&amp;'Bilan Entrainement - Mensuel'!$C17,TabEntrainement[Seance],"&lt;="&amp;'Bilan Entrainement - Mensuel'!$D17)</f>
        <v>0</v>
      </c>
      <c r="AJ18" s="404">
        <f>COUNTIFS(TabEntrainement[J30],"Absent",TabEntrainement[Seance],"&gt;="&amp;'Bilan Entrainement - Mensuel'!$C17,TabEntrainement[Seance],"&lt;="&amp;'Bilan Entrainement - Mensuel'!$D17)</f>
        <v>0</v>
      </c>
    </row>
    <row r="19" spans="2:36" s="44" customFormat="1" ht="15" customHeight="1">
      <c r="B19" s="546"/>
      <c r="C19" s="548"/>
      <c r="D19" s="548"/>
      <c r="E19" s="544"/>
      <c r="F19" s="403" t="s">
        <v>44</v>
      </c>
      <c r="G19" s="404">
        <f>$E$17-G17-G18</f>
        <v>0</v>
      </c>
      <c r="H19" s="404">
        <f t="shared" ref="H19:AJ19" si="4">$E$17-H17-H18</f>
        <v>0</v>
      </c>
      <c r="I19" s="404">
        <f t="shared" si="4"/>
        <v>0</v>
      </c>
      <c r="J19" s="404">
        <f t="shared" si="4"/>
        <v>0</v>
      </c>
      <c r="K19" s="404">
        <f t="shared" si="4"/>
        <v>0</v>
      </c>
      <c r="L19" s="404">
        <f t="shared" si="4"/>
        <v>0</v>
      </c>
      <c r="M19" s="404">
        <f t="shared" si="4"/>
        <v>0</v>
      </c>
      <c r="N19" s="404">
        <f t="shared" si="4"/>
        <v>0</v>
      </c>
      <c r="O19" s="404">
        <f t="shared" si="4"/>
        <v>0</v>
      </c>
      <c r="P19" s="404">
        <f t="shared" si="4"/>
        <v>0</v>
      </c>
      <c r="Q19" s="404">
        <f t="shared" si="4"/>
        <v>0</v>
      </c>
      <c r="R19" s="404">
        <f t="shared" si="4"/>
        <v>0</v>
      </c>
      <c r="S19" s="404">
        <f t="shared" si="4"/>
        <v>0</v>
      </c>
      <c r="T19" s="404">
        <f t="shared" si="4"/>
        <v>0</v>
      </c>
      <c r="U19" s="404">
        <f t="shared" si="4"/>
        <v>0</v>
      </c>
      <c r="V19" s="404">
        <f t="shared" si="4"/>
        <v>0</v>
      </c>
      <c r="W19" s="404">
        <f t="shared" si="4"/>
        <v>0</v>
      </c>
      <c r="X19" s="404">
        <f t="shared" si="4"/>
        <v>0</v>
      </c>
      <c r="Y19" s="404">
        <f t="shared" si="4"/>
        <v>0</v>
      </c>
      <c r="Z19" s="404">
        <f t="shared" si="4"/>
        <v>0</v>
      </c>
      <c r="AA19" s="404">
        <f t="shared" si="4"/>
        <v>0</v>
      </c>
      <c r="AB19" s="404">
        <f t="shared" si="4"/>
        <v>0</v>
      </c>
      <c r="AC19" s="404">
        <f t="shared" si="4"/>
        <v>0</v>
      </c>
      <c r="AD19" s="404">
        <f t="shared" si="4"/>
        <v>0</v>
      </c>
      <c r="AE19" s="404">
        <f t="shared" si="4"/>
        <v>0</v>
      </c>
      <c r="AF19" s="404">
        <f t="shared" si="4"/>
        <v>0</v>
      </c>
      <c r="AG19" s="404">
        <f t="shared" si="4"/>
        <v>0</v>
      </c>
      <c r="AH19" s="404">
        <f t="shared" si="4"/>
        <v>0</v>
      </c>
      <c r="AI19" s="404">
        <f t="shared" si="4"/>
        <v>0</v>
      </c>
      <c r="AJ19" s="404">
        <f t="shared" si="4"/>
        <v>0</v>
      </c>
    </row>
    <row r="20" spans="2:36" s="44" customFormat="1" ht="15" customHeight="1">
      <c r="B20" s="549" t="s">
        <v>457</v>
      </c>
      <c r="C20" s="550">
        <f>DATE(Paramétres!$L$20,1,1)</f>
        <v>43466</v>
      </c>
      <c r="D20" s="550">
        <f>DATE(Paramétres!$L$20,1,31)</f>
        <v>43496</v>
      </c>
      <c r="E20" s="543">
        <f>IF(ISERROR(GETPIVOTDATA("N°",'TDC Nb Tranningg'!$A$3,"Mois",1)),0,GETPIVOTDATA("N°",'TDC Nb Tranningg'!$A$3,"Mois",1))</f>
        <v>0</v>
      </c>
      <c r="F20" s="405" t="s">
        <v>10</v>
      </c>
      <c r="G20" s="406">
        <f>COUNTIFS(TabEntrainement[J1],"Présent",TabEntrainement[Seance],"&gt;="&amp;C20,TabEntrainement[Seance],"&lt;="&amp;D20)</f>
        <v>0</v>
      </c>
      <c r="H20" s="406">
        <f>COUNTIFS(TabEntrainement[J2],"Présent",TabEntrainement[Seance],"&gt;="&amp;'Bilan Entrainement - Mensuel'!$C20,TabEntrainement[Seance],"&lt;="&amp;'Bilan Entrainement - Mensuel'!$D20)</f>
        <v>0</v>
      </c>
      <c r="I20" s="406">
        <f>COUNTIFS(TabEntrainement[J3],"Présent",TabEntrainement[Seance],"&gt;="&amp;'Bilan Entrainement - Mensuel'!$C20,TabEntrainement[Seance],"&lt;="&amp;'Bilan Entrainement - Mensuel'!$D20)</f>
        <v>0</v>
      </c>
      <c r="J20" s="406">
        <f>COUNTIFS(TabEntrainement[J4],"Présent",TabEntrainement[Seance],"&gt;="&amp;'Bilan Entrainement - Mensuel'!$C20,TabEntrainement[Seance],"&lt;="&amp;'Bilan Entrainement - Mensuel'!$D20)</f>
        <v>0</v>
      </c>
      <c r="K20" s="406">
        <f>COUNTIFS(TabEntrainement[J5],"Présent",TabEntrainement[Seance],"&gt;="&amp;'Bilan Entrainement - Mensuel'!$C20,TabEntrainement[Seance],"&lt;="&amp;'Bilan Entrainement - Mensuel'!$D20)</f>
        <v>0</v>
      </c>
      <c r="L20" s="406">
        <f>COUNTIFS(TabEntrainement[J6],"Présent",TabEntrainement[Seance],"&gt;="&amp;'Bilan Entrainement - Mensuel'!$C20,TabEntrainement[Seance],"&lt;="&amp;'Bilan Entrainement - Mensuel'!$D20)</f>
        <v>0</v>
      </c>
      <c r="M20" s="406">
        <f>COUNTIFS(TabEntrainement[J7],"Présent",TabEntrainement[Seance],"&gt;="&amp;'Bilan Entrainement - Mensuel'!$C20,TabEntrainement[Seance],"&lt;="&amp;'Bilan Entrainement - Mensuel'!$D20)</f>
        <v>0</v>
      </c>
      <c r="N20" s="406">
        <f>COUNTIFS(TabEntrainement[J8],"Présent",TabEntrainement[Seance],"&gt;="&amp;'Bilan Entrainement - Mensuel'!$C20,TabEntrainement[Seance],"&lt;="&amp;'Bilan Entrainement - Mensuel'!$D20)</f>
        <v>0</v>
      </c>
      <c r="O20" s="406">
        <f>COUNTIFS(TabEntrainement[J9],"Présent",TabEntrainement[Seance],"&gt;="&amp;'Bilan Entrainement - Mensuel'!$C20,TabEntrainement[Seance],"&lt;="&amp;'Bilan Entrainement - Mensuel'!$D20)</f>
        <v>0</v>
      </c>
      <c r="P20" s="406">
        <f>COUNTIFS(TabEntrainement[J10],"Présent",TabEntrainement[Seance],"&gt;="&amp;'Bilan Entrainement - Mensuel'!$C20,TabEntrainement[Seance],"&lt;="&amp;'Bilan Entrainement - Mensuel'!$D20)</f>
        <v>0</v>
      </c>
      <c r="Q20" s="406">
        <f>COUNTIFS(TabEntrainement[J11],"Présent",TabEntrainement[Seance],"&gt;="&amp;'Bilan Entrainement - Mensuel'!$C20,TabEntrainement[Seance],"&lt;="&amp;'Bilan Entrainement - Mensuel'!$D20)</f>
        <v>0</v>
      </c>
      <c r="R20" s="406">
        <f>COUNTIFS(TabEntrainement[J12],"Présent",TabEntrainement[Seance],"&gt;="&amp;'Bilan Entrainement - Mensuel'!$C20,TabEntrainement[Seance],"&lt;="&amp;'Bilan Entrainement - Mensuel'!$D20)</f>
        <v>0</v>
      </c>
      <c r="S20" s="406">
        <f>COUNTIFS(TabEntrainement[J13],"Présent",TabEntrainement[Seance],"&gt;="&amp;'Bilan Entrainement - Mensuel'!$C20,TabEntrainement[Seance],"&lt;="&amp;'Bilan Entrainement - Mensuel'!$D20)</f>
        <v>0</v>
      </c>
      <c r="T20" s="406">
        <f>COUNTIFS(TabEntrainement[J14],"Présent",TabEntrainement[Seance],"&gt;="&amp;'Bilan Entrainement - Mensuel'!$C20,TabEntrainement[Seance],"&lt;="&amp;'Bilan Entrainement - Mensuel'!$D20)</f>
        <v>0</v>
      </c>
      <c r="U20" s="406">
        <f>COUNTIFS(TabEntrainement[J15],"Présent",TabEntrainement[Seance],"&gt;="&amp;'Bilan Entrainement - Mensuel'!$C20,TabEntrainement[Seance],"&lt;="&amp;'Bilan Entrainement - Mensuel'!$D20)</f>
        <v>0</v>
      </c>
      <c r="V20" s="406">
        <f>COUNTIFS(TabEntrainement[J16],"Présent",TabEntrainement[Seance],"&gt;="&amp;'Bilan Entrainement - Mensuel'!$C20,TabEntrainement[Seance],"&lt;="&amp;'Bilan Entrainement - Mensuel'!$D20)</f>
        <v>0</v>
      </c>
      <c r="W20" s="406">
        <f>COUNTIFS(TabEntrainement[J17],"Présent",TabEntrainement[Seance],"&gt;="&amp;'Bilan Entrainement - Mensuel'!$C20,TabEntrainement[Seance],"&lt;="&amp;'Bilan Entrainement - Mensuel'!$D20)</f>
        <v>0</v>
      </c>
      <c r="X20" s="406">
        <f>COUNTIFS(TabEntrainement[J18],"Présent",TabEntrainement[Seance],"&gt;="&amp;'Bilan Entrainement - Mensuel'!$C20,TabEntrainement[Seance],"&lt;="&amp;'Bilan Entrainement - Mensuel'!$D20)</f>
        <v>0</v>
      </c>
      <c r="Y20" s="406">
        <f>COUNTIFS(TabEntrainement[J19],"Présent",TabEntrainement[Seance],"&gt;="&amp;'Bilan Entrainement - Mensuel'!$C20,TabEntrainement[Seance],"&lt;="&amp;'Bilan Entrainement - Mensuel'!$D20)</f>
        <v>0</v>
      </c>
      <c r="Z20" s="406">
        <f>COUNTIFS(TabEntrainement[J20],"Présent",TabEntrainement[Seance],"&gt;="&amp;'Bilan Entrainement - Mensuel'!$C20,TabEntrainement[Seance],"&lt;="&amp;'Bilan Entrainement - Mensuel'!$D20)</f>
        <v>0</v>
      </c>
      <c r="AA20" s="406">
        <f>COUNTIFS(TabEntrainement[J21],"Présent",TabEntrainement[Seance],"&gt;="&amp;'Bilan Entrainement - Mensuel'!$C20,TabEntrainement[Seance],"&lt;="&amp;'Bilan Entrainement - Mensuel'!$D20)</f>
        <v>0</v>
      </c>
      <c r="AB20" s="406">
        <f>COUNTIFS(TabEntrainement[J22],"Présent",TabEntrainement[Seance],"&gt;="&amp;'Bilan Entrainement - Mensuel'!$C20,TabEntrainement[Seance],"&lt;="&amp;'Bilan Entrainement - Mensuel'!$D20)</f>
        <v>0</v>
      </c>
      <c r="AC20" s="406">
        <f>COUNTIFS(TabEntrainement[J23],"Présent",TabEntrainement[Seance],"&gt;="&amp;'Bilan Entrainement - Mensuel'!$C20,TabEntrainement[Seance],"&lt;="&amp;'Bilan Entrainement - Mensuel'!$D20)</f>
        <v>0</v>
      </c>
      <c r="AD20" s="406">
        <f>COUNTIFS(TabEntrainement[J24],"Présent",TabEntrainement[Seance],"&gt;="&amp;'Bilan Entrainement - Mensuel'!$C20,TabEntrainement[Seance],"&lt;="&amp;'Bilan Entrainement - Mensuel'!$D20)</f>
        <v>0</v>
      </c>
      <c r="AE20" s="406">
        <f>COUNTIFS(TabEntrainement[J25],"Présent",TabEntrainement[Seance],"&gt;="&amp;'Bilan Entrainement - Mensuel'!$C20,TabEntrainement[Seance],"&lt;="&amp;'Bilan Entrainement - Mensuel'!$D20)</f>
        <v>0</v>
      </c>
      <c r="AF20" s="406">
        <f>COUNTIFS(TabEntrainement[J26],"Présent",TabEntrainement[Seance],"&gt;="&amp;'Bilan Entrainement - Mensuel'!$C20,TabEntrainement[Seance],"&lt;="&amp;'Bilan Entrainement - Mensuel'!$D20)</f>
        <v>0</v>
      </c>
      <c r="AG20" s="406">
        <f>COUNTIFS(TabEntrainement[J27],"Présent",TabEntrainement[Seance],"&gt;="&amp;'Bilan Entrainement - Mensuel'!$C20,TabEntrainement[Seance],"&lt;="&amp;'Bilan Entrainement - Mensuel'!$D20)</f>
        <v>0</v>
      </c>
      <c r="AH20" s="406">
        <f>COUNTIFS(TabEntrainement[J28],"Présent",TabEntrainement[Seance],"&gt;="&amp;'Bilan Entrainement - Mensuel'!$C20,TabEntrainement[Seance],"&lt;="&amp;'Bilan Entrainement - Mensuel'!$D20)</f>
        <v>0</v>
      </c>
      <c r="AI20" s="406">
        <f>COUNTIFS(TabEntrainement[J29],"Présent",TabEntrainement[Seance],"&gt;="&amp;'Bilan Entrainement - Mensuel'!$C20,TabEntrainement[Seance],"&lt;="&amp;'Bilan Entrainement - Mensuel'!$D20)</f>
        <v>0</v>
      </c>
      <c r="AJ20" s="406">
        <f>COUNTIFS(TabEntrainement[J30],"Présent",TabEntrainement[Seance],"&gt;="&amp;'Bilan Entrainement - Mensuel'!$C20,TabEntrainement[Seance],"&lt;="&amp;'Bilan Entrainement - Mensuel'!$D20)</f>
        <v>0</v>
      </c>
    </row>
    <row r="21" spans="2:36" s="44" customFormat="1" ht="15" customHeight="1">
      <c r="B21" s="549"/>
      <c r="C21" s="550"/>
      <c r="D21" s="550"/>
      <c r="E21" s="544"/>
      <c r="F21" s="407" t="s">
        <v>18</v>
      </c>
      <c r="G21" s="408">
        <f>COUNTIFS(TabEntrainement[J1],"Absent",TabEntrainement[Seance],"&gt;="&amp;C20,TabEntrainement[Seance],"&lt;="&amp;D20)</f>
        <v>0</v>
      </c>
      <c r="H21" s="408">
        <f>COUNTIFS(TabEntrainement[J2],"Absent",TabEntrainement[Seance],"&gt;="&amp;'Bilan Entrainement - Mensuel'!$C20,TabEntrainement[Seance],"&lt;="&amp;'Bilan Entrainement - Mensuel'!$D20)</f>
        <v>0</v>
      </c>
      <c r="I21" s="408">
        <f>COUNTIFS(TabEntrainement[J3],"Absent",TabEntrainement[Seance],"&gt;="&amp;'Bilan Entrainement - Mensuel'!$C20,TabEntrainement[Seance],"&lt;="&amp;'Bilan Entrainement - Mensuel'!$D20)</f>
        <v>0</v>
      </c>
      <c r="J21" s="408">
        <f>COUNTIFS(TabEntrainement[J4],"Absent",TabEntrainement[Seance],"&gt;="&amp;'Bilan Entrainement - Mensuel'!$C20,TabEntrainement[Seance],"&lt;="&amp;'Bilan Entrainement - Mensuel'!$D20)</f>
        <v>0</v>
      </c>
      <c r="K21" s="408">
        <f>COUNTIFS(TabEntrainement[J5],"Absent",TabEntrainement[Seance],"&gt;="&amp;'Bilan Entrainement - Mensuel'!$C20,TabEntrainement[Seance],"&lt;="&amp;'Bilan Entrainement - Mensuel'!$D20)</f>
        <v>0</v>
      </c>
      <c r="L21" s="408">
        <f>COUNTIFS(TabEntrainement[J6],"Absent",TabEntrainement[Seance],"&gt;="&amp;'Bilan Entrainement - Mensuel'!$C20,TabEntrainement[Seance],"&lt;="&amp;'Bilan Entrainement - Mensuel'!$D20)</f>
        <v>0</v>
      </c>
      <c r="M21" s="408">
        <f>COUNTIFS(TabEntrainement[J7],"Absent",TabEntrainement[Seance],"&gt;="&amp;'Bilan Entrainement - Mensuel'!$C20,TabEntrainement[Seance],"&lt;="&amp;'Bilan Entrainement - Mensuel'!$D20)</f>
        <v>0</v>
      </c>
      <c r="N21" s="408">
        <f>COUNTIFS(TabEntrainement[J8],"Absent",TabEntrainement[Seance],"&gt;="&amp;'Bilan Entrainement - Mensuel'!$C20,TabEntrainement[Seance],"&lt;="&amp;'Bilan Entrainement - Mensuel'!$D20)</f>
        <v>0</v>
      </c>
      <c r="O21" s="408">
        <f>COUNTIFS(TabEntrainement[J9],"Absent",TabEntrainement[Seance],"&gt;="&amp;'Bilan Entrainement - Mensuel'!$C20,TabEntrainement[Seance],"&lt;="&amp;'Bilan Entrainement - Mensuel'!$D20)</f>
        <v>0</v>
      </c>
      <c r="P21" s="408">
        <f>COUNTIFS(TabEntrainement[J10],"Absent",TabEntrainement[Seance],"&gt;="&amp;'Bilan Entrainement - Mensuel'!$C20,TabEntrainement[Seance],"&lt;="&amp;'Bilan Entrainement - Mensuel'!$D20)</f>
        <v>0</v>
      </c>
      <c r="Q21" s="408">
        <f>COUNTIFS(TabEntrainement[J11],"Absent",TabEntrainement[Seance],"&gt;="&amp;'Bilan Entrainement - Mensuel'!$C20,TabEntrainement[Seance],"&lt;="&amp;'Bilan Entrainement - Mensuel'!$D20)</f>
        <v>0</v>
      </c>
      <c r="R21" s="408">
        <f>COUNTIFS(TabEntrainement[J12],"Absent",TabEntrainement[Seance],"&gt;="&amp;'Bilan Entrainement - Mensuel'!$C20,TabEntrainement[Seance],"&lt;="&amp;'Bilan Entrainement - Mensuel'!$D20)</f>
        <v>0</v>
      </c>
      <c r="S21" s="408">
        <f>COUNTIFS(TabEntrainement[J13],"Absent",TabEntrainement[Seance],"&gt;="&amp;'Bilan Entrainement - Mensuel'!$C20,TabEntrainement[Seance],"&lt;="&amp;'Bilan Entrainement - Mensuel'!$D20)</f>
        <v>0</v>
      </c>
      <c r="T21" s="408">
        <f>COUNTIFS(TabEntrainement[J14],"Absent",TabEntrainement[Seance],"&gt;="&amp;'Bilan Entrainement - Mensuel'!$C20,TabEntrainement[Seance],"&lt;="&amp;'Bilan Entrainement - Mensuel'!$D20)</f>
        <v>0</v>
      </c>
      <c r="U21" s="408">
        <f>COUNTIFS(TabEntrainement[J15],"Absent",TabEntrainement[Seance],"&gt;="&amp;'Bilan Entrainement - Mensuel'!$C20,TabEntrainement[Seance],"&lt;="&amp;'Bilan Entrainement - Mensuel'!$D20)</f>
        <v>0</v>
      </c>
      <c r="V21" s="408">
        <f>COUNTIFS(TabEntrainement[J16],"Absent",TabEntrainement[Seance],"&gt;="&amp;'Bilan Entrainement - Mensuel'!$C20,TabEntrainement[Seance],"&lt;="&amp;'Bilan Entrainement - Mensuel'!$D20)</f>
        <v>0</v>
      </c>
      <c r="W21" s="408">
        <f>COUNTIFS(TabEntrainement[J17],"Absent",TabEntrainement[Seance],"&gt;="&amp;'Bilan Entrainement - Mensuel'!$C20,TabEntrainement[Seance],"&lt;="&amp;'Bilan Entrainement - Mensuel'!$D20)</f>
        <v>0</v>
      </c>
      <c r="X21" s="408">
        <f>COUNTIFS(TabEntrainement[J18],"Absent",TabEntrainement[Seance],"&gt;="&amp;'Bilan Entrainement - Mensuel'!$C20,TabEntrainement[Seance],"&lt;="&amp;'Bilan Entrainement - Mensuel'!$D20)</f>
        <v>0</v>
      </c>
      <c r="Y21" s="408">
        <f>COUNTIFS(TabEntrainement[J19],"Absent",TabEntrainement[Seance],"&gt;="&amp;'Bilan Entrainement - Mensuel'!$C20,TabEntrainement[Seance],"&lt;="&amp;'Bilan Entrainement - Mensuel'!$D20)</f>
        <v>0</v>
      </c>
      <c r="Z21" s="408">
        <f>COUNTIFS(TabEntrainement[J20],"Absent",TabEntrainement[Seance],"&gt;="&amp;'Bilan Entrainement - Mensuel'!$C20,TabEntrainement[Seance],"&lt;="&amp;'Bilan Entrainement - Mensuel'!$D20)</f>
        <v>0</v>
      </c>
      <c r="AA21" s="408">
        <f>COUNTIFS(TabEntrainement[J21],"Absent",TabEntrainement[Seance],"&gt;="&amp;'Bilan Entrainement - Mensuel'!$C20,TabEntrainement[Seance],"&lt;="&amp;'Bilan Entrainement - Mensuel'!$D20)</f>
        <v>0</v>
      </c>
      <c r="AB21" s="408">
        <f>COUNTIFS(TabEntrainement[J22],"Absent",TabEntrainement[Seance],"&gt;="&amp;'Bilan Entrainement - Mensuel'!$C20,TabEntrainement[Seance],"&lt;="&amp;'Bilan Entrainement - Mensuel'!$D20)</f>
        <v>0</v>
      </c>
      <c r="AC21" s="408">
        <f>COUNTIFS(TabEntrainement[J23],"Absent",TabEntrainement[Seance],"&gt;="&amp;'Bilan Entrainement - Mensuel'!$C20,TabEntrainement[Seance],"&lt;="&amp;'Bilan Entrainement - Mensuel'!$D20)</f>
        <v>0</v>
      </c>
      <c r="AD21" s="408">
        <f>COUNTIFS(TabEntrainement[J24],"Absent",TabEntrainement[Seance],"&gt;="&amp;'Bilan Entrainement - Mensuel'!$C20,TabEntrainement[Seance],"&lt;="&amp;'Bilan Entrainement - Mensuel'!$D20)</f>
        <v>0</v>
      </c>
      <c r="AE21" s="408">
        <f>COUNTIFS(TabEntrainement[J25],"Absent",TabEntrainement[Seance],"&gt;="&amp;'Bilan Entrainement - Mensuel'!$C20,TabEntrainement[Seance],"&lt;="&amp;'Bilan Entrainement - Mensuel'!$D20)</f>
        <v>0</v>
      </c>
      <c r="AF21" s="408">
        <f>COUNTIFS(TabEntrainement[J26],"Absent",TabEntrainement[Seance],"&gt;="&amp;'Bilan Entrainement - Mensuel'!$C20,TabEntrainement[Seance],"&lt;="&amp;'Bilan Entrainement - Mensuel'!$D20)</f>
        <v>0</v>
      </c>
      <c r="AG21" s="408">
        <f>COUNTIFS(TabEntrainement[J27],"Absent",TabEntrainement[Seance],"&gt;="&amp;'Bilan Entrainement - Mensuel'!$C20,TabEntrainement[Seance],"&lt;="&amp;'Bilan Entrainement - Mensuel'!$D20)</f>
        <v>0</v>
      </c>
      <c r="AH21" s="408">
        <f>COUNTIFS(TabEntrainement[J28],"Absent",TabEntrainement[Seance],"&gt;="&amp;'Bilan Entrainement - Mensuel'!$C20,TabEntrainement[Seance],"&lt;="&amp;'Bilan Entrainement - Mensuel'!$D20)</f>
        <v>0</v>
      </c>
      <c r="AI21" s="408">
        <f>COUNTIFS(TabEntrainement[J29],"Absent",TabEntrainement[Seance],"&gt;="&amp;'Bilan Entrainement - Mensuel'!$C20,TabEntrainement[Seance],"&lt;="&amp;'Bilan Entrainement - Mensuel'!$D20)</f>
        <v>0</v>
      </c>
      <c r="AJ21" s="408">
        <f>COUNTIFS(TabEntrainement[J30],"Absent",TabEntrainement[Seance],"&gt;="&amp;'Bilan Entrainement - Mensuel'!$C20,TabEntrainement[Seance],"&lt;="&amp;'Bilan Entrainement - Mensuel'!$D20)</f>
        <v>0</v>
      </c>
    </row>
    <row r="22" spans="2:36" s="44" customFormat="1" ht="15" customHeight="1">
      <c r="B22" s="549"/>
      <c r="C22" s="550"/>
      <c r="D22" s="550"/>
      <c r="E22" s="544"/>
      <c r="F22" s="405" t="s">
        <v>44</v>
      </c>
      <c r="G22" s="406">
        <f>$E$20-G20-G21</f>
        <v>0</v>
      </c>
      <c r="H22" s="406">
        <f t="shared" ref="H22:AJ22" si="5">$E$20-H20-H21</f>
        <v>0</v>
      </c>
      <c r="I22" s="406">
        <f t="shared" si="5"/>
        <v>0</v>
      </c>
      <c r="J22" s="406">
        <f t="shared" si="5"/>
        <v>0</v>
      </c>
      <c r="K22" s="406">
        <f t="shared" si="5"/>
        <v>0</v>
      </c>
      <c r="L22" s="406">
        <f t="shared" si="5"/>
        <v>0</v>
      </c>
      <c r="M22" s="406">
        <f t="shared" si="5"/>
        <v>0</v>
      </c>
      <c r="N22" s="406">
        <f t="shared" si="5"/>
        <v>0</v>
      </c>
      <c r="O22" s="406">
        <f t="shared" si="5"/>
        <v>0</v>
      </c>
      <c r="P22" s="406">
        <f t="shared" si="5"/>
        <v>0</v>
      </c>
      <c r="Q22" s="406">
        <f t="shared" si="5"/>
        <v>0</v>
      </c>
      <c r="R22" s="406">
        <f t="shared" si="5"/>
        <v>0</v>
      </c>
      <c r="S22" s="406">
        <f t="shared" si="5"/>
        <v>0</v>
      </c>
      <c r="T22" s="406">
        <f t="shared" si="5"/>
        <v>0</v>
      </c>
      <c r="U22" s="406">
        <f t="shared" si="5"/>
        <v>0</v>
      </c>
      <c r="V22" s="406">
        <f t="shared" si="5"/>
        <v>0</v>
      </c>
      <c r="W22" s="406">
        <f t="shared" si="5"/>
        <v>0</v>
      </c>
      <c r="X22" s="406">
        <f t="shared" si="5"/>
        <v>0</v>
      </c>
      <c r="Y22" s="406">
        <f t="shared" si="5"/>
        <v>0</v>
      </c>
      <c r="Z22" s="406">
        <f t="shared" si="5"/>
        <v>0</v>
      </c>
      <c r="AA22" s="406">
        <f t="shared" si="5"/>
        <v>0</v>
      </c>
      <c r="AB22" s="406">
        <f t="shared" si="5"/>
        <v>0</v>
      </c>
      <c r="AC22" s="406">
        <f t="shared" si="5"/>
        <v>0</v>
      </c>
      <c r="AD22" s="406">
        <f t="shared" si="5"/>
        <v>0</v>
      </c>
      <c r="AE22" s="406">
        <f t="shared" si="5"/>
        <v>0</v>
      </c>
      <c r="AF22" s="406">
        <f t="shared" si="5"/>
        <v>0</v>
      </c>
      <c r="AG22" s="406">
        <f t="shared" si="5"/>
        <v>0</v>
      </c>
      <c r="AH22" s="406">
        <f t="shared" si="5"/>
        <v>0</v>
      </c>
      <c r="AI22" s="406">
        <f t="shared" si="5"/>
        <v>0</v>
      </c>
      <c r="AJ22" s="406">
        <f t="shared" si="5"/>
        <v>0</v>
      </c>
    </row>
    <row r="23" spans="2:36" s="399" customFormat="1" ht="15" customHeight="1">
      <c r="B23" s="546" t="s">
        <v>485</v>
      </c>
      <c r="C23" s="548">
        <f>DATE(Paramétres!$L$20,2,1)</f>
        <v>43497</v>
      </c>
      <c r="D23" s="548">
        <f>DATE(Paramétres!$L$20,2,28)</f>
        <v>43524</v>
      </c>
      <c r="E23" s="543">
        <f>IF(ISERROR(GETPIVOTDATA("N°",'TDC Nb Tranningg'!$A$3,"Mois",2)),0,GETPIVOTDATA("N°",'TDC Nb Tranningg'!$A$3,"Mois",2))</f>
        <v>0</v>
      </c>
      <c r="F23" s="403" t="s">
        <v>10</v>
      </c>
      <c r="G23" s="404">
        <f>COUNTIFS(TabEntrainement[J1],"Présent",TabEntrainement[Seance],"&gt;="&amp;C23,TabEntrainement[Seance],"&lt;="&amp;D23)</f>
        <v>0</v>
      </c>
      <c r="H23" s="404">
        <f>COUNTIFS(TabEntrainement[J2],"Présent",TabEntrainement[Seance],"&gt;="&amp;'Bilan Entrainement - Mensuel'!$C23,TabEntrainement[Seance],"&lt;="&amp;'Bilan Entrainement - Mensuel'!$D23)</f>
        <v>0</v>
      </c>
      <c r="I23" s="404">
        <f>COUNTIFS(TabEntrainement[J3],"Présent",TabEntrainement[Seance],"&gt;="&amp;'Bilan Entrainement - Mensuel'!$C23,TabEntrainement[Seance],"&lt;="&amp;'Bilan Entrainement - Mensuel'!$D23)</f>
        <v>0</v>
      </c>
      <c r="J23" s="404">
        <f>COUNTIFS(TabEntrainement[J4],"Présent",TabEntrainement[Seance],"&gt;="&amp;'Bilan Entrainement - Mensuel'!$C23,TabEntrainement[Seance],"&lt;="&amp;'Bilan Entrainement - Mensuel'!$D23)</f>
        <v>0</v>
      </c>
      <c r="K23" s="404">
        <f>COUNTIFS(TabEntrainement[J5],"Présent",TabEntrainement[Seance],"&gt;="&amp;'Bilan Entrainement - Mensuel'!$C23,TabEntrainement[Seance],"&lt;="&amp;'Bilan Entrainement - Mensuel'!$D23)</f>
        <v>0</v>
      </c>
      <c r="L23" s="404">
        <f>COUNTIFS(TabEntrainement[J6],"Présent",TabEntrainement[Seance],"&gt;="&amp;'Bilan Entrainement - Mensuel'!$C23,TabEntrainement[Seance],"&lt;="&amp;'Bilan Entrainement - Mensuel'!$D23)</f>
        <v>0</v>
      </c>
      <c r="M23" s="404">
        <f>COUNTIFS(TabEntrainement[J7],"Présent",TabEntrainement[Seance],"&gt;="&amp;'Bilan Entrainement - Mensuel'!$C23,TabEntrainement[Seance],"&lt;="&amp;'Bilan Entrainement - Mensuel'!$D23)</f>
        <v>0</v>
      </c>
      <c r="N23" s="404">
        <f>COUNTIFS(TabEntrainement[J8],"Présent",TabEntrainement[Seance],"&gt;="&amp;'Bilan Entrainement - Mensuel'!$C23,TabEntrainement[Seance],"&lt;="&amp;'Bilan Entrainement - Mensuel'!$D23)</f>
        <v>0</v>
      </c>
      <c r="O23" s="404">
        <f>COUNTIFS(TabEntrainement[J9],"Présent",TabEntrainement[Seance],"&gt;="&amp;'Bilan Entrainement - Mensuel'!$C23,TabEntrainement[Seance],"&lt;="&amp;'Bilan Entrainement - Mensuel'!$D23)</f>
        <v>0</v>
      </c>
      <c r="P23" s="404">
        <f>COUNTIFS(TabEntrainement[J10],"Présent",TabEntrainement[Seance],"&gt;="&amp;'Bilan Entrainement - Mensuel'!$C23,TabEntrainement[Seance],"&lt;="&amp;'Bilan Entrainement - Mensuel'!$D23)</f>
        <v>0</v>
      </c>
      <c r="Q23" s="404">
        <f>COUNTIFS(TabEntrainement[J11],"Présent",TabEntrainement[Seance],"&gt;="&amp;'Bilan Entrainement - Mensuel'!$C23,TabEntrainement[Seance],"&lt;="&amp;'Bilan Entrainement - Mensuel'!$D23)</f>
        <v>0</v>
      </c>
      <c r="R23" s="404">
        <f>COUNTIFS(TabEntrainement[J12],"Présent",TabEntrainement[Seance],"&gt;="&amp;'Bilan Entrainement - Mensuel'!$C23,TabEntrainement[Seance],"&lt;="&amp;'Bilan Entrainement - Mensuel'!$D23)</f>
        <v>0</v>
      </c>
      <c r="S23" s="404">
        <f>COUNTIFS(TabEntrainement[J13],"Présent",TabEntrainement[Seance],"&gt;="&amp;'Bilan Entrainement - Mensuel'!$C23,TabEntrainement[Seance],"&lt;="&amp;'Bilan Entrainement - Mensuel'!$D23)</f>
        <v>0</v>
      </c>
      <c r="T23" s="404">
        <f>COUNTIFS(TabEntrainement[J14],"Présent",TabEntrainement[Seance],"&gt;="&amp;'Bilan Entrainement - Mensuel'!$C23,TabEntrainement[Seance],"&lt;="&amp;'Bilan Entrainement - Mensuel'!$D23)</f>
        <v>0</v>
      </c>
      <c r="U23" s="404">
        <f>COUNTIFS(TabEntrainement[J15],"Présent",TabEntrainement[Seance],"&gt;="&amp;'Bilan Entrainement - Mensuel'!$C23,TabEntrainement[Seance],"&lt;="&amp;'Bilan Entrainement - Mensuel'!$D23)</f>
        <v>0</v>
      </c>
      <c r="V23" s="404">
        <f>COUNTIFS(TabEntrainement[J16],"Présent",TabEntrainement[Seance],"&gt;="&amp;'Bilan Entrainement - Mensuel'!$C23,TabEntrainement[Seance],"&lt;="&amp;'Bilan Entrainement - Mensuel'!$D23)</f>
        <v>0</v>
      </c>
      <c r="W23" s="404">
        <f>COUNTIFS(TabEntrainement[J17],"Présent",TabEntrainement[Seance],"&gt;="&amp;'Bilan Entrainement - Mensuel'!$C23,TabEntrainement[Seance],"&lt;="&amp;'Bilan Entrainement - Mensuel'!$D23)</f>
        <v>0</v>
      </c>
      <c r="X23" s="404">
        <f>COUNTIFS(TabEntrainement[J18],"Présent",TabEntrainement[Seance],"&gt;="&amp;'Bilan Entrainement - Mensuel'!$C23,TabEntrainement[Seance],"&lt;="&amp;'Bilan Entrainement - Mensuel'!$D23)</f>
        <v>0</v>
      </c>
      <c r="Y23" s="404">
        <f>COUNTIFS(TabEntrainement[J19],"Présent",TabEntrainement[Seance],"&gt;="&amp;'Bilan Entrainement - Mensuel'!$C23,TabEntrainement[Seance],"&lt;="&amp;'Bilan Entrainement - Mensuel'!$D23)</f>
        <v>0</v>
      </c>
      <c r="Z23" s="404">
        <f>COUNTIFS(TabEntrainement[J20],"Présent",TabEntrainement[Seance],"&gt;="&amp;'Bilan Entrainement - Mensuel'!$C23,TabEntrainement[Seance],"&lt;="&amp;'Bilan Entrainement - Mensuel'!$D23)</f>
        <v>0</v>
      </c>
      <c r="AA23" s="404">
        <f>COUNTIFS(TabEntrainement[J21],"Présent",TabEntrainement[Seance],"&gt;="&amp;'Bilan Entrainement - Mensuel'!$C23,TabEntrainement[Seance],"&lt;="&amp;'Bilan Entrainement - Mensuel'!$D23)</f>
        <v>0</v>
      </c>
      <c r="AB23" s="404">
        <f>COUNTIFS(TabEntrainement[J22],"Présent",TabEntrainement[Seance],"&gt;="&amp;'Bilan Entrainement - Mensuel'!$C23,TabEntrainement[Seance],"&lt;="&amp;'Bilan Entrainement - Mensuel'!$D23)</f>
        <v>0</v>
      </c>
      <c r="AC23" s="404">
        <f>COUNTIFS(TabEntrainement[J23],"Présent",TabEntrainement[Seance],"&gt;="&amp;'Bilan Entrainement - Mensuel'!$C23,TabEntrainement[Seance],"&lt;="&amp;'Bilan Entrainement - Mensuel'!$D23)</f>
        <v>0</v>
      </c>
      <c r="AD23" s="404">
        <f>COUNTIFS(TabEntrainement[J24],"Présent",TabEntrainement[Seance],"&gt;="&amp;'Bilan Entrainement - Mensuel'!$C23,TabEntrainement[Seance],"&lt;="&amp;'Bilan Entrainement - Mensuel'!$D23)</f>
        <v>0</v>
      </c>
      <c r="AE23" s="404">
        <f>COUNTIFS(TabEntrainement[J25],"Présent",TabEntrainement[Seance],"&gt;="&amp;'Bilan Entrainement - Mensuel'!$C23,TabEntrainement[Seance],"&lt;="&amp;'Bilan Entrainement - Mensuel'!$D23)</f>
        <v>0</v>
      </c>
      <c r="AF23" s="404">
        <f>COUNTIFS(TabEntrainement[J26],"Présent",TabEntrainement[Seance],"&gt;="&amp;'Bilan Entrainement - Mensuel'!$C23,TabEntrainement[Seance],"&lt;="&amp;'Bilan Entrainement - Mensuel'!$D23)</f>
        <v>0</v>
      </c>
      <c r="AG23" s="404">
        <f>COUNTIFS(TabEntrainement[J27],"Présent",TabEntrainement[Seance],"&gt;="&amp;'Bilan Entrainement - Mensuel'!$C23,TabEntrainement[Seance],"&lt;="&amp;'Bilan Entrainement - Mensuel'!$D23)</f>
        <v>0</v>
      </c>
      <c r="AH23" s="404">
        <f>COUNTIFS(TabEntrainement[J28],"Présent",TabEntrainement[Seance],"&gt;="&amp;'Bilan Entrainement - Mensuel'!$C23,TabEntrainement[Seance],"&lt;="&amp;'Bilan Entrainement - Mensuel'!$D23)</f>
        <v>0</v>
      </c>
      <c r="AI23" s="404">
        <f>COUNTIFS(TabEntrainement[J29],"Présent",TabEntrainement[Seance],"&gt;="&amp;'Bilan Entrainement - Mensuel'!$C23,TabEntrainement[Seance],"&lt;="&amp;'Bilan Entrainement - Mensuel'!$D23)</f>
        <v>0</v>
      </c>
      <c r="AJ23" s="404">
        <f>COUNTIFS(TabEntrainement[J30],"Présent",TabEntrainement[Seance],"&gt;="&amp;'Bilan Entrainement - Mensuel'!$C23,TabEntrainement[Seance],"&lt;="&amp;'Bilan Entrainement - Mensuel'!$D23)</f>
        <v>0</v>
      </c>
    </row>
    <row r="24" spans="2:36" s="399" customFormat="1" ht="15" customHeight="1">
      <c r="B24" s="546"/>
      <c r="C24" s="548"/>
      <c r="D24" s="548"/>
      <c r="E24" s="544"/>
      <c r="F24" s="403" t="s">
        <v>18</v>
      </c>
      <c r="G24" s="404">
        <f>COUNTIFS(TabEntrainement[J1],"Absent",TabEntrainement[Seance],"&gt;="&amp;C23,TabEntrainement[Seance],"&lt;="&amp;D23)</f>
        <v>0</v>
      </c>
      <c r="H24" s="404">
        <f>COUNTIFS(TabEntrainement[J2],"Absent",TabEntrainement[Seance],"&gt;="&amp;'Bilan Entrainement - Mensuel'!$C23,TabEntrainement[Seance],"&lt;="&amp;'Bilan Entrainement - Mensuel'!$D23)</f>
        <v>0</v>
      </c>
      <c r="I24" s="404">
        <f>COUNTIFS(TabEntrainement[J3],"Absent",TabEntrainement[Seance],"&gt;="&amp;'Bilan Entrainement - Mensuel'!$C23,TabEntrainement[Seance],"&lt;="&amp;'Bilan Entrainement - Mensuel'!$D23)</f>
        <v>0</v>
      </c>
      <c r="J24" s="404">
        <f>COUNTIFS(TabEntrainement[J4],"Absent",TabEntrainement[Seance],"&gt;="&amp;'Bilan Entrainement - Mensuel'!$C23,TabEntrainement[Seance],"&lt;="&amp;'Bilan Entrainement - Mensuel'!$D23)</f>
        <v>0</v>
      </c>
      <c r="K24" s="404">
        <f>COUNTIFS(TabEntrainement[J5],"Absent",TabEntrainement[Seance],"&gt;="&amp;'Bilan Entrainement - Mensuel'!$C23,TabEntrainement[Seance],"&lt;="&amp;'Bilan Entrainement - Mensuel'!$D23)</f>
        <v>0</v>
      </c>
      <c r="L24" s="404">
        <f>COUNTIFS(TabEntrainement[J6],"Absent",TabEntrainement[Seance],"&gt;="&amp;'Bilan Entrainement - Mensuel'!$C23,TabEntrainement[Seance],"&lt;="&amp;'Bilan Entrainement - Mensuel'!$D23)</f>
        <v>0</v>
      </c>
      <c r="M24" s="404">
        <f>COUNTIFS(TabEntrainement[J7],"Absent",TabEntrainement[Seance],"&gt;="&amp;'Bilan Entrainement - Mensuel'!$C23,TabEntrainement[Seance],"&lt;="&amp;'Bilan Entrainement - Mensuel'!$D23)</f>
        <v>0</v>
      </c>
      <c r="N24" s="404">
        <f>COUNTIFS(TabEntrainement[J8],"Absent",TabEntrainement[Seance],"&gt;="&amp;'Bilan Entrainement - Mensuel'!$C23,TabEntrainement[Seance],"&lt;="&amp;'Bilan Entrainement - Mensuel'!$D23)</f>
        <v>0</v>
      </c>
      <c r="O24" s="404">
        <f>COUNTIFS(TabEntrainement[J9],"Absent",TabEntrainement[Seance],"&gt;="&amp;'Bilan Entrainement - Mensuel'!$C23,TabEntrainement[Seance],"&lt;="&amp;'Bilan Entrainement - Mensuel'!$D23)</f>
        <v>0</v>
      </c>
      <c r="P24" s="404">
        <f>COUNTIFS(TabEntrainement[J10],"Absent",TabEntrainement[Seance],"&gt;="&amp;'Bilan Entrainement - Mensuel'!$C23,TabEntrainement[Seance],"&lt;="&amp;'Bilan Entrainement - Mensuel'!$D23)</f>
        <v>0</v>
      </c>
      <c r="Q24" s="404">
        <f>COUNTIFS(TabEntrainement[J11],"Absent",TabEntrainement[Seance],"&gt;="&amp;'Bilan Entrainement - Mensuel'!$C23,TabEntrainement[Seance],"&lt;="&amp;'Bilan Entrainement - Mensuel'!$D23)</f>
        <v>0</v>
      </c>
      <c r="R24" s="404">
        <f>COUNTIFS(TabEntrainement[J12],"Absent",TabEntrainement[Seance],"&gt;="&amp;'Bilan Entrainement - Mensuel'!$C23,TabEntrainement[Seance],"&lt;="&amp;'Bilan Entrainement - Mensuel'!$D23)</f>
        <v>0</v>
      </c>
      <c r="S24" s="404">
        <f>COUNTIFS(TabEntrainement[J13],"Absent",TabEntrainement[Seance],"&gt;="&amp;'Bilan Entrainement - Mensuel'!$C23,TabEntrainement[Seance],"&lt;="&amp;'Bilan Entrainement - Mensuel'!$D23)</f>
        <v>0</v>
      </c>
      <c r="T24" s="404">
        <f>COUNTIFS(TabEntrainement[J14],"Absent",TabEntrainement[Seance],"&gt;="&amp;'Bilan Entrainement - Mensuel'!$C23,TabEntrainement[Seance],"&lt;="&amp;'Bilan Entrainement - Mensuel'!$D23)</f>
        <v>0</v>
      </c>
      <c r="U24" s="404">
        <f>COUNTIFS(TabEntrainement[J15],"Absent",TabEntrainement[Seance],"&gt;="&amp;'Bilan Entrainement - Mensuel'!$C23,TabEntrainement[Seance],"&lt;="&amp;'Bilan Entrainement - Mensuel'!$D23)</f>
        <v>0</v>
      </c>
      <c r="V24" s="404">
        <f>COUNTIFS(TabEntrainement[J16],"Absent",TabEntrainement[Seance],"&gt;="&amp;'Bilan Entrainement - Mensuel'!$C23,TabEntrainement[Seance],"&lt;="&amp;'Bilan Entrainement - Mensuel'!$D23)</f>
        <v>0</v>
      </c>
      <c r="W24" s="404">
        <f>COUNTIFS(TabEntrainement[J17],"Absent",TabEntrainement[Seance],"&gt;="&amp;'Bilan Entrainement - Mensuel'!$C23,TabEntrainement[Seance],"&lt;="&amp;'Bilan Entrainement - Mensuel'!$D23)</f>
        <v>0</v>
      </c>
      <c r="X24" s="404">
        <f>COUNTIFS(TabEntrainement[J18],"Absent",TabEntrainement[Seance],"&gt;="&amp;'Bilan Entrainement - Mensuel'!$C23,TabEntrainement[Seance],"&lt;="&amp;'Bilan Entrainement - Mensuel'!$D23)</f>
        <v>0</v>
      </c>
      <c r="Y24" s="404">
        <f>COUNTIFS(TabEntrainement[J19],"Absent",TabEntrainement[Seance],"&gt;="&amp;'Bilan Entrainement - Mensuel'!$C23,TabEntrainement[Seance],"&lt;="&amp;'Bilan Entrainement - Mensuel'!$D23)</f>
        <v>0</v>
      </c>
      <c r="Z24" s="404">
        <f>COUNTIFS(TabEntrainement[J20],"Absent",TabEntrainement[Seance],"&gt;="&amp;'Bilan Entrainement - Mensuel'!$C23,TabEntrainement[Seance],"&lt;="&amp;'Bilan Entrainement - Mensuel'!$D23)</f>
        <v>0</v>
      </c>
      <c r="AA24" s="404">
        <f>COUNTIFS(TabEntrainement[J21],"Absent",TabEntrainement[Seance],"&gt;="&amp;'Bilan Entrainement - Mensuel'!$C23,TabEntrainement[Seance],"&lt;="&amp;'Bilan Entrainement - Mensuel'!$D23)</f>
        <v>0</v>
      </c>
      <c r="AB24" s="404">
        <f>COUNTIFS(TabEntrainement[J22],"Absent",TabEntrainement[Seance],"&gt;="&amp;'Bilan Entrainement - Mensuel'!$C23,TabEntrainement[Seance],"&lt;="&amp;'Bilan Entrainement - Mensuel'!$D23)</f>
        <v>0</v>
      </c>
      <c r="AC24" s="404">
        <f>COUNTIFS(TabEntrainement[J23],"Absent",TabEntrainement[Seance],"&gt;="&amp;'Bilan Entrainement - Mensuel'!$C23,TabEntrainement[Seance],"&lt;="&amp;'Bilan Entrainement - Mensuel'!$D23)</f>
        <v>0</v>
      </c>
      <c r="AD24" s="404">
        <f>COUNTIFS(TabEntrainement[J24],"Absent",TabEntrainement[Seance],"&gt;="&amp;'Bilan Entrainement - Mensuel'!$C23,TabEntrainement[Seance],"&lt;="&amp;'Bilan Entrainement - Mensuel'!$D23)</f>
        <v>0</v>
      </c>
      <c r="AE24" s="404">
        <f>COUNTIFS(TabEntrainement[J25],"Absent",TabEntrainement[Seance],"&gt;="&amp;'Bilan Entrainement - Mensuel'!$C23,TabEntrainement[Seance],"&lt;="&amp;'Bilan Entrainement - Mensuel'!$D23)</f>
        <v>0</v>
      </c>
      <c r="AF24" s="404">
        <f>COUNTIFS(TabEntrainement[J26],"Absent",TabEntrainement[Seance],"&gt;="&amp;'Bilan Entrainement - Mensuel'!$C23,TabEntrainement[Seance],"&lt;="&amp;'Bilan Entrainement - Mensuel'!$D23)</f>
        <v>0</v>
      </c>
      <c r="AG24" s="404">
        <f>COUNTIFS(TabEntrainement[J27],"Absent",TabEntrainement[Seance],"&gt;="&amp;'Bilan Entrainement - Mensuel'!$C23,TabEntrainement[Seance],"&lt;="&amp;'Bilan Entrainement - Mensuel'!$D23)</f>
        <v>0</v>
      </c>
      <c r="AH24" s="404">
        <f>COUNTIFS(TabEntrainement[J28],"Absent",TabEntrainement[Seance],"&gt;="&amp;'Bilan Entrainement - Mensuel'!$C23,TabEntrainement[Seance],"&lt;="&amp;'Bilan Entrainement - Mensuel'!$D23)</f>
        <v>0</v>
      </c>
      <c r="AI24" s="404">
        <f>COUNTIFS(TabEntrainement[J29],"Absent",TabEntrainement[Seance],"&gt;="&amp;'Bilan Entrainement - Mensuel'!$C23,TabEntrainement[Seance],"&lt;="&amp;'Bilan Entrainement - Mensuel'!$D23)</f>
        <v>0</v>
      </c>
      <c r="AJ24" s="404">
        <f>COUNTIFS(TabEntrainement[J30],"Absent",TabEntrainement[Seance],"&gt;="&amp;'Bilan Entrainement - Mensuel'!$C23,TabEntrainement[Seance],"&lt;="&amp;'Bilan Entrainement - Mensuel'!$D23)</f>
        <v>0</v>
      </c>
    </row>
    <row r="25" spans="2:36" s="399" customFormat="1" ht="15" customHeight="1">
      <c r="B25" s="546"/>
      <c r="C25" s="548"/>
      <c r="D25" s="548"/>
      <c r="E25" s="544"/>
      <c r="F25" s="403" t="s">
        <v>44</v>
      </c>
      <c r="G25" s="404">
        <f>$E$23-G23-G24</f>
        <v>0</v>
      </c>
      <c r="H25" s="404">
        <f t="shared" ref="H25:AJ25" si="6">$E$23-H23-H24</f>
        <v>0</v>
      </c>
      <c r="I25" s="404">
        <f t="shared" si="6"/>
        <v>0</v>
      </c>
      <c r="J25" s="404">
        <f t="shared" si="6"/>
        <v>0</v>
      </c>
      <c r="K25" s="404">
        <f t="shared" si="6"/>
        <v>0</v>
      </c>
      <c r="L25" s="404">
        <f t="shared" si="6"/>
        <v>0</v>
      </c>
      <c r="M25" s="404">
        <f t="shared" si="6"/>
        <v>0</v>
      </c>
      <c r="N25" s="404">
        <f t="shared" si="6"/>
        <v>0</v>
      </c>
      <c r="O25" s="404">
        <f t="shared" si="6"/>
        <v>0</v>
      </c>
      <c r="P25" s="404">
        <f t="shared" si="6"/>
        <v>0</v>
      </c>
      <c r="Q25" s="404">
        <f t="shared" si="6"/>
        <v>0</v>
      </c>
      <c r="R25" s="404">
        <f t="shared" si="6"/>
        <v>0</v>
      </c>
      <c r="S25" s="404">
        <f t="shared" si="6"/>
        <v>0</v>
      </c>
      <c r="T25" s="404">
        <f t="shared" si="6"/>
        <v>0</v>
      </c>
      <c r="U25" s="404">
        <f t="shared" si="6"/>
        <v>0</v>
      </c>
      <c r="V25" s="404">
        <f t="shared" si="6"/>
        <v>0</v>
      </c>
      <c r="W25" s="404">
        <f t="shared" si="6"/>
        <v>0</v>
      </c>
      <c r="X25" s="404">
        <f t="shared" si="6"/>
        <v>0</v>
      </c>
      <c r="Y25" s="404">
        <f t="shared" si="6"/>
        <v>0</v>
      </c>
      <c r="Z25" s="404">
        <f t="shared" si="6"/>
        <v>0</v>
      </c>
      <c r="AA25" s="404">
        <f t="shared" si="6"/>
        <v>0</v>
      </c>
      <c r="AB25" s="404">
        <f t="shared" si="6"/>
        <v>0</v>
      </c>
      <c r="AC25" s="404">
        <f t="shared" si="6"/>
        <v>0</v>
      </c>
      <c r="AD25" s="404">
        <f t="shared" si="6"/>
        <v>0</v>
      </c>
      <c r="AE25" s="404">
        <f t="shared" si="6"/>
        <v>0</v>
      </c>
      <c r="AF25" s="404">
        <f t="shared" si="6"/>
        <v>0</v>
      </c>
      <c r="AG25" s="404">
        <f t="shared" si="6"/>
        <v>0</v>
      </c>
      <c r="AH25" s="404">
        <f t="shared" si="6"/>
        <v>0</v>
      </c>
      <c r="AI25" s="404">
        <f t="shared" si="6"/>
        <v>0</v>
      </c>
      <c r="AJ25" s="404">
        <f t="shared" si="6"/>
        <v>0</v>
      </c>
    </row>
    <row r="26" spans="2:36" s="44" customFormat="1" ht="15" customHeight="1">
      <c r="B26" s="549" t="s">
        <v>459</v>
      </c>
      <c r="C26" s="550">
        <f>DATE(Paramétres!$L$20,3,1)</f>
        <v>43525</v>
      </c>
      <c r="D26" s="550">
        <f>DATE(Paramétres!$L$20,3,31)</f>
        <v>43555</v>
      </c>
      <c r="E26" s="543">
        <f>IF(ISERROR(GETPIVOTDATA("N°",'TDC Nb Tranningg'!$A$3,"Mois",3)),0,GETPIVOTDATA("N°",'TDC Nb Tranningg'!$A$3,"Mois",3))</f>
        <v>0</v>
      </c>
      <c r="F26" s="405" t="s">
        <v>10</v>
      </c>
      <c r="G26" s="406">
        <f>COUNTIFS(TabEntrainement[J1],"Présent",TabEntrainement[Seance],"&gt;="&amp;C26,TabEntrainement[Seance],"&lt;="&amp;D26)</f>
        <v>0</v>
      </c>
      <c r="H26" s="406">
        <f>COUNTIFS(TabEntrainement[J2],"Présent",TabEntrainement[Seance],"&gt;="&amp;'Bilan Entrainement - Mensuel'!$C26,TabEntrainement[Seance],"&lt;="&amp;'Bilan Entrainement - Mensuel'!$D26)</f>
        <v>0</v>
      </c>
      <c r="I26" s="406">
        <f>COUNTIFS(TabEntrainement[J3],"Présent",TabEntrainement[Seance],"&gt;="&amp;'Bilan Entrainement - Mensuel'!$C26,TabEntrainement[Seance],"&lt;="&amp;'Bilan Entrainement - Mensuel'!$D26)</f>
        <v>0</v>
      </c>
      <c r="J26" s="406">
        <f>COUNTIFS(TabEntrainement[J4],"Présent",TabEntrainement[Seance],"&gt;="&amp;'Bilan Entrainement - Mensuel'!$C26,TabEntrainement[Seance],"&lt;="&amp;'Bilan Entrainement - Mensuel'!$D26)</f>
        <v>0</v>
      </c>
      <c r="K26" s="406">
        <f>COUNTIFS(TabEntrainement[J5],"Présent",TabEntrainement[Seance],"&gt;="&amp;'Bilan Entrainement - Mensuel'!$C26,TabEntrainement[Seance],"&lt;="&amp;'Bilan Entrainement - Mensuel'!$D26)</f>
        <v>0</v>
      </c>
      <c r="L26" s="406">
        <f>COUNTIFS(TabEntrainement[J6],"Présent",TabEntrainement[Seance],"&gt;="&amp;'Bilan Entrainement - Mensuel'!$C26,TabEntrainement[Seance],"&lt;="&amp;'Bilan Entrainement - Mensuel'!$D26)</f>
        <v>0</v>
      </c>
      <c r="M26" s="406">
        <f>COUNTIFS(TabEntrainement[J7],"Présent",TabEntrainement[Seance],"&gt;="&amp;'Bilan Entrainement - Mensuel'!$C26,TabEntrainement[Seance],"&lt;="&amp;'Bilan Entrainement - Mensuel'!$D26)</f>
        <v>0</v>
      </c>
      <c r="N26" s="406">
        <f>COUNTIFS(TabEntrainement[J8],"Présent",TabEntrainement[Seance],"&gt;="&amp;'Bilan Entrainement - Mensuel'!$C26,TabEntrainement[Seance],"&lt;="&amp;'Bilan Entrainement - Mensuel'!$D26)</f>
        <v>0</v>
      </c>
      <c r="O26" s="406">
        <f>COUNTIFS(TabEntrainement[J9],"Présent",TabEntrainement[Seance],"&gt;="&amp;'Bilan Entrainement - Mensuel'!$C26,TabEntrainement[Seance],"&lt;="&amp;'Bilan Entrainement - Mensuel'!$D26)</f>
        <v>0</v>
      </c>
      <c r="P26" s="406">
        <f>COUNTIFS(TabEntrainement[J10],"Présent",TabEntrainement[Seance],"&gt;="&amp;'Bilan Entrainement - Mensuel'!$C26,TabEntrainement[Seance],"&lt;="&amp;'Bilan Entrainement - Mensuel'!$D26)</f>
        <v>0</v>
      </c>
      <c r="Q26" s="406">
        <f>COUNTIFS(TabEntrainement[J11],"Présent",TabEntrainement[Seance],"&gt;="&amp;'Bilan Entrainement - Mensuel'!$C26,TabEntrainement[Seance],"&lt;="&amp;'Bilan Entrainement - Mensuel'!$D26)</f>
        <v>0</v>
      </c>
      <c r="R26" s="406">
        <f>COUNTIFS(TabEntrainement[J12],"Présent",TabEntrainement[Seance],"&gt;="&amp;'Bilan Entrainement - Mensuel'!$C26,TabEntrainement[Seance],"&lt;="&amp;'Bilan Entrainement - Mensuel'!$D26)</f>
        <v>0</v>
      </c>
      <c r="S26" s="406">
        <f>COUNTIFS(TabEntrainement[J13],"Présent",TabEntrainement[Seance],"&gt;="&amp;'Bilan Entrainement - Mensuel'!$C26,TabEntrainement[Seance],"&lt;="&amp;'Bilan Entrainement - Mensuel'!$D26)</f>
        <v>0</v>
      </c>
      <c r="T26" s="406">
        <f>COUNTIFS(TabEntrainement[J14],"Présent",TabEntrainement[Seance],"&gt;="&amp;'Bilan Entrainement - Mensuel'!$C26,TabEntrainement[Seance],"&lt;="&amp;'Bilan Entrainement - Mensuel'!$D26)</f>
        <v>0</v>
      </c>
      <c r="U26" s="406">
        <f>COUNTIFS(TabEntrainement[J15],"Présent",TabEntrainement[Seance],"&gt;="&amp;'Bilan Entrainement - Mensuel'!$C26,TabEntrainement[Seance],"&lt;="&amp;'Bilan Entrainement - Mensuel'!$D26)</f>
        <v>0</v>
      </c>
      <c r="V26" s="406">
        <f>COUNTIFS(TabEntrainement[J16],"Présent",TabEntrainement[Seance],"&gt;="&amp;'Bilan Entrainement - Mensuel'!$C26,TabEntrainement[Seance],"&lt;="&amp;'Bilan Entrainement - Mensuel'!$D26)</f>
        <v>0</v>
      </c>
      <c r="W26" s="406">
        <f>COUNTIFS(TabEntrainement[J17],"Présent",TabEntrainement[Seance],"&gt;="&amp;'Bilan Entrainement - Mensuel'!$C26,TabEntrainement[Seance],"&lt;="&amp;'Bilan Entrainement - Mensuel'!$D26)</f>
        <v>0</v>
      </c>
      <c r="X26" s="406">
        <f>COUNTIFS(TabEntrainement[J18],"Présent",TabEntrainement[Seance],"&gt;="&amp;'Bilan Entrainement - Mensuel'!$C26,TabEntrainement[Seance],"&lt;="&amp;'Bilan Entrainement - Mensuel'!$D26)</f>
        <v>0</v>
      </c>
      <c r="Y26" s="406">
        <f>COUNTIFS(TabEntrainement[J19],"Présent",TabEntrainement[Seance],"&gt;="&amp;'Bilan Entrainement - Mensuel'!$C26,TabEntrainement[Seance],"&lt;="&amp;'Bilan Entrainement - Mensuel'!$D26)</f>
        <v>0</v>
      </c>
      <c r="Z26" s="406">
        <f>COUNTIFS(TabEntrainement[J20],"Présent",TabEntrainement[Seance],"&gt;="&amp;'Bilan Entrainement - Mensuel'!$C26,TabEntrainement[Seance],"&lt;="&amp;'Bilan Entrainement - Mensuel'!$D26)</f>
        <v>0</v>
      </c>
      <c r="AA26" s="406">
        <f>COUNTIFS(TabEntrainement[J21],"Présent",TabEntrainement[Seance],"&gt;="&amp;'Bilan Entrainement - Mensuel'!$C26,TabEntrainement[Seance],"&lt;="&amp;'Bilan Entrainement - Mensuel'!$D26)</f>
        <v>0</v>
      </c>
      <c r="AB26" s="406">
        <f>COUNTIFS(TabEntrainement[J22],"Présent",TabEntrainement[Seance],"&gt;="&amp;'Bilan Entrainement - Mensuel'!$C26,TabEntrainement[Seance],"&lt;="&amp;'Bilan Entrainement - Mensuel'!$D26)</f>
        <v>0</v>
      </c>
      <c r="AC26" s="406">
        <f>COUNTIFS(TabEntrainement[J23],"Présent",TabEntrainement[Seance],"&gt;="&amp;'Bilan Entrainement - Mensuel'!$C26,TabEntrainement[Seance],"&lt;="&amp;'Bilan Entrainement - Mensuel'!$D26)</f>
        <v>0</v>
      </c>
      <c r="AD26" s="406">
        <f>COUNTIFS(TabEntrainement[J24],"Présent",TabEntrainement[Seance],"&gt;="&amp;'Bilan Entrainement - Mensuel'!$C26,TabEntrainement[Seance],"&lt;="&amp;'Bilan Entrainement - Mensuel'!$D26)</f>
        <v>0</v>
      </c>
      <c r="AE26" s="406">
        <f>COUNTIFS(TabEntrainement[J25],"Présent",TabEntrainement[Seance],"&gt;="&amp;'Bilan Entrainement - Mensuel'!$C26,TabEntrainement[Seance],"&lt;="&amp;'Bilan Entrainement - Mensuel'!$D26)</f>
        <v>0</v>
      </c>
      <c r="AF26" s="406">
        <f>COUNTIFS(TabEntrainement[J26],"Présent",TabEntrainement[Seance],"&gt;="&amp;'Bilan Entrainement - Mensuel'!$C26,TabEntrainement[Seance],"&lt;="&amp;'Bilan Entrainement - Mensuel'!$D26)</f>
        <v>0</v>
      </c>
      <c r="AG26" s="406">
        <f>COUNTIFS(TabEntrainement[J27],"Présent",TabEntrainement[Seance],"&gt;="&amp;'Bilan Entrainement - Mensuel'!$C26,TabEntrainement[Seance],"&lt;="&amp;'Bilan Entrainement - Mensuel'!$D26)</f>
        <v>0</v>
      </c>
      <c r="AH26" s="406">
        <f>COUNTIFS(TabEntrainement[J28],"Présent",TabEntrainement[Seance],"&gt;="&amp;'Bilan Entrainement - Mensuel'!$C26,TabEntrainement[Seance],"&lt;="&amp;'Bilan Entrainement - Mensuel'!$D26)</f>
        <v>0</v>
      </c>
      <c r="AI26" s="406">
        <f>COUNTIFS(TabEntrainement[J29],"Présent",TabEntrainement[Seance],"&gt;="&amp;'Bilan Entrainement - Mensuel'!$C26,TabEntrainement[Seance],"&lt;="&amp;'Bilan Entrainement - Mensuel'!$D26)</f>
        <v>0</v>
      </c>
      <c r="AJ26" s="406">
        <f>COUNTIFS(TabEntrainement[J30],"Présent",TabEntrainement[Seance],"&gt;="&amp;'Bilan Entrainement - Mensuel'!$C26,TabEntrainement[Seance],"&lt;="&amp;'Bilan Entrainement - Mensuel'!$D26)</f>
        <v>0</v>
      </c>
    </row>
    <row r="27" spans="2:36" s="44" customFormat="1" ht="15" customHeight="1">
      <c r="B27" s="549"/>
      <c r="C27" s="550"/>
      <c r="D27" s="550"/>
      <c r="E27" s="544"/>
      <c r="F27" s="407" t="s">
        <v>18</v>
      </c>
      <c r="G27" s="408">
        <f>COUNTIFS(TabEntrainement[J1],"Absent",TabEntrainement[Seance],"&gt;="&amp;C26,TabEntrainement[Seance],"&lt;="&amp;D26)</f>
        <v>0</v>
      </c>
      <c r="H27" s="408">
        <f>COUNTIFS(TabEntrainement[J2],"Absent",TabEntrainement[Seance],"&gt;="&amp;'Bilan Entrainement - Mensuel'!$C26,TabEntrainement[Seance],"&lt;="&amp;'Bilan Entrainement - Mensuel'!$D26)</f>
        <v>0</v>
      </c>
      <c r="I27" s="408">
        <f>COUNTIFS(TabEntrainement[J3],"Absent",TabEntrainement[Seance],"&gt;="&amp;'Bilan Entrainement - Mensuel'!$C26,TabEntrainement[Seance],"&lt;="&amp;'Bilan Entrainement - Mensuel'!$D26)</f>
        <v>0</v>
      </c>
      <c r="J27" s="408">
        <f>COUNTIFS(TabEntrainement[J4],"Absent",TabEntrainement[Seance],"&gt;="&amp;'Bilan Entrainement - Mensuel'!$C26,TabEntrainement[Seance],"&lt;="&amp;'Bilan Entrainement - Mensuel'!$D26)</f>
        <v>0</v>
      </c>
      <c r="K27" s="408">
        <f>COUNTIFS(TabEntrainement[J5],"Absent",TabEntrainement[Seance],"&gt;="&amp;'Bilan Entrainement - Mensuel'!$C26,TabEntrainement[Seance],"&lt;="&amp;'Bilan Entrainement - Mensuel'!$D26)</f>
        <v>0</v>
      </c>
      <c r="L27" s="408">
        <f>COUNTIFS(TabEntrainement[J6],"Absent",TabEntrainement[Seance],"&gt;="&amp;'Bilan Entrainement - Mensuel'!$C26,TabEntrainement[Seance],"&lt;="&amp;'Bilan Entrainement - Mensuel'!$D26)</f>
        <v>0</v>
      </c>
      <c r="M27" s="408">
        <f>COUNTIFS(TabEntrainement[J7],"Absent",TabEntrainement[Seance],"&gt;="&amp;'Bilan Entrainement - Mensuel'!$C26,TabEntrainement[Seance],"&lt;="&amp;'Bilan Entrainement - Mensuel'!$D26)</f>
        <v>0</v>
      </c>
      <c r="N27" s="408">
        <f>COUNTIFS(TabEntrainement[J8],"Absent",TabEntrainement[Seance],"&gt;="&amp;'Bilan Entrainement - Mensuel'!$C26,TabEntrainement[Seance],"&lt;="&amp;'Bilan Entrainement - Mensuel'!$D26)</f>
        <v>0</v>
      </c>
      <c r="O27" s="408">
        <f>COUNTIFS(TabEntrainement[J9],"Absent",TabEntrainement[Seance],"&gt;="&amp;'Bilan Entrainement - Mensuel'!$C26,TabEntrainement[Seance],"&lt;="&amp;'Bilan Entrainement - Mensuel'!$D26)</f>
        <v>0</v>
      </c>
      <c r="P27" s="408">
        <f>COUNTIFS(TabEntrainement[J10],"Absent",TabEntrainement[Seance],"&gt;="&amp;'Bilan Entrainement - Mensuel'!$C26,TabEntrainement[Seance],"&lt;="&amp;'Bilan Entrainement - Mensuel'!$D26)</f>
        <v>0</v>
      </c>
      <c r="Q27" s="408">
        <f>COUNTIFS(TabEntrainement[J11],"Absent",TabEntrainement[Seance],"&gt;="&amp;'Bilan Entrainement - Mensuel'!$C26,TabEntrainement[Seance],"&lt;="&amp;'Bilan Entrainement - Mensuel'!$D26)</f>
        <v>0</v>
      </c>
      <c r="R27" s="408">
        <f>COUNTIFS(TabEntrainement[J12],"Absent",TabEntrainement[Seance],"&gt;="&amp;'Bilan Entrainement - Mensuel'!$C26,TabEntrainement[Seance],"&lt;="&amp;'Bilan Entrainement - Mensuel'!$D26)</f>
        <v>0</v>
      </c>
      <c r="S27" s="408">
        <f>COUNTIFS(TabEntrainement[J13],"Absent",TabEntrainement[Seance],"&gt;="&amp;'Bilan Entrainement - Mensuel'!$C26,TabEntrainement[Seance],"&lt;="&amp;'Bilan Entrainement - Mensuel'!$D26)</f>
        <v>0</v>
      </c>
      <c r="T27" s="408">
        <f>COUNTIFS(TabEntrainement[J14],"Absent",TabEntrainement[Seance],"&gt;="&amp;'Bilan Entrainement - Mensuel'!$C26,TabEntrainement[Seance],"&lt;="&amp;'Bilan Entrainement - Mensuel'!$D26)</f>
        <v>0</v>
      </c>
      <c r="U27" s="408">
        <f>COUNTIFS(TabEntrainement[J15],"Absent",TabEntrainement[Seance],"&gt;="&amp;'Bilan Entrainement - Mensuel'!$C26,TabEntrainement[Seance],"&lt;="&amp;'Bilan Entrainement - Mensuel'!$D26)</f>
        <v>0</v>
      </c>
      <c r="V27" s="408">
        <f>COUNTIFS(TabEntrainement[J16],"Absent",TabEntrainement[Seance],"&gt;="&amp;'Bilan Entrainement - Mensuel'!$C26,TabEntrainement[Seance],"&lt;="&amp;'Bilan Entrainement - Mensuel'!$D26)</f>
        <v>0</v>
      </c>
      <c r="W27" s="408">
        <f>COUNTIFS(TabEntrainement[J17],"Absent",TabEntrainement[Seance],"&gt;="&amp;'Bilan Entrainement - Mensuel'!$C26,TabEntrainement[Seance],"&lt;="&amp;'Bilan Entrainement - Mensuel'!$D26)</f>
        <v>0</v>
      </c>
      <c r="X27" s="408">
        <f>COUNTIFS(TabEntrainement[J18],"Absent",TabEntrainement[Seance],"&gt;="&amp;'Bilan Entrainement - Mensuel'!$C26,TabEntrainement[Seance],"&lt;="&amp;'Bilan Entrainement - Mensuel'!$D26)</f>
        <v>0</v>
      </c>
      <c r="Y27" s="408">
        <f>COUNTIFS(TabEntrainement[J19],"Absent",TabEntrainement[Seance],"&gt;="&amp;'Bilan Entrainement - Mensuel'!$C26,TabEntrainement[Seance],"&lt;="&amp;'Bilan Entrainement - Mensuel'!$D26)</f>
        <v>0</v>
      </c>
      <c r="Z27" s="408">
        <f>COUNTIFS(TabEntrainement[J20],"Absent",TabEntrainement[Seance],"&gt;="&amp;'Bilan Entrainement - Mensuel'!$C26,TabEntrainement[Seance],"&lt;="&amp;'Bilan Entrainement - Mensuel'!$D26)</f>
        <v>0</v>
      </c>
      <c r="AA27" s="408">
        <f>COUNTIFS(TabEntrainement[J21],"Absent",TabEntrainement[Seance],"&gt;="&amp;'Bilan Entrainement - Mensuel'!$C26,TabEntrainement[Seance],"&lt;="&amp;'Bilan Entrainement - Mensuel'!$D26)</f>
        <v>0</v>
      </c>
      <c r="AB27" s="408">
        <f>COUNTIFS(TabEntrainement[J22],"Absent",TabEntrainement[Seance],"&gt;="&amp;'Bilan Entrainement - Mensuel'!$C26,TabEntrainement[Seance],"&lt;="&amp;'Bilan Entrainement - Mensuel'!$D26)</f>
        <v>0</v>
      </c>
      <c r="AC27" s="408">
        <f>COUNTIFS(TabEntrainement[J23],"Absent",TabEntrainement[Seance],"&gt;="&amp;'Bilan Entrainement - Mensuel'!$C26,TabEntrainement[Seance],"&lt;="&amp;'Bilan Entrainement - Mensuel'!$D26)</f>
        <v>0</v>
      </c>
      <c r="AD27" s="408">
        <f>COUNTIFS(TabEntrainement[J24],"Absent",TabEntrainement[Seance],"&gt;="&amp;'Bilan Entrainement - Mensuel'!$C26,TabEntrainement[Seance],"&lt;="&amp;'Bilan Entrainement - Mensuel'!$D26)</f>
        <v>0</v>
      </c>
      <c r="AE27" s="408">
        <f>COUNTIFS(TabEntrainement[J25],"Absent",TabEntrainement[Seance],"&gt;="&amp;'Bilan Entrainement - Mensuel'!$C26,TabEntrainement[Seance],"&lt;="&amp;'Bilan Entrainement - Mensuel'!$D26)</f>
        <v>0</v>
      </c>
      <c r="AF27" s="408">
        <f>COUNTIFS(TabEntrainement[J26],"Absent",TabEntrainement[Seance],"&gt;="&amp;'Bilan Entrainement - Mensuel'!$C26,TabEntrainement[Seance],"&lt;="&amp;'Bilan Entrainement - Mensuel'!$D26)</f>
        <v>0</v>
      </c>
      <c r="AG27" s="408">
        <f>COUNTIFS(TabEntrainement[J27],"Absent",TabEntrainement[Seance],"&gt;="&amp;'Bilan Entrainement - Mensuel'!$C26,TabEntrainement[Seance],"&lt;="&amp;'Bilan Entrainement - Mensuel'!$D26)</f>
        <v>0</v>
      </c>
      <c r="AH27" s="408">
        <f>COUNTIFS(TabEntrainement[J28],"Absent",TabEntrainement[Seance],"&gt;="&amp;'Bilan Entrainement - Mensuel'!$C26,TabEntrainement[Seance],"&lt;="&amp;'Bilan Entrainement - Mensuel'!$D26)</f>
        <v>0</v>
      </c>
      <c r="AI27" s="408">
        <f>COUNTIFS(TabEntrainement[J29],"Absent",TabEntrainement[Seance],"&gt;="&amp;'Bilan Entrainement - Mensuel'!$C26,TabEntrainement[Seance],"&lt;="&amp;'Bilan Entrainement - Mensuel'!$D26)</f>
        <v>0</v>
      </c>
      <c r="AJ27" s="408">
        <f>COUNTIFS(TabEntrainement[J30],"Absent",TabEntrainement[Seance],"&gt;="&amp;'Bilan Entrainement - Mensuel'!$C26,TabEntrainement[Seance],"&lt;="&amp;'Bilan Entrainement - Mensuel'!$D26)</f>
        <v>0</v>
      </c>
    </row>
    <row r="28" spans="2:36" s="44" customFormat="1" ht="15" customHeight="1">
      <c r="B28" s="549"/>
      <c r="C28" s="550"/>
      <c r="D28" s="550"/>
      <c r="E28" s="544"/>
      <c r="F28" s="405" t="s">
        <v>44</v>
      </c>
      <c r="G28" s="406">
        <f>$E$26-G26-G27</f>
        <v>0</v>
      </c>
      <c r="H28" s="406">
        <f t="shared" ref="H28:AJ28" si="7">$E$26-H26-H27</f>
        <v>0</v>
      </c>
      <c r="I28" s="406">
        <f t="shared" si="7"/>
        <v>0</v>
      </c>
      <c r="J28" s="406">
        <f t="shared" si="7"/>
        <v>0</v>
      </c>
      <c r="K28" s="406">
        <f t="shared" si="7"/>
        <v>0</v>
      </c>
      <c r="L28" s="406">
        <f t="shared" si="7"/>
        <v>0</v>
      </c>
      <c r="M28" s="406">
        <f t="shared" si="7"/>
        <v>0</v>
      </c>
      <c r="N28" s="406">
        <f t="shared" si="7"/>
        <v>0</v>
      </c>
      <c r="O28" s="406">
        <f t="shared" si="7"/>
        <v>0</v>
      </c>
      <c r="P28" s="406">
        <f t="shared" si="7"/>
        <v>0</v>
      </c>
      <c r="Q28" s="406">
        <f t="shared" si="7"/>
        <v>0</v>
      </c>
      <c r="R28" s="406">
        <f t="shared" si="7"/>
        <v>0</v>
      </c>
      <c r="S28" s="406">
        <f t="shared" si="7"/>
        <v>0</v>
      </c>
      <c r="T28" s="406">
        <f t="shared" si="7"/>
        <v>0</v>
      </c>
      <c r="U28" s="406">
        <f t="shared" si="7"/>
        <v>0</v>
      </c>
      <c r="V28" s="406">
        <f t="shared" si="7"/>
        <v>0</v>
      </c>
      <c r="W28" s="406">
        <f t="shared" si="7"/>
        <v>0</v>
      </c>
      <c r="X28" s="406">
        <f t="shared" si="7"/>
        <v>0</v>
      </c>
      <c r="Y28" s="406">
        <f t="shared" si="7"/>
        <v>0</v>
      </c>
      <c r="Z28" s="406">
        <f t="shared" si="7"/>
        <v>0</v>
      </c>
      <c r="AA28" s="406">
        <f t="shared" si="7"/>
        <v>0</v>
      </c>
      <c r="AB28" s="406">
        <f t="shared" si="7"/>
        <v>0</v>
      </c>
      <c r="AC28" s="406">
        <f t="shared" si="7"/>
        <v>0</v>
      </c>
      <c r="AD28" s="406">
        <f t="shared" si="7"/>
        <v>0</v>
      </c>
      <c r="AE28" s="406">
        <f t="shared" si="7"/>
        <v>0</v>
      </c>
      <c r="AF28" s="406">
        <f t="shared" si="7"/>
        <v>0</v>
      </c>
      <c r="AG28" s="406">
        <f t="shared" si="7"/>
        <v>0</v>
      </c>
      <c r="AH28" s="406">
        <f t="shared" si="7"/>
        <v>0</v>
      </c>
      <c r="AI28" s="406">
        <f t="shared" si="7"/>
        <v>0</v>
      </c>
      <c r="AJ28" s="406">
        <f t="shared" si="7"/>
        <v>0</v>
      </c>
    </row>
    <row r="29" spans="2:36" s="44" customFormat="1" ht="15" customHeight="1">
      <c r="B29" s="546" t="s">
        <v>460</v>
      </c>
      <c r="C29" s="548">
        <f>DATE(Paramétres!$L$20,4,1)</f>
        <v>43556</v>
      </c>
      <c r="D29" s="548">
        <f>DATE(Paramétres!$L$20,4,30)</f>
        <v>43585</v>
      </c>
      <c r="E29" s="543">
        <f>IF(ISERROR(GETPIVOTDATA("N°",'TDC Nb Tranningg'!$A$3,"Mois",4)),0,GETPIVOTDATA("N°",'TDC Nb Tranningg'!$A$3,"Mois",4))</f>
        <v>0</v>
      </c>
      <c r="F29" s="403" t="s">
        <v>10</v>
      </c>
      <c r="G29" s="404">
        <f>COUNTIFS(TabEntrainement[J1],"Présent",TabEntrainement[Seance],"&gt;="&amp;C29,TabEntrainement[Seance],"&lt;="&amp;D29)</f>
        <v>0</v>
      </c>
      <c r="H29" s="404">
        <f>COUNTIFS(TabEntrainement[J2],"Présent",TabEntrainement[Seance],"&gt;="&amp;'Bilan Entrainement - Mensuel'!$C29,TabEntrainement[Seance],"&lt;="&amp;'Bilan Entrainement - Mensuel'!$D29)</f>
        <v>0</v>
      </c>
      <c r="I29" s="404">
        <f>COUNTIFS(TabEntrainement[J3],"Présent",TabEntrainement[Seance],"&gt;="&amp;'Bilan Entrainement - Mensuel'!$C29,TabEntrainement[Seance],"&lt;="&amp;'Bilan Entrainement - Mensuel'!$D29)</f>
        <v>0</v>
      </c>
      <c r="J29" s="404">
        <f>COUNTIFS(TabEntrainement[J4],"Présent",TabEntrainement[Seance],"&gt;="&amp;'Bilan Entrainement - Mensuel'!$C29,TabEntrainement[Seance],"&lt;="&amp;'Bilan Entrainement - Mensuel'!$D29)</f>
        <v>0</v>
      </c>
      <c r="K29" s="404">
        <f>COUNTIFS(TabEntrainement[J5],"Présent",TabEntrainement[Seance],"&gt;="&amp;'Bilan Entrainement - Mensuel'!$C29,TabEntrainement[Seance],"&lt;="&amp;'Bilan Entrainement - Mensuel'!$D29)</f>
        <v>0</v>
      </c>
      <c r="L29" s="404">
        <f>COUNTIFS(TabEntrainement[J6],"Présent",TabEntrainement[Seance],"&gt;="&amp;'Bilan Entrainement - Mensuel'!$C29,TabEntrainement[Seance],"&lt;="&amp;'Bilan Entrainement - Mensuel'!$D29)</f>
        <v>0</v>
      </c>
      <c r="M29" s="404">
        <f>COUNTIFS(TabEntrainement[J7],"Présent",TabEntrainement[Seance],"&gt;="&amp;'Bilan Entrainement - Mensuel'!$C29,TabEntrainement[Seance],"&lt;="&amp;'Bilan Entrainement - Mensuel'!$D29)</f>
        <v>0</v>
      </c>
      <c r="N29" s="404">
        <f>COUNTIFS(TabEntrainement[J8],"Présent",TabEntrainement[Seance],"&gt;="&amp;'Bilan Entrainement - Mensuel'!$C29,TabEntrainement[Seance],"&lt;="&amp;'Bilan Entrainement - Mensuel'!$D29)</f>
        <v>0</v>
      </c>
      <c r="O29" s="404">
        <f>COUNTIFS(TabEntrainement[J9],"Présent",TabEntrainement[Seance],"&gt;="&amp;'Bilan Entrainement - Mensuel'!$C29,TabEntrainement[Seance],"&lt;="&amp;'Bilan Entrainement - Mensuel'!$D29)</f>
        <v>0</v>
      </c>
      <c r="P29" s="404">
        <f>COUNTIFS(TabEntrainement[J10],"Présent",TabEntrainement[Seance],"&gt;="&amp;'Bilan Entrainement - Mensuel'!$C29,TabEntrainement[Seance],"&lt;="&amp;'Bilan Entrainement - Mensuel'!$D29)</f>
        <v>0</v>
      </c>
      <c r="Q29" s="404">
        <f>COUNTIFS(TabEntrainement[J11],"Présent",TabEntrainement[Seance],"&gt;="&amp;'Bilan Entrainement - Mensuel'!$C29,TabEntrainement[Seance],"&lt;="&amp;'Bilan Entrainement - Mensuel'!$D29)</f>
        <v>0</v>
      </c>
      <c r="R29" s="404">
        <f>COUNTIFS(TabEntrainement[J12],"Présent",TabEntrainement[Seance],"&gt;="&amp;'Bilan Entrainement - Mensuel'!$C29,TabEntrainement[Seance],"&lt;="&amp;'Bilan Entrainement - Mensuel'!$D29)</f>
        <v>0</v>
      </c>
      <c r="S29" s="404">
        <f>COUNTIFS(TabEntrainement[J13],"Présent",TabEntrainement[Seance],"&gt;="&amp;'Bilan Entrainement - Mensuel'!$C29,TabEntrainement[Seance],"&lt;="&amp;'Bilan Entrainement - Mensuel'!$D29)</f>
        <v>0</v>
      </c>
      <c r="T29" s="404">
        <f>COUNTIFS(TabEntrainement[J14],"Présent",TabEntrainement[Seance],"&gt;="&amp;'Bilan Entrainement - Mensuel'!$C29,TabEntrainement[Seance],"&lt;="&amp;'Bilan Entrainement - Mensuel'!$D29)</f>
        <v>0</v>
      </c>
      <c r="U29" s="404">
        <f>COUNTIFS(TabEntrainement[J15],"Présent",TabEntrainement[Seance],"&gt;="&amp;'Bilan Entrainement - Mensuel'!$C29,TabEntrainement[Seance],"&lt;="&amp;'Bilan Entrainement - Mensuel'!$D29)</f>
        <v>0</v>
      </c>
      <c r="V29" s="404">
        <f>COUNTIFS(TabEntrainement[J16],"Présent",TabEntrainement[Seance],"&gt;="&amp;'Bilan Entrainement - Mensuel'!$C29,TabEntrainement[Seance],"&lt;="&amp;'Bilan Entrainement - Mensuel'!$D29)</f>
        <v>0</v>
      </c>
      <c r="W29" s="404">
        <f>COUNTIFS(TabEntrainement[J17],"Présent",TabEntrainement[Seance],"&gt;="&amp;'Bilan Entrainement - Mensuel'!$C29,TabEntrainement[Seance],"&lt;="&amp;'Bilan Entrainement - Mensuel'!$D29)</f>
        <v>0</v>
      </c>
      <c r="X29" s="404">
        <f>COUNTIFS(TabEntrainement[J18],"Présent",TabEntrainement[Seance],"&gt;="&amp;'Bilan Entrainement - Mensuel'!$C29,TabEntrainement[Seance],"&lt;="&amp;'Bilan Entrainement - Mensuel'!$D29)</f>
        <v>0</v>
      </c>
      <c r="Y29" s="404">
        <f>COUNTIFS(TabEntrainement[J19],"Présent",TabEntrainement[Seance],"&gt;="&amp;'Bilan Entrainement - Mensuel'!$C29,TabEntrainement[Seance],"&lt;="&amp;'Bilan Entrainement - Mensuel'!$D29)</f>
        <v>0</v>
      </c>
      <c r="Z29" s="404">
        <f>COUNTIFS(TabEntrainement[J20],"Présent",TabEntrainement[Seance],"&gt;="&amp;'Bilan Entrainement - Mensuel'!$C29,TabEntrainement[Seance],"&lt;="&amp;'Bilan Entrainement - Mensuel'!$D29)</f>
        <v>0</v>
      </c>
      <c r="AA29" s="404">
        <f>COUNTIFS(TabEntrainement[J21],"Présent",TabEntrainement[Seance],"&gt;="&amp;'Bilan Entrainement - Mensuel'!$C29,TabEntrainement[Seance],"&lt;="&amp;'Bilan Entrainement - Mensuel'!$D29)</f>
        <v>0</v>
      </c>
      <c r="AB29" s="404">
        <f>COUNTIFS(TabEntrainement[J22],"Présent",TabEntrainement[Seance],"&gt;="&amp;'Bilan Entrainement - Mensuel'!$C29,TabEntrainement[Seance],"&lt;="&amp;'Bilan Entrainement - Mensuel'!$D29)</f>
        <v>0</v>
      </c>
      <c r="AC29" s="404">
        <f>COUNTIFS(TabEntrainement[J23],"Présent",TabEntrainement[Seance],"&gt;="&amp;'Bilan Entrainement - Mensuel'!$C29,TabEntrainement[Seance],"&lt;="&amp;'Bilan Entrainement - Mensuel'!$D29)</f>
        <v>0</v>
      </c>
      <c r="AD29" s="404">
        <f>COUNTIFS(TabEntrainement[J24],"Présent",TabEntrainement[Seance],"&gt;="&amp;'Bilan Entrainement - Mensuel'!$C29,TabEntrainement[Seance],"&lt;="&amp;'Bilan Entrainement - Mensuel'!$D29)</f>
        <v>0</v>
      </c>
      <c r="AE29" s="404">
        <f>COUNTIFS(TabEntrainement[J25],"Présent",TabEntrainement[Seance],"&gt;="&amp;'Bilan Entrainement - Mensuel'!$C29,TabEntrainement[Seance],"&lt;="&amp;'Bilan Entrainement - Mensuel'!$D29)</f>
        <v>0</v>
      </c>
      <c r="AF29" s="404">
        <f>COUNTIFS(TabEntrainement[J26],"Présent",TabEntrainement[Seance],"&gt;="&amp;'Bilan Entrainement - Mensuel'!$C29,TabEntrainement[Seance],"&lt;="&amp;'Bilan Entrainement - Mensuel'!$D29)</f>
        <v>0</v>
      </c>
      <c r="AG29" s="404">
        <f>COUNTIFS(TabEntrainement[J27],"Présent",TabEntrainement[Seance],"&gt;="&amp;'Bilan Entrainement - Mensuel'!$C29,TabEntrainement[Seance],"&lt;="&amp;'Bilan Entrainement - Mensuel'!$D29)</f>
        <v>0</v>
      </c>
      <c r="AH29" s="404">
        <f>COUNTIFS(TabEntrainement[J28],"Présent",TabEntrainement[Seance],"&gt;="&amp;'Bilan Entrainement - Mensuel'!$C29,TabEntrainement[Seance],"&lt;="&amp;'Bilan Entrainement - Mensuel'!$D29)</f>
        <v>0</v>
      </c>
      <c r="AI29" s="404">
        <f>COUNTIFS(TabEntrainement[J29],"Présent",TabEntrainement[Seance],"&gt;="&amp;'Bilan Entrainement - Mensuel'!$C29,TabEntrainement[Seance],"&lt;="&amp;'Bilan Entrainement - Mensuel'!$D29)</f>
        <v>0</v>
      </c>
      <c r="AJ29" s="404">
        <f>COUNTIFS(TabEntrainement[J30],"Présent",TabEntrainement[Seance],"&gt;="&amp;'Bilan Entrainement - Mensuel'!$C29,TabEntrainement[Seance],"&lt;="&amp;'Bilan Entrainement - Mensuel'!$D29)</f>
        <v>0</v>
      </c>
    </row>
    <row r="30" spans="2:36" s="44" customFormat="1" ht="15" customHeight="1">
      <c r="B30" s="546"/>
      <c r="C30" s="548"/>
      <c r="D30" s="548"/>
      <c r="E30" s="544"/>
      <c r="F30" s="403" t="s">
        <v>18</v>
      </c>
      <c r="G30" s="404">
        <f>COUNTIFS(TabEntrainement[J1],"Absent",TabEntrainement[Seance],"&gt;="&amp;C29,TabEntrainement[Seance],"&lt;="&amp;D29)</f>
        <v>0</v>
      </c>
      <c r="H30" s="404">
        <f>COUNTIFS(TabEntrainement[J2],"Absent",TabEntrainement[Seance],"&gt;="&amp;'Bilan Entrainement - Mensuel'!$C29,TabEntrainement[Seance],"&lt;="&amp;'Bilan Entrainement - Mensuel'!$D29)</f>
        <v>0</v>
      </c>
      <c r="I30" s="404">
        <f>COUNTIFS(TabEntrainement[J3],"Absent",TabEntrainement[Seance],"&gt;="&amp;'Bilan Entrainement - Mensuel'!$C29,TabEntrainement[Seance],"&lt;="&amp;'Bilan Entrainement - Mensuel'!$D29)</f>
        <v>0</v>
      </c>
      <c r="J30" s="404">
        <f>COUNTIFS(TabEntrainement[J4],"Absent",TabEntrainement[Seance],"&gt;="&amp;'Bilan Entrainement - Mensuel'!$C29,TabEntrainement[Seance],"&lt;="&amp;'Bilan Entrainement - Mensuel'!$D29)</f>
        <v>0</v>
      </c>
      <c r="K30" s="404">
        <f>COUNTIFS(TabEntrainement[J5],"Absent",TabEntrainement[Seance],"&gt;="&amp;'Bilan Entrainement - Mensuel'!$C29,TabEntrainement[Seance],"&lt;="&amp;'Bilan Entrainement - Mensuel'!$D29)</f>
        <v>0</v>
      </c>
      <c r="L30" s="404">
        <f>COUNTIFS(TabEntrainement[J6],"Absent",TabEntrainement[Seance],"&gt;="&amp;'Bilan Entrainement - Mensuel'!$C29,TabEntrainement[Seance],"&lt;="&amp;'Bilan Entrainement - Mensuel'!$D29)</f>
        <v>0</v>
      </c>
      <c r="M30" s="404">
        <f>COUNTIFS(TabEntrainement[J7],"Absent",TabEntrainement[Seance],"&gt;="&amp;'Bilan Entrainement - Mensuel'!$C29,TabEntrainement[Seance],"&lt;="&amp;'Bilan Entrainement - Mensuel'!$D29)</f>
        <v>0</v>
      </c>
      <c r="N30" s="404">
        <f>COUNTIFS(TabEntrainement[J8],"Absent",TabEntrainement[Seance],"&gt;="&amp;'Bilan Entrainement - Mensuel'!$C29,TabEntrainement[Seance],"&lt;="&amp;'Bilan Entrainement - Mensuel'!$D29)</f>
        <v>0</v>
      </c>
      <c r="O30" s="404">
        <f>COUNTIFS(TabEntrainement[J9],"Absent",TabEntrainement[Seance],"&gt;="&amp;'Bilan Entrainement - Mensuel'!$C29,TabEntrainement[Seance],"&lt;="&amp;'Bilan Entrainement - Mensuel'!$D29)</f>
        <v>0</v>
      </c>
      <c r="P30" s="404">
        <f>COUNTIFS(TabEntrainement[J10],"Absent",TabEntrainement[Seance],"&gt;="&amp;'Bilan Entrainement - Mensuel'!$C29,TabEntrainement[Seance],"&lt;="&amp;'Bilan Entrainement - Mensuel'!$D29)</f>
        <v>0</v>
      </c>
      <c r="Q30" s="404">
        <f>COUNTIFS(TabEntrainement[J11],"Absent",TabEntrainement[Seance],"&gt;="&amp;'Bilan Entrainement - Mensuel'!$C29,TabEntrainement[Seance],"&lt;="&amp;'Bilan Entrainement - Mensuel'!$D29)</f>
        <v>0</v>
      </c>
      <c r="R30" s="404">
        <f>COUNTIFS(TabEntrainement[J12],"Absent",TabEntrainement[Seance],"&gt;="&amp;'Bilan Entrainement - Mensuel'!$C29,TabEntrainement[Seance],"&lt;="&amp;'Bilan Entrainement - Mensuel'!$D29)</f>
        <v>0</v>
      </c>
      <c r="S30" s="404">
        <f>COUNTIFS(TabEntrainement[J13],"Absent",TabEntrainement[Seance],"&gt;="&amp;'Bilan Entrainement - Mensuel'!$C29,TabEntrainement[Seance],"&lt;="&amp;'Bilan Entrainement - Mensuel'!$D29)</f>
        <v>0</v>
      </c>
      <c r="T30" s="404">
        <f>COUNTIFS(TabEntrainement[J14],"Absent",TabEntrainement[Seance],"&gt;="&amp;'Bilan Entrainement - Mensuel'!$C29,TabEntrainement[Seance],"&lt;="&amp;'Bilan Entrainement - Mensuel'!$D29)</f>
        <v>0</v>
      </c>
      <c r="U30" s="404">
        <f>COUNTIFS(TabEntrainement[J15],"Absent",TabEntrainement[Seance],"&gt;="&amp;'Bilan Entrainement - Mensuel'!$C29,TabEntrainement[Seance],"&lt;="&amp;'Bilan Entrainement - Mensuel'!$D29)</f>
        <v>0</v>
      </c>
      <c r="V30" s="404">
        <f>COUNTIFS(TabEntrainement[J16],"Absent",TabEntrainement[Seance],"&gt;="&amp;'Bilan Entrainement - Mensuel'!$C29,TabEntrainement[Seance],"&lt;="&amp;'Bilan Entrainement - Mensuel'!$D29)</f>
        <v>0</v>
      </c>
      <c r="W30" s="404">
        <f>COUNTIFS(TabEntrainement[J17],"Absent",TabEntrainement[Seance],"&gt;="&amp;'Bilan Entrainement - Mensuel'!$C29,TabEntrainement[Seance],"&lt;="&amp;'Bilan Entrainement - Mensuel'!$D29)</f>
        <v>0</v>
      </c>
      <c r="X30" s="404">
        <f>COUNTIFS(TabEntrainement[J18],"Absent",TabEntrainement[Seance],"&gt;="&amp;'Bilan Entrainement - Mensuel'!$C29,TabEntrainement[Seance],"&lt;="&amp;'Bilan Entrainement - Mensuel'!$D29)</f>
        <v>0</v>
      </c>
      <c r="Y30" s="404">
        <f>COUNTIFS(TabEntrainement[J19],"Absent",TabEntrainement[Seance],"&gt;="&amp;'Bilan Entrainement - Mensuel'!$C29,TabEntrainement[Seance],"&lt;="&amp;'Bilan Entrainement - Mensuel'!$D29)</f>
        <v>0</v>
      </c>
      <c r="Z30" s="404">
        <f>COUNTIFS(TabEntrainement[J20],"Absent",TabEntrainement[Seance],"&gt;="&amp;'Bilan Entrainement - Mensuel'!$C29,TabEntrainement[Seance],"&lt;="&amp;'Bilan Entrainement - Mensuel'!$D29)</f>
        <v>0</v>
      </c>
      <c r="AA30" s="404">
        <f>COUNTIFS(TabEntrainement[J21],"Absent",TabEntrainement[Seance],"&gt;="&amp;'Bilan Entrainement - Mensuel'!$C29,TabEntrainement[Seance],"&lt;="&amp;'Bilan Entrainement - Mensuel'!$D29)</f>
        <v>0</v>
      </c>
      <c r="AB30" s="404">
        <f>COUNTIFS(TabEntrainement[J22],"Absent",TabEntrainement[Seance],"&gt;="&amp;'Bilan Entrainement - Mensuel'!$C29,TabEntrainement[Seance],"&lt;="&amp;'Bilan Entrainement - Mensuel'!$D29)</f>
        <v>0</v>
      </c>
      <c r="AC30" s="404">
        <f>COUNTIFS(TabEntrainement[J23],"Absent",TabEntrainement[Seance],"&gt;="&amp;'Bilan Entrainement - Mensuel'!$C29,TabEntrainement[Seance],"&lt;="&amp;'Bilan Entrainement - Mensuel'!$D29)</f>
        <v>0</v>
      </c>
      <c r="AD30" s="404">
        <f>COUNTIFS(TabEntrainement[J24],"Absent",TabEntrainement[Seance],"&gt;="&amp;'Bilan Entrainement - Mensuel'!$C29,TabEntrainement[Seance],"&lt;="&amp;'Bilan Entrainement - Mensuel'!$D29)</f>
        <v>0</v>
      </c>
      <c r="AE30" s="404">
        <f>COUNTIFS(TabEntrainement[J25],"Absent",TabEntrainement[Seance],"&gt;="&amp;'Bilan Entrainement - Mensuel'!$C29,TabEntrainement[Seance],"&lt;="&amp;'Bilan Entrainement - Mensuel'!$D29)</f>
        <v>0</v>
      </c>
      <c r="AF30" s="404">
        <f>COUNTIFS(TabEntrainement[J26],"Absent",TabEntrainement[Seance],"&gt;="&amp;'Bilan Entrainement - Mensuel'!$C29,TabEntrainement[Seance],"&lt;="&amp;'Bilan Entrainement - Mensuel'!$D29)</f>
        <v>0</v>
      </c>
      <c r="AG30" s="404">
        <f>COUNTIFS(TabEntrainement[J27],"Absent",TabEntrainement[Seance],"&gt;="&amp;'Bilan Entrainement - Mensuel'!$C29,TabEntrainement[Seance],"&lt;="&amp;'Bilan Entrainement - Mensuel'!$D29)</f>
        <v>0</v>
      </c>
      <c r="AH30" s="404">
        <f>COUNTIFS(TabEntrainement[J28],"Absent",TabEntrainement[Seance],"&gt;="&amp;'Bilan Entrainement - Mensuel'!$C29,TabEntrainement[Seance],"&lt;="&amp;'Bilan Entrainement - Mensuel'!$D29)</f>
        <v>0</v>
      </c>
      <c r="AI30" s="404">
        <f>COUNTIFS(TabEntrainement[J29],"Absent",TabEntrainement[Seance],"&gt;="&amp;'Bilan Entrainement - Mensuel'!$C29,TabEntrainement[Seance],"&lt;="&amp;'Bilan Entrainement - Mensuel'!$D29)</f>
        <v>0</v>
      </c>
      <c r="AJ30" s="404">
        <f>COUNTIFS(TabEntrainement[J30],"Absent",TabEntrainement[Seance],"&gt;="&amp;'Bilan Entrainement - Mensuel'!$C29,TabEntrainement[Seance],"&lt;="&amp;'Bilan Entrainement - Mensuel'!$D29)</f>
        <v>0</v>
      </c>
    </row>
    <row r="31" spans="2:36" s="44" customFormat="1" ht="15" customHeight="1">
      <c r="B31" s="546"/>
      <c r="C31" s="548"/>
      <c r="D31" s="548"/>
      <c r="E31" s="544"/>
      <c r="F31" s="403" t="s">
        <v>44</v>
      </c>
      <c r="G31" s="404">
        <f>$E$29-G29-G30</f>
        <v>0</v>
      </c>
      <c r="H31" s="404">
        <f t="shared" ref="H31:AJ31" si="8">$E$29-H29-H30</f>
        <v>0</v>
      </c>
      <c r="I31" s="404">
        <f t="shared" si="8"/>
        <v>0</v>
      </c>
      <c r="J31" s="404">
        <f t="shared" si="8"/>
        <v>0</v>
      </c>
      <c r="K31" s="404">
        <f t="shared" si="8"/>
        <v>0</v>
      </c>
      <c r="L31" s="404">
        <f t="shared" si="8"/>
        <v>0</v>
      </c>
      <c r="M31" s="404">
        <f t="shared" si="8"/>
        <v>0</v>
      </c>
      <c r="N31" s="404">
        <f t="shared" si="8"/>
        <v>0</v>
      </c>
      <c r="O31" s="404">
        <f t="shared" si="8"/>
        <v>0</v>
      </c>
      <c r="P31" s="404">
        <f t="shared" si="8"/>
        <v>0</v>
      </c>
      <c r="Q31" s="404">
        <f t="shared" si="8"/>
        <v>0</v>
      </c>
      <c r="R31" s="404">
        <f t="shared" si="8"/>
        <v>0</v>
      </c>
      <c r="S31" s="404">
        <f t="shared" si="8"/>
        <v>0</v>
      </c>
      <c r="T31" s="404">
        <f t="shared" si="8"/>
        <v>0</v>
      </c>
      <c r="U31" s="404">
        <f t="shared" si="8"/>
        <v>0</v>
      </c>
      <c r="V31" s="404">
        <f t="shared" si="8"/>
        <v>0</v>
      </c>
      <c r="W31" s="404">
        <f t="shared" si="8"/>
        <v>0</v>
      </c>
      <c r="X31" s="404">
        <f t="shared" si="8"/>
        <v>0</v>
      </c>
      <c r="Y31" s="404">
        <f t="shared" si="8"/>
        <v>0</v>
      </c>
      <c r="Z31" s="404">
        <f t="shared" si="8"/>
        <v>0</v>
      </c>
      <c r="AA31" s="404">
        <f t="shared" si="8"/>
        <v>0</v>
      </c>
      <c r="AB31" s="404">
        <f t="shared" si="8"/>
        <v>0</v>
      </c>
      <c r="AC31" s="404">
        <f t="shared" si="8"/>
        <v>0</v>
      </c>
      <c r="AD31" s="404">
        <f t="shared" si="8"/>
        <v>0</v>
      </c>
      <c r="AE31" s="404">
        <f t="shared" si="8"/>
        <v>0</v>
      </c>
      <c r="AF31" s="404">
        <f t="shared" si="8"/>
        <v>0</v>
      </c>
      <c r="AG31" s="404">
        <f t="shared" si="8"/>
        <v>0</v>
      </c>
      <c r="AH31" s="404">
        <f t="shared" si="8"/>
        <v>0</v>
      </c>
      <c r="AI31" s="404">
        <f t="shared" si="8"/>
        <v>0</v>
      </c>
      <c r="AJ31" s="404">
        <f t="shared" si="8"/>
        <v>0</v>
      </c>
    </row>
    <row r="32" spans="2:36" s="44" customFormat="1" ht="15" customHeight="1">
      <c r="B32" s="549" t="s">
        <v>461</v>
      </c>
      <c r="C32" s="550">
        <f>DATE(Paramétres!$L$20,5,1)</f>
        <v>43586</v>
      </c>
      <c r="D32" s="550">
        <f>DATE(Paramétres!$L$20,5,31)</f>
        <v>43616</v>
      </c>
      <c r="E32" s="543">
        <f>IF(ISERROR(GETPIVOTDATA("N°",'TDC Nb Tranningg'!$A$3,"Mois",5)),0,GETPIVOTDATA("N°",'TDC Nb Tranningg'!$A$3,"Mois",5))</f>
        <v>0</v>
      </c>
      <c r="F32" s="405" t="s">
        <v>10</v>
      </c>
      <c r="G32" s="406">
        <f>COUNTIFS(TabEntrainement[J1],"Présent",TabEntrainement[Seance],"&gt;="&amp;C32,TabEntrainement[Seance],"&lt;="&amp;D32)</f>
        <v>0</v>
      </c>
      <c r="H32" s="406">
        <f>COUNTIFS(TabEntrainement[J2],"Présent",TabEntrainement[Seance],"&gt;="&amp;'Bilan Entrainement - Mensuel'!$C32,TabEntrainement[Seance],"&lt;="&amp;'Bilan Entrainement - Mensuel'!$D32)</f>
        <v>0</v>
      </c>
      <c r="I32" s="406">
        <f>COUNTIFS(TabEntrainement[J3],"Présent",TabEntrainement[Seance],"&gt;="&amp;'Bilan Entrainement - Mensuel'!$C32,TabEntrainement[Seance],"&lt;="&amp;'Bilan Entrainement - Mensuel'!$D32)</f>
        <v>0</v>
      </c>
      <c r="J32" s="406">
        <f>COUNTIFS(TabEntrainement[J4],"Présent",TabEntrainement[Seance],"&gt;="&amp;'Bilan Entrainement - Mensuel'!$C32,TabEntrainement[Seance],"&lt;="&amp;'Bilan Entrainement - Mensuel'!$D32)</f>
        <v>0</v>
      </c>
      <c r="K32" s="406">
        <f>COUNTIFS(TabEntrainement[J5],"Présent",TabEntrainement[Seance],"&gt;="&amp;'Bilan Entrainement - Mensuel'!$C32,TabEntrainement[Seance],"&lt;="&amp;'Bilan Entrainement - Mensuel'!$D32)</f>
        <v>0</v>
      </c>
      <c r="L32" s="406">
        <f>COUNTIFS(TabEntrainement[J6],"Présent",TabEntrainement[Seance],"&gt;="&amp;'Bilan Entrainement - Mensuel'!$C32,TabEntrainement[Seance],"&lt;="&amp;'Bilan Entrainement - Mensuel'!$D32)</f>
        <v>0</v>
      </c>
      <c r="M32" s="406">
        <f>COUNTIFS(TabEntrainement[J7],"Présent",TabEntrainement[Seance],"&gt;="&amp;'Bilan Entrainement - Mensuel'!$C32,TabEntrainement[Seance],"&lt;="&amp;'Bilan Entrainement - Mensuel'!$D32)</f>
        <v>0</v>
      </c>
      <c r="N32" s="406">
        <f>COUNTIFS(TabEntrainement[J8],"Présent",TabEntrainement[Seance],"&gt;="&amp;'Bilan Entrainement - Mensuel'!$C32,TabEntrainement[Seance],"&lt;="&amp;'Bilan Entrainement - Mensuel'!$D32)</f>
        <v>0</v>
      </c>
      <c r="O32" s="406">
        <f>COUNTIFS(TabEntrainement[J9],"Présent",TabEntrainement[Seance],"&gt;="&amp;'Bilan Entrainement - Mensuel'!$C32,TabEntrainement[Seance],"&lt;="&amp;'Bilan Entrainement - Mensuel'!$D32)</f>
        <v>0</v>
      </c>
      <c r="P32" s="406">
        <f>COUNTIFS(TabEntrainement[J10],"Présent",TabEntrainement[Seance],"&gt;="&amp;'Bilan Entrainement - Mensuel'!$C32,TabEntrainement[Seance],"&lt;="&amp;'Bilan Entrainement - Mensuel'!$D32)</f>
        <v>0</v>
      </c>
      <c r="Q32" s="406">
        <f>COUNTIFS(TabEntrainement[J11],"Présent",TabEntrainement[Seance],"&gt;="&amp;'Bilan Entrainement - Mensuel'!$C32,TabEntrainement[Seance],"&lt;="&amp;'Bilan Entrainement - Mensuel'!$D32)</f>
        <v>0</v>
      </c>
      <c r="R32" s="406">
        <f>COUNTIFS(TabEntrainement[J12],"Présent",TabEntrainement[Seance],"&gt;="&amp;'Bilan Entrainement - Mensuel'!$C32,TabEntrainement[Seance],"&lt;="&amp;'Bilan Entrainement - Mensuel'!$D32)</f>
        <v>0</v>
      </c>
      <c r="S32" s="406">
        <f>COUNTIFS(TabEntrainement[J13],"Présent",TabEntrainement[Seance],"&gt;="&amp;'Bilan Entrainement - Mensuel'!$C32,TabEntrainement[Seance],"&lt;="&amp;'Bilan Entrainement - Mensuel'!$D32)</f>
        <v>0</v>
      </c>
      <c r="T32" s="406">
        <f>COUNTIFS(TabEntrainement[J14],"Présent",TabEntrainement[Seance],"&gt;="&amp;'Bilan Entrainement - Mensuel'!$C32,TabEntrainement[Seance],"&lt;="&amp;'Bilan Entrainement - Mensuel'!$D32)</f>
        <v>0</v>
      </c>
      <c r="U32" s="406">
        <f>COUNTIFS(TabEntrainement[J15],"Présent",TabEntrainement[Seance],"&gt;="&amp;'Bilan Entrainement - Mensuel'!$C32,TabEntrainement[Seance],"&lt;="&amp;'Bilan Entrainement - Mensuel'!$D32)</f>
        <v>0</v>
      </c>
      <c r="V32" s="406">
        <f>COUNTIFS(TabEntrainement[J16],"Présent",TabEntrainement[Seance],"&gt;="&amp;'Bilan Entrainement - Mensuel'!$C32,TabEntrainement[Seance],"&lt;="&amp;'Bilan Entrainement - Mensuel'!$D32)</f>
        <v>0</v>
      </c>
      <c r="W32" s="406">
        <f>COUNTIFS(TabEntrainement[J17],"Présent",TabEntrainement[Seance],"&gt;="&amp;'Bilan Entrainement - Mensuel'!$C32,TabEntrainement[Seance],"&lt;="&amp;'Bilan Entrainement - Mensuel'!$D32)</f>
        <v>0</v>
      </c>
      <c r="X32" s="406">
        <f>COUNTIFS(TabEntrainement[J18],"Présent",TabEntrainement[Seance],"&gt;="&amp;'Bilan Entrainement - Mensuel'!$C32,TabEntrainement[Seance],"&lt;="&amp;'Bilan Entrainement - Mensuel'!$D32)</f>
        <v>0</v>
      </c>
      <c r="Y32" s="406">
        <f>COUNTIFS(TabEntrainement[J19],"Présent",TabEntrainement[Seance],"&gt;="&amp;'Bilan Entrainement - Mensuel'!$C32,TabEntrainement[Seance],"&lt;="&amp;'Bilan Entrainement - Mensuel'!$D32)</f>
        <v>0</v>
      </c>
      <c r="Z32" s="406">
        <f>COUNTIFS(TabEntrainement[J20],"Présent",TabEntrainement[Seance],"&gt;="&amp;'Bilan Entrainement - Mensuel'!$C32,TabEntrainement[Seance],"&lt;="&amp;'Bilan Entrainement - Mensuel'!$D32)</f>
        <v>0</v>
      </c>
      <c r="AA32" s="406">
        <f>COUNTIFS(TabEntrainement[J21],"Présent",TabEntrainement[Seance],"&gt;="&amp;'Bilan Entrainement - Mensuel'!$C32,TabEntrainement[Seance],"&lt;="&amp;'Bilan Entrainement - Mensuel'!$D32)</f>
        <v>0</v>
      </c>
      <c r="AB32" s="406">
        <f>COUNTIFS(TabEntrainement[J22],"Présent",TabEntrainement[Seance],"&gt;="&amp;'Bilan Entrainement - Mensuel'!$C32,TabEntrainement[Seance],"&lt;="&amp;'Bilan Entrainement - Mensuel'!$D32)</f>
        <v>0</v>
      </c>
      <c r="AC32" s="406">
        <f>COUNTIFS(TabEntrainement[J23],"Présent",TabEntrainement[Seance],"&gt;="&amp;'Bilan Entrainement - Mensuel'!$C32,TabEntrainement[Seance],"&lt;="&amp;'Bilan Entrainement - Mensuel'!$D32)</f>
        <v>0</v>
      </c>
      <c r="AD32" s="406">
        <f>COUNTIFS(TabEntrainement[J24],"Présent",TabEntrainement[Seance],"&gt;="&amp;'Bilan Entrainement - Mensuel'!$C32,TabEntrainement[Seance],"&lt;="&amp;'Bilan Entrainement - Mensuel'!$D32)</f>
        <v>0</v>
      </c>
      <c r="AE32" s="406">
        <f>COUNTIFS(TabEntrainement[J25],"Présent",TabEntrainement[Seance],"&gt;="&amp;'Bilan Entrainement - Mensuel'!$C32,TabEntrainement[Seance],"&lt;="&amp;'Bilan Entrainement - Mensuel'!$D32)</f>
        <v>0</v>
      </c>
      <c r="AF32" s="406">
        <f>COUNTIFS(TabEntrainement[J26],"Présent",TabEntrainement[Seance],"&gt;="&amp;'Bilan Entrainement - Mensuel'!$C32,TabEntrainement[Seance],"&lt;="&amp;'Bilan Entrainement - Mensuel'!$D32)</f>
        <v>0</v>
      </c>
      <c r="AG32" s="406">
        <f>COUNTIFS(TabEntrainement[J27],"Présent",TabEntrainement[Seance],"&gt;="&amp;'Bilan Entrainement - Mensuel'!$C32,TabEntrainement[Seance],"&lt;="&amp;'Bilan Entrainement - Mensuel'!$D32)</f>
        <v>0</v>
      </c>
      <c r="AH32" s="406">
        <f>COUNTIFS(TabEntrainement[J28],"Présent",TabEntrainement[Seance],"&gt;="&amp;'Bilan Entrainement - Mensuel'!$C32,TabEntrainement[Seance],"&lt;="&amp;'Bilan Entrainement - Mensuel'!$D32)</f>
        <v>0</v>
      </c>
      <c r="AI32" s="406">
        <f>COUNTIFS(TabEntrainement[J29],"Présent",TabEntrainement[Seance],"&gt;="&amp;'Bilan Entrainement - Mensuel'!$C32,TabEntrainement[Seance],"&lt;="&amp;'Bilan Entrainement - Mensuel'!$D32)</f>
        <v>0</v>
      </c>
      <c r="AJ32" s="406">
        <f>COUNTIFS(TabEntrainement[J30],"Présent",TabEntrainement[Seance],"&gt;="&amp;'Bilan Entrainement - Mensuel'!$C32,TabEntrainement[Seance],"&lt;="&amp;'Bilan Entrainement - Mensuel'!$D32)</f>
        <v>0</v>
      </c>
    </row>
    <row r="33" spans="2:36" s="44" customFormat="1" ht="15" customHeight="1">
      <c r="B33" s="549"/>
      <c r="C33" s="550"/>
      <c r="D33" s="550"/>
      <c r="E33" s="544"/>
      <c r="F33" s="407" t="s">
        <v>18</v>
      </c>
      <c r="G33" s="408">
        <f>COUNTIFS(TabEntrainement[J1],"Absent",TabEntrainement[Seance],"&gt;="&amp;C32,TabEntrainement[Seance],"&lt;="&amp;D32)</f>
        <v>0</v>
      </c>
      <c r="H33" s="408">
        <f>COUNTIFS(TabEntrainement[J2],"Absent",TabEntrainement[Seance],"&gt;="&amp;'Bilan Entrainement - Mensuel'!$C32,TabEntrainement[Seance],"&lt;="&amp;'Bilan Entrainement - Mensuel'!$D32)</f>
        <v>0</v>
      </c>
      <c r="I33" s="408">
        <f>COUNTIFS(TabEntrainement[J3],"Absent",TabEntrainement[Seance],"&gt;="&amp;'Bilan Entrainement - Mensuel'!$C32,TabEntrainement[Seance],"&lt;="&amp;'Bilan Entrainement - Mensuel'!$D32)</f>
        <v>0</v>
      </c>
      <c r="J33" s="408">
        <f>COUNTIFS(TabEntrainement[J4],"Absent",TabEntrainement[Seance],"&gt;="&amp;'Bilan Entrainement - Mensuel'!$C32,TabEntrainement[Seance],"&lt;="&amp;'Bilan Entrainement - Mensuel'!$D32)</f>
        <v>0</v>
      </c>
      <c r="K33" s="408">
        <f>COUNTIFS(TabEntrainement[J5],"Absent",TabEntrainement[Seance],"&gt;="&amp;'Bilan Entrainement - Mensuel'!$C32,TabEntrainement[Seance],"&lt;="&amp;'Bilan Entrainement - Mensuel'!$D32)</f>
        <v>0</v>
      </c>
      <c r="L33" s="408">
        <f>COUNTIFS(TabEntrainement[J6],"Absent",TabEntrainement[Seance],"&gt;="&amp;'Bilan Entrainement - Mensuel'!$C32,TabEntrainement[Seance],"&lt;="&amp;'Bilan Entrainement - Mensuel'!$D32)</f>
        <v>0</v>
      </c>
      <c r="M33" s="408">
        <f>COUNTIFS(TabEntrainement[J7],"Absent",TabEntrainement[Seance],"&gt;="&amp;'Bilan Entrainement - Mensuel'!$C32,TabEntrainement[Seance],"&lt;="&amp;'Bilan Entrainement - Mensuel'!$D32)</f>
        <v>0</v>
      </c>
      <c r="N33" s="408">
        <f>COUNTIFS(TabEntrainement[J8],"Absent",TabEntrainement[Seance],"&gt;="&amp;'Bilan Entrainement - Mensuel'!$C32,TabEntrainement[Seance],"&lt;="&amp;'Bilan Entrainement - Mensuel'!$D32)</f>
        <v>0</v>
      </c>
      <c r="O33" s="408">
        <f>COUNTIFS(TabEntrainement[J9],"Absent",TabEntrainement[Seance],"&gt;="&amp;'Bilan Entrainement - Mensuel'!$C32,TabEntrainement[Seance],"&lt;="&amp;'Bilan Entrainement - Mensuel'!$D32)</f>
        <v>0</v>
      </c>
      <c r="P33" s="408">
        <f>COUNTIFS(TabEntrainement[J10],"Absent",TabEntrainement[Seance],"&gt;="&amp;'Bilan Entrainement - Mensuel'!$C32,TabEntrainement[Seance],"&lt;="&amp;'Bilan Entrainement - Mensuel'!$D32)</f>
        <v>0</v>
      </c>
      <c r="Q33" s="408">
        <f>COUNTIFS(TabEntrainement[J11],"Absent",TabEntrainement[Seance],"&gt;="&amp;'Bilan Entrainement - Mensuel'!$C32,TabEntrainement[Seance],"&lt;="&amp;'Bilan Entrainement - Mensuel'!$D32)</f>
        <v>0</v>
      </c>
      <c r="R33" s="408">
        <f>COUNTIFS(TabEntrainement[J12],"Absent",TabEntrainement[Seance],"&gt;="&amp;'Bilan Entrainement - Mensuel'!$C32,TabEntrainement[Seance],"&lt;="&amp;'Bilan Entrainement - Mensuel'!$D32)</f>
        <v>0</v>
      </c>
      <c r="S33" s="408">
        <f>COUNTIFS(TabEntrainement[J13],"Absent",TabEntrainement[Seance],"&gt;="&amp;'Bilan Entrainement - Mensuel'!$C32,TabEntrainement[Seance],"&lt;="&amp;'Bilan Entrainement - Mensuel'!$D32)</f>
        <v>0</v>
      </c>
      <c r="T33" s="408">
        <f>COUNTIFS(TabEntrainement[J14],"Absent",TabEntrainement[Seance],"&gt;="&amp;'Bilan Entrainement - Mensuel'!$C32,TabEntrainement[Seance],"&lt;="&amp;'Bilan Entrainement - Mensuel'!$D32)</f>
        <v>0</v>
      </c>
      <c r="U33" s="408">
        <f>COUNTIFS(TabEntrainement[J15],"Absent",TabEntrainement[Seance],"&gt;="&amp;'Bilan Entrainement - Mensuel'!$C32,TabEntrainement[Seance],"&lt;="&amp;'Bilan Entrainement - Mensuel'!$D32)</f>
        <v>0</v>
      </c>
      <c r="V33" s="408">
        <f>COUNTIFS(TabEntrainement[J16],"Absent",TabEntrainement[Seance],"&gt;="&amp;'Bilan Entrainement - Mensuel'!$C32,TabEntrainement[Seance],"&lt;="&amp;'Bilan Entrainement - Mensuel'!$D32)</f>
        <v>0</v>
      </c>
      <c r="W33" s="408">
        <f>COUNTIFS(TabEntrainement[J17],"Absent",TabEntrainement[Seance],"&gt;="&amp;'Bilan Entrainement - Mensuel'!$C32,TabEntrainement[Seance],"&lt;="&amp;'Bilan Entrainement - Mensuel'!$D32)</f>
        <v>0</v>
      </c>
      <c r="X33" s="408">
        <f>COUNTIFS(TabEntrainement[J18],"Absent",TabEntrainement[Seance],"&gt;="&amp;'Bilan Entrainement - Mensuel'!$C32,TabEntrainement[Seance],"&lt;="&amp;'Bilan Entrainement - Mensuel'!$D32)</f>
        <v>0</v>
      </c>
      <c r="Y33" s="408">
        <f>COUNTIFS(TabEntrainement[J19],"Absent",TabEntrainement[Seance],"&gt;="&amp;'Bilan Entrainement - Mensuel'!$C32,TabEntrainement[Seance],"&lt;="&amp;'Bilan Entrainement - Mensuel'!$D32)</f>
        <v>0</v>
      </c>
      <c r="Z33" s="408">
        <f>COUNTIFS(TabEntrainement[J20],"Absent",TabEntrainement[Seance],"&gt;="&amp;'Bilan Entrainement - Mensuel'!$C32,TabEntrainement[Seance],"&lt;="&amp;'Bilan Entrainement - Mensuel'!$D32)</f>
        <v>0</v>
      </c>
      <c r="AA33" s="408">
        <f>COUNTIFS(TabEntrainement[J21],"Absent",TabEntrainement[Seance],"&gt;="&amp;'Bilan Entrainement - Mensuel'!$C32,TabEntrainement[Seance],"&lt;="&amp;'Bilan Entrainement - Mensuel'!$D32)</f>
        <v>0</v>
      </c>
      <c r="AB33" s="408">
        <f>COUNTIFS(TabEntrainement[J22],"Absent",TabEntrainement[Seance],"&gt;="&amp;'Bilan Entrainement - Mensuel'!$C32,TabEntrainement[Seance],"&lt;="&amp;'Bilan Entrainement - Mensuel'!$D32)</f>
        <v>0</v>
      </c>
      <c r="AC33" s="408">
        <f>COUNTIFS(TabEntrainement[J23],"Absent",TabEntrainement[Seance],"&gt;="&amp;'Bilan Entrainement - Mensuel'!$C32,TabEntrainement[Seance],"&lt;="&amp;'Bilan Entrainement - Mensuel'!$D32)</f>
        <v>0</v>
      </c>
      <c r="AD33" s="408">
        <f>COUNTIFS(TabEntrainement[J24],"Absent",TabEntrainement[Seance],"&gt;="&amp;'Bilan Entrainement - Mensuel'!$C32,TabEntrainement[Seance],"&lt;="&amp;'Bilan Entrainement - Mensuel'!$D32)</f>
        <v>0</v>
      </c>
      <c r="AE33" s="408">
        <f>COUNTIFS(TabEntrainement[J25],"Absent",TabEntrainement[Seance],"&gt;="&amp;'Bilan Entrainement - Mensuel'!$C32,TabEntrainement[Seance],"&lt;="&amp;'Bilan Entrainement - Mensuel'!$D32)</f>
        <v>0</v>
      </c>
      <c r="AF33" s="408">
        <f>COUNTIFS(TabEntrainement[J26],"Absent",TabEntrainement[Seance],"&gt;="&amp;'Bilan Entrainement - Mensuel'!$C32,TabEntrainement[Seance],"&lt;="&amp;'Bilan Entrainement - Mensuel'!$D32)</f>
        <v>0</v>
      </c>
      <c r="AG33" s="408">
        <f>COUNTIFS(TabEntrainement[J27],"Absent",TabEntrainement[Seance],"&gt;="&amp;'Bilan Entrainement - Mensuel'!$C32,TabEntrainement[Seance],"&lt;="&amp;'Bilan Entrainement - Mensuel'!$D32)</f>
        <v>0</v>
      </c>
      <c r="AH33" s="408">
        <f>COUNTIFS(TabEntrainement[J28],"Absent",TabEntrainement[Seance],"&gt;="&amp;'Bilan Entrainement - Mensuel'!$C32,TabEntrainement[Seance],"&lt;="&amp;'Bilan Entrainement - Mensuel'!$D32)</f>
        <v>0</v>
      </c>
      <c r="AI33" s="408">
        <f>COUNTIFS(TabEntrainement[J29],"Absent",TabEntrainement[Seance],"&gt;="&amp;'Bilan Entrainement - Mensuel'!$C32,TabEntrainement[Seance],"&lt;="&amp;'Bilan Entrainement - Mensuel'!$D32)</f>
        <v>0</v>
      </c>
      <c r="AJ33" s="408">
        <f>COUNTIFS(TabEntrainement[J30],"Absent",TabEntrainement[Seance],"&gt;="&amp;'Bilan Entrainement - Mensuel'!$C32,TabEntrainement[Seance],"&lt;="&amp;'Bilan Entrainement - Mensuel'!$D32)</f>
        <v>0</v>
      </c>
    </row>
    <row r="34" spans="2:36" s="44" customFormat="1" ht="15" customHeight="1">
      <c r="B34" s="549"/>
      <c r="C34" s="550"/>
      <c r="D34" s="550"/>
      <c r="E34" s="544"/>
      <c r="F34" s="405" t="s">
        <v>44</v>
      </c>
      <c r="G34" s="406">
        <f>$E$32-G32-G33</f>
        <v>0</v>
      </c>
      <c r="H34" s="406">
        <f t="shared" ref="H34:AJ34" si="9">$E$32-H32-H33</f>
        <v>0</v>
      </c>
      <c r="I34" s="406">
        <f t="shared" si="9"/>
        <v>0</v>
      </c>
      <c r="J34" s="406">
        <f t="shared" si="9"/>
        <v>0</v>
      </c>
      <c r="K34" s="406">
        <f t="shared" si="9"/>
        <v>0</v>
      </c>
      <c r="L34" s="406">
        <f t="shared" si="9"/>
        <v>0</v>
      </c>
      <c r="M34" s="406">
        <f t="shared" si="9"/>
        <v>0</v>
      </c>
      <c r="N34" s="406">
        <f t="shared" si="9"/>
        <v>0</v>
      </c>
      <c r="O34" s="406">
        <f t="shared" si="9"/>
        <v>0</v>
      </c>
      <c r="P34" s="406">
        <f t="shared" si="9"/>
        <v>0</v>
      </c>
      <c r="Q34" s="406">
        <f t="shared" si="9"/>
        <v>0</v>
      </c>
      <c r="R34" s="406">
        <f t="shared" si="9"/>
        <v>0</v>
      </c>
      <c r="S34" s="406">
        <f t="shared" si="9"/>
        <v>0</v>
      </c>
      <c r="T34" s="406">
        <f t="shared" si="9"/>
        <v>0</v>
      </c>
      <c r="U34" s="406">
        <f t="shared" si="9"/>
        <v>0</v>
      </c>
      <c r="V34" s="406">
        <f t="shared" si="9"/>
        <v>0</v>
      </c>
      <c r="W34" s="406">
        <f t="shared" si="9"/>
        <v>0</v>
      </c>
      <c r="X34" s="406">
        <f t="shared" si="9"/>
        <v>0</v>
      </c>
      <c r="Y34" s="406">
        <f t="shared" si="9"/>
        <v>0</v>
      </c>
      <c r="Z34" s="406">
        <f t="shared" si="9"/>
        <v>0</v>
      </c>
      <c r="AA34" s="406">
        <f t="shared" si="9"/>
        <v>0</v>
      </c>
      <c r="AB34" s="406">
        <f t="shared" si="9"/>
        <v>0</v>
      </c>
      <c r="AC34" s="406">
        <f t="shared" si="9"/>
        <v>0</v>
      </c>
      <c r="AD34" s="406">
        <f t="shared" si="9"/>
        <v>0</v>
      </c>
      <c r="AE34" s="406">
        <f t="shared" si="9"/>
        <v>0</v>
      </c>
      <c r="AF34" s="406">
        <f t="shared" si="9"/>
        <v>0</v>
      </c>
      <c r="AG34" s="406">
        <f t="shared" si="9"/>
        <v>0</v>
      </c>
      <c r="AH34" s="406">
        <f t="shared" si="9"/>
        <v>0</v>
      </c>
      <c r="AI34" s="406">
        <f t="shared" si="9"/>
        <v>0</v>
      </c>
      <c r="AJ34" s="406">
        <f t="shared" si="9"/>
        <v>0</v>
      </c>
    </row>
    <row r="35" spans="2:36" s="44" customFormat="1" ht="15" customHeight="1">
      <c r="B35" s="546" t="s">
        <v>486</v>
      </c>
      <c r="C35" s="546" t="s">
        <v>569</v>
      </c>
      <c r="D35" s="546" t="s">
        <v>452</v>
      </c>
      <c r="E35" s="544">
        <f>IF(ISERROR(GETPIVOTDATA("N°",'TDC Nb Tranningg'!$A$3,"Mois",6)),0,GETPIVOTDATA("N°",'TDC Nb Tranningg'!$A$3,"Mois",6))</f>
        <v>0</v>
      </c>
      <c r="F35" s="403" t="s">
        <v>10</v>
      </c>
      <c r="G35" s="404">
        <f>COUNTIFS(TabEntrainement[J1],"Présent",TabEntrainement[Seance],"&gt;="&amp;C35,TabEntrainement[Seance],"&lt;="&amp;D35)</f>
        <v>0</v>
      </c>
      <c r="H35" s="404">
        <f>COUNTIFS(TabEntrainement[J2],"Présent",TabEntrainement[Seance],"&gt;="&amp;'Bilan Entrainement - Mensuel'!$C35,TabEntrainement[Seance],"&lt;="&amp;'Bilan Entrainement - Mensuel'!$D35)</f>
        <v>0</v>
      </c>
      <c r="I35" s="404">
        <f>COUNTIFS(TabEntrainement[J3],"Présent",TabEntrainement[Seance],"&gt;="&amp;'Bilan Entrainement - Mensuel'!$C35,TabEntrainement[Seance],"&lt;="&amp;'Bilan Entrainement - Mensuel'!$D35)</f>
        <v>0</v>
      </c>
      <c r="J35" s="404">
        <f>COUNTIFS(TabEntrainement[J4],"Présent",TabEntrainement[Seance],"&gt;="&amp;'Bilan Entrainement - Mensuel'!$C35,TabEntrainement[Seance],"&lt;="&amp;'Bilan Entrainement - Mensuel'!$D35)</f>
        <v>0</v>
      </c>
      <c r="K35" s="404">
        <f>COUNTIFS(TabEntrainement[J5],"Présent",TabEntrainement[Seance],"&gt;="&amp;'Bilan Entrainement - Mensuel'!$C35,TabEntrainement[Seance],"&lt;="&amp;'Bilan Entrainement - Mensuel'!$D35)</f>
        <v>0</v>
      </c>
      <c r="L35" s="404">
        <f>COUNTIFS(TabEntrainement[J6],"Présent",TabEntrainement[Seance],"&gt;="&amp;'Bilan Entrainement - Mensuel'!$C35,TabEntrainement[Seance],"&lt;="&amp;'Bilan Entrainement - Mensuel'!$D35)</f>
        <v>0</v>
      </c>
      <c r="M35" s="404">
        <f>COUNTIFS(TabEntrainement[J7],"Présent",TabEntrainement[Seance],"&gt;="&amp;'Bilan Entrainement - Mensuel'!$C35,TabEntrainement[Seance],"&lt;="&amp;'Bilan Entrainement - Mensuel'!$D35)</f>
        <v>0</v>
      </c>
      <c r="N35" s="404">
        <f>COUNTIFS(TabEntrainement[J8],"Présent",TabEntrainement[Seance],"&gt;="&amp;'Bilan Entrainement - Mensuel'!$C35,TabEntrainement[Seance],"&lt;="&amp;'Bilan Entrainement - Mensuel'!$D35)</f>
        <v>0</v>
      </c>
      <c r="O35" s="404">
        <f>COUNTIFS(TabEntrainement[J9],"Présent",TabEntrainement[Seance],"&gt;="&amp;'Bilan Entrainement - Mensuel'!$C35,TabEntrainement[Seance],"&lt;="&amp;'Bilan Entrainement - Mensuel'!$D35)</f>
        <v>0</v>
      </c>
      <c r="P35" s="404">
        <f>COUNTIFS(TabEntrainement[J10],"Présent",TabEntrainement[Seance],"&gt;="&amp;'Bilan Entrainement - Mensuel'!$C35,TabEntrainement[Seance],"&lt;="&amp;'Bilan Entrainement - Mensuel'!$D35)</f>
        <v>0</v>
      </c>
      <c r="Q35" s="404">
        <f>COUNTIFS(TabEntrainement[J11],"Présent",TabEntrainement[Seance],"&gt;="&amp;'Bilan Entrainement - Mensuel'!$C35,TabEntrainement[Seance],"&lt;="&amp;'Bilan Entrainement - Mensuel'!$D35)</f>
        <v>0</v>
      </c>
      <c r="R35" s="404">
        <f>COUNTIFS(TabEntrainement[J12],"Présent",TabEntrainement[Seance],"&gt;="&amp;'Bilan Entrainement - Mensuel'!$C35,TabEntrainement[Seance],"&lt;="&amp;'Bilan Entrainement - Mensuel'!$D35)</f>
        <v>0</v>
      </c>
      <c r="S35" s="404">
        <f>COUNTIFS(TabEntrainement[J13],"Présent",TabEntrainement[Seance],"&gt;="&amp;'Bilan Entrainement - Mensuel'!$C35,TabEntrainement[Seance],"&lt;="&amp;'Bilan Entrainement - Mensuel'!$D35)</f>
        <v>0</v>
      </c>
      <c r="T35" s="404">
        <f>COUNTIFS(TabEntrainement[J14],"Présent",TabEntrainement[Seance],"&gt;="&amp;'Bilan Entrainement - Mensuel'!$C35,TabEntrainement[Seance],"&lt;="&amp;'Bilan Entrainement - Mensuel'!$D35)</f>
        <v>0</v>
      </c>
      <c r="U35" s="404">
        <f>COUNTIFS(TabEntrainement[J15],"Présent",TabEntrainement[Seance],"&gt;="&amp;'Bilan Entrainement - Mensuel'!$C35,TabEntrainement[Seance],"&lt;="&amp;'Bilan Entrainement - Mensuel'!$D35)</f>
        <v>0</v>
      </c>
      <c r="V35" s="404">
        <f>COUNTIFS(TabEntrainement[J16],"Présent",TabEntrainement[Seance],"&gt;="&amp;'Bilan Entrainement - Mensuel'!$C35,TabEntrainement[Seance],"&lt;="&amp;'Bilan Entrainement - Mensuel'!$D35)</f>
        <v>0</v>
      </c>
      <c r="W35" s="404">
        <f>COUNTIFS(TabEntrainement[J17],"Présent",TabEntrainement[Seance],"&gt;="&amp;'Bilan Entrainement - Mensuel'!$C35,TabEntrainement[Seance],"&lt;="&amp;'Bilan Entrainement - Mensuel'!$D35)</f>
        <v>0</v>
      </c>
      <c r="X35" s="404">
        <f>COUNTIFS(TabEntrainement[J18],"Présent",TabEntrainement[Seance],"&gt;="&amp;'Bilan Entrainement - Mensuel'!$C35,TabEntrainement[Seance],"&lt;="&amp;'Bilan Entrainement - Mensuel'!$D35)</f>
        <v>0</v>
      </c>
      <c r="Y35" s="404">
        <f>COUNTIFS(TabEntrainement[J19],"Présent",TabEntrainement[Seance],"&gt;="&amp;'Bilan Entrainement - Mensuel'!$C35,TabEntrainement[Seance],"&lt;="&amp;'Bilan Entrainement - Mensuel'!$D35)</f>
        <v>0</v>
      </c>
      <c r="Z35" s="404">
        <f>COUNTIFS(TabEntrainement[J20],"Présent",TabEntrainement[Seance],"&gt;="&amp;'Bilan Entrainement - Mensuel'!$C35,TabEntrainement[Seance],"&lt;="&amp;'Bilan Entrainement - Mensuel'!$D35)</f>
        <v>0</v>
      </c>
      <c r="AA35" s="404">
        <f>COUNTIFS(TabEntrainement[J21],"Présent",TabEntrainement[Seance],"&gt;="&amp;'Bilan Entrainement - Mensuel'!$C35,TabEntrainement[Seance],"&lt;="&amp;'Bilan Entrainement - Mensuel'!$D35)</f>
        <v>0</v>
      </c>
      <c r="AB35" s="404">
        <f>COUNTIFS(TabEntrainement[J22],"Présent",TabEntrainement[Seance],"&gt;="&amp;'Bilan Entrainement - Mensuel'!$C35,TabEntrainement[Seance],"&lt;="&amp;'Bilan Entrainement - Mensuel'!$D35)</f>
        <v>0</v>
      </c>
      <c r="AC35" s="404">
        <f>COUNTIFS(TabEntrainement[J23],"Présent",TabEntrainement[Seance],"&gt;="&amp;'Bilan Entrainement - Mensuel'!$C35,TabEntrainement[Seance],"&lt;="&amp;'Bilan Entrainement - Mensuel'!$D35)</f>
        <v>0</v>
      </c>
      <c r="AD35" s="404">
        <f>COUNTIFS(TabEntrainement[J24],"Présent",TabEntrainement[Seance],"&gt;="&amp;'Bilan Entrainement - Mensuel'!$C35,TabEntrainement[Seance],"&lt;="&amp;'Bilan Entrainement - Mensuel'!$D35)</f>
        <v>0</v>
      </c>
      <c r="AE35" s="404">
        <f>COUNTIFS(TabEntrainement[J25],"Présent",TabEntrainement[Seance],"&gt;="&amp;'Bilan Entrainement - Mensuel'!$C35,TabEntrainement[Seance],"&lt;="&amp;'Bilan Entrainement - Mensuel'!$D35)</f>
        <v>0</v>
      </c>
      <c r="AF35" s="404">
        <f>COUNTIFS(TabEntrainement[J26],"Présent",TabEntrainement[Seance],"&gt;="&amp;'Bilan Entrainement - Mensuel'!$C35,TabEntrainement[Seance],"&lt;="&amp;'Bilan Entrainement - Mensuel'!$D35)</f>
        <v>0</v>
      </c>
      <c r="AG35" s="404">
        <f>COUNTIFS(TabEntrainement[J27],"Présent",TabEntrainement[Seance],"&gt;="&amp;'Bilan Entrainement - Mensuel'!$C35,TabEntrainement[Seance],"&lt;="&amp;'Bilan Entrainement - Mensuel'!$D35)</f>
        <v>0</v>
      </c>
      <c r="AH35" s="404">
        <f>COUNTIFS(TabEntrainement[J28],"Présent",TabEntrainement[Seance],"&gt;="&amp;'Bilan Entrainement - Mensuel'!$C35,TabEntrainement[Seance],"&lt;="&amp;'Bilan Entrainement - Mensuel'!$D35)</f>
        <v>0</v>
      </c>
      <c r="AI35" s="404">
        <f>COUNTIFS(TabEntrainement[J29],"Présent",TabEntrainement[Seance],"&gt;="&amp;'Bilan Entrainement - Mensuel'!$C35,TabEntrainement[Seance],"&lt;="&amp;'Bilan Entrainement - Mensuel'!$D35)</f>
        <v>0</v>
      </c>
      <c r="AJ35" s="404">
        <f>COUNTIFS(TabEntrainement[J30],"Présent",TabEntrainement[Seance],"&gt;="&amp;'Bilan Entrainement - Mensuel'!$C35,TabEntrainement[Seance],"&lt;="&amp;'Bilan Entrainement - Mensuel'!$D35)</f>
        <v>0</v>
      </c>
    </row>
    <row r="36" spans="2:36" s="44" customFormat="1" ht="15" customHeight="1">
      <c r="B36" s="546"/>
      <c r="C36" s="546"/>
      <c r="D36" s="546"/>
      <c r="E36" s="544"/>
      <c r="F36" s="403" t="s">
        <v>18</v>
      </c>
      <c r="G36" s="404">
        <f>COUNTIFS(TabEntrainement[J1],"Absent",TabEntrainement[Seance],"&gt;="&amp;C35,TabEntrainement[Seance],"&lt;="&amp;D35)</f>
        <v>0</v>
      </c>
      <c r="H36" s="404">
        <f>COUNTIFS(TabEntrainement[J2],"Absent",TabEntrainement[Seance],"&gt;="&amp;'Bilan Entrainement - Mensuel'!$C35,TabEntrainement[Seance],"&lt;="&amp;'Bilan Entrainement - Mensuel'!$D35)</f>
        <v>0</v>
      </c>
      <c r="I36" s="404">
        <f>COUNTIFS(TabEntrainement[J3],"Absent",TabEntrainement[Seance],"&gt;="&amp;'Bilan Entrainement - Mensuel'!$C35,TabEntrainement[Seance],"&lt;="&amp;'Bilan Entrainement - Mensuel'!$D35)</f>
        <v>0</v>
      </c>
      <c r="J36" s="404">
        <f>COUNTIFS(TabEntrainement[J4],"Absent",TabEntrainement[Seance],"&gt;="&amp;'Bilan Entrainement - Mensuel'!$C35,TabEntrainement[Seance],"&lt;="&amp;'Bilan Entrainement - Mensuel'!$D35)</f>
        <v>0</v>
      </c>
      <c r="K36" s="404">
        <f>COUNTIFS(TabEntrainement[J5],"Absent",TabEntrainement[Seance],"&gt;="&amp;'Bilan Entrainement - Mensuel'!$C35,TabEntrainement[Seance],"&lt;="&amp;'Bilan Entrainement - Mensuel'!$D35)</f>
        <v>0</v>
      </c>
      <c r="L36" s="404">
        <f>COUNTIFS(TabEntrainement[J6],"Absent",TabEntrainement[Seance],"&gt;="&amp;'Bilan Entrainement - Mensuel'!$C35,TabEntrainement[Seance],"&lt;="&amp;'Bilan Entrainement - Mensuel'!$D35)</f>
        <v>0</v>
      </c>
      <c r="M36" s="404">
        <f>COUNTIFS(TabEntrainement[J7],"Absent",TabEntrainement[Seance],"&gt;="&amp;'Bilan Entrainement - Mensuel'!$C35,TabEntrainement[Seance],"&lt;="&amp;'Bilan Entrainement - Mensuel'!$D35)</f>
        <v>0</v>
      </c>
      <c r="N36" s="404">
        <f>COUNTIFS(TabEntrainement[J8],"Absent",TabEntrainement[Seance],"&gt;="&amp;'Bilan Entrainement - Mensuel'!$C35,TabEntrainement[Seance],"&lt;="&amp;'Bilan Entrainement - Mensuel'!$D35)</f>
        <v>0</v>
      </c>
      <c r="O36" s="404">
        <f>COUNTIFS(TabEntrainement[J9],"Absent",TabEntrainement[Seance],"&gt;="&amp;'Bilan Entrainement - Mensuel'!$C35,TabEntrainement[Seance],"&lt;="&amp;'Bilan Entrainement - Mensuel'!$D35)</f>
        <v>0</v>
      </c>
      <c r="P36" s="404">
        <f>COUNTIFS(TabEntrainement[J10],"Absent",TabEntrainement[Seance],"&gt;="&amp;'Bilan Entrainement - Mensuel'!$C35,TabEntrainement[Seance],"&lt;="&amp;'Bilan Entrainement - Mensuel'!$D35)</f>
        <v>0</v>
      </c>
      <c r="Q36" s="404">
        <f>COUNTIFS(TabEntrainement[J11],"Absent",TabEntrainement[Seance],"&gt;="&amp;'Bilan Entrainement - Mensuel'!$C35,TabEntrainement[Seance],"&lt;="&amp;'Bilan Entrainement - Mensuel'!$D35)</f>
        <v>0</v>
      </c>
      <c r="R36" s="404">
        <f>COUNTIFS(TabEntrainement[J12],"Absent",TabEntrainement[Seance],"&gt;="&amp;'Bilan Entrainement - Mensuel'!$C35,TabEntrainement[Seance],"&lt;="&amp;'Bilan Entrainement - Mensuel'!$D35)</f>
        <v>0</v>
      </c>
      <c r="S36" s="404">
        <f>COUNTIFS(TabEntrainement[J13],"Absent",TabEntrainement[Seance],"&gt;="&amp;'Bilan Entrainement - Mensuel'!$C35,TabEntrainement[Seance],"&lt;="&amp;'Bilan Entrainement - Mensuel'!$D35)</f>
        <v>0</v>
      </c>
      <c r="T36" s="404">
        <f>COUNTIFS(TabEntrainement[J14],"Absent",TabEntrainement[Seance],"&gt;="&amp;'Bilan Entrainement - Mensuel'!$C35,TabEntrainement[Seance],"&lt;="&amp;'Bilan Entrainement - Mensuel'!$D35)</f>
        <v>0</v>
      </c>
      <c r="U36" s="404">
        <f>COUNTIFS(TabEntrainement[J15],"Absent",TabEntrainement[Seance],"&gt;="&amp;'Bilan Entrainement - Mensuel'!$C35,TabEntrainement[Seance],"&lt;="&amp;'Bilan Entrainement - Mensuel'!$D35)</f>
        <v>0</v>
      </c>
      <c r="V36" s="404">
        <f>COUNTIFS(TabEntrainement[J16],"Absent",TabEntrainement[Seance],"&gt;="&amp;'Bilan Entrainement - Mensuel'!$C35,TabEntrainement[Seance],"&lt;="&amp;'Bilan Entrainement - Mensuel'!$D35)</f>
        <v>0</v>
      </c>
      <c r="W36" s="404">
        <f>COUNTIFS(TabEntrainement[J17],"Absent",TabEntrainement[Seance],"&gt;="&amp;'Bilan Entrainement - Mensuel'!$C35,TabEntrainement[Seance],"&lt;="&amp;'Bilan Entrainement - Mensuel'!$D35)</f>
        <v>0</v>
      </c>
      <c r="X36" s="404">
        <f>COUNTIFS(TabEntrainement[J18],"Absent",TabEntrainement[Seance],"&gt;="&amp;'Bilan Entrainement - Mensuel'!$C35,TabEntrainement[Seance],"&lt;="&amp;'Bilan Entrainement - Mensuel'!$D35)</f>
        <v>0</v>
      </c>
      <c r="Y36" s="404">
        <f>COUNTIFS(TabEntrainement[J19],"Absent",TabEntrainement[Seance],"&gt;="&amp;'Bilan Entrainement - Mensuel'!$C35,TabEntrainement[Seance],"&lt;="&amp;'Bilan Entrainement - Mensuel'!$D35)</f>
        <v>0</v>
      </c>
      <c r="Z36" s="404">
        <f>COUNTIFS(TabEntrainement[J20],"Absent",TabEntrainement[Seance],"&gt;="&amp;'Bilan Entrainement - Mensuel'!$C35,TabEntrainement[Seance],"&lt;="&amp;'Bilan Entrainement - Mensuel'!$D35)</f>
        <v>0</v>
      </c>
      <c r="AA36" s="404">
        <f>COUNTIFS(TabEntrainement[J21],"Absent",TabEntrainement[Seance],"&gt;="&amp;'Bilan Entrainement - Mensuel'!$C35,TabEntrainement[Seance],"&lt;="&amp;'Bilan Entrainement - Mensuel'!$D35)</f>
        <v>0</v>
      </c>
      <c r="AB36" s="404">
        <f>COUNTIFS(TabEntrainement[J22],"Absent",TabEntrainement[Seance],"&gt;="&amp;'Bilan Entrainement - Mensuel'!$C35,TabEntrainement[Seance],"&lt;="&amp;'Bilan Entrainement - Mensuel'!$D35)</f>
        <v>0</v>
      </c>
      <c r="AC36" s="404">
        <f>COUNTIFS(TabEntrainement[J23],"Absent",TabEntrainement[Seance],"&gt;="&amp;'Bilan Entrainement - Mensuel'!$C35,TabEntrainement[Seance],"&lt;="&amp;'Bilan Entrainement - Mensuel'!$D35)</f>
        <v>0</v>
      </c>
      <c r="AD36" s="404">
        <f>COUNTIFS(TabEntrainement[J24],"Absent",TabEntrainement[Seance],"&gt;="&amp;'Bilan Entrainement - Mensuel'!$C35,TabEntrainement[Seance],"&lt;="&amp;'Bilan Entrainement - Mensuel'!$D35)</f>
        <v>0</v>
      </c>
      <c r="AE36" s="404">
        <f>COUNTIFS(TabEntrainement[J25],"Absent",TabEntrainement[Seance],"&gt;="&amp;'Bilan Entrainement - Mensuel'!$C35,TabEntrainement[Seance],"&lt;="&amp;'Bilan Entrainement - Mensuel'!$D35)</f>
        <v>0</v>
      </c>
      <c r="AF36" s="404">
        <f>COUNTIFS(TabEntrainement[J26],"Absent",TabEntrainement[Seance],"&gt;="&amp;'Bilan Entrainement - Mensuel'!$C35,TabEntrainement[Seance],"&lt;="&amp;'Bilan Entrainement - Mensuel'!$D35)</f>
        <v>0</v>
      </c>
      <c r="AG36" s="404">
        <f>COUNTIFS(TabEntrainement[J27],"Absent",TabEntrainement[Seance],"&gt;="&amp;'Bilan Entrainement - Mensuel'!$C35,TabEntrainement[Seance],"&lt;="&amp;'Bilan Entrainement - Mensuel'!$D35)</f>
        <v>0</v>
      </c>
      <c r="AH36" s="404">
        <f>COUNTIFS(TabEntrainement[J28],"Absent",TabEntrainement[Seance],"&gt;="&amp;'Bilan Entrainement - Mensuel'!$C35,TabEntrainement[Seance],"&lt;="&amp;'Bilan Entrainement - Mensuel'!$D35)</f>
        <v>0</v>
      </c>
      <c r="AI36" s="404">
        <f>COUNTIFS(TabEntrainement[J29],"Absent",TabEntrainement[Seance],"&gt;="&amp;'Bilan Entrainement - Mensuel'!$C35,TabEntrainement[Seance],"&lt;="&amp;'Bilan Entrainement - Mensuel'!$D35)</f>
        <v>0</v>
      </c>
      <c r="AJ36" s="404">
        <f>COUNTIFS(TabEntrainement[J30],"Absent",TabEntrainement[Seance],"&gt;="&amp;'Bilan Entrainement - Mensuel'!$C35,TabEntrainement[Seance],"&lt;="&amp;'Bilan Entrainement - Mensuel'!$D35)</f>
        <v>0</v>
      </c>
    </row>
    <row r="37" spans="2:36" ht="13.5" thickBot="1">
      <c r="B37" s="551"/>
      <c r="C37" s="551"/>
      <c r="D37" s="551"/>
      <c r="E37" s="552"/>
      <c r="F37" s="411" t="s">
        <v>44</v>
      </c>
      <c r="G37" s="412">
        <f>$E$35-G35-G36</f>
        <v>0</v>
      </c>
      <c r="H37" s="412">
        <f t="shared" ref="H37:AJ37" si="10">$E$35-H35-H36</f>
        <v>0</v>
      </c>
      <c r="I37" s="412">
        <f t="shared" si="10"/>
        <v>0</v>
      </c>
      <c r="J37" s="412">
        <f t="shared" si="10"/>
        <v>0</v>
      </c>
      <c r="K37" s="412">
        <f t="shared" si="10"/>
        <v>0</v>
      </c>
      <c r="L37" s="412">
        <f t="shared" si="10"/>
        <v>0</v>
      </c>
      <c r="M37" s="412">
        <f t="shared" si="10"/>
        <v>0</v>
      </c>
      <c r="N37" s="412">
        <f t="shared" si="10"/>
        <v>0</v>
      </c>
      <c r="O37" s="412">
        <f t="shared" si="10"/>
        <v>0</v>
      </c>
      <c r="P37" s="412">
        <f t="shared" si="10"/>
        <v>0</v>
      </c>
      <c r="Q37" s="412">
        <f t="shared" si="10"/>
        <v>0</v>
      </c>
      <c r="R37" s="412">
        <f t="shared" si="10"/>
        <v>0</v>
      </c>
      <c r="S37" s="412">
        <f t="shared" si="10"/>
        <v>0</v>
      </c>
      <c r="T37" s="412">
        <f t="shared" si="10"/>
        <v>0</v>
      </c>
      <c r="U37" s="412">
        <f t="shared" si="10"/>
        <v>0</v>
      </c>
      <c r="V37" s="412">
        <f t="shared" si="10"/>
        <v>0</v>
      </c>
      <c r="W37" s="412">
        <f t="shared" si="10"/>
        <v>0</v>
      </c>
      <c r="X37" s="412">
        <f t="shared" si="10"/>
        <v>0</v>
      </c>
      <c r="Y37" s="412">
        <f t="shared" si="10"/>
        <v>0</v>
      </c>
      <c r="Z37" s="412">
        <f t="shared" si="10"/>
        <v>0</v>
      </c>
      <c r="AA37" s="412">
        <f t="shared" si="10"/>
        <v>0</v>
      </c>
      <c r="AB37" s="412">
        <f t="shared" si="10"/>
        <v>0</v>
      </c>
      <c r="AC37" s="412">
        <f t="shared" si="10"/>
        <v>0</v>
      </c>
      <c r="AD37" s="412">
        <f t="shared" si="10"/>
        <v>0</v>
      </c>
      <c r="AE37" s="412">
        <f t="shared" si="10"/>
        <v>0</v>
      </c>
      <c r="AF37" s="412">
        <f t="shared" si="10"/>
        <v>0</v>
      </c>
      <c r="AG37" s="412">
        <f t="shared" si="10"/>
        <v>0</v>
      </c>
      <c r="AH37" s="412">
        <f t="shared" si="10"/>
        <v>0</v>
      </c>
      <c r="AI37" s="412">
        <f t="shared" si="10"/>
        <v>0</v>
      </c>
      <c r="AJ37" s="412">
        <f t="shared" si="10"/>
        <v>0</v>
      </c>
    </row>
  </sheetData>
  <mergeCells count="44">
    <mergeCell ref="E29:E31"/>
    <mergeCell ref="E32:E34"/>
    <mergeCell ref="B32:B34"/>
    <mergeCell ref="B29:B31"/>
    <mergeCell ref="B26:B28"/>
    <mergeCell ref="E26:E28"/>
    <mergeCell ref="D32:D34"/>
    <mergeCell ref="D29:D31"/>
    <mergeCell ref="D26:D28"/>
    <mergeCell ref="C26:C28"/>
    <mergeCell ref="E23:E25"/>
    <mergeCell ref="D23:D25"/>
    <mergeCell ref="D20:D22"/>
    <mergeCell ref="D17:D19"/>
    <mergeCell ref="B20:B22"/>
    <mergeCell ref="B17:B19"/>
    <mergeCell ref="B23:B25"/>
    <mergeCell ref="C17:C19"/>
    <mergeCell ref="C20:C22"/>
    <mergeCell ref="C23:C25"/>
    <mergeCell ref="E11:E13"/>
    <mergeCell ref="B14:B16"/>
    <mergeCell ref="B35:B37"/>
    <mergeCell ref="C35:C37"/>
    <mergeCell ref="D35:D37"/>
    <mergeCell ref="E35:E37"/>
    <mergeCell ref="C14:C16"/>
    <mergeCell ref="C29:C31"/>
    <mergeCell ref="C32:C34"/>
    <mergeCell ref="B11:B13"/>
    <mergeCell ref="C11:C13"/>
    <mergeCell ref="D11:D13"/>
    <mergeCell ref="D14:D16"/>
    <mergeCell ref="E14:E16"/>
    <mergeCell ref="E17:E19"/>
    <mergeCell ref="E20:E22"/>
    <mergeCell ref="E5:E7"/>
    <mergeCell ref="E8:E10"/>
    <mergeCell ref="B5:B7"/>
    <mergeCell ref="C5:C7"/>
    <mergeCell ref="D5:D7"/>
    <mergeCell ref="B8:B10"/>
    <mergeCell ref="C8:C10"/>
    <mergeCell ref="D8:D10"/>
  </mergeCells>
  <pageMargins left="0.7" right="0.7" top="0.75" bottom="0.75" header="0.3" footer="0.3"/>
  <ignoredErrors>
    <ignoredError sqref="C8 C11 C14 C17 C20 C23 C26 C29 C32" calculatedColumn="1"/>
  </ignoredErrors>
  <drawing r:id="rId1"/>
  <legacyDrawing r:id="rId2"/>
  <mc:AlternateContent xmlns:mc="http://schemas.openxmlformats.org/markup-compatibility/2006">
    <mc:Choice Requires="x14">
      <controls>
        <mc:AlternateContent xmlns:mc="http://schemas.openxmlformats.org/markup-compatibility/2006">
          <mc:Choice Requires="x14">
            <control shapeId="4097" r:id="rId3" name="Button 1">
              <controlPr defaultSize="0" print="0" autoFill="0" autoPict="0" macro="[0]!CloseOnglet">
                <anchor moveWithCells="1" sizeWithCells="1">
                  <from>
                    <xdr:col>21</xdr:col>
                    <xdr:colOff>571500</xdr:colOff>
                    <xdr:row>1</xdr:row>
                    <xdr:rowOff>0</xdr:rowOff>
                  </from>
                  <to>
                    <xdr:col>24</xdr:col>
                    <xdr:colOff>0</xdr:colOff>
                    <xdr:row>1</xdr:row>
                    <xdr:rowOff>381000</xdr:rowOff>
                  </to>
                </anchor>
              </controlPr>
            </control>
          </mc:Choice>
        </mc:AlternateContent>
      </controls>
    </mc:Choice>
  </mc:AlternateContent>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Feuil2">
    <tabColor rgb="FF0070C0"/>
  </sheetPr>
  <dimension ref="B2:AJ153"/>
  <sheetViews>
    <sheetView showGridLines="0" workbookViewId="0">
      <pane ySplit="4" topLeftCell="A17" activePane="bottomLeft" state="frozen"/>
      <selection pane="bottomLeft" activeCell="R3" sqref="R3"/>
    </sheetView>
  </sheetViews>
  <sheetFormatPr baseColWidth="10" defaultRowHeight="12.75"/>
  <cols>
    <col min="1" max="1" width="3.140625" customWidth="1"/>
    <col min="2" max="2" width="11.140625" bestFit="1" customWidth="1"/>
    <col min="33" max="34" width="13" customWidth="1"/>
    <col min="35" max="35" width="21" customWidth="1"/>
  </cols>
  <sheetData>
    <row r="2" spans="2:32" ht="33" customHeight="1">
      <c r="B2" s="55" t="s">
        <v>76</v>
      </c>
      <c r="T2" s="28"/>
    </row>
    <row r="4" spans="2:32" ht="27.95" customHeight="1">
      <c r="C4" s="90" t="str">
        <f ca="1">INDIRECT("'BDD - Joueurs'!B2")</f>
        <v>ADDA Matteo</v>
      </c>
      <c r="D4" s="90" t="str">
        <f ca="1">INDIRECT("'BDD - Joueurs'!B3")</f>
        <v>ALFONSO Joao</v>
      </c>
      <c r="E4" s="90" t="str">
        <f ca="1">INDIRECT("'BDD - Joueurs'!B4")</f>
        <v>BERDAH Matis</v>
      </c>
      <c r="F4" s="90" t="str">
        <f ca="1">INDIRECT("'BDD - Joueurs'!B5")</f>
        <v>CAMARA Bandiougou</v>
      </c>
      <c r="G4" s="90" t="str">
        <f ca="1">INDIRECT("'BDD - Joueurs'!B6")</f>
        <v>CAMARA Moussa</v>
      </c>
      <c r="H4" s="90" t="str">
        <f ca="1">INDIRECT("'BDD - Joueurs'!B7")</f>
        <v>CARREAU Ethan</v>
      </c>
      <c r="I4" s="90" t="str">
        <f ca="1">INDIRECT("'BDD - Joueurs'!B8")</f>
        <v>CHEROD Alexis</v>
      </c>
      <c r="J4" s="90" t="str">
        <f ca="1">INDIRECT("'BDD - Joueurs'!B9")</f>
        <v>DJEHICHE Ramzi</v>
      </c>
      <c r="K4" s="90" t="str">
        <f ca="1">INDIRECT("'BDD - Joueurs'!B10")</f>
        <v>DOSIERE Baptiste</v>
      </c>
      <c r="L4" s="90" t="str">
        <f ca="1">INDIRECT("'BDD - Joueurs'!B11")</f>
        <v>DUQUENOY Thomas</v>
      </c>
      <c r="M4" s="90" t="str">
        <f ca="1">INDIRECT("'BDD - Joueurs'!B12")</f>
        <v>KIPRE Jordan</v>
      </c>
      <c r="N4" s="90" t="str">
        <f ca="1">INDIRECT("'BDD - Joueurs'!B13")</f>
        <v>KONATE Mamadou</v>
      </c>
      <c r="O4" s="90" t="str">
        <f ca="1">INDIRECT("'BDD - Joueurs'!B14")</f>
        <v>LECOUFFE Hugo</v>
      </c>
      <c r="P4" s="90" t="str">
        <f ca="1">INDIRECT("'BDD - Joueurs'!B15")</f>
        <v>LEFRANC Nathan</v>
      </c>
      <c r="Q4" s="90" t="str">
        <f ca="1">INDIRECT("'BDD - Joueurs'!B16")</f>
        <v>MASSOUSSI Elie</v>
      </c>
      <c r="R4" s="90" t="str">
        <f ca="1">INDIRECT("'BDD - Joueurs'!B17")</f>
        <v>NGOUABI Yoann</v>
      </c>
      <c r="S4" s="90" t="str">
        <f ca="1">INDIRECT("'BDD - Joueurs'!B18")</f>
        <v>PLANET Mathis</v>
      </c>
      <c r="T4" s="90" t="str">
        <f ca="1">INDIRECT("'BDD - Joueurs'!B19")</f>
        <v>PRONNIER Nicolas</v>
      </c>
      <c r="U4" s="90" t="str">
        <f ca="1">INDIRECT("'BDD - Joueurs'!B20")</f>
        <v>STIOUET Reda</v>
      </c>
      <c r="V4" s="90" t="str">
        <f ca="1">INDIRECT("'BDD - Joueurs'!B21")</f>
        <v>ZERDEB Said</v>
      </c>
      <c r="W4" s="90" t="str">
        <f ca="1">INDIRECT("'BDD - Joueurs'!B22")</f>
        <v>OSSENI Farouk</v>
      </c>
      <c r="X4" s="90">
        <f ca="1">INDIRECT("'BDD - Joueurs'!B23")</f>
        <v>0</v>
      </c>
      <c r="Y4" s="90">
        <f ca="1">INDIRECT("'BDD - Joueurs'!B24")</f>
        <v>0</v>
      </c>
      <c r="Z4" s="90">
        <f ca="1">INDIRECT("'BDD - Joueurs'!B25")</f>
        <v>0</v>
      </c>
      <c r="AA4" s="90">
        <f ca="1">INDIRECT("'BDD - Joueurs'!B26")</f>
        <v>0</v>
      </c>
      <c r="AB4" s="90">
        <f ca="1">INDIRECT("'BDD - Joueurs'!B27")</f>
        <v>0</v>
      </c>
      <c r="AC4" s="90">
        <f ca="1">INDIRECT("'BDD - Joueurs'!B28")</f>
        <v>0</v>
      </c>
      <c r="AD4" s="90">
        <f ca="1">INDIRECT("'BDD - Joueurs'!B29")</f>
        <v>0</v>
      </c>
      <c r="AE4" s="90">
        <f ca="1">INDIRECT("'BDD - Joueurs'!B30")</f>
        <v>0</v>
      </c>
      <c r="AF4" s="90">
        <f ca="1">INDIRECT("'BDD - Joueurs'!B31")</f>
        <v>0</v>
      </c>
    </row>
    <row r="18" spans="2:35" ht="14.25">
      <c r="B18" s="37" t="s">
        <v>75</v>
      </c>
      <c r="C18" s="23" t="s">
        <v>16</v>
      </c>
      <c r="D18" s="38" t="s">
        <v>4</v>
      </c>
      <c r="E18" s="23" t="s">
        <v>19</v>
      </c>
      <c r="F18" s="38" t="s">
        <v>20</v>
      </c>
      <c r="G18" s="23" t="s">
        <v>21</v>
      </c>
      <c r="H18" s="38" t="s">
        <v>22</v>
      </c>
      <c r="I18" s="23" t="s">
        <v>23</v>
      </c>
      <c r="J18" s="38" t="s">
        <v>24</v>
      </c>
      <c r="K18" s="23" t="s">
        <v>25</v>
      </c>
      <c r="L18" s="23" t="s">
        <v>26</v>
      </c>
      <c r="M18" s="23" t="s">
        <v>27</v>
      </c>
      <c r="N18" s="38" t="s">
        <v>28</v>
      </c>
      <c r="O18" s="39" t="s">
        <v>45</v>
      </c>
      <c r="P18" s="4" t="s">
        <v>46</v>
      </c>
      <c r="Q18" s="39" t="s">
        <v>47</v>
      </c>
      <c r="R18" s="4" t="s">
        <v>48</v>
      </c>
      <c r="S18" s="3" t="s">
        <v>49</v>
      </c>
      <c r="T18" s="4" t="s">
        <v>50</v>
      </c>
      <c r="U18" s="3" t="s">
        <v>51</v>
      </c>
      <c r="V18" s="4" t="s">
        <v>52</v>
      </c>
      <c r="W18" s="3" t="s">
        <v>53</v>
      </c>
      <c r="X18" s="4" t="s">
        <v>54</v>
      </c>
      <c r="Y18" s="3" t="s">
        <v>55</v>
      </c>
      <c r="Z18" s="4" t="s">
        <v>56</v>
      </c>
      <c r="AA18" s="3" t="s">
        <v>57</v>
      </c>
      <c r="AB18" s="4" t="s">
        <v>58</v>
      </c>
      <c r="AC18" s="3" t="s">
        <v>59</v>
      </c>
      <c r="AD18" s="4" t="s">
        <v>60</v>
      </c>
      <c r="AE18" s="3" t="s">
        <v>61</v>
      </c>
      <c r="AF18" s="4" t="s">
        <v>62</v>
      </c>
      <c r="AG18" s="47" t="s">
        <v>9</v>
      </c>
      <c r="AH18" s="47" t="s">
        <v>70</v>
      </c>
      <c r="AI18" s="17" t="s">
        <v>1</v>
      </c>
    </row>
    <row r="19" spans="2:35" ht="14.25">
      <c r="B19" s="118">
        <f>IF(INDEX(TabEntrainement[Seance],ROW()-18)&lt;&gt;0,INDEX(TabEntrainement[Seance],ROW()-18),"")</f>
        <v>43318</v>
      </c>
      <c r="C19" s="117">
        <v>2</v>
      </c>
      <c r="D19" s="117">
        <v>4</v>
      </c>
      <c r="E19" s="117"/>
      <c r="F19" s="117"/>
      <c r="G19" s="117"/>
      <c r="H19" s="117">
        <v>4</v>
      </c>
      <c r="I19" s="117"/>
      <c r="J19" s="117"/>
      <c r="K19" s="117"/>
      <c r="L19" s="117"/>
      <c r="M19" s="117"/>
      <c r="N19" s="117"/>
      <c r="O19" s="117">
        <v>4</v>
      </c>
      <c r="P19" s="117">
        <v>4</v>
      </c>
      <c r="Q19" s="117">
        <v>4</v>
      </c>
      <c r="R19" s="117"/>
      <c r="S19" s="117">
        <v>4</v>
      </c>
      <c r="T19" s="117">
        <v>4</v>
      </c>
      <c r="U19" s="117"/>
      <c r="V19" s="117"/>
      <c r="W19" s="117">
        <v>2</v>
      </c>
      <c r="X19" s="117"/>
      <c r="Y19" s="117"/>
      <c r="Z19" s="117"/>
      <c r="AA19" s="117"/>
      <c r="AB19" s="117"/>
      <c r="AC19" s="117"/>
      <c r="AD19" s="117"/>
      <c r="AE19" s="117"/>
      <c r="AF19" s="117"/>
      <c r="AG19" s="160">
        <f>IF(COUNTA(TabForme[[#This Row],[J1]:[J30]])&lt;&gt;0,AVERAGE(TabForme[[#This Row],[J1]:[J30]]),"")</f>
        <v>3.5555555555555554</v>
      </c>
      <c r="AH19" s="49">
        <f>TabForme[[#This Row],[Moyenne]]</f>
        <v>3.5555555555555554</v>
      </c>
      <c r="AI19" s="48"/>
    </row>
    <row r="20" spans="2:35" ht="14.25">
      <c r="B20" s="118">
        <f>IF(INDEX(TabEntrainement[Seance],ROW()-18)&lt;&gt;0,INDEX(TabEntrainement[Seance],ROW()-18),"")</f>
        <v>43319</v>
      </c>
      <c r="C20" s="117">
        <v>1</v>
      </c>
      <c r="D20" s="117">
        <v>3</v>
      </c>
      <c r="E20" s="117"/>
      <c r="F20" s="117"/>
      <c r="G20" s="117"/>
      <c r="H20" s="117">
        <v>4</v>
      </c>
      <c r="I20" s="117"/>
      <c r="J20" s="117"/>
      <c r="K20" s="117"/>
      <c r="L20" s="117"/>
      <c r="M20" s="117"/>
      <c r="N20" s="117"/>
      <c r="O20" s="117">
        <v>4</v>
      </c>
      <c r="P20" s="117">
        <v>4</v>
      </c>
      <c r="Q20" s="117">
        <v>4</v>
      </c>
      <c r="R20" s="117"/>
      <c r="S20" s="117">
        <v>4</v>
      </c>
      <c r="T20" s="117">
        <v>2</v>
      </c>
      <c r="U20" s="117"/>
      <c r="V20" s="117"/>
      <c r="W20" s="117">
        <v>2</v>
      </c>
      <c r="X20" s="117"/>
      <c r="Y20" s="117"/>
      <c r="Z20" s="117"/>
      <c r="AA20" s="117"/>
      <c r="AB20" s="117"/>
      <c r="AC20" s="117"/>
      <c r="AD20" s="117"/>
      <c r="AE20" s="117"/>
      <c r="AF20" s="117"/>
      <c r="AG20" s="160">
        <f>IF(COUNTA(TabForme[[#This Row],[J1]:[J30]])&lt;&gt;0,AVERAGE(TabForme[[#This Row],[J1]:[J30]]),"")</f>
        <v>3.1111111111111112</v>
      </c>
      <c r="AH20" s="49">
        <f>TabForme[[#This Row],[Moyenne]]</f>
        <v>3.1111111111111112</v>
      </c>
      <c r="AI20" s="48"/>
    </row>
    <row r="21" spans="2:35" ht="14.25">
      <c r="B21" s="118">
        <f>IF(INDEX(TabEntrainement[Seance],ROW()-18)&lt;&gt;0,INDEX(TabEntrainement[Seance],ROW()-18),"")</f>
        <v>43321</v>
      </c>
      <c r="C21" s="117">
        <v>4</v>
      </c>
      <c r="D21" s="117">
        <v>4</v>
      </c>
      <c r="E21" s="117"/>
      <c r="F21" s="117"/>
      <c r="G21" s="117"/>
      <c r="H21" s="117">
        <v>5</v>
      </c>
      <c r="I21" s="117"/>
      <c r="J21" s="117"/>
      <c r="K21" s="117"/>
      <c r="L21" s="117">
        <v>4</v>
      </c>
      <c r="M21" s="117"/>
      <c r="N21" s="117"/>
      <c r="O21" s="117"/>
      <c r="P21" s="117">
        <v>4</v>
      </c>
      <c r="Q21" s="117">
        <v>5</v>
      </c>
      <c r="R21" s="117">
        <v>4</v>
      </c>
      <c r="S21" s="117">
        <v>2</v>
      </c>
      <c r="T21" s="117">
        <v>4</v>
      </c>
      <c r="U21" s="117"/>
      <c r="V21" s="117"/>
      <c r="W21" s="117">
        <v>2</v>
      </c>
      <c r="X21" s="117"/>
      <c r="Y21" s="117"/>
      <c r="Z21" s="117"/>
      <c r="AA21" s="117"/>
      <c r="AB21" s="117"/>
      <c r="AC21" s="117"/>
      <c r="AD21" s="117"/>
      <c r="AE21" s="117"/>
      <c r="AF21" s="117"/>
      <c r="AG21" s="160">
        <f>IF(COUNTA(TabForme[[#This Row],[J1]:[J30]])&lt;&gt;0,AVERAGE(TabForme[[#This Row],[J1]:[J30]]),"")</f>
        <v>3.8</v>
      </c>
      <c r="AH21" s="49">
        <f>TabForme[[#This Row],[Moyenne]]</f>
        <v>3.8</v>
      </c>
      <c r="AI21" s="48"/>
    </row>
    <row r="22" spans="2:35" ht="14.25">
      <c r="B22" s="118">
        <f>IF(INDEX(TabEntrainement[Seance],ROW()-18)&lt;&gt;0,INDEX(TabEntrainement[Seance],ROW()-18),"")</f>
        <v>43322</v>
      </c>
      <c r="C22" s="117">
        <v>1</v>
      </c>
      <c r="D22" s="117">
        <v>3</v>
      </c>
      <c r="E22" s="117"/>
      <c r="F22" s="117">
        <v>3</v>
      </c>
      <c r="G22" s="117"/>
      <c r="H22" s="117">
        <v>3</v>
      </c>
      <c r="I22" s="117"/>
      <c r="J22" s="117">
        <v>3</v>
      </c>
      <c r="K22" s="117"/>
      <c r="L22" s="117">
        <v>3</v>
      </c>
      <c r="M22" s="117"/>
      <c r="N22" s="117"/>
      <c r="O22" s="117"/>
      <c r="P22" s="117">
        <v>3</v>
      </c>
      <c r="Q22" s="117">
        <v>3</v>
      </c>
      <c r="R22" s="117">
        <v>3</v>
      </c>
      <c r="S22" s="117">
        <v>3</v>
      </c>
      <c r="T22" s="117">
        <v>3</v>
      </c>
      <c r="U22" s="117"/>
      <c r="V22" s="117"/>
      <c r="W22" s="117">
        <v>3</v>
      </c>
      <c r="X22" s="117"/>
      <c r="Y22" s="117"/>
      <c r="Z22" s="117"/>
      <c r="AA22" s="117"/>
      <c r="AB22" s="117"/>
      <c r="AC22" s="117"/>
      <c r="AD22" s="117"/>
      <c r="AE22" s="117"/>
      <c r="AF22" s="117"/>
      <c r="AG22" s="160">
        <f>IF(COUNTA(TabForme[[#This Row],[J1]:[J30]])&lt;&gt;0,AVERAGE(TabForme[[#This Row],[J1]:[J30]]),"")</f>
        <v>2.8333333333333335</v>
      </c>
      <c r="AH22" s="49">
        <f>TabForme[[#This Row],[Moyenne]]</f>
        <v>2.8333333333333335</v>
      </c>
      <c r="AI22" s="48"/>
    </row>
    <row r="23" spans="2:35" ht="14.25">
      <c r="B23" s="118">
        <f>IF(INDEX(TabEntrainement[Seance],ROW()-18)&lt;&gt;0,INDEX(TabEntrainement[Seance],ROW()-18),"")</f>
        <v>43325</v>
      </c>
      <c r="C23" s="117">
        <v>4</v>
      </c>
      <c r="D23" s="117">
        <v>1</v>
      </c>
      <c r="E23" s="117">
        <v>2</v>
      </c>
      <c r="F23" s="117">
        <v>3</v>
      </c>
      <c r="G23" s="117"/>
      <c r="H23" s="117">
        <v>4</v>
      </c>
      <c r="I23" s="117">
        <v>3</v>
      </c>
      <c r="J23" s="117"/>
      <c r="K23" s="117"/>
      <c r="L23" s="117">
        <v>4</v>
      </c>
      <c r="M23" s="117"/>
      <c r="N23" s="117"/>
      <c r="O23" s="117"/>
      <c r="P23" s="117">
        <v>4</v>
      </c>
      <c r="Q23" s="117">
        <v>3</v>
      </c>
      <c r="R23" s="117"/>
      <c r="S23" s="117"/>
      <c r="T23" s="117">
        <v>2</v>
      </c>
      <c r="U23" s="117"/>
      <c r="V23" s="117"/>
      <c r="W23" s="117">
        <v>3</v>
      </c>
      <c r="X23" s="117"/>
      <c r="Y23" s="117"/>
      <c r="Z23" s="117"/>
      <c r="AA23" s="117"/>
      <c r="AB23" s="117"/>
      <c r="AC23" s="117"/>
      <c r="AD23" s="117"/>
      <c r="AE23" s="117"/>
      <c r="AF23" s="117"/>
      <c r="AG23" s="160">
        <f>IF(COUNTA(TabForme[[#This Row],[J1]:[J30]])&lt;&gt;0,AVERAGE(TabForme[[#This Row],[J1]:[J30]]),"")</f>
        <v>3</v>
      </c>
      <c r="AH23" s="49">
        <f>TabForme[[#This Row],[Moyenne]]</f>
        <v>3</v>
      </c>
      <c r="AI23" s="48"/>
    </row>
    <row r="24" spans="2:35" ht="14.25">
      <c r="B24" s="118">
        <f>IF(INDEX(TabEntrainement[Seance],ROW()-18)&lt;&gt;0,INDEX(TabEntrainement[Seance],ROW()-18),"")</f>
        <v>43326</v>
      </c>
      <c r="C24" s="117">
        <v>3</v>
      </c>
      <c r="D24" s="117">
        <v>1</v>
      </c>
      <c r="E24" s="117">
        <v>2</v>
      </c>
      <c r="F24" s="117"/>
      <c r="G24" s="117"/>
      <c r="H24" s="117">
        <v>4</v>
      </c>
      <c r="I24" s="117">
        <v>3</v>
      </c>
      <c r="J24" s="117">
        <v>3</v>
      </c>
      <c r="K24" s="117"/>
      <c r="L24" s="117">
        <v>4</v>
      </c>
      <c r="M24" s="117"/>
      <c r="N24" s="117">
        <v>2</v>
      </c>
      <c r="O24" s="117"/>
      <c r="P24" s="117">
        <v>4</v>
      </c>
      <c r="Q24" s="117">
        <v>3</v>
      </c>
      <c r="R24" s="117"/>
      <c r="S24" s="117"/>
      <c r="T24" s="117">
        <v>2</v>
      </c>
      <c r="U24" s="117"/>
      <c r="V24" s="117"/>
      <c r="W24" s="117">
        <v>3</v>
      </c>
      <c r="X24" s="117"/>
      <c r="Y24" s="117"/>
      <c r="Z24" s="117"/>
      <c r="AA24" s="117"/>
      <c r="AB24" s="117"/>
      <c r="AC24" s="117"/>
      <c r="AD24" s="117"/>
      <c r="AE24" s="117"/>
      <c r="AF24" s="117"/>
      <c r="AG24" s="160">
        <f>IF(COUNTA(TabForme[[#This Row],[J1]:[J30]])&lt;&gt;0,AVERAGE(TabForme[[#This Row],[J1]:[J30]]),"")</f>
        <v>2.8333333333333335</v>
      </c>
      <c r="AH24" s="49">
        <f>TabForme[[#This Row],[Moyenne]]</f>
        <v>2.8333333333333335</v>
      </c>
      <c r="AI24" s="48"/>
    </row>
    <row r="25" spans="2:35" ht="14.25">
      <c r="B25" s="118">
        <f>IF(INDEX(TabEntrainement[Seance],ROW()-18)&lt;&gt;0,INDEX(TabEntrainement[Seance],ROW()-18),"")</f>
        <v>43327</v>
      </c>
      <c r="C25" s="117">
        <v>3</v>
      </c>
      <c r="D25" s="117"/>
      <c r="E25" s="117">
        <v>3</v>
      </c>
      <c r="F25" s="117"/>
      <c r="G25" s="117"/>
      <c r="H25" s="117">
        <v>4</v>
      </c>
      <c r="I25" s="117"/>
      <c r="J25" s="117"/>
      <c r="K25" s="117"/>
      <c r="L25" s="117"/>
      <c r="M25" s="117"/>
      <c r="N25" s="117">
        <v>4</v>
      </c>
      <c r="O25" s="117"/>
      <c r="P25" s="117">
        <v>3</v>
      </c>
      <c r="Q25" s="117">
        <v>3</v>
      </c>
      <c r="R25" s="117"/>
      <c r="S25" s="117"/>
      <c r="T25" s="117"/>
      <c r="U25" s="117"/>
      <c r="V25" s="117"/>
      <c r="W25" s="117">
        <v>4</v>
      </c>
      <c r="X25" s="117"/>
      <c r="Y25" s="117"/>
      <c r="Z25" s="117"/>
      <c r="AA25" s="117"/>
      <c r="AB25" s="117"/>
      <c r="AC25" s="117"/>
      <c r="AD25" s="117"/>
      <c r="AE25" s="117"/>
      <c r="AF25" s="117"/>
      <c r="AG25" s="160">
        <f>IF(COUNTA(TabForme[[#This Row],[J1]:[J30]])&lt;&gt;0,AVERAGE(TabForme[[#This Row],[J1]:[J30]]),"")</f>
        <v>3.4285714285714284</v>
      </c>
      <c r="AH25" s="49">
        <f>TabForme[[#This Row],[Moyenne]]</f>
        <v>3.4285714285714284</v>
      </c>
      <c r="AI25" s="48"/>
    </row>
    <row r="26" spans="2:35" ht="14.25">
      <c r="B26" s="118">
        <f>IF(INDEX(TabEntrainement[Seance],ROW()-18)&lt;&gt;0,INDEX(TabEntrainement[Seance],ROW()-18),"")</f>
        <v>43328</v>
      </c>
      <c r="C26" s="117">
        <v>3</v>
      </c>
      <c r="D26" s="117">
        <v>4</v>
      </c>
      <c r="E26" s="117">
        <v>3</v>
      </c>
      <c r="F26" s="117">
        <v>4</v>
      </c>
      <c r="G26" s="117"/>
      <c r="H26" s="117">
        <v>2</v>
      </c>
      <c r="I26" s="117">
        <v>3</v>
      </c>
      <c r="J26" s="117">
        <v>3</v>
      </c>
      <c r="K26" s="117"/>
      <c r="L26" s="117">
        <v>4</v>
      </c>
      <c r="M26" s="117"/>
      <c r="N26" s="117">
        <v>4</v>
      </c>
      <c r="O26" s="117"/>
      <c r="P26" s="117">
        <v>3</v>
      </c>
      <c r="Q26" s="117">
        <v>3</v>
      </c>
      <c r="R26" s="117"/>
      <c r="S26" s="117"/>
      <c r="T26" s="117">
        <v>3</v>
      </c>
      <c r="U26" s="117"/>
      <c r="V26" s="117"/>
      <c r="W26" s="117">
        <v>1</v>
      </c>
      <c r="X26" s="117"/>
      <c r="Y26" s="117"/>
      <c r="Z26" s="117"/>
      <c r="AA26" s="117"/>
      <c r="AB26" s="117"/>
      <c r="AC26" s="117"/>
      <c r="AD26" s="117"/>
      <c r="AE26" s="117"/>
      <c r="AF26" s="117"/>
      <c r="AG26" s="160">
        <f>IF(COUNTA(TabForme[[#This Row],[J1]:[J30]])&lt;&gt;0,AVERAGE(TabForme[[#This Row],[J1]:[J30]]),"")</f>
        <v>3.0769230769230771</v>
      </c>
      <c r="AH26" s="49">
        <f>TabForme[[#This Row],[Moyenne]]</f>
        <v>3.0769230769230771</v>
      </c>
      <c r="AI26" s="48"/>
    </row>
    <row r="27" spans="2:35" ht="14.25">
      <c r="B27" s="118">
        <f>IF(INDEX(TabEntrainement[Seance],ROW()-18)&lt;&gt;0,INDEX(TabEntrainement[Seance],ROW()-18),"")</f>
        <v>43329</v>
      </c>
      <c r="C27" s="117">
        <v>3</v>
      </c>
      <c r="D27" s="117"/>
      <c r="E27" s="117">
        <v>2</v>
      </c>
      <c r="F27" s="117">
        <v>2</v>
      </c>
      <c r="G27" s="117"/>
      <c r="H27" s="117"/>
      <c r="I27" s="117">
        <v>3</v>
      </c>
      <c r="J27" s="117">
        <v>3</v>
      </c>
      <c r="K27" s="117"/>
      <c r="L27" s="117"/>
      <c r="M27" s="117"/>
      <c r="N27" s="117">
        <v>3</v>
      </c>
      <c r="O27" s="117"/>
      <c r="P27" s="117">
        <v>3</v>
      </c>
      <c r="Q27" s="117">
        <v>3</v>
      </c>
      <c r="R27" s="117"/>
      <c r="S27" s="117"/>
      <c r="T27" s="117">
        <v>3</v>
      </c>
      <c r="U27" s="117"/>
      <c r="V27" s="117"/>
      <c r="W27" s="117">
        <v>3</v>
      </c>
      <c r="X27" s="117"/>
      <c r="Y27" s="117"/>
      <c r="Z27" s="117"/>
      <c r="AA27" s="117"/>
      <c r="AB27" s="117"/>
      <c r="AC27" s="117"/>
      <c r="AD27" s="117"/>
      <c r="AE27" s="117"/>
      <c r="AF27" s="117"/>
      <c r="AG27" s="160">
        <f>IF(COUNTA(TabForme[[#This Row],[J1]:[J30]])&lt;&gt;0,AVERAGE(TabForme[[#This Row],[J1]:[J30]]),"")</f>
        <v>2.8</v>
      </c>
      <c r="AH27" s="49">
        <f>TabForme[[#This Row],[Moyenne]]</f>
        <v>2.8</v>
      </c>
      <c r="AI27" s="48"/>
    </row>
    <row r="28" spans="2:35" ht="14.25">
      <c r="B28" s="118">
        <f>IF(INDEX(TabEntrainement[Seance],ROW()-18)&lt;&gt;0,INDEX(TabEntrainement[Seance],ROW()-18),"")</f>
        <v>43330</v>
      </c>
      <c r="C28" s="117">
        <v>2</v>
      </c>
      <c r="D28" s="117"/>
      <c r="E28" s="117">
        <v>2</v>
      </c>
      <c r="F28" s="117">
        <v>3</v>
      </c>
      <c r="G28" s="117"/>
      <c r="H28" s="117">
        <v>4</v>
      </c>
      <c r="I28" s="117">
        <v>3</v>
      </c>
      <c r="J28" s="117">
        <v>3</v>
      </c>
      <c r="K28" s="117"/>
      <c r="L28" s="117">
        <v>3</v>
      </c>
      <c r="M28" s="117"/>
      <c r="N28" s="117">
        <v>2</v>
      </c>
      <c r="O28" s="117"/>
      <c r="P28" s="117">
        <v>2</v>
      </c>
      <c r="Q28" s="117">
        <v>3</v>
      </c>
      <c r="R28" s="117"/>
      <c r="S28" s="117"/>
      <c r="T28" s="117">
        <v>3</v>
      </c>
      <c r="U28" s="117"/>
      <c r="V28" s="117"/>
      <c r="W28" s="117">
        <v>1</v>
      </c>
      <c r="X28" s="117"/>
      <c r="Y28" s="117"/>
      <c r="Z28" s="117"/>
      <c r="AA28" s="117"/>
      <c r="AB28" s="117"/>
      <c r="AC28" s="117"/>
      <c r="AD28" s="117"/>
      <c r="AE28" s="117"/>
      <c r="AF28" s="117"/>
      <c r="AG28" s="160">
        <f>IF(COUNTA(TabForme[[#This Row],[J1]:[J30]])&lt;&gt;0,AVERAGE(TabForme[[#This Row],[J1]:[J30]]),"")</f>
        <v>2.5833333333333335</v>
      </c>
      <c r="AH28" s="49">
        <f>TabForme[[#This Row],[Moyenne]]</f>
        <v>2.5833333333333335</v>
      </c>
      <c r="AI28" s="48"/>
    </row>
    <row r="29" spans="2:35" ht="14.25">
      <c r="B29" s="118">
        <f>IF(INDEX(TabEntrainement[Seance],ROW()-18)&lt;&gt;0,INDEX(TabEntrainement[Seance],ROW()-18),"")</f>
        <v>43332</v>
      </c>
      <c r="C29" s="117">
        <v>4</v>
      </c>
      <c r="D29" s="117">
        <v>2</v>
      </c>
      <c r="E29" s="117">
        <v>4</v>
      </c>
      <c r="F29" s="117">
        <v>2</v>
      </c>
      <c r="G29" s="117"/>
      <c r="H29" s="117"/>
      <c r="I29" s="117"/>
      <c r="J29" s="117"/>
      <c r="K29" s="117">
        <v>4</v>
      </c>
      <c r="L29" s="117">
        <v>2</v>
      </c>
      <c r="M29" s="117">
        <v>3</v>
      </c>
      <c r="N29" s="117">
        <v>2</v>
      </c>
      <c r="O29" s="117"/>
      <c r="P29" s="117">
        <v>4</v>
      </c>
      <c r="Q29" s="117">
        <v>4</v>
      </c>
      <c r="R29" s="117">
        <v>4</v>
      </c>
      <c r="S29" s="117">
        <v>3</v>
      </c>
      <c r="T29" s="117">
        <v>1</v>
      </c>
      <c r="U29" s="117"/>
      <c r="V29" s="117"/>
      <c r="W29" s="117">
        <v>1</v>
      </c>
      <c r="X29" s="117"/>
      <c r="Y29" s="117"/>
      <c r="Z29" s="117"/>
      <c r="AA29" s="117"/>
      <c r="AB29" s="117"/>
      <c r="AC29" s="117"/>
      <c r="AD29" s="117"/>
      <c r="AE29" s="117"/>
      <c r="AF29" s="117"/>
      <c r="AG29" s="160">
        <f>IF(COUNTA(TabForme[[#This Row],[J1]:[J30]])&lt;&gt;0,AVERAGE(TabForme[[#This Row],[J1]:[J30]]),"")</f>
        <v>2.8571428571428572</v>
      </c>
      <c r="AH29" s="49">
        <f>TabForme[[#This Row],[Moyenne]]</f>
        <v>2.8571428571428572</v>
      </c>
      <c r="AI29" s="48"/>
    </row>
    <row r="30" spans="2:35" ht="14.25">
      <c r="B30" s="118">
        <f>IF(INDEX(TabEntrainement[Seance],ROW()-18)&lt;&gt;0,INDEX(TabEntrainement[Seance],ROW()-18),"")</f>
        <v>43333</v>
      </c>
      <c r="C30" s="117">
        <v>4</v>
      </c>
      <c r="D30" s="117">
        <v>5</v>
      </c>
      <c r="E30" s="117">
        <v>3</v>
      </c>
      <c r="F30" s="117"/>
      <c r="G30" s="117"/>
      <c r="H30" s="117">
        <v>3</v>
      </c>
      <c r="I30" s="117"/>
      <c r="J30" s="117">
        <v>3</v>
      </c>
      <c r="K30" s="117">
        <v>4</v>
      </c>
      <c r="L30" s="117">
        <v>3</v>
      </c>
      <c r="M30" s="117"/>
      <c r="N30" s="117"/>
      <c r="O30" s="117"/>
      <c r="P30" s="117">
        <v>4</v>
      </c>
      <c r="Q30" s="117">
        <v>4</v>
      </c>
      <c r="R30" s="117">
        <v>4</v>
      </c>
      <c r="S30" s="117">
        <v>3</v>
      </c>
      <c r="T30" s="117">
        <v>3</v>
      </c>
      <c r="U30" s="117"/>
      <c r="V30" s="117"/>
      <c r="W30" s="117">
        <v>4</v>
      </c>
      <c r="X30" s="117"/>
      <c r="Y30" s="117"/>
      <c r="Z30" s="117"/>
      <c r="AA30" s="117"/>
      <c r="AB30" s="117"/>
      <c r="AC30" s="117"/>
      <c r="AD30" s="117"/>
      <c r="AE30" s="117"/>
      <c r="AF30" s="117"/>
      <c r="AG30" s="160">
        <f>IF(COUNTA(TabForme[[#This Row],[J1]:[J30]])&lt;&gt;0,AVERAGE(TabForme[[#This Row],[J1]:[J30]]),"")</f>
        <v>3.6153846153846154</v>
      </c>
      <c r="AH30" s="49">
        <f>TabForme[[#This Row],[Moyenne]]</f>
        <v>3.6153846153846154</v>
      </c>
      <c r="AI30" s="48"/>
    </row>
    <row r="31" spans="2:35" ht="14.25">
      <c r="B31" s="118">
        <f>IF(INDEX(TabEntrainement[Seance],ROW()-18)&lt;&gt;0,INDEX(TabEntrainement[Seance],ROW()-18),"")</f>
        <v>43335</v>
      </c>
      <c r="C31" s="117">
        <v>5</v>
      </c>
      <c r="D31" s="117">
        <v>5</v>
      </c>
      <c r="E31" s="117"/>
      <c r="F31" s="117">
        <v>5</v>
      </c>
      <c r="G31" s="117"/>
      <c r="H31" s="117">
        <v>5</v>
      </c>
      <c r="I31" s="117">
        <v>5</v>
      </c>
      <c r="J31" s="117"/>
      <c r="K31" s="117">
        <v>4</v>
      </c>
      <c r="L31" s="117">
        <v>4</v>
      </c>
      <c r="M31" s="117">
        <v>3</v>
      </c>
      <c r="N31" s="117">
        <v>5</v>
      </c>
      <c r="O31" s="117"/>
      <c r="P31" s="117">
        <v>4</v>
      </c>
      <c r="Q31" s="117">
        <v>5</v>
      </c>
      <c r="R31" s="117"/>
      <c r="S31" s="117">
        <v>4</v>
      </c>
      <c r="T31" s="117">
        <v>5</v>
      </c>
      <c r="U31" s="117"/>
      <c r="V31" s="117"/>
      <c r="W31" s="117">
        <v>5</v>
      </c>
      <c r="X31" s="117"/>
      <c r="Y31" s="117"/>
      <c r="Z31" s="117"/>
      <c r="AA31" s="117"/>
      <c r="AB31" s="117"/>
      <c r="AC31" s="117"/>
      <c r="AD31" s="117"/>
      <c r="AE31" s="117"/>
      <c r="AF31" s="117"/>
      <c r="AG31" s="160">
        <f>IF(COUNTA(TabForme[[#This Row],[J1]:[J30]])&lt;&gt;0,AVERAGE(TabForme[[#This Row],[J1]:[J30]]),"")</f>
        <v>4.5714285714285712</v>
      </c>
      <c r="AH31" s="49">
        <f>TabForme[[#This Row],[Moyenne]]</f>
        <v>4.5714285714285712</v>
      </c>
      <c r="AI31" s="48"/>
    </row>
    <row r="32" spans="2:35" ht="14.25">
      <c r="B32" s="118">
        <f>IF(INDEX(TabEntrainement[Seance],ROW()-18)&lt;&gt;0,INDEX(TabEntrainement[Seance],ROW()-18),"")</f>
        <v>43336</v>
      </c>
      <c r="C32" s="117">
        <v>4</v>
      </c>
      <c r="D32" s="117">
        <v>3</v>
      </c>
      <c r="E32" s="117">
        <v>3</v>
      </c>
      <c r="F32" s="117">
        <v>3</v>
      </c>
      <c r="G32" s="117">
        <v>3</v>
      </c>
      <c r="H32" s="117">
        <v>4</v>
      </c>
      <c r="I32" s="117">
        <v>3</v>
      </c>
      <c r="J32" s="117">
        <v>3</v>
      </c>
      <c r="K32" s="117"/>
      <c r="L32" s="117"/>
      <c r="M32" s="117">
        <v>3</v>
      </c>
      <c r="N32" s="117">
        <v>4</v>
      </c>
      <c r="O32" s="117">
        <v>4</v>
      </c>
      <c r="P32" s="117">
        <v>4</v>
      </c>
      <c r="Q32" s="117">
        <v>4</v>
      </c>
      <c r="R32" s="117">
        <v>3</v>
      </c>
      <c r="S32" s="117">
        <v>3</v>
      </c>
      <c r="T32" s="117">
        <v>4</v>
      </c>
      <c r="U32" s="117"/>
      <c r="V32" s="117"/>
      <c r="W32" s="117">
        <v>4</v>
      </c>
      <c r="X32" s="117"/>
      <c r="Y32" s="117"/>
      <c r="Z32" s="117"/>
      <c r="AA32" s="117"/>
      <c r="AB32" s="117"/>
      <c r="AC32" s="117"/>
      <c r="AD32" s="117"/>
      <c r="AE32" s="117"/>
      <c r="AF32" s="117"/>
      <c r="AG32" s="160">
        <f>IF(COUNTA(TabForme[[#This Row],[J1]:[J30]])&lt;&gt;0,AVERAGE(TabForme[[#This Row],[J1]:[J30]]),"")</f>
        <v>3.4705882352941178</v>
      </c>
      <c r="AH32" s="49">
        <f>TabForme[[#This Row],[Moyenne]]</f>
        <v>3.4705882352941178</v>
      </c>
      <c r="AI32" s="48"/>
    </row>
    <row r="33" spans="2:35" ht="14.25">
      <c r="B33" s="118">
        <f>IF(INDEX(TabEntrainement[Seance],ROW()-18)&lt;&gt;0,INDEX(TabEntrainement[Seance],ROW()-18),"")</f>
        <v>43339</v>
      </c>
      <c r="C33" s="117">
        <v>4</v>
      </c>
      <c r="D33" s="117">
        <v>4</v>
      </c>
      <c r="E33" s="117">
        <v>3</v>
      </c>
      <c r="F33" s="117">
        <v>1</v>
      </c>
      <c r="G33" s="117"/>
      <c r="H33" s="117">
        <v>4</v>
      </c>
      <c r="I33" s="117">
        <v>4</v>
      </c>
      <c r="J33" s="117"/>
      <c r="K33" s="117">
        <v>4</v>
      </c>
      <c r="L33" s="117">
        <v>3</v>
      </c>
      <c r="M33" s="117"/>
      <c r="N33" s="117">
        <v>4</v>
      </c>
      <c r="O33" s="117">
        <v>4</v>
      </c>
      <c r="P33" s="117">
        <v>4</v>
      </c>
      <c r="Q33" s="117">
        <v>4</v>
      </c>
      <c r="R33" s="117"/>
      <c r="S33" s="117">
        <v>3</v>
      </c>
      <c r="T33" s="117">
        <v>4</v>
      </c>
      <c r="U33" s="117"/>
      <c r="V33" s="117"/>
      <c r="W33" s="117">
        <v>3</v>
      </c>
      <c r="X33" s="117"/>
      <c r="Y33" s="117"/>
      <c r="Z33" s="117"/>
      <c r="AA33" s="117"/>
      <c r="AB33" s="117"/>
      <c r="AC33" s="117"/>
      <c r="AD33" s="117"/>
      <c r="AE33" s="117"/>
      <c r="AF33" s="117"/>
      <c r="AG33" s="160">
        <f>IF(COUNTA(TabForme[[#This Row],[J1]:[J30]])&lt;&gt;0,AVERAGE(TabForme[[#This Row],[J1]:[J30]]),"")</f>
        <v>3.5333333333333332</v>
      </c>
      <c r="AH33" s="49">
        <f>TabForme[[#This Row],[Moyenne]]</f>
        <v>3.5333333333333332</v>
      </c>
      <c r="AI33" s="48"/>
    </row>
    <row r="34" spans="2:35" ht="14.25">
      <c r="B34" s="118">
        <f>IF(INDEX(TabEntrainement[Seance],ROW()-18)&lt;&gt;0,INDEX(TabEntrainement[Seance],ROW()-18),"")</f>
        <v>43340</v>
      </c>
      <c r="C34" s="117">
        <v>4</v>
      </c>
      <c r="D34" s="117">
        <v>3</v>
      </c>
      <c r="E34" s="117">
        <v>3</v>
      </c>
      <c r="F34" s="117">
        <v>2</v>
      </c>
      <c r="G34" s="117"/>
      <c r="H34" s="117">
        <v>5</v>
      </c>
      <c r="I34" s="117">
        <v>4</v>
      </c>
      <c r="J34" s="117">
        <v>4</v>
      </c>
      <c r="K34" s="117"/>
      <c r="L34" s="117">
        <v>5</v>
      </c>
      <c r="M34" s="117">
        <v>4</v>
      </c>
      <c r="N34" s="117">
        <v>3</v>
      </c>
      <c r="O34" s="117">
        <v>4</v>
      </c>
      <c r="P34" s="117">
        <v>3</v>
      </c>
      <c r="Q34" s="117">
        <v>4</v>
      </c>
      <c r="R34" s="117">
        <v>4</v>
      </c>
      <c r="S34" s="117"/>
      <c r="T34" s="117">
        <v>5</v>
      </c>
      <c r="U34" s="117">
        <v>4</v>
      </c>
      <c r="V34" s="117"/>
      <c r="W34" s="117">
        <v>4</v>
      </c>
      <c r="X34" s="117"/>
      <c r="Y34" s="117"/>
      <c r="Z34" s="117"/>
      <c r="AA34" s="117"/>
      <c r="AB34" s="117"/>
      <c r="AC34" s="117"/>
      <c r="AD34" s="117"/>
      <c r="AE34" s="117"/>
      <c r="AF34" s="117"/>
      <c r="AG34" s="160">
        <f>IF(COUNTA(TabForme[[#This Row],[J1]:[J30]])&lt;&gt;0,AVERAGE(TabForme[[#This Row],[J1]:[J30]]),"")</f>
        <v>3.8235294117647061</v>
      </c>
      <c r="AH34" s="49">
        <f>TabForme[[#This Row],[Moyenne]]</f>
        <v>3.8235294117647061</v>
      </c>
      <c r="AI34" s="48"/>
    </row>
    <row r="35" spans="2:35" ht="14.25">
      <c r="B35" s="118">
        <f>IF(INDEX(TabEntrainement[Seance],ROW()-18)&lt;&gt;0,INDEX(TabEntrainement[Seance],ROW()-18),"")</f>
        <v>43342</v>
      </c>
      <c r="C35" s="117">
        <v>4</v>
      </c>
      <c r="D35" s="117">
        <v>2</v>
      </c>
      <c r="E35" s="117">
        <v>3</v>
      </c>
      <c r="F35" s="117">
        <v>3</v>
      </c>
      <c r="G35" s="117">
        <v>4</v>
      </c>
      <c r="H35" s="117">
        <v>4</v>
      </c>
      <c r="I35" s="117">
        <v>4</v>
      </c>
      <c r="J35" s="117">
        <v>4</v>
      </c>
      <c r="K35" s="117">
        <v>5</v>
      </c>
      <c r="L35" s="117">
        <v>4</v>
      </c>
      <c r="M35" s="117">
        <v>4</v>
      </c>
      <c r="N35" s="117">
        <v>4</v>
      </c>
      <c r="O35" s="117">
        <v>3</v>
      </c>
      <c r="P35" s="117">
        <v>4</v>
      </c>
      <c r="Q35" s="117">
        <v>4</v>
      </c>
      <c r="R35" s="117">
        <v>4</v>
      </c>
      <c r="S35" s="117">
        <v>2</v>
      </c>
      <c r="T35" s="117">
        <v>4</v>
      </c>
      <c r="U35" s="117">
        <v>5</v>
      </c>
      <c r="V35" s="117"/>
      <c r="W35" s="117">
        <v>4</v>
      </c>
      <c r="X35" s="117"/>
      <c r="Y35" s="117"/>
      <c r="Z35" s="117"/>
      <c r="AA35" s="117"/>
      <c r="AB35" s="117"/>
      <c r="AC35" s="117"/>
      <c r="AD35" s="117"/>
      <c r="AE35" s="117"/>
      <c r="AF35" s="117"/>
      <c r="AG35" s="160">
        <f>IF(COUNTA(TabForme[[#This Row],[J1]:[J30]])&lt;&gt;0,AVERAGE(TabForme[[#This Row],[J1]:[J30]]),"")</f>
        <v>3.75</v>
      </c>
      <c r="AH35" s="49">
        <f>TabForme[[#This Row],[Moyenne]]</f>
        <v>3.75</v>
      </c>
      <c r="AI35" s="48"/>
    </row>
    <row r="36" spans="2:35" ht="14.25">
      <c r="B36" s="118">
        <f>IF(INDEX(TabEntrainement[Seance],ROW()-18)&lt;&gt;0,INDEX(TabEntrainement[Seance],ROW()-18),"")</f>
        <v>43343</v>
      </c>
      <c r="C36" s="117">
        <v>3</v>
      </c>
      <c r="D36" s="117">
        <v>4</v>
      </c>
      <c r="E36" s="117"/>
      <c r="F36" s="117">
        <v>4</v>
      </c>
      <c r="G36" s="117"/>
      <c r="H36" s="117">
        <v>4</v>
      </c>
      <c r="I36" s="117">
        <v>4</v>
      </c>
      <c r="J36" s="117">
        <v>3</v>
      </c>
      <c r="K36" s="117">
        <v>4</v>
      </c>
      <c r="L36" s="117"/>
      <c r="M36" s="117">
        <v>4</v>
      </c>
      <c r="N36" s="117">
        <v>4</v>
      </c>
      <c r="O36" s="117">
        <v>4</v>
      </c>
      <c r="P36" s="117">
        <v>4</v>
      </c>
      <c r="Q36" s="117">
        <v>4</v>
      </c>
      <c r="R36" s="117">
        <v>4</v>
      </c>
      <c r="S36" s="117">
        <v>3</v>
      </c>
      <c r="T36" s="117"/>
      <c r="U36" s="117">
        <v>4</v>
      </c>
      <c r="V36" s="117"/>
      <c r="W36" s="117">
        <v>4</v>
      </c>
      <c r="X36" s="117"/>
      <c r="Y36" s="117"/>
      <c r="Z36" s="117"/>
      <c r="AA36" s="117"/>
      <c r="AB36" s="117"/>
      <c r="AC36" s="117"/>
      <c r="AD36" s="117"/>
      <c r="AE36" s="117"/>
      <c r="AF36" s="117"/>
      <c r="AG36" s="160">
        <f>IF(COUNTA(TabForme[[#This Row],[J1]:[J30]])&lt;&gt;0,AVERAGE(TabForme[[#This Row],[J1]:[J30]]),"")</f>
        <v>3.8125</v>
      </c>
      <c r="AH36" s="49">
        <f>TabForme[[#This Row],[Moyenne]]</f>
        <v>3.8125</v>
      </c>
      <c r="AI36" s="48"/>
    </row>
    <row r="37" spans="2:35" ht="14.25">
      <c r="B37" s="118">
        <f>IF(INDEX(TabEntrainement[Seance],ROW()-18)&lt;&gt;0,INDEX(TabEntrainement[Seance],ROW()-18),"")</f>
        <v>43347</v>
      </c>
      <c r="C37" s="117">
        <v>4</v>
      </c>
      <c r="D37" s="117">
        <v>4</v>
      </c>
      <c r="E37" s="117">
        <v>3</v>
      </c>
      <c r="F37" s="117"/>
      <c r="G37" s="117"/>
      <c r="H37" s="117"/>
      <c r="I37" s="117"/>
      <c r="J37" s="117"/>
      <c r="K37" s="117">
        <v>4</v>
      </c>
      <c r="L37" s="117">
        <v>2</v>
      </c>
      <c r="M37" s="117">
        <v>4</v>
      </c>
      <c r="N37" s="117">
        <v>4</v>
      </c>
      <c r="O37" s="117">
        <v>4</v>
      </c>
      <c r="P37" s="117">
        <v>4</v>
      </c>
      <c r="Q37" s="117">
        <v>4</v>
      </c>
      <c r="R37" s="117">
        <v>4</v>
      </c>
      <c r="S37" s="117"/>
      <c r="T37" s="117">
        <v>2</v>
      </c>
      <c r="U37" s="117"/>
      <c r="V37" s="117">
        <v>4</v>
      </c>
      <c r="W37" s="117">
        <v>4</v>
      </c>
      <c r="X37" s="117"/>
      <c r="Y37" s="117"/>
      <c r="Z37" s="117"/>
      <c r="AA37" s="117"/>
      <c r="AB37" s="117"/>
      <c r="AC37" s="117"/>
      <c r="AD37" s="117"/>
      <c r="AE37" s="117"/>
      <c r="AF37" s="117"/>
      <c r="AG37" s="160">
        <f>IF(COUNTA(TabForme[[#This Row],[J1]:[J30]])&lt;&gt;0,AVERAGE(TabForme[[#This Row],[J1]:[J30]]),"")</f>
        <v>3.6428571428571428</v>
      </c>
      <c r="AH37" s="49">
        <f>TabForme[[#This Row],[Moyenne]]</f>
        <v>3.6428571428571428</v>
      </c>
      <c r="AI37" s="48"/>
    </row>
    <row r="38" spans="2:35" ht="14.25">
      <c r="B38" s="118">
        <f>IF(INDEX(TabEntrainement[Seance],ROW()-18)&lt;&gt;0,INDEX(TabEntrainement[Seance],ROW()-18),"")</f>
        <v>43349</v>
      </c>
      <c r="C38" s="417">
        <v>4</v>
      </c>
      <c r="D38" s="417">
        <v>3</v>
      </c>
      <c r="E38" s="417">
        <v>3</v>
      </c>
      <c r="F38" s="417"/>
      <c r="G38" s="417">
        <v>3</v>
      </c>
      <c r="H38" s="417"/>
      <c r="I38" s="417">
        <v>4</v>
      </c>
      <c r="J38" s="417">
        <v>4</v>
      </c>
      <c r="K38" s="417">
        <v>5</v>
      </c>
      <c r="L38" s="117">
        <v>3</v>
      </c>
      <c r="M38" s="117">
        <v>4</v>
      </c>
      <c r="N38" s="117">
        <v>4</v>
      </c>
      <c r="O38" s="117">
        <v>4</v>
      </c>
      <c r="P38" s="117">
        <v>4</v>
      </c>
      <c r="Q38" s="117">
        <v>4</v>
      </c>
      <c r="R38" s="117">
        <v>4</v>
      </c>
      <c r="S38" s="117">
        <v>3</v>
      </c>
      <c r="T38" s="117">
        <v>3</v>
      </c>
      <c r="U38" s="117"/>
      <c r="V38" s="117">
        <v>4</v>
      </c>
      <c r="W38" s="117">
        <v>4</v>
      </c>
      <c r="X38" s="117"/>
      <c r="Y38" s="117"/>
      <c r="Z38" s="117"/>
      <c r="AA38" s="117"/>
      <c r="AB38" s="117"/>
      <c r="AC38" s="117"/>
      <c r="AD38" s="117"/>
      <c r="AE38" s="117"/>
      <c r="AF38" s="117"/>
      <c r="AG38" s="160">
        <f>IF(COUNTA(TabForme[[#This Row],[J1]:[J30]])&lt;&gt;0,AVERAGE(TabForme[[#This Row],[J1]:[J30]]),"")</f>
        <v>3.7222222222222223</v>
      </c>
      <c r="AH38" s="49">
        <f>TabForme[[#This Row],[Moyenne]]</f>
        <v>3.7222222222222223</v>
      </c>
      <c r="AI38" s="48"/>
    </row>
    <row r="39" spans="2:35" ht="14.25">
      <c r="B39" s="118">
        <f>IF(INDEX(TabEntrainement[Seance],ROW()-18)&lt;&gt;0,INDEX(TabEntrainement[Seance],ROW()-18),"")</f>
        <v>43350</v>
      </c>
      <c r="C39" s="117">
        <v>4</v>
      </c>
      <c r="D39" s="117">
        <v>4</v>
      </c>
      <c r="E39" s="117"/>
      <c r="F39" s="117"/>
      <c r="G39" s="117"/>
      <c r="H39" s="117">
        <v>4</v>
      </c>
      <c r="I39" s="117">
        <v>3</v>
      </c>
      <c r="J39" s="117">
        <v>4</v>
      </c>
      <c r="K39" s="117"/>
      <c r="L39" s="117"/>
      <c r="M39" s="117"/>
      <c r="N39" s="117"/>
      <c r="O39" s="117">
        <v>3</v>
      </c>
      <c r="P39" s="117">
        <v>3</v>
      </c>
      <c r="Q39" s="117">
        <v>3</v>
      </c>
      <c r="R39" s="117"/>
      <c r="S39" s="117"/>
      <c r="T39" s="117">
        <v>3</v>
      </c>
      <c r="U39" s="117">
        <v>3</v>
      </c>
      <c r="V39" s="117">
        <v>4</v>
      </c>
      <c r="W39" s="117">
        <v>3</v>
      </c>
      <c r="X39" s="117"/>
      <c r="Y39" s="117"/>
      <c r="Z39" s="117"/>
      <c r="AA39" s="117"/>
      <c r="AB39" s="117"/>
      <c r="AC39" s="117"/>
      <c r="AD39" s="117"/>
      <c r="AE39" s="117"/>
      <c r="AF39" s="117"/>
      <c r="AG39" s="160">
        <f>IF(COUNTA(TabForme[[#This Row],[J1]:[J30]])&lt;&gt;0,AVERAGE(TabForme[[#This Row],[J1]:[J30]]),"")</f>
        <v>3.4166666666666665</v>
      </c>
      <c r="AH39" s="49">
        <f>TabForme[[#This Row],[Moyenne]]</f>
        <v>3.4166666666666665</v>
      </c>
      <c r="AI39" s="48"/>
    </row>
    <row r="40" spans="2:35" ht="14.25">
      <c r="B40" s="118">
        <f>IF(INDEX(TabEntrainement[Seance],ROW()-18)&lt;&gt;0,INDEX(TabEntrainement[Seance],ROW()-18),"")</f>
        <v>43354</v>
      </c>
      <c r="C40" s="117">
        <v>4</v>
      </c>
      <c r="D40" s="117"/>
      <c r="E40" s="117">
        <v>4</v>
      </c>
      <c r="F40" s="117">
        <v>5</v>
      </c>
      <c r="G40" s="117"/>
      <c r="H40" s="117"/>
      <c r="I40" s="117"/>
      <c r="J40" s="117"/>
      <c r="K40" s="117">
        <v>5</v>
      </c>
      <c r="L40" s="117">
        <v>3</v>
      </c>
      <c r="M40" s="117"/>
      <c r="N40" s="117">
        <v>5</v>
      </c>
      <c r="O40" s="117">
        <v>4</v>
      </c>
      <c r="P40" s="117">
        <v>4</v>
      </c>
      <c r="Q40" s="117">
        <v>4</v>
      </c>
      <c r="R40" s="117"/>
      <c r="S40" s="117">
        <v>3</v>
      </c>
      <c r="T40" s="117">
        <v>4</v>
      </c>
      <c r="U40" s="117"/>
      <c r="V40" s="117">
        <v>3</v>
      </c>
      <c r="W40" s="117"/>
      <c r="X40" s="117"/>
      <c r="Y40" s="117"/>
      <c r="Z40" s="117"/>
      <c r="AA40" s="117"/>
      <c r="AB40" s="117"/>
      <c r="AC40" s="117"/>
      <c r="AD40" s="117"/>
      <c r="AE40" s="117"/>
      <c r="AF40" s="117"/>
      <c r="AG40" s="160">
        <f>IF(COUNTA(TabForme[[#This Row],[J1]:[J30]])&lt;&gt;0,AVERAGE(TabForme[[#This Row],[J1]:[J30]]),"")</f>
        <v>4</v>
      </c>
      <c r="AH40" s="49">
        <f>TabForme[[#This Row],[Moyenne]]</f>
        <v>4</v>
      </c>
      <c r="AI40" s="48"/>
    </row>
    <row r="41" spans="2:35" ht="14.25">
      <c r="B41" s="118">
        <f>IF(INDEX(TabEntrainement[Seance],ROW()-18)&lt;&gt;0,INDEX(TabEntrainement[Seance],ROW()-18),"")</f>
        <v>43357</v>
      </c>
      <c r="C41" s="117">
        <v>3</v>
      </c>
      <c r="D41" s="117"/>
      <c r="E41" s="117">
        <v>2</v>
      </c>
      <c r="F41" s="117">
        <v>3</v>
      </c>
      <c r="G41" s="117"/>
      <c r="H41" s="117"/>
      <c r="I41" s="117"/>
      <c r="J41" s="117">
        <v>4</v>
      </c>
      <c r="K41" s="117">
        <v>4</v>
      </c>
      <c r="L41" s="117">
        <v>2</v>
      </c>
      <c r="M41" s="117">
        <v>4</v>
      </c>
      <c r="N41" s="117">
        <v>5</v>
      </c>
      <c r="O41" s="117">
        <v>4</v>
      </c>
      <c r="P41" s="117">
        <v>3</v>
      </c>
      <c r="Q41" s="117">
        <v>4</v>
      </c>
      <c r="R41" s="117">
        <v>3</v>
      </c>
      <c r="S41" s="117">
        <v>2</v>
      </c>
      <c r="T41" s="117">
        <v>3</v>
      </c>
      <c r="U41" s="117"/>
      <c r="V41" s="117">
        <v>5</v>
      </c>
      <c r="W41" s="117"/>
      <c r="X41" s="117"/>
      <c r="Y41" s="117"/>
      <c r="Z41" s="117"/>
      <c r="AA41" s="117"/>
      <c r="AB41" s="117"/>
      <c r="AC41" s="117"/>
      <c r="AD41" s="117"/>
      <c r="AE41" s="117"/>
      <c r="AF41" s="117"/>
      <c r="AG41" s="160">
        <f>IF(COUNTA(TabForme[[#This Row],[J1]:[J30]])&lt;&gt;0,AVERAGE(TabForme[[#This Row],[J1]:[J30]]),"")</f>
        <v>3.4</v>
      </c>
      <c r="AH41" s="49">
        <f>TabForme[[#This Row],[Moyenne]]</f>
        <v>3.4</v>
      </c>
      <c r="AI41" s="48"/>
    </row>
    <row r="42" spans="2:35" ht="14.25">
      <c r="B42" s="118">
        <f>IF(INDEX(TabEntrainement[Seance],ROW()-18)&lt;&gt;0,INDEX(TabEntrainement[Seance],ROW()-18),"")</f>
        <v>43358</v>
      </c>
      <c r="C42" s="117">
        <v>4</v>
      </c>
      <c r="D42" s="117"/>
      <c r="E42" s="117">
        <v>3</v>
      </c>
      <c r="F42" s="117"/>
      <c r="G42" s="117"/>
      <c r="H42" s="117">
        <v>4</v>
      </c>
      <c r="I42" s="117"/>
      <c r="J42" s="117">
        <v>4</v>
      </c>
      <c r="K42" s="117"/>
      <c r="L42" s="117"/>
      <c r="M42" s="117">
        <v>5</v>
      </c>
      <c r="N42" s="117">
        <v>4</v>
      </c>
      <c r="O42" s="117"/>
      <c r="P42" s="117">
        <v>3</v>
      </c>
      <c r="Q42" s="117">
        <v>4</v>
      </c>
      <c r="R42" s="117">
        <v>4</v>
      </c>
      <c r="S42" s="117"/>
      <c r="T42" s="117"/>
      <c r="U42" s="117">
        <v>4</v>
      </c>
      <c r="V42" s="117">
        <v>4</v>
      </c>
      <c r="W42" s="117"/>
      <c r="X42" s="117"/>
      <c r="Y42" s="117"/>
      <c r="Z42" s="117"/>
      <c r="AA42" s="117"/>
      <c r="AB42" s="117"/>
      <c r="AC42" s="117"/>
      <c r="AD42" s="117"/>
      <c r="AE42" s="117"/>
      <c r="AF42" s="117"/>
      <c r="AG42" s="160">
        <f>IF(COUNTA(TabForme[[#This Row],[J1]:[J30]])&lt;&gt;0,AVERAGE(TabForme[[#This Row],[J1]:[J30]]),"")</f>
        <v>3.9090909090909092</v>
      </c>
      <c r="AH42" s="49">
        <f>TabForme[[#This Row],[Moyenne]]</f>
        <v>3.9090909090909092</v>
      </c>
      <c r="AI42" s="48"/>
    </row>
    <row r="43" spans="2:35" ht="14.25">
      <c r="B43" s="118" t="str">
        <f>IF(INDEX(TabEntrainement[Seance],ROW()-18)&lt;&gt;0,INDEX(TabEntrainement[Seance],ROW()-18),"")</f>
        <v/>
      </c>
      <c r="C43" s="117"/>
      <c r="D43" s="117"/>
      <c r="E43" s="117"/>
      <c r="F43" s="117"/>
      <c r="G43" s="117"/>
      <c r="H43" s="117"/>
      <c r="I43" s="117"/>
      <c r="J43" s="117"/>
      <c r="K43" s="117"/>
      <c r="L43" s="117"/>
      <c r="M43" s="117"/>
      <c r="N43" s="117"/>
      <c r="O43" s="117"/>
      <c r="P43" s="117"/>
      <c r="Q43" s="117"/>
      <c r="R43" s="117"/>
      <c r="S43" s="117"/>
      <c r="T43" s="117"/>
      <c r="U43" s="117"/>
      <c r="V43" s="117"/>
      <c r="W43" s="117"/>
      <c r="X43" s="117"/>
      <c r="Y43" s="117"/>
      <c r="Z43" s="117"/>
      <c r="AA43" s="117"/>
      <c r="AB43" s="117"/>
      <c r="AC43" s="117"/>
      <c r="AD43" s="117"/>
      <c r="AE43" s="117"/>
      <c r="AF43" s="117"/>
      <c r="AG43" s="160" t="str">
        <f>IF(COUNTA(TabForme[[#This Row],[J1]:[J30]])&lt;&gt;0,AVERAGE(TabForme[[#This Row],[J1]:[J30]]),"")</f>
        <v/>
      </c>
      <c r="AH43" s="49" t="str">
        <f>TabForme[[#This Row],[Moyenne]]</f>
        <v/>
      </c>
      <c r="AI43" s="48"/>
    </row>
    <row r="44" spans="2:35" ht="14.25">
      <c r="B44" s="118" t="str">
        <f>IF(INDEX(TabEntrainement[Seance],ROW()-18)&lt;&gt;0,INDEX(TabEntrainement[Seance],ROW()-18),"")</f>
        <v/>
      </c>
      <c r="C44" s="117"/>
      <c r="D44" s="117"/>
      <c r="E44" s="117"/>
      <c r="F44" s="117"/>
      <c r="G44" s="117"/>
      <c r="H44" s="117"/>
      <c r="I44" s="117"/>
      <c r="J44" s="117"/>
      <c r="K44" s="117"/>
      <c r="L44" s="117"/>
      <c r="M44" s="117"/>
      <c r="N44" s="117"/>
      <c r="O44" s="117"/>
      <c r="P44" s="117"/>
      <c r="Q44" s="117"/>
      <c r="R44" s="117"/>
      <c r="S44" s="117"/>
      <c r="T44" s="117"/>
      <c r="U44" s="117"/>
      <c r="V44" s="117"/>
      <c r="W44" s="117"/>
      <c r="X44" s="117"/>
      <c r="Y44" s="117"/>
      <c r="Z44" s="117"/>
      <c r="AA44" s="117"/>
      <c r="AB44" s="117"/>
      <c r="AC44" s="117"/>
      <c r="AD44" s="117"/>
      <c r="AE44" s="117"/>
      <c r="AF44" s="117"/>
      <c r="AG44" s="160" t="str">
        <f>IF(COUNTA(TabForme[[#This Row],[J1]:[J30]])&lt;&gt;0,AVERAGE(TabForme[[#This Row],[J1]:[J30]]),"")</f>
        <v/>
      </c>
      <c r="AH44" s="49" t="str">
        <f>TabForme[[#This Row],[Moyenne]]</f>
        <v/>
      </c>
      <c r="AI44" s="48"/>
    </row>
    <row r="45" spans="2:35" ht="14.25">
      <c r="B45" s="118" t="str">
        <f>IF(INDEX(TabEntrainement[Seance],ROW()-18)&lt;&gt;0,INDEX(TabEntrainement[Seance],ROW()-18),"")</f>
        <v/>
      </c>
      <c r="C45" s="117"/>
      <c r="D45" s="117"/>
      <c r="E45" s="117"/>
      <c r="F45" s="117"/>
      <c r="G45" s="117"/>
      <c r="H45" s="117"/>
      <c r="I45" s="117"/>
      <c r="J45" s="117"/>
      <c r="K45" s="117"/>
      <c r="L45" s="117"/>
      <c r="M45" s="117"/>
      <c r="N45" s="117"/>
      <c r="O45" s="117"/>
      <c r="P45" s="117"/>
      <c r="Q45" s="117"/>
      <c r="R45" s="117"/>
      <c r="S45" s="117"/>
      <c r="T45" s="117"/>
      <c r="U45" s="117"/>
      <c r="V45" s="117"/>
      <c r="W45" s="117"/>
      <c r="X45" s="117"/>
      <c r="Y45" s="117"/>
      <c r="Z45" s="117"/>
      <c r="AA45" s="117"/>
      <c r="AB45" s="117"/>
      <c r="AC45" s="117"/>
      <c r="AD45" s="117"/>
      <c r="AE45" s="117"/>
      <c r="AF45" s="117"/>
      <c r="AG45" s="160" t="str">
        <f>IF(COUNTA(TabForme[[#This Row],[J1]:[J30]])&lt;&gt;0,AVERAGE(TabForme[[#This Row],[J1]:[J30]]),"")</f>
        <v/>
      </c>
      <c r="AH45" s="49" t="str">
        <f>TabForme[[#This Row],[Moyenne]]</f>
        <v/>
      </c>
      <c r="AI45" s="48"/>
    </row>
    <row r="46" spans="2:35" ht="14.25">
      <c r="B46" s="118" t="str">
        <f>IF(INDEX(TabEntrainement[Seance],ROW()-18)&lt;&gt;0,INDEX(TabEntrainement[Seance],ROW()-18),"")</f>
        <v/>
      </c>
      <c r="C46" s="117"/>
      <c r="D46" s="117"/>
      <c r="E46" s="117"/>
      <c r="F46" s="117"/>
      <c r="G46" s="117"/>
      <c r="H46" s="117"/>
      <c r="I46" s="117"/>
      <c r="J46" s="117"/>
      <c r="K46" s="117"/>
      <c r="L46" s="117"/>
      <c r="M46" s="117"/>
      <c r="N46" s="117"/>
      <c r="O46" s="117"/>
      <c r="P46" s="117"/>
      <c r="Q46" s="117"/>
      <c r="R46" s="117"/>
      <c r="S46" s="117"/>
      <c r="T46" s="117"/>
      <c r="U46" s="117"/>
      <c r="V46" s="117"/>
      <c r="W46" s="117"/>
      <c r="X46" s="117"/>
      <c r="Y46" s="117"/>
      <c r="Z46" s="117"/>
      <c r="AA46" s="117"/>
      <c r="AB46" s="117"/>
      <c r="AC46" s="117"/>
      <c r="AD46" s="117"/>
      <c r="AE46" s="117"/>
      <c r="AF46" s="117"/>
      <c r="AG46" s="160" t="str">
        <f>IF(COUNTA(TabForme[[#This Row],[J1]:[J30]])&lt;&gt;0,AVERAGE(TabForme[[#This Row],[J1]:[J30]]),"")</f>
        <v/>
      </c>
      <c r="AH46" s="49" t="str">
        <f>TabForme[[#This Row],[Moyenne]]</f>
        <v/>
      </c>
      <c r="AI46" s="48"/>
    </row>
    <row r="47" spans="2:35" ht="14.25">
      <c r="B47" s="118" t="str">
        <f>IF(INDEX(TabEntrainement[Seance],ROW()-18)&lt;&gt;0,INDEX(TabEntrainement[Seance],ROW()-18),"")</f>
        <v/>
      </c>
      <c r="C47" s="117"/>
      <c r="D47" s="117"/>
      <c r="E47" s="117"/>
      <c r="F47" s="117"/>
      <c r="G47" s="117"/>
      <c r="H47" s="117"/>
      <c r="I47" s="117"/>
      <c r="J47" s="117"/>
      <c r="K47" s="117"/>
      <c r="L47" s="117"/>
      <c r="M47" s="117"/>
      <c r="N47" s="117"/>
      <c r="O47" s="117"/>
      <c r="P47" s="117"/>
      <c r="Q47" s="117"/>
      <c r="R47" s="117"/>
      <c r="S47" s="117"/>
      <c r="T47" s="117"/>
      <c r="U47" s="117"/>
      <c r="V47" s="117"/>
      <c r="W47" s="117"/>
      <c r="X47" s="117"/>
      <c r="Y47" s="117"/>
      <c r="Z47" s="117"/>
      <c r="AA47" s="117"/>
      <c r="AB47" s="117"/>
      <c r="AC47" s="117"/>
      <c r="AD47" s="117"/>
      <c r="AE47" s="117"/>
      <c r="AF47" s="117"/>
      <c r="AG47" s="160" t="str">
        <f>IF(COUNTA(TabForme[[#This Row],[J1]:[J30]])&lt;&gt;0,AVERAGE(TabForme[[#This Row],[J1]:[J30]]),"")</f>
        <v/>
      </c>
      <c r="AH47" s="49" t="str">
        <f>TabForme[[#This Row],[Moyenne]]</f>
        <v/>
      </c>
      <c r="AI47" s="48"/>
    </row>
    <row r="48" spans="2:35" ht="14.25">
      <c r="B48" s="118" t="str">
        <f>IF(INDEX(TabEntrainement[Seance],ROW()-18)&lt;&gt;0,INDEX(TabEntrainement[Seance],ROW()-18),"")</f>
        <v/>
      </c>
      <c r="C48" s="117"/>
      <c r="D48" s="117"/>
      <c r="E48" s="117"/>
      <c r="F48" s="117"/>
      <c r="G48" s="117"/>
      <c r="H48" s="117"/>
      <c r="I48" s="117"/>
      <c r="J48" s="117"/>
      <c r="K48" s="117"/>
      <c r="L48" s="117"/>
      <c r="M48" s="117"/>
      <c r="N48" s="117"/>
      <c r="O48" s="117"/>
      <c r="P48" s="117"/>
      <c r="Q48" s="117"/>
      <c r="R48" s="117"/>
      <c r="S48" s="117"/>
      <c r="T48" s="117"/>
      <c r="U48" s="117"/>
      <c r="V48" s="117"/>
      <c r="W48" s="117"/>
      <c r="X48" s="117"/>
      <c r="Y48" s="117"/>
      <c r="Z48" s="117"/>
      <c r="AA48" s="117"/>
      <c r="AB48" s="117"/>
      <c r="AC48" s="117"/>
      <c r="AD48" s="117"/>
      <c r="AE48" s="117"/>
      <c r="AF48" s="117"/>
      <c r="AG48" s="160" t="str">
        <f>IF(COUNTA(TabForme[[#This Row],[J1]:[J30]])&lt;&gt;0,AVERAGE(TabForme[[#This Row],[J1]:[J30]]),"")</f>
        <v/>
      </c>
      <c r="AH48" s="49" t="str">
        <f>TabForme[[#This Row],[Moyenne]]</f>
        <v/>
      </c>
      <c r="AI48" s="48"/>
    </row>
    <row r="49" spans="2:35" ht="14.25">
      <c r="B49" s="118" t="str">
        <f>IF(INDEX(TabEntrainement[Seance],ROW()-18)&lt;&gt;0,INDEX(TabEntrainement[Seance],ROW()-18),"")</f>
        <v/>
      </c>
      <c r="C49" s="117"/>
      <c r="D49" s="117"/>
      <c r="E49" s="117"/>
      <c r="F49" s="117"/>
      <c r="G49" s="117"/>
      <c r="H49" s="117"/>
      <c r="I49" s="117"/>
      <c r="J49" s="117"/>
      <c r="K49" s="117"/>
      <c r="L49" s="117"/>
      <c r="M49" s="117"/>
      <c r="N49" s="117"/>
      <c r="O49" s="117"/>
      <c r="P49" s="117"/>
      <c r="Q49" s="117"/>
      <c r="R49" s="117"/>
      <c r="S49" s="117"/>
      <c r="T49" s="117"/>
      <c r="U49" s="117"/>
      <c r="V49" s="117"/>
      <c r="W49" s="117"/>
      <c r="X49" s="117"/>
      <c r="Y49" s="117"/>
      <c r="Z49" s="117"/>
      <c r="AA49" s="117"/>
      <c r="AB49" s="117"/>
      <c r="AC49" s="117"/>
      <c r="AD49" s="117"/>
      <c r="AE49" s="117"/>
      <c r="AF49" s="117"/>
      <c r="AG49" s="160" t="str">
        <f>IF(COUNTA(TabForme[[#This Row],[J1]:[J30]])&lt;&gt;0,AVERAGE(TabForme[[#This Row],[J1]:[J30]]),"")</f>
        <v/>
      </c>
      <c r="AH49" s="49" t="str">
        <f>TabForme[[#This Row],[Moyenne]]</f>
        <v/>
      </c>
      <c r="AI49" s="48"/>
    </row>
    <row r="50" spans="2:35" ht="14.25">
      <c r="B50" s="118" t="str">
        <f>IF(INDEX(TabEntrainement[Seance],ROW()-18)&lt;&gt;0,INDEX(TabEntrainement[Seance],ROW()-18),"")</f>
        <v/>
      </c>
      <c r="C50" s="117"/>
      <c r="D50" s="117"/>
      <c r="E50" s="117"/>
      <c r="F50" s="117"/>
      <c r="G50" s="117"/>
      <c r="H50" s="117"/>
      <c r="I50" s="117"/>
      <c r="J50" s="117"/>
      <c r="K50" s="117"/>
      <c r="L50" s="117"/>
      <c r="M50" s="117"/>
      <c r="N50" s="117"/>
      <c r="O50" s="117"/>
      <c r="P50" s="117"/>
      <c r="Q50" s="117"/>
      <c r="R50" s="117"/>
      <c r="S50" s="117"/>
      <c r="T50" s="117"/>
      <c r="U50" s="117"/>
      <c r="V50" s="117"/>
      <c r="W50" s="117"/>
      <c r="X50" s="117"/>
      <c r="Y50" s="117"/>
      <c r="Z50" s="117"/>
      <c r="AA50" s="117"/>
      <c r="AB50" s="117"/>
      <c r="AC50" s="117"/>
      <c r="AD50" s="117"/>
      <c r="AE50" s="117"/>
      <c r="AF50" s="117"/>
      <c r="AG50" s="160" t="str">
        <f>IF(COUNTA(TabForme[[#This Row],[J1]:[J30]])&lt;&gt;0,AVERAGE(TabForme[[#This Row],[J1]:[J30]]),"")</f>
        <v/>
      </c>
      <c r="AH50" s="49" t="str">
        <f>TabForme[[#This Row],[Moyenne]]</f>
        <v/>
      </c>
      <c r="AI50" s="48"/>
    </row>
    <row r="51" spans="2:35" ht="14.25">
      <c r="B51" s="118" t="str">
        <f>IF(INDEX(TabEntrainement[Seance],ROW()-18)&lt;&gt;0,INDEX(TabEntrainement[Seance],ROW()-18),"")</f>
        <v/>
      </c>
      <c r="C51" s="117"/>
      <c r="D51" s="117"/>
      <c r="E51" s="117"/>
      <c r="F51" s="117"/>
      <c r="G51" s="117"/>
      <c r="H51" s="117"/>
      <c r="I51" s="117"/>
      <c r="J51" s="117"/>
      <c r="K51" s="117"/>
      <c r="L51" s="117"/>
      <c r="M51" s="117"/>
      <c r="N51" s="117"/>
      <c r="O51" s="117"/>
      <c r="P51" s="117"/>
      <c r="Q51" s="117"/>
      <c r="R51" s="117"/>
      <c r="S51" s="117"/>
      <c r="T51" s="117"/>
      <c r="U51" s="117"/>
      <c r="V51" s="117"/>
      <c r="W51" s="117"/>
      <c r="X51" s="117"/>
      <c r="Y51" s="117"/>
      <c r="Z51" s="117"/>
      <c r="AA51" s="117"/>
      <c r="AB51" s="117"/>
      <c r="AC51" s="117"/>
      <c r="AD51" s="117"/>
      <c r="AE51" s="117"/>
      <c r="AF51" s="117"/>
      <c r="AG51" s="160" t="str">
        <f>IF(COUNTA(TabForme[[#This Row],[J1]:[J30]])&lt;&gt;0,AVERAGE(TabForme[[#This Row],[J1]:[J30]]),"")</f>
        <v/>
      </c>
      <c r="AH51" s="49" t="str">
        <f>TabForme[[#This Row],[Moyenne]]</f>
        <v/>
      </c>
      <c r="AI51" s="48"/>
    </row>
    <row r="52" spans="2:35" ht="14.25">
      <c r="B52" s="118" t="str">
        <f>IF(INDEX(TabEntrainement[Seance],ROW()-18)&lt;&gt;0,INDEX(TabEntrainement[Seance],ROW()-18),"")</f>
        <v/>
      </c>
      <c r="C52" s="117"/>
      <c r="D52" s="117"/>
      <c r="E52" s="117"/>
      <c r="F52" s="117"/>
      <c r="G52" s="117"/>
      <c r="H52" s="117"/>
      <c r="I52" s="117"/>
      <c r="J52" s="117"/>
      <c r="K52" s="117"/>
      <c r="L52" s="117"/>
      <c r="M52" s="117"/>
      <c r="N52" s="117"/>
      <c r="O52" s="117"/>
      <c r="P52" s="117"/>
      <c r="Q52" s="117"/>
      <c r="R52" s="117"/>
      <c r="S52" s="117"/>
      <c r="T52" s="117"/>
      <c r="U52" s="117"/>
      <c r="V52" s="117"/>
      <c r="W52" s="117"/>
      <c r="X52" s="117"/>
      <c r="Y52" s="117"/>
      <c r="Z52" s="117"/>
      <c r="AA52" s="117"/>
      <c r="AB52" s="117"/>
      <c r="AC52" s="117"/>
      <c r="AD52" s="117"/>
      <c r="AE52" s="117"/>
      <c r="AF52" s="117"/>
      <c r="AG52" s="160" t="str">
        <f>IF(COUNTA(TabForme[[#This Row],[J1]:[J30]])&lt;&gt;0,AVERAGE(TabForme[[#This Row],[J1]:[J30]]),"")</f>
        <v/>
      </c>
      <c r="AH52" s="49" t="str">
        <f>TabForme[[#This Row],[Moyenne]]</f>
        <v/>
      </c>
      <c r="AI52" s="48"/>
    </row>
    <row r="53" spans="2:35" ht="14.25">
      <c r="B53" s="118" t="str">
        <f>IF(INDEX(TabEntrainement[Seance],ROW()-18)&lt;&gt;0,INDEX(TabEntrainement[Seance],ROW()-18),"")</f>
        <v/>
      </c>
      <c r="C53" s="117"/>
      <c r="D53" s="117"/>
      <c r="E53" s="117"/>
      <c r="F53" s="117"/>
      <c r="G53" s="117"/>
      <c r="H53" s="117"/>
      <c r="I53" s="117"/>
      <c r="J53" s="117"/>
      <c r="K53" s="117"/>
      <c r="L53" s="117"/>
      <c r="M53" s="117"/>
      <c r="N53" s="117"/>
      <c r="O53" s="117"/>
      <c r="P53" s="117"/>
      <c r="Q53" s="117"/>
      <c r="R53" s="117"/>
      <c r="S53" s="117"/>
      <c r="T53" s="117"/>
      <c r="U53" s="117"/>
      <c r="V53" s="117"/>
      <c r="W53" s="117"/>
      <c r="X53" s="117"/>
      <c r="Y53" s="117"/>
      <c r="Z53" s="117"/>
      <c r="AA53" s="117"/>
      <c r="AB53" s="117"/>
      <c r="AC53" s="117"/>
      <c r="AD53" s="117"/>
      <c r="AE53" s="117"/>
      <c r="AF53" s="117"/>
      <c r="AG53" s="160" t="str">
        <f>IF(COUNTA(TabForme[[#This Row],[J1]:[J30]])&lt;&gt;0,AVERAGE(TabForme[[#This Row],[J1]:[J30]]),"")</f>
        <v/>
      </c>
      <c r="AH53" s="49" t="str">
        <f>TabForme[[#This Row],[Moyenne]]</f>
        <v/>
      </c>
      <c r="AI53" s="48"/>
    </row>
    <row r="54" spans="2:35" ht="14.25">
      <c r="B54" s="118" t="str">
        <f>IF(INDEX(TabEntrainement[Seance],ROW()-18)&lt;&gt;0,INDEX(TabEntrainement[Seance],ROW()-18),"")</f>
        <v/>
      </c>
      <c r="C54" s="117"/>
      <c r="D54" s="117"/>
      <c r="E54" s="117"/>
      <c r="F54" s="117"/>
      <c r="G54" s="117"/>
      <c r="H54" s="117"/>
      <c r="I54" s="117"/>
      <c r="J54" s="117"/>
      <c r="K54" s="117"/>
      <c r="L54" s="117"/>
      <c r="M54" s="117"/>
      <c r="N54" s="117"/>
      <c r="O54" s="117"/>
      <c r="P54" s="117"/>
      <c r="Q54" s="117"/>
      <c r="R54" s="117"/>
      <c r="S54" s="117"/>
      <c r="T54" s="117"/>
      <c r="U54" s="117"/>
      <c r="V54" s="117"/>
      <c r="W54" s="117"/>
      <c r="X54" s="117"/>
      <c r="Y54" s="117"/>
      <c r="Z54" s="117"/>
      <c r="AA54" s="117"/>
      <c r="AB54" s="117"/>
      <c r="AC54" s="117"/>
      <c r="AD54" s="117"/>
      <c r="AE54" s="117"/>
      <c r="AF54" s="117"/>
      <c r="AG54" s="160" t="str">
        <f>IF(COUNTA(TabForme[[#This Row],[J1]:[J30]])&lt;&gt;0,AVERAGE(TabForme[[#This Row],[J1]:[J30]]),"")</f>
        <v/>
      </c>
      <c r="AH54" s="49" t="str">
        <f>TabForme[[#This Row],[Moyenne]]</f>
        <v/>
      </c>
      <c r="AI54" s="48"/>
    </row>
    <row r="55" spans="2:35" ht="14.25">
      <c r="B55" s="118" t="str">
        <f>IF(INDEX(TabEntrainement[Seance],ROW()-18)&lt;&gt;0,INDEX(TabEntrainement[Seance],ROW()-18),"")</f>
        <v/>
      </c>
      <c r="C55" s="117"/>
      <c r="D55" s="117"/>
      <c r="E55" s="117"/>
      <c r="F55" s="117"/>
      <c r="G55" s="117"/>
      <c r="H55" s="117"/>
      <c r="I55" s="117"/>
      <c r="J55" s="117"/>
      <c r="K55" s="117"/>
      <c r="L55" s="117"/>
      <c r="M55" s="117"/>
      <c r="N55" s="117"/>
      <c r="O55" s="117"/>
      <c r="P55" s="117"/>
      <c r="Q55" s="117"/>
      <c r="R55" s="117"/>
      <c r="S55" s="117"/>
      <c r="T55" s="117"/>
      <c r="U55" s="117"/>
      <c r="V55" s="117"/>
      <c r="W55" s="117"/>
      <c r="X55" s="117"/>
      <c r="Y55" s="117"/>
      <c r="Z55" s="117"/>
      <c r="AA55" s="117"/>
      <c r="AB55" s="117"/>
      <c r="AC55" s="117"/>
      <c r="AD55" s="117"/>
      <c r="AE55" s="117"/>
      <c r="AF55" s="117"/>
      <c r="AG55" s="160" t="str">
        <f>IF(COUNTA(TabForme[[#This Row],[J1]:[J30]])&lt;&gt;0,AVERAGE(TabForme[[#This Row],[J1]:[J30]]),"")</f>
        <v/>
      </c>
      <c r="AH55" s="49" t="str">
        <f>TabForme[[#This Row],[Moyenne]]</f>
        <v/>
      </c>
      <c r="AI55" s="48"/>
    </row>
    <row r="56" spans="2:35" ht="14.25">
      <c r="B56" s="118" t="str">
        <f>IF(INDEX(TabEntrainement[Seance],ROW()-18)&lt;&gt;0,INDEX(TabEntrainement[Seance],ROW()-18),"")</f>
        <v/>
      </c>
      <c r="C56" s="117"/>
      <c r="D56" s="117"/>
      <c r="E56" s="117"/>
      <c r="F56" s="117"/>
      <c r="G56" s="117"/>
      <c r="H56" s="117"/>
      <c r="I56" s="117"/>
      <c r="J56" s="117"/>
      <c r="K56" s="117"/>
      <c r="L56" s="117"/>
      <c r="M56" s="117"/>
      <c r="N56" s="117"/>
      <c r="O56" s="117"/>
      <c r="P56" s="117"/>
      <c r="Q56" s="117"/>
      <c r="R56" s="117"/>
      <c r="S56" s="117"/>
      <c r="T56" s="117"/>
      <c r="U56" s="117"/>
      <c r="V56" s="117"/>
      <c r="W56" s="117"/>
      <c r="X56" s="117"/>
      <c r="Y56" s="117"/>
      <c r="Z56" s="117"/>
      <c r="AA56" s="117"/>
      <c r="AB56" s="117"/>
      <c r="AC56" s="117"/>
      <c r="AD56" s="117"/>
      <c r="AE56" s="117"/>
      <c r="AF56" s="117"/>
      <c r="AG56" s="160" t="str">
        <f>IF(COUNTA(TabForme[[#This Row],[J1]:[J30]])&lt;&gt;0,AVERAGE(TabForme[[#This Row],[J1]:[J30]]),"")</f>
        <v/>
      </c>
      <c r="AH56" s="49" t="str">
        <f>TabForme[[#This Row],[Moyenne]]</f>
        <v/>
      </c>
      <c r="AI56" s="48"/>
    </row>
    <row r="57" spans="2:35" ht="14.25">
      <c r="B57" s="118" t="str">
        <f>IF(INDEX(TabEntrainement[Seance],ROW()-18)&lt;&gt;0,INDEX(TabEntrainement[Seance],ROW()-18),"")</f>
        <v/>
      </c>
      <c r="C57" s="117"/>
      <c r="D57" s="117"/>
      <c r="E57" s="117"/>
      <c r="F57" s="117"/>
      <c r="G57" s="117"/>
      <c r="H57" s="117"/>
      <c r="I57" s="117"/>
      <c r="J57" s="117"/>
      <c r="K57" s="117"/>
      <c r="L57" s="117"/>
      <c r="M57" s="117"/>
      <c r="N57" s="117"/>
      <c r="O57" s="117"/>
      <c r="P57" s="117"/>
      <c r="Q57" s="117"/>
      <c r="R57" s="117"/>
      <c r="S57" s="117"/>
      <c r="T57" s="117"/>
      <c r="U57" s="117"/>
      <c r="V57" s="117"/>
      <c r="W57" s="117"/>
      <c r="X57" s="117"/>
      <c r="Y57" s="117"/>
      <c r="Z57" s="117"/>
      <c r="AA57" s="117"/>
      <c r="AB57" s="117"/>
      <c r="AC57" s="117"/>
      <c r="AD57" s="117"/>
      <c r="AE57" s="117"/>
      <c r="AF57" s="117"/>
      <c r="AG57" s="160" t="str">
        <f>IF(COUNTA(TabForme[[#This Row],[J1]:[J30]])&lt;&gt;0,AVERAGE(TabForme[[#This Row],[J1]:[J30]]),"")</f>
        <v/>
      </c>
      <c r="AH57" s="49" t="str">
        <f>TabForme[[#This Row],[Moyenne]]</f>
        <v/>
      </c>
      <c r="AI57" s="48"/>
    </row>
    <row r="58" spans="2:35" ht="14.25">
      <c r="B58" s="118" t="str">
        <f>IF(INDEX(TabEntrainement[Seance],ROW()-18)&lt;&gt;0,INDEX(TabEntrainement[Seance],ROW()-18),"")</f>
        <v/>
      </c>
      <c r="C58" s="117"/>
      <c r="D58" s="117"/>
      <c r="E58" s="117"/>
      <c r="F58" s="117"/>
      <c r="G58" s="117"/>
      <c r="H58" s="117"/>
      <c r="I58" s="117"/>
      <c r="J58" s="117"/>
      <c r="K58" s="117"/>
      <c r="L58" s="117"/>
      <c r="M58" s="117"/>
      <c r="N58" s="117"/>
      <c r="O58" s="117"/>
      <c r="P58" s="117"/>
      <c r="Q58" s="117"/>
      <c r="R58" s="117"/>
      <c r="S58" s="117"/>
      <c r="T58" s="117"/>
      <c r="U58" s="117"/>
      <c r="V58" s="117"/>
      <c r="W58" s="117"/>
      <c r="X58" s="117"/>
      <c r="Y58" s="117"/>
      <c r="Z58" s="117"/>
      <c r="AA58" s="117"/>
      <c r="AB58" s="117"/>
      <c r="AC58" s="117"/>
      <c r="AD58" s="117"/>
      <c r="AE58" s="117"/>
      <c r="AF58" s="117"/>
      <c r="AG58" s="160" t="str">
        <f>IF(COUNTA(TabForme[[#This Row],[J1]:[J30]])&lt;&gt;0,AVERAGE(TabForme[[#This Row],[J1]:[J30]]),"")</f>
        <v/>
      </c>
      <c r="AH58" s="49" t="str">
        <f>TabForme[[#This Row],[Moyenne]]</f>
        <v/>
      </c>
      <c r="AI58" s="48"/>
    </row>
    <row r="59" spans="2:35" ht="14.25">
      <c r="B59" s="118" t="str">
        <f>IF(INDEX(TabEntrainement[Seance],ROW()-18)&lt;&gt;0,INDEX(TabEntrainement[Seance],ROW()-18),"")</f>
        <v/>
      </c>
      <c r="C59" s="117"/>
      <c r="D59" s="117"/>
      <c r="E59" s="117"/>
      <c r="F59" s="117"/>
      <c r="G59" s="117"/>
      <c r="H59" s="117"/>
      <c r="I59" s="117"/>
      <c r="J59" s="117"/>
      <c r="K59" s="117"/>
      <c r="L59" s="117"/>
      <c r="M59" s="117"/>
      <c r="N59" s="117"/>
      <c r="O59" s="117"/>
      <c r="P59" s="117"/>
      <c r="Q59" s="117"/>
      <c r="R59" s="117"/>
      <c r="S59" s="117"/>
      <c r="T59" s="117"/>
      <c r="U59" s="117"/>
      <c r="V59" s="117"/>
      <c r="W59" s="117"/>
      <c r="X59" s="117"/>
      <c r="Y59" s="117"/>
      <c r="Z59" s="117"/>
      <c r="AA59" s="117"/>
      <c r="AB59" s="117"/>
      <c r="AC59" s="117"/>
      <c r="AD59" s="117"/>
      <c r="AE59" s="117"/>
      <c r="AF59" s="117"/>
      <c r="AG59" s="160" t="str">
        <f>IF(COUNTA(TabForme[[#This Row],[J1]:[J30]])&lt;&gt;0,AVERAGE(TabForme[[#This Row],[J1]:[J30]]),"")</f>
        <v/>
      </c>
      <c r="AH59" s="49" t="str">
        <f>TabForme[[#This Row],[Moyenne]]</f>
        <v/>
      </c>
      <c r="AI59" s="48"/>
    </row>
    <row r="60" spans="2:35" ht="14.25">
      <c r="B60" s="118" t="str">
        <f>IF(INDEX(TabEntrainement[Seance],ROW()-18)&lt;&gt;0,INDEX(TabEntrainement[Seance],ROW()-18),"")</f>
        <v/>
      </c>
      <c r="C60" s="117"/>
      <c r="D60" s="117"/>
      <c r="E60" s="117"/>
      <c r="F60" s="117"/>
      <c r="G60" s="117"/>
      <c r="H60" s="117"/>
      <c r="I60" s="117"/>
      <c r="J60" s="117"/>
      <c r="K60" s="117"/>
      <c r="L60" s="117"/>
      <c r="M60" s="117"/>
      <c r="N60" s="117"/>
      <c r="O60" s="117"/>
      <c r="P60" s="117"/>
      <c r="Q60" s="117"/>
      <c r="R60" s="117"/>
      <c r="S60" s="117"/>
      <c r="T60" s="117"/>
      <c r="U60" s="117"/>
      <c r="V60" s="117"/>
      <c r="W60" s="117"/>
      <c r="X60" s="117"/>
      <c r="Y60" s="117"/>
      <c r="Z60" s="117"/>
      <c r="AA60" s="117"/>
      <c r="AB60" s="117"/>
      <c r="AC60" s="117"/>
      <c r="AD60" s="117"/>
      <c r="AE60" s="117"/>
      <c r="AF60" s="117"/>
      <c r="AG60" s="160" t="str">
        <f>IF(COUNTA(TabForme[[#This Row],[J1]:[J30]])&lt;&gt;0,AVERAGE(TabForme[[#This Row],[J1]:[J30]]),"")</f>
        <v/>
      </c>
      <c r="AH60" s="49" t="str">
        <f>TabForme[[#This Row],[Moyenne]]</f>
        <v/>
      </c>
      <c r="AI60" s="48"/>
    </row>
    <row r="61" spans="2:35" ht="14.25">
      <c r="B61" s="118" t="str">
        <f>IF(INDEX(TabEntrainement[Seance],ROW()-18)&lt;&gt;0,INDEX(TabEntrainement[Seance],ROW()-18),"")</f>
        <v/>
      </c>
      <c r="C61" s="117"/>
      <c r="D61" s="117"/>
      <c r="E61" s="117"/>
      <c r="F61" s="117"/>
      <c r="G61" s="117"/>
      <c r="H61" s="117"/>
      <c r="I61" s="117"/>
      <c r="J61" s="117"/>
      <c r="K61" s="117"/>
      <c r="L61" s="117"/>
      <c r="M61" s="117"/>
      <c r="N61" s="117"/>
      <c r="O61" s="117"/>
      <c r="P61" s="117"/>
      <c r="Q61" s="117"/>
      <c r="R61" s="117"/>
      <c r="S61" s="117"/>
      <c r="T61" s="117"/>
      <c r="U61" s="117"/>
      <c r="V61" s="117"/>
      <c r="W61" s="117"/>
      <c r="X61" s="117"/>
      <c r="Y61" s="117"/>
      <c r="Z61" s="117"/>
      <c r="AA61" s="117"/>
      <c r="AB61" s="117"/>
      <c r="AC61" s="117"/>
      <c r="AD61" s="117"/>
      <c r="AE61" s="117"/>
      <c r="AF61" s="117"/>
      <c r="AG61" s="160" t="str">
        <f>IF(COUNTA(TabForme[[#This Row],[J1]:[J30]])&lt;&gt;0,AVERAGE(TabForme[[#This Row],[J1]:[J30]]),"")</f>
        <v/>
      </c>
      <c r="AH61" s="49" t="str">
        <f>TabForme[[#This Row],[Moyenne]]</f>
        <v/>
      </c>
      <c r="AI61" s="48"/>
    </row>
    <row r="62" spans="2:35" ht="14.25">
      <c r="B62" s="118" t="str">
        <f>IF(INDEX(TabEntrainement[Seance],ROW()-18)&lt;&gt;0,INDEX(TabEntrainement[Seance],ROW()-18),"")</f>
        <v/>
      </c>
      <c r="C62" s="117"/>
      <c r="D62" s="117"/>
      <c r="E62" s="117"/>
      <c r="F62" s="117"/>
      <c r="G62" s="117"/>
      <c r="H62" s="117"/>
      <c r="I62" s="117"/>
      <c r="J62" s="117"/>
      <c r="K62" s="117"/>
      <c r="L62" s="117"/>
      <c r="M62" s="117"/>
      <c r="N62" s="117"/>
      <c r="O62" s="117"/>
      <c r="P62" s="117"/>
      <c r="Q62" s="117"/>
      <c r="R62" s="117"/>
      <c r="S62" s="117"/>
      <c r="T62" s="117"/>
      <c r="U62" s="117"/>
      <c r="V62" s="117"/>
      <c r="W62" s="117"/>
      <c r="X62" s="117"/>
      <c r="Y62" s="117"/>
      <c r="Z62" s="117"/>
      <c r="AA62" s="117"/>
      <c r="AB62" s="117"/>
      <c r="AC62" s="117"/>
      <c r="AD62" s="117"/>
      <c r="AE62" s="117"/>
      <c r="AF62" s="117"/>
      <c r="AG62" s="160" t="str">
        <f>IF(COUNTA(TabForme[[#This Row],[J1]:[J30]])&lt;&gt;0,AVERAGE(TabForme[[#This Row],[J1]:[J30]]),"")</f>
        <v/>
      </c>
      <c r="AH62" s="49" t="str">
        <f>TabForme[[#This Row],[Moyenne]]</f>
        <v/>
      </c>
      <c r="AI62" s="48"/>
    </row>
    <row r="63" spans="2:35" ht="14.25">
      <c r="B63" s="118" t="str">
        <f>IF(INDEX(TabEntrainement[Seance],ROW()-18)&lt;&gt;0,INDEX(TabEntrainement[Seance],ROW()-18),"")</f>
        <v/>
      </c>
      <c r="C63" s="117"/>
      <c r="D63" s="117"/>
      <c r="E63" s="117"/>
      <c r="F63" s="117"/>
      <c r="G63" s="117"/>
      <c r="H63" s="117"/>
      <c r="I63" s="117"/>
      <c r="J63" s="117"/>
      <c r="K63" s="117"/>
      <c r="L63" s="117"/>
      <c r="M63" s="117"/>
      <c r="N63" s="117"/>
      <c r="O63" s="117"/>
      <c r="P63" s="117"/>
      <c r="Q63" s="117"/>
      <c r="R63" s="117"/>
      <c r="S63" s="117"/>
      <c r="T63" s="117"/>
      <c r="U63" s="117"/>
      <c r="V63" s="117"/>
      <c r="W63" s="117"/>
      <c r="X63" s="117"/>
      <c r="Y63" s="117"/>
      <c r="Z63" s="117"/>
      <c r="AA63" s="117"/>
      <c r="AB63" s="117"/>
      <c r="AC63" s="117"/>
      <c r="AD63" s="117"/>
      <c r="AE63" s="117"/>
      <c r="AF63" s="117"/>
      <c r="AG63" s="160" t="str">
        <f>IF(COUNTA(TabForme[[#This Row],[J1]:[J30]])&lt;&gt;0,AVERAGE(TabForme[[#This Row],[J1]:[J30]]),"")</f>
        <v/>
      </c>
      <c r="AH63" s="49" t="str">
        <f>TabForme[[#This Row],[Moyenne]]</f>
        <v/>
      </c>
      <c r="AI63" s="48"/>
    </row>
    <row r="64" spans="2:35" ht="14.25">
      <c r="B64" s="118" t="str">
        <f>IF(INDEX(TabEntrainement[Seance],ROW()-18)&lt;&gt;0,INDEX(TabEntrainement[Seance],ROW()-18),"")</f>
        <v/>
      </c>
      <c r="C64" s="117"/>
      <c r="D64" s="117"/>
      <c r="E64" s="117"/>
      <c r="F64" s="117"/>
      <c r="G64" s="117"/>
      <c r="H64" s="117"/>
      <c r="I64" s="117"/>
      <c r="J64" s="117"/>
      <c r="K64" s="117"/>
      <c r="L64" s="117"/>
      <c r="M64" s="117"/>
      <c r="N64" s="117"/>
      <c r="O64" s="117"/>
      <c r="P64" s="117"/>
      <c r="Q64" s="117"/>
      <c r="R64" s="117"/>
      <c r="S64" s="117"/>
      <c r="T64" s="117"/>
      <c r="U64" s="117"/>
      <c r="V64" s="117"/>
      <c r="W64" s="117"/>
      <c r="X64" s="117"/>
      <c r="Y64" s="117"/>
      <c r="Z64" s="117"/>
      <c r="AA64" s="117"/>
      <c r="AB64" s="117"/>
      <c r="AC64" s="117"/>
      <c r="AD64" s="117"/>
      <c r="AE64" s="117"/>
      <c r="AF64" s="117"/>
      <c r="AG64" s="160" t="str">
        <f>IF(COUNTA(TabForme[[#This Row],[J1]:[J30]])&lt;&gt;0,AVERAGE(TabForme[[#This Row],[J1]:[J30]]),"")</f>
        <v/>
      </c>
      <c r="AH64" s="49" t="str">
        <f>TabForme[[#This Row],[Moyenne]]</f>
        <v/>
      </c>
      <c r="AI64" s="48"/>
    </row>
    <row r="65" spans="2:35" ht="14.25">
      <c r="B65" s="118" t="str">
        <f>IF(INDEX(TabEntrainement[Seance],ROW()-18)&lt;&gt;0,INDEX(TabEntrainement[Seance],ROW()-18),"")</f>
        <v/>
      </c>
      <c r="C65" s="117"/>
      <c r="D65" s="117"/>
      <c r="E65" s="117"/>
      <c r="F65" s="117"/>
      <c r="G65" s="117"/>
      <c r="H65" s="117"/>
      <c r="I65" s="117"/>
      <c r="J65" s="117"/>
      <c r="K65" s="117"/>
      <c r="L65" s="117"/>
      <c r="M65" s="117"/>
      <c r="N65" s="117"/>
      <c r="O65" s="117"/>
      <c r="P65" s="117"/>
      <c r="Q65" s="117"/>
      <c r="R65" s="117"/>
      <c r="S65" s="117"/>
      <c r="T65" s="117"/>
      <c r="U65" s="117"/>
      <c r="V65" s="117"/>
      <c r="W65" s="117"/>
      <c r="X65" s="117"/>
      <c r="Y65" s="117"/>
      <c r="Z65" s="117"/>
      <c r="AA65" s="117"/>
      <c r="AB65" s="117"/>
      <c r="AC65" s="117"/>
      <c r="AD65" s="117"/>
      <c r="AE65" s="117"/>
      <c r="AF65" s="117"/>
      <c r="AG65" s="160" t="str">
        <f>IF(COUNTA(TabForme[[#This Row],[J1]:[J30]])&lt;&gt;0,AVERAGE(TabForme[[#This Row],[J1]:[J30]]),"")</f>
        <v/>
      </c>
      <c r="AH65" s="49" t="str">
        <f>TabForme[[#This Row],[Moyenne]]</f>
        <v/>
      </c>
      <c r="AI65" s="48"/>
    </row>
    <row r="66" spans="2:35" ht="14.25">
      <c r="B66" s="118" t="str">
        <f>IF(INDEX(TabEntrainement[Seance],ROW()-18)&lt;&gt;0,INDEX(TabEntrainement[Seance],ROW()-18),"")</f>
        <v/>
      </c>
      <c r="C66" s="117"/>
      <c r="D66" s="117"/>
      <c r="E66" s="117"/>
      <c r="F66" s="117"/>
      <c r="G66" s="117"/>
      <c r="H66" s="117"/>
      <c r="I66" s="117"/>
      <c r="J66" s="117"/>
      <c r="K66" s="117"/>
      <c r="L66" s="117"/>
      <c r="M66" s="117"/>
      <c r="N66" s="117"/>
      <c r="O66" s="117"/>
      <c r="P66" s="117"/>
      <c r="Q66" s="117"/>
      <c r="R66" s="117"/>
      <c r="S66" s="117"/>
      <c r="T66" s="117"/>
      <c r="U66" s="117"/>
      <c r="V66" s="117"/>
      <c r="W66" s="117"/>
      <c r="X66" s="117"/>
      <c r="Y66" s="117"/>
      <c r="Z66" s="117"/>
      <c r="AA66" s="117"/>
      <c r="AB66" s="117"/>
      <c r="AC66" s="117"/>
      <c r="AD66" s="117"/>
      <c r="AE66" s="117"/>
      <c r="AF66" s="117"/>
      <c r="AG66" s="160" t="str">
        <f>IF(COUNTA(TabForme[[#This Row],[J1]:[J30]])&lt;&gt;0,AVERAGE(TabForme[[#This Row],[J1]:[J30]]),"")</f>
        <v/>
      </c>
      <c r="AH66" s="49" t="str">
        <f>TabForme[[#This Row],[Moyenne]]</f>
        <v/>
      </c>
      <c r="AI66" s="48"/>
    </row>
    <row r="67" spans="2:35" ht="14.25">
      <c r="B67" s="118" t="str">
        <f>IF(INDEX(TabEntrainement[Seance],ROW()-18)&lt;&gt;0,INDEX(TabEntrainement[Seance],ROW()-18),"")</f>
        <v/>
      </c>
      <c r="C67" s="117"/>
      <c r="D67" s="117"/>
      <c r="E67" s="117"/>
      <c r="F67" s="117"/>
      <c r="G67" s="117"/>
      <c r="H67" s="117"/>
      <c r="I67" s="117"/>
      <c r="J67" s="117"/>
      <c r="K67" s="117"/>
      <c r="L67" s="117"/>
      <c r="M67" s="117"/>
      <c r="N67" s="117"/>
      <c r="O67" s="117"/>
      <c r="P67" s="117"/>
      <c r="Q67" s="117"/>
      <c r="R67" s="117"/>
      <c r="S67" s="117"/>
      <c r="T67" s="117"/>
      <c r="U67" s="117"/>
      <c r="V67" s="117"/>
      <c r="W67" s="117"/>
      <c r="X67" s="117"/>
      <c r="Y67" s="117"/>
      <c r="Z67" s="117"/>
      <c r="AA67" s="117"/>
      <c r="AB67" s="117"/>
      <c r="AC67" s="117"/>
      <c r="AD67" s="117"/>
      <c r="AE67" s="117"/>
      <c r="AF67" s="117"/>
      <c r="AG67" s="160" t="str">
        <f>IF(COUNTA(TabForme[[#This Row],[J1]:[J30]])&lt;&gt;0,AVERAGE(TabForme[[#This Row],[J1]:[J30]]),"")</f>
        <v/>
      </c>
      <c r="AH67" s="49" t="str">
        <f>TabForme[[#This Row],[Moyenne]]</f>
        <v/>
      </c>
      <c r="AI67" s="48"/>
    </row>
    <row r="68" spans="2:35" ht="14.25">
      <c r="B68" s="118" t="str">
        <f>IF(INDEX(TabEntrainement[Seance],ROW()-18)&lt;&gt;0,INDEX(TabEntrainement[Seance],ROW()-18),"")</f>
        <v/>
      </c>
      <c r="C68" s="117"/>
      <c r="D68" s="117"/>
      <c r="E68" s="117"/>
      <c r="F68" s="117"/>
      <c r="G68" s="117"/>
      <c r="H68" s="117"/>
      <c r="I68" s="117"/>
      <c r="J68" s="117"/>
      <c r="K68" s="117"/>
      <c r="L68" s="117"/>
      <c r="M68" s="117"/>
      <c r="N68" s="117"/>
      <c r="O68" s="117"/>
      <c r="P68" s="117"/>
      <c r="Q68" s="117"/>
      <c r="R68" s="117"/>
      <c r="S68" s="117"/>
      <c r="T68" s="117"/>
      <c r="U68" s="117"/>
      <c r="V68" s="117"/>
      <c r="W68" s="117"/>
      <c r="X68" s="117"/>
      <c r="Y68" s="117"/>
      <c r="Z68" s="117"/>
      <c r="AA68" s="117"/>
      <c r="AB68" s="117"/>
      <c r="AC68" s="117"/>
      <c r="AD68" s="117"/>
      <c r="AE68" s="117"/>
      <c r="AF68" s="117"/>
      <c r="AG68" s="160" t="str">
        <f>IF(COUNTA(TabForme[[#This Row],[J1]:[J30]])&lt;&gt;0,AVERAGE(TabForme[[#This Row],[J1]:[J30]]),"")</f>
        <v/>
      </c>
      <c r="AH68" s="49" t="str">
        <f>TabForme[[#This Row],[Moyenne]]</f>
        <v/>
      </c>
      <c r="AI68" s="48"/>
    </row>
    <row r="69" spans="2:35" ht="14.25">
      <c r="B69" s="118" t="str">
        <f>IF(INDEX(TabEntrainement[Seance],ROW()-18)&lt;&gt;0,INDEX(TabEntrainement[Seance],ROW()-18),"")</f>
        <v/>
      </c>
      <c r="C69" s="117"/>
      <c r="D69" s="117"/>
      <c r="E69" s="117"/>
      <c r="F69" s="117"/>
      <c r="G69" s="117"/>
      <c r="H69" s="117"/>
      <c r="I69" s="117"/>
      <c r="J69" s="117"/>
      <c r="K69" s="117"/>
      <c r="L69" s="117"/>
      <c r="M69" s="117"/>
      <c r="N69" s="117"/>
      <c r="O69" s="117"/>
      <c r="P69" s="117"/>
      <c r="Q69" s="117"/>
      <c r="R69" s="117"/>
      <c r="S69" s="117"/>
      <c r="T69" s="117"/>
      <c r="U69" s="117"/>
      <c r="V69" s="117"/>
      <c r="W69" s="117"/>
      <c r="X69" s="117"/>
      <c r="Y69" s="117"/>
      <c r="Z69" s="117"/>
      <c r="AA69" s="117"/>
      <c r="AB69" s="117"/>
      <c r="AC69" s="117"/>
      <c r="AD69" s="117"/>
      <c r="AE69" s="117"/>
      <c r="AF69" s="117"/>
      <c r="AG69" s="160" t="str">
        <f>IF(COUNTA(TabForme[[#This Row],[J1]:[J30]])&lt;&gt;0,AVERAGE(TabForme[[#This Row],[J1]:[J30]]),"")</f>
        <v/>
      </c>
      <c r="AH69" s="49" t="str">
        <f>TabForme[[#This Row],[Moyenne]]</f>
        <v/>
      </c>
      <c r="AI69" s="48"/>
    </row>
    <row r="70" spans="2:35" ht="14.25">
      <c r="B70" s="118" t="str">
        <f>IF(INDEX(TabEntrainement[Seance],ROW()-18)&lt;&gt;0,INDEX(TabEntrainement[Seance],ROW()-18),"")</f>
        <v/>
      </c>
      <c r="C70" s="117"/>
      <c r="D70" s="117"/>
      <c r="E70" s="117"/>
      <c r="F70" s="117"/>
      <c r="G70" s="117"/>
      <c r="H70" s="117"/>
      <c r="I70" s="117"/>
      <c r="J70" s="117"/>
      <c r="K70" s="117"/>
      <c r="L70" s="117"/>
      <c r="M70" s="117"/>
      <c r="N70" s="117"/>
      <c r="O70" s="117"/>
      <c r="P70" s="117"/>
      <c r="Q70" s="117"/>
      <c r="R70" s="117"/>
      <c r="S70" s="117"/>
      <c r="T70" s="117"/>
      <c r="U70" s="117"/>
      <c r="V70" s="117"/>
      <c r="W70" s="117"/>
      <c r="X70" s="117"/>
      <c r="Y70" s="117"/>
      <c r="Z70" s="117"/>
      <c r="AA70" s="117"/>
      <c r="AB70" s="117"/>
      <c r="AC70" s="117"/>
      <c r="AD70" s="117"/>
      <c r="AE70" s="117"/>
      <c r="AF70" s="117"/>
      <c r="AG70" s="160" t="str">
        <f>IF(COUNTA(TabForme[[#This Row],[J1]:[J30]])&lt;&gt;0,AVERAGE(TabForme[[#This Row],[J1]:[J30]]),"")</f>
        <v/>
      </c>
      <c r="AH70" s="49" t="str">
        <f>TabForme[[#This Row],[Moyenne]]</f>
        <v/>
      </c>
      <c r="AI70" s="48"/>
    </row>
    <row r="71" spans="2:35" ht="14.25">
      <c r="B71" s="118" t="str">
        <f>IF(INDEX(TabEntrainement[Seance],ROW()-18)&lt;&gt;0,INDEX(TabEntrainement[Seance],ROW()-18),"")</f>
        <v/>
      </c>
      <c r="C71" s="117"/>
      <c r="D71" s="117"/>
      <c r="E71" s="117"/>
      <c r="F71" s="117"/>
      <c r="G71" s="117"/>
      <c r="H71" s="117"/>
      <c r="I71" s="117"/>
      <c r="J71" s="117"/>
      <c r="K71" s="117"/>
      <c r="L71" s="117"/>
      <c r="M71" s="117"/>
      <c r="N71" s="117"/>
      <c r="O71" s="117"/>
      <c r="P71" s="117"/>
      <c r="Q71" s="117"/>
      <c r="R71" s="117"/>
      <c r="S71" s="117"/>
      <c r="T71" s="117"/>
      <c r="U71" s="117"/>
      <c r="V71" s="117"/>
      <c r="W71" s="117"/>
      <c r="X71" s="117"/>
      <c r="Y71" s="117"/>
      <c r="Z71" s="117"/>
      <c r="AA71" s="117"/>
      <c r="AB71" s="117"/>
      <c r="AC71" s="117"/>
      <c r="AD71" s="117"/>
      <c r="AE71" s="117"/>
      <c r="AF71" s="117"/>
      <c r="AG71" s="160" t="str">
        <f>IF(COUNTA(TabForme[[#This Row],[J1]:[J30]])&lt;&gt;0,AVERAGE(TabForme[[#This Row],[J1]:[J30]]),"")</f>
        <v/>
      </c>
      <c r="AH71" s="49" t="str">
        <f>TabForme[[#This Row],[Moyenne]]</f>
        <v/>
      </c>
      <c r="AI71" s="48"/>
    </row>
    <row r="72" spans="2:35" ht="14.25">
      <c r="B72" s="118" t="str">
        <f>IF(INDEX(TabEntrainement[Seance],ROW()-18)&lt;&gt;0,INDEX(TabEntrainement[Seance],ROW()-18),"")</f>
        <v/>
      </c>
      <c r="C72" s="117"/>
      <c r="D72" s="117"/>
      <c r="E72" s="117"/>
      <c r="F72" s="117"/>
      <c r="G72" s="117"/>
      <c r="H72" s="117"/>
      <c r="I72" s="117"/>
      <c r="J72" s="117"/>
      <c r="K72" s="117"/>
      <c r="L72" s="117"/>
      <c r="M72" s="117"/>
      <c r="N72" s="117"/>
      <c r="O72" s="117"/>
      <c r="P72" s="117"/>
      <c r="Q72" s="117"/>
      <c r="R72" s="117"/>
      <c r="S72" s="117"/>
      <c r="T72" s="117"/>
      <c r="U72" s="117"/>
      <c r="V72" s="117"/>
      <c r="W72" s="117"/>
      <c r="X72" s="117"/>
      <c r="Y72" s="117"/>
      <c r="Z72" s="117"/>
      <c r="AA72" s="117"/>
      <c r="AB72" s="117"/>
      <c r="AC72" s="117"/>
      <c r="AD72" s="117"/>
      <c r="AE72" s="117"/>
      <c r="AF72" s="117"/>
      <c r="AG72" s="160" t="str">
        <f>IF(COUNTA(TabForme[[#This Row],[J1]:[J30]])&lt;&gt;0,AVERAGE(TabForme[[#This Row],[J1]:[J30]]),"")</f>
        <v/>
      </c>
      <c r="AH72" s="49" t="str">
        <f>TabForme[[#This Row],[Moyenne]]</f>
        <v/>
      </c>
      <c r="AI72" s="48"/>
    </row>
    <row r="73" spans="2:35" ht="14.25">
      <c r="B73" s="118" t="str">
        <f>IF(INDEX(TabEntrainement[Seance],ROW()-18)&lt;&gt;0,INDEX(TabEntrainement[Seance],ROW()-18),"")</f>
        <v/>
      </c>
      <c r="C73" s="117"/>
      <c r="D73" s="117"/>
      <c r="E73" s="117"/>
      <c r="F73" s="117"/>
      <c r="G73" s="117"/>
      <c r="H73" s="117"/>
      <c r="I73" s="117"/>
      <c r="J73" s="117"/>
      <c r="K73" s="117"/>
      <c r="L73" s="117"/>
      <c r="M73" s="117"/>
      <c r="N73" s="117"/>
      <c r="O73" s="117"/>
      <c r="P73" s="117"/>
      <c r="Q73" s="117"/>
      <c r="R73" s="117"/>
      <c r="S73" s="117"/>
      <c r="T73" s="117"/>
      <c r="U73" s="117"/>
      <c r="V73" s="117"/>
      <c r="W73" s="117"/>
      <c r="X73" s="117"/>
      <c r="Y73" s="117"/>
      <c r="Z73" s="117"/>
      <c r="AA73" s="117"/>
      <c r="AB73" s="117"/>
      <c r="AC73" s="117"/>
      <c r="AD73" s="117"/>
      <c r="AE73" s="117"/>
      <c r="AF73" s="117"/>
      <c r="AG73" s="160" t="str">
        <f>IF(COUNTA(TabForme[[#This Row],[J1]:[J30]])&lt;&gt;0,AVERAGE(TabForme[[#This Row],[J1]:[J30]]),"")</f>
        <v/>
      </c>
      <c r="AH73" s="49" t="str">
        <f>TabForme[[#This Row],[Moyenne]]</f>
        <v/>
      </c>
      <c r="AI73" s="48"/>
    </row>
    <row r="74" spans="2:35" ht="14.25">
      <c r="B74" s="118" t="str">
        <f>IF(INDEX(TabEntrainement[Seance],ROW()-18)&lt;&gt;0,INDEX(TabEntrainement[Seance],ROW()-18),"")</f>
        <v/>
      </c>
      <c r="C74" s="117"/>
      <c r="D74" s="117"/>
      <c r="E74" s="117"/>
      <c r="F74" s="117"/>
      <c r="G74" s="117"/>
      <c r="H74" s="117"/>
      <c r="I74" s="117"/>
      <c r="J74" s="117"/>
      <c r="K74" s="117"/>
      <c r="L74" s="117"/>
      <c r="M74" s="117"/>
      <c r="N74" s="117"/>
      <c r="O74" s="117"/>
      <c r="P74" s="117"/>
      <c r="Q74" s="117"/>
      <c r="R74" s="117"/>
      <c r="S74" s="117"/>
      <c r="T74" s="117"/>
      <c r="U74" s="117"/>
      <c r="V74" s="117"/>
      <c r="W74" s="117"/>
      <c r="X74" s="117"/>
      <c r="Y74" s="117"/>
      <c r="Z74" s="117"/>
      <c r="AA74" s="117"/>
      <c r="AB74" s="117"/>
      <c r="AC74" s="117"/>
      <c r="AD74" s="117"/>
      <c r="AE74" s="117"/>
      <c r="AF74" s="117"/>
      <c r="AG74" s="160" t="str">
        <f>IF(COUNTA(TabForme[[#This Row],[J1]:[J30]])&lt;&gt;0,AVERAGE(TabForme[[#This Row],[J1]:[J30]]),"")</f>
        <v/>
      </c>
      <c r="AH74" s="49" t="str">
        <f>TabForme[[#This Row],[Moyenne]]</f>
        <v/>
      </c>
      <c r="AI74" s="48"/>
    </row>
    <row r="75" spans="2:35" ht="14.25">
      <c r="B75" s="118" t="str">
        <f>IF(INDEX(TabEntrainement[Seance],ROW()-18)&lt;&gt;0,INDEX(TabEntrainement[Seance],ROW()-18),"")</f>
        <v/>
      </c>
      <c r="C75" s="117"/>
      <c r="D75" s="117"/>
      <c r="E75" s="117"/>
      <c r="F75" s="117"/>
      <c r="G75" s="117"/>
      <c r="H75" s="117"/>
      <c r="I75" s="117"/>
      <c r="J75" s="117"/>
      <c r="K75" s="117"/>
      <c r="L75" s="117"/>
      <c r="M75" s="117"/>
      <c r="N75" s="117"/>
      <c r="O75" s="117"/>
      <c r="P75" s="117"/>
      <c r="Q75" s="117"/>
      <c r="R75" s="117"/>
      <c r="S75" s="117"/>
      <c r="T75" s="117"/>
      <c r="U75" s="117"/>
      <c r="V75" s="117"/>
      <c r="W75" s="117"/>
      <c r="X75" s="117"/>
      <c r="Y75" s="117"/>
      <c r="Z75" s="117"/>
      <c r="AA75" s="117"/>
      <c r="AB75" s="117"/>
      <c r="AC75" s="117"/>
      <c r="AD75" s="117"/>
      <c r="AE75" s="117"/>
      <c r="AF75" s="117"/>
      <c r="AG75" s="160" t="str">
        <f>IF(COUNTA(TabForme[[#This Row],[J1]:[J30]])&lt;&gt;0,AVERAGE(TabForme[[#This Row],[J1]:[J30]]),"")</f>
        <v/>
      </c>
      <c r="AH75" s="49" t="str">
        <f>TabForme[[#This Row],[Moyenne]]</f>
        <v/>
      </c>
      <c r="AI75" s="48"/>
    </row>
    <row r="76" spans="2:35" ht="14.25">
      <c r="B76" s="118" t="str">
        <f>IF(INDEX(TabEntrainement[Seance],ROW()-18)&lt;&gt;0,INDEX(TabEntrainement[Seance],ROW()-18),"")</f>
        <v/>
      </c>
      <c r="C76" s="117"/>
      <c r="D76" s="117"/>
      <c r="E76" s="117"/>
      <c r="F76" s="117"/>
      <c r="G76" s="117"/>
      <c r="H76" s="117"/>
      <c r="I76" s="117"/>
      <c r="J76" s="117"/>
      <c r="K76" s="117"/>
      <c r="L76" s="117"/>
      <c r="M76" s="117"/>
      <c r="N76" s="117"/>
      <c r="O76" s="117"/>
      <c r="P76" s="117"/>
      <c r="Q76" s="117"/>
      <c r="R76" s="117"/>
      <c r="S76" s="117"/>
      <c r="T76" s="117"/>
      <c r="U76" s="117"/>
      <c r="V76" s="117"/>
      <c r="W76" s="117"/>
      <c r="X76" s="117"/>
      <c r="Y76" s="117"/>
      <c r="Z76" s="117"/>
      <c r="AA76" s="117"/>
      <c r="AB76" s="117"/>
      <c r="AC76" s="117"/>
      <c r="AD76" s="117"/>
      <c r="AE76" s="117"/>
      <c r="AF76" s="117"/>
      <c r="AG76" s="160" t="str">
        <f>IF(COUNTA(TabForme[[#This Row],[J1]:[J30]])&lt;&gt;0,AVERAGE(TabForme[[#This Row],[J1]:[J30]]),"")</f>
        <v/>
      </c>
      <c r="AH76" s="49" t="str">
        <f>TabForme[[#This Row],[Moyenne]]</f>
        <v/>
      </c>
      <c r="AI76" s="48"/>
    </row>
    <row r="77" spans="2:35" ht="14.25">
      <c r="B77" s="118" t="str">
        <f>IF(INDEX(TabEntrainement[Seance],ROW()-18)&lt;&gt;0,INDEX(TabEntrainement[Seance],ROW()-18),"")</f>
        <v/>
      </c>
      <c r="C77" s="117"/>
      <c r="D77" s="117"/>
      <c r="E77" s="117"/>
      <c r="F77" s="117"/>
      <c r="G77" s="117"/>
      <c r="H77" s="117"/>
      <c r="I77" s="117"/>
      <c r="J77" s="117"/>
      <c r="K77" s="117"/>
      <c r="L77" s="117"/>
      <c r="M77" s="117"/>
      <c r="N77" s="117"/>
      <c r="O77" s="117"/>
      <c r="P77" s="117"/>
      <c r="Q77" s="117"/>
      <c r="R77" s="117"/>
      <c r="S77" s="117"/>
      <c r="T77" s="117"/>
      <c r="U77" s="117"/>
      <c r="V77" s="117"/>
      <c r="W77" s="117"/>
      <c r="X77" s="117"/>
      <c r="Y77" s="117"/>
      <c r="Z77" s="117"/>
      <c r="AA77" s="117"/>
      <c r="AB77" s="117"/>
      <c r="AC77" s="117"/>
      <c r="AD77" s="117"/>
      <c r="AE77" s="117"/>
      <c r="AF77" s="117"/>
      <c r="AG77" s="160" t="str">
        <f>IF(COUNTA(TabForme[[#This Row],[J1]:[J30]])&lt;&gt;0,AVERAGE(TabForme[[#This Row],[J1]:[J30]]),"")</f>
        <v/>
      </c>
      <c r="AH77" s="49" t="str">
        <f>TabForme[[#This Row],[Moyenne]]</f>
        <v/>
      </c>
      <c r="AI77" s="48"/>
    </row>
    <row r="78" spans="2:35" ht="14.25">
      <c r="B78" s="118" t="str">
        <f>IF(INDEX(TabEntrainement[Seance],ROW()-18)&lt;&gt;0,INDEX(TabEntrainement[Seance],ROW()-18),"")</f>
        <v/>
      </c>
      <c r="C78" s="117"/>
      <c r="D78" s="117"/>
      <c r="E78" s="117"/>
      <c r="F78" s="117"/>
      <c r="G78" s="117"/>
      <c r="H78" s="117"/>
      <c r="I78" s="117"/>
      <c r="J78" s="117"/>
      <c r="K78" s="117"/>
      <c r="L78" s="117"/>
      <c r="M78" s="117"/>
      <c r="N78" s="117"/>
      <c r="O78" s="117"/>
      <c r="P78" s="117"/>
      <c r="Q78" s="117"/>
      <c r="R78" s="117"/>
      <c r="S78" s="117"/>
      <c r="T78" s="117"/>
      <c r="U78" s="117"/>
      <c r="V78" s="117"/>
      <c r="W78" s="117"/>
      <c r="X78" s="117"/>
      <c r="Y78" s="117"/>
      <c r="Z78" s="117"/>
      <c r="AA78" s="117"/>
      <c r="AB78" s="117"/>
      <c r="AC78" s="117"/>
      <c r="AD78" s="117"/>
      <c r="AE78" s="117"/>
      <c r="AF78" s="117"/>
      <c r="AG78" s="160" t="str">
        <f>IF(COUNTA(TabForme[[#This Row],[J1]:[J30]])&lt;&gt;0,AVERAGE(TabForme[[#This Row],[J1]:[J30]]),"")</f>
        <v/>
      </c>
      <c r="AH78" s="49" t="str">
        <f>TabForme[[#This Row],[Moyenne]]</f>
        <v/>
      </c>
      <c r="AI78" s="48"/>
    </row>
    <row r="79" spans="2:35" ht="14.25">
      <c r="B79" s="118" t="str">
        <f>IF(INDEX(TabEntrainement[Seance],ROW()-18)&lt;&gt;0,INDEX(TabEntrainement[Seance],ROW()-18),"")</f>
        <v/>
      </c>
      <c r="C79" s="117"/>
      <c r="D79" s="117"/>
      <c r="E79" s="117"/>
      <c r="F79" s="117"/>
      <c r="G79" s="117"/>
      <c r="H79" s="117"/>
      <c r="I79" s="117"/>
      <c r="J79" s="117"/>
      <c r="K79" s="117"/>
      <c r="L79" s="117"/>
      <c r="M79" s="117"/>
      <c r="N79" s="117"/>
      <c r="O79" s="117"/>
      <c r="P79" s="117"/>
      <c r="Q79" s="117"/>
      <c r="R79" s="117"/>
      <c r="S79" s="117"/>
      <c r="T79" s="117"/>
      <c r="U79" s="117"/>
      <c r="V79" s="117"/>
      <c r="W79" s="117"/>
      <c r="X79" s="117"/>
      <c r="Y79" s="117"/>
      <c r="Z79" s="117"/>
      <c r="AA79" s="117"/>
      <c r="AB79" s="117"/>
      <c r="AC79" s="117"/>
      <c r="AD79" s="117"/>
      <c r="AE79" s="117"/>
      <c r="AF79" s="117"/>
      <c r="AG79" s="160" t="str">
        <f>IF(COUNTA(TabForme[[#This Row],[J1]:[J30]])&lt;&gt;0,AVERAGE(TabForme[[#This Row],[J1]:[J30]]),"")</f>
        <v/>
      </c>
      <c r="AH79" s="49" t="str">
        <f>TabForme[[#This Row],[Moyenne]]</f>
        <v/>
      </c>
      <c r="AI79" s="48"/>
    </row>
    <row r="80" spans="2:35" ht="14.25">
      <c r="B80" s="118" t="str">
        <f>IF(INDEX(TabEntrainement[Seance],ROW()-18)&lt;&gt;0,INDEX(TabEntrainement[Seance],ROW()-18),"")</f>
        <v/>
      </c>
      <c r="C80" s="117"/>
      <c r="D80" s="117"/>
      <c r="E80" s="117"/>
      <c r="F80" s="117"/>
      <c r="G80" s="117"/>
      <c r="H80" s="117"/>
      <c r="I80" s="117"/>
      <c r="J80" s="117"/>
      <c r="K80" s="117"/>
      <c r="L80" s="117"/>
      <c r="M80" s="117"/>
      <c r="N80" s="117"/>
      <c r="O80" s="117"/>
      <c r="P80" s="117"/>
      <c r="Q80" s="117"/>
      <c r="R80" s="117"/>
      <c r="S80" s="117"/>
      <c r="T80" s="117"/>
      <c r="U80" s="117"/>
      <c r="V80" s="117"/>
      <c r="W80" s="117"/>
      <c r="X80" s="117"/>
      <c r="Y80" s="117"/>
      <c r="Z80" s="117"/>
      <c r="AA80" s="117"/>
      <c r="AB80" s="117"/>
      <c r="AC80" s="117"/>
      <c r="AD80" s="117"/>
      <c r="AE80" s="117"/>
      <c r="AF80" s="117"/>
      <c r="AG80" s="160" t="str">
        <f>IF(COUNTA(TabForme[[#This Row],[J1]:[J30]])&lt;&gt;0,AVERAGE(TabForme[[#This Row],[J1]:[J30]]),"")</f>
        <v/>
      </c>
      <c r="AH80" s="49" t="str">
        <f>TabForme[[#This Row],[Moyenne]]</f>
        <v/>
      </c>
      <c r="AI80" s="48"/>
    </row>
    <row r="81" spans="2:35" ht="14.25">
      <c r="B81" s="118" t="str">
        <f>IF(INDEX(TabEntrainement[Seance],ROW()-18)&lt;&gt;0,INDEX(TabEntrainement[Seance],ROW()-18),"")</f>
        <v/>
      </c>
      <c r="C81" s="117"/>
      <c r="D81" s="117"/>
      <c r="E81" s="117"/>
      <c r="F81" s="117"/>
      <c r="G81" s="117"/>
      <c r="H81" s="117"/>
      <c r="I81" s="117"/>
      <c r="J81" s="117"/>
      <c r="K81" s="117"/>
      <c r="L81" s="117"/>
      <c r="M81" s="117"/>
      <c r="N81" s="117"/>
      <c r="O81" s="117"/>
      <c r="P81" s="117"/>
      <c r="Q81" s="117"/>
      <c r="R81" s="117"/>
      <c r="S81" s="117"/>
      <c r="T81" s="117"/>
      <c r="U81" s="117"/>
      <c r="V81" s="117"/>
      <c r="W81" s="117"/>
      <c r="X81" s="117"/>
      <c r="Y81" s="117"/>
      <c r="Z81" s="117"/>
      <c r="AA81" s="117"/>
      <c r="AB81" s="117"/>
      <c r="AC81" s="117"/>
      <c r="AD81" s="117"/>
      <c r="AE81" s="117"/>
      <c r="AF81" s="117"/>
      <c r="AG81" s="160" t="str">
        <f>IF(COUNTA(TabForme[[#This Row],[J1]:[J30]])&lt;&gt;0,AVERAGE(TabForme[[#This Row],[J1]:[J30]]),"")</f>
        <v/>
      </c>
      <c r="AH81" s="49" t="str">
        <f>TabForme[[#This Row],[Moyenne]]</f>
        <v/>
      </c>
      <c r="AI81" s="48"/>
    </row>
    <row r="82" spans="2:35" ht="14.25">
      <c r="B82" s="118" t="str">
        <f>IF(INDEX(TabEntrainement[Seance],ROW()-18)&lt;&gt;0,INDEX(TabEntrainement[Seance],ROW()-18),"")</f>
        <v/>
      </c>
      <c r="C82" s="117"/>
      <c r="D82" s="117"/>
      <c r="E82" s="117"/>
      <c r="F82" s="117"/>
      <c r="G82" s="117"/>
      <c r="H82" s="117"/>
      <c r="I82" s="117"/>
      <c r="J82" s="117"/>
      <c r="K82" s="117"/>
      <c r="L82" s="117"/>
      <c r="M82" s="117"/>
      <c r="N82" s="117"/>
      <c r="O82" s="117"/>
      <c r="P82" s="117"/>
      <c r="Q82" s="117"/>
      <c r="R82" s="117"/>
      <c r="S82" s="117"/>
      <c r="T82" s="117"/>
      <c r="U82" s="117"/>
      <c r="V82" s="117"/>
      <c r="W82" s="117"/>
      <c r="X82" s="117"/>
      <c r="Y82" s="117"/>
      <c r="Z82" s="117"/>
      <c r="AA82" s="117"/>
      <c r="AB82" s="117"/>
      <c r="AC82" s="117"/>
      <c r="AD82" s="117"/>
      <c r="AE82" s="117"/>
      <c r="AF82" s="117"/>
      <c r="AG82" s="160" t="str">
        <f>IF(COUNTA(TabForme[[#This Row],[J1]:[J30]])&lt;&gt;0,AVERAGE(TabForme[[#This Row],[J1]:[J30]]),"")</f>
        <v/>
      </c>
      <c r="AH82" s="49" t="str">
        <f>TabForme[[#This Row],[Moyenne]]</f>
        <v/>
      </c>
      <c r="AI82" s="48"/>
    </row>
    <row r="83" spans="2:35" ht="14.25">
      <c r="B83" s="118" t="str">
        <f>IF(INDEX(TabEntrainement[Seance],ROW()-18)&lt;&gt;0,INDEX(TabEntrainement[Seance],ROW()-18),"")</f>
        <v/>
      </c>
      <c r="C83" s="117"/>
      <c r="D83" s="117"/>
      <c r="E83" s="117"/>
      <c r="F83" s="117"/>
      <c r="G83" s="117"/>
      <c r="H83" s="117"/>
      <c r="I83" s="117"/>
      <c r="J83" s="117"/>
      <c r="K83" s="117"/>
      <c r="L83" s="117"/>
      <c r="M83" s="117"/>
      <c r="N83" s="117"/>
      <c r="O83" s="117"/>
      <c r="P83" s="117"/>
      <c r="Q83" s="117"/>
      <c r="R83" s="117"/>
      <c r="S83" s="117"/>
      <c r="T83" s="117"/>
      <c r="U83" s="117"/>
      <c r="V83" s="117"/>
      <c r="W83" s="117"/>
      <c r="X83" s="117"/>
      <c r="Y83" s="117"/>
      <c r="Z83" s="117"/>
      <c r="AA83" s="117"/>
      <c r="AB83" s="117"/>
      <c r="AC83" s="117"/>
      <c r="AD83" s="117"/>
      <c r="AE83" s="117"/>
      <c r="AF83" s="117"/>
      <c r="AG83" s="160" t="str">
        <f>IF(COUNTA(TabForme[[#This Row],[J1]:[J30]])&lt;&gt;0,AVERAGE(TabForme[[#This Row],[J1]:[J30]]),"")</f>
        <v/>
      </c>
      <c r="AH83" s="49" t="str">
        <f>TabForme[[#This Row],[Moyenne]]</f>
        <v/>
      </c>
      <c r="AI83" s="48"/>
    </row>
    <row r="84" spans="2:35" ht="14.25">
      <c r="B84" s="118" t="str">
        <f>IF(INDEX(TabEntrainement[Seance],ROW()-18)&lt;&gt;0,INDEX(TabEntrainement[Seance],ROW()-18),"")</f>
        <v/>
      </c>
      <c r="C84" s="117"/>
      <c r="D84" s="117"/>
      <c r="E84" s="117"/>
      <c r="F84" s="117"/>
      <c r="G84" s="117"/>
      <c r="H84" s="117"/>
      <c r="I84" s="117"/>
      <c r="J84" s="117"/>
      <c r="K84" s="117"/>
      <c r="L84" s="117"/>
      <c r="M84" s="117"/>
      <c r="N84" s="117"/>
      <c r="O84" s="117"/>
      <c r="P84" s="117"/>
      <c r="Q84" s="117"/>
      <c r="R84" s="117"/>
      <c r="S84" s="117"/>
      <c r="T84" s="117"/>
      <c r="U84" s="117"/>
      <c r="V84" s="117"/>
      <c r="W84" s="117"/>
      <c r="X84" s="117"/>
      <c r="Y84" s="117"/>
      <c r="Z84" s="117"/>
      <c r="AA84" s="117"/>
      <c r="AB84" s="117"/>
      <c r="AC84" s="117"/>
      <c r="AD84" s="117"/>
      <c r="AE84" s="117"/>
      <c r="AF84" s="117"/>
      <c r="AG84" s="160" t="str">
        <f>IF(COUNTA(TabForme[[#This Row],[J1]:[J30]])&lt;&gt;0,AVERAGE(TabForme[[#This Row],[J1]:[J30]]),"")</f>
        <v/>
      </c>
      <c r="AH84" s="49" t="str">
        <f>TabForme[[#This Row],[Moyenne]]</f>
        <v/>
      </c>
      <c r="AI84" s="48"/>
    </row>
    <row r="85" spans="2:35" ht="14.25">
      <c r="B85" s="118" t="str">
        <f>IF(INDEX(TabEntrainement[Seance],ROW()-18)&lt;&gt;0,INDEX(TabEntrainement[Seance],ROW()-18),"")</f>
        <v/>
      </c>
      <c r="C85" s="117"/>
      <c r="D85" s="117"/>
      <c r="E85" s="117"/>
      <c r="F85" s="117"/>
      <c r="G85" s="117"/>
      <c r="H85" s="117"/>
      <c r="I85" s="117"/>
      <c r="J85" s="117"/>
      <c r="K85" s="117"/>
      <c r="L85" s="117"/>
      <c r="M85" s="117"/>
      <c r="N85" s="117"/>
      <c r="O85" s="117"/>
      <c r="P85" s="117"/>
      <c r="Q85" s="117"/>
      <c r="R85" s="117"/>
      <c r="S85" s="117"/>
      <c r="T85" s="117"/>
      <c r="U85" s="117"/>
      <c r="V85" s="117"/>
      <c r="W85" s="117"/>
      <c r="X85" s="117"/>
      <c r="Y85" s="117"/>
      <c r="Z85" s="117"/>
      <c r="AA85" s="117"/>
      <c r="AB85" s="117"/>
      <c r="AC85" s="117"/>
      <c r="AD85" s="117"/>
      <c r="AE85" s="117"/>
      <c r="AF85" s="117"/>
      <c r="AG85" s="160" t="str">
        <f>IF(COUNTA(TabForme[[#This Row],[J1]:[J30]])&lt;&gt;0,AVERAGE(TabForme[[#This Row],[J1]:[J30]]),"")</f>
        <v/>
      </c>
      <c r="AH85" s="49" t="str">
        <f>TabForme[[#This Row],[Moyenne]]</f>
        <v/>
      </c>
      <c r="AI85" s="48"/>
    </row>
    <row r="86" spans="2:35" ht="14.25">
      <c r="B86" s="118" t="str">
        <f>IF(INDEX(TabEntrainement[Seance],ROW()-18)&lt;&gt;0,INDEX(TabEntrainement[Seance],ROW()-18),"")</f>
        <v/>
      </c>
      <c r="C86" s="117"/>
      <c r="D86" s="117"/>
      <c r="E86" s="117"/>
      <c r="F86" s="117"/>
      <c r="G86" s="117"/>
      <c r="H86" s="117"/>
      <c r="I86" s="117"/>
      <c r="J86" s="117"/>
      <c r="K86" s="117"/>
      <c r="L86" s="117"/>
      <c r="M86" s="117"/>
      <c r="N86" s="117"/>
      <c r="O86" s="117"/>
      <c r="P86" s="117"/>
      <c r="Q86" s="117"/>
      <c r="R86" s="117"/>
      <c r="S86" s="117"/>
      <c r="T86" s="117"/>
      <c r="U86" s="117"/>
      <c r="V86" s="117"/>
      <c r="W86" s="117"/>
      <c r="X86" s="117"/>
      <c r="Y86" s="117"/>
      <c r="Z86" s="117"/>
      <c r="AA86" s="117"/>
      <c r="AB86" s="117"/>
      <c r="AC86" s="117"/>
      <c r="AD86" s="117"/>
      <c r="AE86" s="117"/>
      <c r="AF86" s="117"/>
      <c r="AG86" s="160" t="str">
        <f>IF(COUNTA(TabForme[[#This Row],[J1]:[J30]])&lt;&gt;0,AVERAGE(TabForme[[#This Row],[J1]:[J30]]),"")</f>
        <v/>
      </c>
      <c r="AH86" s="49" t="str">
        <f>TabForme[[#This Row],[Moyenne]]</f>
        <v/>
      </c>
      <c r="AI86" s="48"/>
    </row>
    <row r="87" spans="2:35" ht="14.25">
      <c r="B87" s="118" t="str">
        <f>IF(INDEX(TabEntrainement[Seance],ROW()-18)&lt;&gt;0,INDEX(TabEntrainement[Seance],ROW()-18),"")</f>
        <v/>
      </c>
      <c r="C87" s="117"/>
      <c r="D87" s="117"/>
      <c r="E87" s="117"/>
      <c r="F87" s="117"/>
      <c r="G87" s="117"/>
      <c r="H87" s="117"/>
      <c r="I87" s="117"/>
      <c r="J87" s="117"/>
      <c r="K87" s="117"/>
      <c r="L87" s="117"/>
      <c r="M87" s="117"/>
      <c r="N87" s="117"/>
      <c r="O87" s="117"/>
      <c r="P87" s="117"/>
      <c r="Q87" s="117"/>
      <c r="R87" s="117"/>
      <c r="S87" s="117"/>
      <c r="T87" s="117"/>
      <c r="U87" s="117"/>
      <c r="V87" s="117"/>
      <c r="W87" s="117"/>
      <c r="X87" s="117"/>
      <c r="Y87" s="117"/>
      <c r="Z87" s="117"/>
      <c r="AA87" s="117"/>
      <c r="AB87" s="117"/>
      <c r="AC87" s="117"/>
      <c r="AD87" s="117"/>
      <c r="AE87" s="117"/>
      <c r="AF87" s="117"/>
      <c r="AG87" s="160" t="str">
        <f>IF(COUNTA(TabForme[[#This Row],[J1]:[J30]])&lt;&gt;0,AVERAGE(TabForme[[#This Row],[J1]:[J30]]),"")</f>
        <v/>
      </c>
      <c r="AH87" s="49" t="str">
        <f>TabForme[[#This Row],[Moyenne]]</f>
        <v/>
      </c>
      <c r="AI87" s="48"/>
    </row>
    <row r="88" spans="2:35" ht="14.25">
      <c r="B88" s="118" t="str">
        <f>IF(INDEX(TabEntrainement[Seance],ROW()-18)&lt;&gt;0,INDEX(TabEntrainement[Seance],ROW()-18),"")</f>
        <v/>
      </c>
      <c r="C88" s="117"/>
      <c r="D88" s="117"/>
      <c r="E88" s="117"/>
      <c r="F88" s="117"/>
      <c r="G88" s="117"/>
      <c r="H88" s="117"/>
      <c r="I88" s="117"/>
      <c r="J88" s="117"/>
      <c r="K88" s="117"/>
      <c r="L88" s="117"/>
      <c r="M88" s="117"/>
      <c r="N88" s="117"/>
      <c r="O88" s="117"/>
      <c r="P88" s="117"/>
      <c r="Q88" s="117"/>
      <c r="R88" s="117"/>
      <c r="S88" s="117"/>
      <c r="T88" s="117"/>
      <c r="U88" s="117"/>
      <c r="V88" s="117"/>
      <c r="W88" s="117"/>
      <c r="X88" s="117"/>
      <c r="Y88" s="117"/>
      <c r="Z88" s="117"/>
      <c r="AA88" s="117"/>
      <c r="AB88" s="117"/>
      <c r="AC88" s="117"/>
      <c r="AD88" s="117"/>
      <c r="AE88" s="117"/>
      <c r="AF88" s="117"/>
      <c r="AG88" s="160" t="str">
        <f>IF(COUNTA(TabForme[[#This Row],[J1]:[J30]])&lt;&gt;0,AVERAGE(TabForme[[#This Row],[J1]:[J30]]),"")</f>
        <v/>
      </c>
      <c r="AH88" s="49" t="str">
        <f>TabForme[[#This Row],[Moyenne]]</f>
        <v/>
      </c>
      <c r="AI88" s="48"/>
    </row>
    <row r="89" spans="2:35" ht="14.25">
      <c r="B89" s="118" t="str">
        <f>IF(INDEX(TabEntrainement[Seance],ROW()-18)&lt;&gt;0,INDEX(TabEntrainement[Seance],ROW()-18),"")</f>
        <v/>
      </c>
      <c r="C89" s="117"/>
      <c r="D89" s="117"/>
      <c r="E89" s="117"/>
      <c r="F89" s="117"/>
      <c r="G89" s="117"/>
      <c r="H89" s="117"/>
      <c r="I89" s="117"/>
      <c r="J89" s="117"/>
      <c r="K89" s="117"/>
      <c r="L89" s="117"/>
      <c r="M89" s="117"/>
      <c r="N89" s="117"/>
      <c r="O89" s="117"/>
      <c r="P89" s="117"/>
      <c r="Q89" s="117"/>
      <c r="R89" s="117"/>
      <c r="S89" s="117"/>
      <c r="T89" s="117"/>
      <c r="U89" s="117"/>
      <c r="V89" s="117"/>
      <c r="W89" s="117"/>
      <c r="X89" s="117"/>
      <c r="Y89" s="117"/>
      <c r="Z89" s="117"/>
      <c r="AA89" s="117"/>
      <c r="AB89" s="117"/>
      <c r="AC89" s="117"/>
      <c r="AD89" s="117"/>
      <c r="AE89" s="117"/>
      <c r="AF89" s="117"/>
      <c r="AG89" s="160" t="str">
        <f>IF(COUNTA(TabForme[[#This Row],[J1]:[J30]])&lt;&gt;0,AVERAGE(TabForme[[#This Row],[J1]:[J30]]),"")</f>
        <v/>
      </c>
      <c r="AH89" s="49" t="str">
        <f>TabForme[[#This Row],[Moyenne]]</f>
        <v/>
      </c>
      <c r="AI89" s="48"/>
    </row>
    <row r="90" spans="2:35" ht="14.25">
      <c r="B90" s="118" t="str">
        <f>IF(INDEX(TabEntrainement[Seance],ROW()-18)&lt;&gt;0,INDEX(TabEntrainement[Seance],ROW()-18),"")</f>
        <v/>
      </c>
      <c r="C90" s="117"/>
      <c r="D90" s="117"/>
      <c r="E90" s="117"/>
      <c r="F90" s="117"/>
      <c r="G90" s="117"/>
      <c r="H90" s="117"/>
      <c r="I90" s="117"/>
      <c r="J90" s="117"/>
      <c r="K90" s="117"/>
      <c r="L90" s="117"/>
      <c r="M90" s="117"/>
      <c r="N90" s="117"/>
      <c r="O90" s="117"/>
      <c r="P90" s="117"/>
      <c r="Q90" s="117"/>
      <c r="R90" s="117"/>
      <c r="S90" s="117"/>
      <c r="T90" s="117"/>
      <c r="U90" s="117"/>
      <c r="V90" s="117"/>
      <c r="W90" s="117"/>
      <c r="X90" s="117"/>
      <c r="Y90" s="117"/>
      <c r="Z90" s="117"/>
      <c r="AA90" s="117"/>
      <c r="AB90" s="117"/>
      <c r="AC90" s="117"/>
      <c r="AD90" s="117"/>
      <c r="AE90" s="117"/>
      <c r="AF90" s="117"/>
      <c r="AG90" s="160" t="str">
        <f>IF(COUNTA(TabForme[[#This Row],[J1]:[J30]])&lt;&gt;0,AVERAGE(TabForme[[#This Row],[J1]:[J30]]),"")</f>
        <v/>
      </c>
      <c r="AH90" s="49" t="str">
        <f>TabForme[[#This Row],[Moyenne]]</f>
        <v/>
      </c>
      <c r="AI90" s="48"/>
    </row>
    <row r="91" spans="2:35" ht="14.25">
      <c r="B91" s="118" t="str">
        <f>IF(INDEX(TabEntrainement[Seance],ROW()-18)&lt;&gt;0,INDEX(TabEntrainement[Seance],ROW()-18),"")</f>
        <v/>
      </c>
      <c r="C91" s="117"/>
      <c r="D91" s="117"/>
      <c r="E91" s="117"/>
      <c r="F91" s="117"/>
      <c r="G91" s="117"/>
      <c r="H91" s="117"/>
      <c r="I91" s="117"/>
      <c r="J91" s="117"/>
      <c r="K91" s="117"/>
      <c r="L91" s="117"/>
      <c r="M91" s="117"/>
      <c r="N91" s="117"/>
      <c r="O91" s="117"/>
      <c r="P91" s="117"/>
      <c r="Q91" s="117"/>
      <c r="R91" s="117"/>
      <c r="S91" s="117"/>
      <c r="T91" s="117"/>
      <c r="U91" s="117"/>
      <c r="V91" s="117"/>
      <c r="W91" s="117"/>
      <c r="X91" s="117"/>
      <c r="Y91" s="117"/>
      <c r="Z91" s="117"/>
      <c r="AA91" s="117"/>
      <c r="AB91" s="117"/>
      <c r="AC91" s="117"/>
      <c r="AD91" s="117"/>
      <c r="AE91" s="117"/>
      <c r="AF91" s="117"/>
      <c r="AG91" s="160" t="str">
        <f>IF(COUNTA(TabForme[[#This Row],[J1]:[J30]])&lt;&gt;0,AVERAGE(TabForme[[#This Row],[J1]:[J30]]),"")</f>
        <v/>
      </c>
      <c r="AH91" s="49" t="str">
        <f>TabForme[[#This Row],[Moyenne]]</f>
        <v/>
      </c>
      <c r="AI91" s="48"/>
    </row>
    <row r="92" spans="2:35" ht="14.25">
      <c r="B92" s="118" t="str">
        <f>IF(INDEX(TabEntrainement[Seance],ROW()-18)&lt;&gt;0,INDEX(TabEntrainement[Seance],ROW()-18),"")</f>
        <v/>
      </c>
      <c r="C92" s="117"/>
      <c r="D92" s="117"/>
      <c r="E92" s="117"/>
      <c r="F92" s="117"/>
      <c r="G92" s="117"/>
      <c r="H92" s="117"/>
      <c r="I92" s="117"/>
      <c r="J92" s="117"/>
      <c r="K92" s="117"/>
      <c r="L92" s="117"/>
      <c r="M92" s="117"/>
      <c r="N92" s="117"/>
      <c r="O92" s="117"/>
      <c r="P92" s="117"/>
      <c r="Q92" s="117"/>
      <c r="R92" s="117"/>
      <c r="S92" s="117"/>
      <c r="T92" s="117"/>
      <c r="U92" s="117"/>
      <c r="V92" s="117"/>
      <c r="W92" s="117"/>
      <c r="X92" s="117"/>
      <c r="Y92" s="117"/>
      <c r="Z92" s="117"/>
      <c r="AA92" s="117"/>
      <c r="AB92" s="117"/>
      <c r="AC92" s="117"/>
      <c r="AD92" s="117"/>
      <c r="AE92" s="117"/>
      <c r="AF92" s="117"/>
      <c r="AG92" s="160" t="str">
        <f>IF(COUNTA(TabForme[[#This Row],[J1]:[J30]])&lt;&gt;0,AVERAGE(TabForme[[#This Row],[J1]:[J30]]),"")</f>
        <v/>
      </c>
      <c r="AH92" s="49" t="str">
        <f>TabForme[[#This Row],[Moyenne]]</f>
        <v/>
      </c>
      <c r="AI92" s="48"/>
    </row>
    <row r="93" spans="2:35" ht="14.25">
      <c r="B93" s="118" t="str">
        <f>IF(INDEX(TabEntrainement[Seance],ROW()-18)&lt;&gt;0,INDEX(TabEntrainement[Seance],ROW()-18),"")</f>
        <v/>
      </c>
      <c r="C93" s="117"/>
      <c r="D93" s="117"/>
      <c r="E93" s="117"/>
      <c r="F93" s="117"/>
      <c r="G93" s="117"/>
      <c r="H93" s="117"/>
      <c r="I93" s="117"/>
      <c r="J93" s="117"/>
      <c r="K93" s="117"/>
      <c r="L93" s="117"/>
      <c r="M93" s="117"/>
      <c r="N93" s="117"/>
      <c r="O93" s="117"/>
      <c r="P93" s="117"/>
      <c r="Q93" s="117"/>
      <c r="R93" s="117"/>
      <c r="S93" s="117"/>
      <c r="T93" s="117"/>
      <c r="U93" s="117"/>
      <c r="V93" s="117"/>
      <c r="W93" s="117"/>
      <c r="X93" s="117"/>
      <c r="Y93" s="117"/>
      <c r="Z93" s="117"/>
      <c r="AA93" s="117"/>
      <c r="AB93" s="117"/>
      <c r="AC93" s="117"/>
      <c r="AD93" s="117"/>
      <c r="AE93" s="117"/>
      <c r="AF93" s="117"/>
      <c r="AG93" s="160" t="str">
        <f>IF(COUNTA(TabForme[[#This Row],[J1]:[J30]])&lt;&gt;0,AVERAGE(TabForme[[#This Row],[J1]:[J30]]),"")</f>
        <v/>
      </c>
      <c r="AH93" s="49" t="str">
        <f>TabForme[[#This Row],[Moyenne]]</f>
        <v/>
      </c>
      <c r="AI93" s="48"/>
    </row>
    <row r="94" spans="2:35" ht="14.25">
      <c r="B94" s="118" t="str">
        <f>IF(INDEX(TabEntrainement[Seance],ROW()-18)&lt;&gt;0,INDEX(TabEntrainement[Seance],ROW()-18),"")</f>
        <v/>
      </c>
      <c r="C94" s="117"/>
      <c r="D94" s="117"/>
      <c r="E94" s="117"/>
      <c r="F94" s="117"/>
      <c r="G94" s="117"/>
      <c r="H94" s="117"/>
      <c r="I94" s="117"/>
      <c r="J94" s="117"/>
      <c r="K94" s="117"/>
      <c r="L94" s="117"/>
      <c r="M94" s="117"/>
      <c r="N94" s="117"/>
      <c r="O94" s="117"/>
      <c r="P94" s="117"/>
      <c r="Q94" s="117"/>
      <c r="R94" s="117"/>
      <c r="S94" s="117"/>
      <c r="T94" s="117"/>
      <c r="U94" s="117"/>
      <c r="V94" s="117"/>
      <c r="W94" s="117"/>
      <c r="X94" s="117"/>
      <c r="Y94" s="117"/>
      <c r="Z94" s="117"/>
      <c r="AA94" s="117"/>
      <c r="AB94" s="117"/>
      <c r="AC94" s="117"/>
      <c r="AD94" s="117"/>
      <c r="AE94" s="117"/>
      <c r="AF94" s="117"/>
      <c r="AG94" s="160" t="str">
        <f>IF(COUNTA(TabForme[[#This Row],[J1]:[J30]])&lt;&gt;0,AVERAGE(TabForme[[#This Row],[J1]:[J30]]),"")</f>
        <v/>
      </c>
      <c r="AH94" s="49" t="str">
        <f>TabForme[[#This Row],[Moyenne]]</f>
        <v/>
      </c>
      <c r="AI94" s="48"/>
    </row>
    <row r="95" spans="2:35" ht="14.25">
      <c r="B95" s="118" t="str">
        <f>IF(INDEX(TabEntrainement[Seance],ROW()-18)&lt;&gt;0,INDEX(TabEntrainement[Seance],ROW()-18),"")</f>
        <v/>
      </c>
      <c r="C95" s="117"/>
      <c r="D95" s="117"/>
      <c r="E95" s="117"/>
      <c r="F95" s="117"/>
      <c r="G95" s="117"/>
      <c r="H95" s="117"/>
      <c r="I95" s="117"/>
      <c r="J95" s="117"/>
      <c r="K95" s="117"/>
      <c r="L95" s="117"/>
      <c r="M95" s="117"/>
      <c r="N95" s="117"/>
      <c r="O95" s="117"/>
      <c r="P95" s="117"/>
      <c r="Q95" s="117"/>
      <c r="R95" s="117"/>
      <c r="S95" s="117"/>
      <c r="T95" s="117"/>
      <c r="U95" s="117"/>
      <c r="V95" s="117"/>
      <c r="W95" s="117"/>
      <c r="X95" s="117"/>
      <c r="Y95" s="117"/>
      <c r="Z95" s="117"/>
      <c r="AA95" s="117"/>
      <c r="AB95" s="117"/>
      <c r="AC95" s="117"/>
      <c r="AD95" s="117"/>
      <c r="AE95" s="117"/>
      <c r="AF95" s="117"/>
      <c r="AG95" s="160" t="str">
        <f>IF(COUNTA(TabForme[[#This Row],[J1]:[J30]])&lt;&gt;0,AVERAGE(TabForme[[#This Row],[J1]:[J30]]),"")</f>
        <v/>
      </c>
      <c r="AH95" s="49" t="str">
        <f>TabForme[[#This Row],[Moyenne]]</f>
        <v/>
      </c>
      <c r="AI95" s="48"/>
    </row>
    <row r="96" spans="2:35" ht="14.25">
      <c r="B96" s="118" t="str">
        <f>IF(INDEX(TabEntrainement[Seance],ROW()-18)&lt;&gt;0,INDEX(TabEntrainement[Seance],ROW()-18),"")</f>
        <v/>
      </c>
      <c r="C96" s="117"/>
      <c r="D96" s="117"/>
      <c r="E96" s="117"/>
      <c r="F96" s="117"/>
      <c r="G96" s="117"/>
      <c r="H96" s="117"/>
      <c r="I96" s="117"/>
      <c r="J96" s="117"/>
      <c r="K96" s="117"/>
      <c r="L96" s="117"/>
      <c r="M96" s="117"/>
      <c r="N96" s="117"/>
      <c r="O96" s="117"/>
      <c r="P96" s="117"/>
      <c r="Q96" s="117"/>
      <c r="R96" s="117"/>
      <c r="S96" s="117"/>
      <c r="T96" s="117"/>
      <c r="U96" s="117"/>
      <c r="V96" s="117"/>
      <c r="W96" s="117"/>
      <c r="X96" s="117"/>
      <c r="Y96" s="117"/>
      <c r="Z96" s="117"/>
      <c r="AA96" s="117"/>
      <c r="AB96" s="117"/>
      <c r="AC96" s="117"/>
      <c r="AD96" s="117"/>
      <c r="AE96" s="117"/>
      <c r="AF96" s="117"/>
      <c r="AG96" s="160" t="str">
        <f>IF(COUNTA(TabForme[[#This Row],[J1]:[J30]])&lt;&gt;0,AVERAGE(TabForme[[#This Row],[J1]:[J30]]),"")</f>
        <v/>
      </c>
      <c r="AH96" s="49" t="str">
        <f>TabForme[[#This Row],[Moyenne]]</f>
        <v/>
      </c>
      <c r="AI96" s="48"/>
    </row>
    <row r="97" spans="2:35" ht="14.25">
      <c r="B97" s="118" t="str">
        <f>IF(INDEX(TabEntrainement[Seance],ROW()-18)&lt;&gt;0,INDEX(TabEntrainement[Seance],ROW()-18),"")</f>
        <v/>
      </c>
      <c r="C97" s="117"/>
      <c r="D97" s="117"/>
      <c r="E97" s="117"/>
      <c r="F97" s="117"/>
      <c r="G97" s="117"/>
      <c r="H97" s="117"/>
      <c r="I97" s="117"/>
      <c r="J97" s="117"/>
      <c r="K97" s="117"/>
      <c r="L97" s="117"/>
      <c r="M97" s="117"/>
      <c r="N97" s="117"/>
      <c r="O97" s="117"/>
      <c r="P97" s="117"/>
      <c r="Q97" s="117"/>
      <c r="R97" s="117"/>
      <c r="S97" s="117"/>
      <c r="T97" s="117"/>
      <c r="U97" s="117"/>
      <c r="V97" s="117"/>
      <c r="W97" s="117"/>
      <c r="X97" s="117"/>
      <c r="Y97" s="117"/>
      <c r="Z97" s="117"/>
      <c r="AA97" s="117"/>
      <c r="AB97" s="117"/>
      <c r="AC97" s="117"/>
      <c r="AD97" s="117"/>
      <c r="AE97" s="117"/>
      <c r="AF97" s="117"/>
      <c r="AG97" s="160" t="str">
        <f>IF(COUNTA(TabForme[[#This Row],[J1]:[J30]])&lt;&gt;0,AVERAGE(TabForme[[#This Row],[J1]:[J30]]),"")</f>
        <v/>
      </c>
      <c r="AH97" s="49" t="str">
        <f>TabForme[[#This Row],[Moyenne]]</f>
        <v/>
      </c>
      <c r="AI97" s="48"/>
    </row>
    <row r="98" spans="2:35" ht="14.25">
      <c r="B98" s="118" t="str">
        <f>IF(INDEX(TabEntrainement[Seance],ROW()-18)&lt;&gt;0,INDEX(TabEntrainement[Seance],ROW()-18),"")</f>
        <v/>
      </c>
      <c r="C98" s="117"/>
      <c r="D98" s="117"/>
      <c r="E98" s="117"/>
      <c r="F98" s="117"/>
      <c r="G98" s="117"/>
      <c r="H98" s="117"/>
      <c r="I98" s="117"/>
      <c r="J98" s="117"/>
      <c r="K98" s="117"/>
      <c r="L98" s="117"/>
      <c r="M98" s="117"/>
      <c r="N98" s="117"/>
      <c r="O98" s="117"/>
      <c r="P98" s="117"/>
      <c r="Q98" s="117"/>
      <c r="R98" s="117"/>
      <c r="S98" s="117"/>
      <c r="T98" s="117"/>
      <c r="U98" s="117"/>
      <c r="V98" s="117"/>
      <c r="W98" s="117"/>
      <c r="X98" s="117"/>
      <c r="Y98" s="117"/>
      <c r="Z98" s="117"/>
      <c r="AA98" s="117"/>
      <c r="AB98" s="117"/>
      <c r="AC98" s="117"/>
      <c r="AD98" s="117"/>
      <c r="AE98" s="117"/>
      <c r="AF98" s="117"/>
      <c r="AG98" s="160" t="str">
        <f>IF(COUNTA(TabForme[[#This Row],[J1]:[J30]])&lt;&gt;0,AVERAGE(TabForme[[#This Row],[J1]:[J30]]),"")</f>
        <v/>
      </c>
      <c r="AH98" s="49" t="str">
        <f>TabForme[[#This Row],[Moyenne]]</f>
        <v/>
      </c>
      <c r="AI98" s="48"/>
    </row>
    <row r="99" spans="2:35" ht="14.25">
      <c r="B99" s="118" t="str">
        <f>IF(INDEX(TabEntrainement[Seance],ROW()-18)&lt;&gt;0,INDEX(TabEntrainement[Seance],ROW()-18),"")</f>
        <v/>
      </c>
      <c r="C99" s="117"/>
      <c r="D99" s="117"/>
      <c r="E99" s="117"/>
      <c r="F99" s="117"/>
      <c r="G99" s="117"/>
      <c r="H99" s="117"/>
      <c r="I99" s="117"/>
      <c r="J99" s="117"/>
      <c r="K99" s="117"/>
      <c r="L99" s="117"/>
      <c r="M99" s="117"/>
      <c r="N99" s="117"/>
      <c r="O99" s="117"/>
      <c r="P99" s="117"/>
      <c r="Q99" s="117"/>
      <c r="R99" s="117"/>
      <c r="S99" s="117"/>
      <c r="T99" s="117"/>
      <c r="U99" s="117"/>
      <c r="V99" s="117"/>
      <c r="W99" s="117"/>
      <c r="X99" s="117"/>
      <c r="Y99" s="117"/>
      <c r="Z99" s="117"/>
      <c r="AA99" s="117"/>
      <c r="AB99" s="117"/>
      <c r="AC99" s="117"/>
      <c r="AD99" s="117"/>
      <c r="AE99" s="117"/>
      <c r="AF99" s="117"/>
      <c r="AG99" s="160" t="str">
        <f>IF(COUNTA(TabForme[[#This Row],[J1]:[J30]])&lt;&gt;0,AVERAGE(TabForme[[#This Row],[J1]:[J30]]),"")</f>
        <v/>
      </c>
      <c r="AH99" s="49" t="str">
        <f>TabForme[[#This Row],[Moyenne]]</f>
        <v/>
      </c>
      <c r="AI99" s="48"/>
    </row>
    <row r="100" spans="2:35" ht="14.25">
      <c r="B100" s="118" t="str">
        <f>IF(INDEX(TabEntrainement[Seance],ROW()-18)&lt;&gt;0,INDEX(TabEntrainement[Seance],ROW()-18),"")</f>
        <v/>
      </c>
      <c r="C100" s="117"/>
      <c r="D100" s="117"/>
      <c r="E100" s="117"/>
      <c r="F100" s="117"/>
      <c r="G100" s="117"/>
      <c r="H100" s="117"/>
      <c r="I100" s="117"/>
      <c r="J100" s="117"/>
      <c r="K100" s="117"/>
      <c r="L100" s="117"/>
      <c r="M100" s="117"/>
      <c r="N100" s="117"/>
      <c r="O100" s="117"/>
      <c r="P100" s="117"/>
      <c r="Q100" s="117"/>
      <c r="R100" s="117"/>
      <c r="S100" s="117"/>
      <c r="T100" s="117"/>
      <c r="U100" s="117"/>
      <c r="V100" s="117"/>
      <c r="W100" s="117"/>
      <c r="X100" s="117"/>
      <c r="Y100" s="117"/>
      <c r="Z100" s="117"/>
      <c r="AA100" s="117"/>
      <c r="AB100" s="117"/>
      <c r="AC100" s="117"/>
      <c r="AD100" s="117"/>
      <c r="AE100" s="117"/>
      <c r="AF100" s="117"/>
      <c r="AG100" s="160" t="str">
        <f>IF(COUNTA(TabForme[[#This Row],[J1]:[J30]])&lt;&gt;0,AVERAGE(TabForme[[#This Row],[J1]:[J30]]),"")</f>
        <v/>
      </c>
      <c r="AH100" s="49" t="str">
        <f>TabForme[[#This Row],[Moyenne]]</f>
        <v/>
      </c>
      <c r="AI100" s="48"/>
    </row>
    <row r="101" spans="2:35" ht="14.25">
      <c r="B101" s="118" t="str">
        <f>IF(INDEX(TabEntrainement[Seance],ROW()-18)&lt;&gt;0,INDEX(TabEntrainement[Seance],ROW()-18),"")</f>
        <v/>
      </c>
      <c r="C101" s="117"/>
      <c r="D101" s="117"/>
      <c r="E101" s="117"/>
      <c r="F101" s="117"/>
      <c r="G101" s="117"/>
      <c r="H101" s="117"/>
      <c r="I101" s="117"/>
      <c r="J101" s="117"/>
      <c r="K101" s="117"/>
      <c r="L101" s="117"/>
      <c r="M101" s="117"/>
      <c r="N101" s="117"/>
      <c r="O101" s="117"/>
      <c r="P101" s="117"/>
      <c r="Q101" s="117"/>
      <c r="R101" s="117"/>
      <c r="S101" s="117"/>
      <c r="T101" s="117"/>
      <c r="U101" s="117"/>
      <c r="V101" s="117"/>
      <c r="W101" s="117"/>
      <c r="X101" s="117"/>
      <c r="Y101" s="117"/>
      <c r="Z101" s="117"/>
      <c r="AA101" s="117"/>
      <c r="AB101" s="117"/>
      <c r="AC101" s="117"/>
      <c r="AD101" s="117"/>
      <c r="AE101" s="117"/>
      <c r="AF101" s="117"/>
      <c r="AG101" s="160" t="str">
        <f>IF(COUNTA(TabForme[[#This Row],[J1]:[J30]])&lt;&gt;0,AVERAGE(TabForme[[#This Row],[J1]:[J30]]),"")</f>
        <v/>
      </c>
      <c r="AH101" s="49" t="str">
        <f>TabForme[[#This Row],[Moyenne]]</f>
        <v/>
      </c>
      <c r="AI101" s="48"/>
    </row>
    <row r="102" spans="2:35" ht="14.25">
      <c r="B102" s="118" t="str">
        <f>IF(INDEX(TabEntrainement[Seance],ROW()-18)&lt;&gt;0,INDEX(TabEntrainement[Seance],ROW()-18),"")</f>
        <v/>
      </c>
      <c r="C102" s="117"/>
      <c r="D102" s="117"/>
      <c r="E102" s="117"/>
      <c r="F102" s="117"/>
      <c r="G102" s="117"/>
      <c r="H102" s="117"/>
      <c r="I102" s="117"/>
      <c r="J102" s="117"/>
      <c r="K102" s="117"/>
      <c r="L102" s="117"/>
      <c r="M102" s="117"/>
      <c r="N102" s="117"/>
      <c r="O102" s="117"/>
      <c r="P102" s="117"/>
      <c r="Q102" s="117"/>
      <c r="R102" s="117"/>
      <c r="S102" s="117"/>
      <c r="T102" s="117"/>
      <c r="U102" s="117"/>
      <c r="V102" s="117"/>
      <c r="W102" s="117"/>
      <c r="X102" s="117"/>
      <c r="Y102" s="117"/>
      <c r="Z102" s="117"/>
      <c r="AA102" s="117"/>
      <c r="AB102" s="117"/>
      <c r="AC102" s="117"/>
      <c r="AD102" s="117"/>
      <c r="AE102" s="117"/>
      <c r="AF102" s="117"/>
      <c r="AG102" s="160" t="str">
        <f>IF(COUNTA(TabForme[[#This Row],[J1]:[J30]])&lt;&gt;0,AVERAGE(TabForme[[#This Row],[J1]:[J30]]),"")</f>
        <v/>
      </c>
      <c r="AH102" s="49" t="str">
        <f>TabForme[[#This Row],[Moyenne]]</f>
        <v/>
      </c>
      <c r="AI102" s="48"/>
    </row>
    <row r="103" spans="2:35" ht="14.25">
      <c r="B103" s="118" t="str">
        <f>IF(INDEX(TabEntrainement[Seance],ROW()-18)&lt;&gt;0,INDEX(TabEntrainement[Seance],ROW()-18),"")</f>
        <v/>
      </c>
      <c r="C103" s="117"/>
      <c r="D103" s="117"/>
      <c r="E103" s="117"/>
      <c r="F103" s="117"/>
      <c r="G103" s="117"/>
      <c r="H103" s="117"/>
      <c r="I103" s="117"/>
      <c r="J103" s="117"/>
      <c r="K103" s="117"/>
      <c r="L103" s="117"/>
      <c r="M103" s="117"/>
      <c r="N103" s="117"/>
      <c r="O103" s="117"/>
      <c r="P103" s="117"/>
      <c r="Q103" s="117"/>
      <c r="R103" s="117"/>
      <c r="S103" s="117"/>
      <c r="T103" s="117"/>
      <c r="U103" s="117"/>
      <c r="V103" s="117"/>
      <c r="W103" s="117"/>
      <c r="X103" s="117"/>
      <c r="Y103" s="117"/>
      <c r="Z103" s="117"/>
      <c r="AA103" s="117"/>
      <c r="AB103" s="117"/>
      <c r="AC103" s="117"/>
      <c r="AD103" s="117"/>
      <c r="AE103" s="117"/>
      <c r="AF103" s="117"/>
      <c r="AG103" s="160" t="str">
        <f>IF(COUNTA(TabForme[[#This Row],[J1]:[J30]])&lt;&gt;0,AVERAGE(TabForme[[#This Row],[J1]:[J30]]),"")</f>
        <v/>
      </c>
      <c r="AH103" s="49" t="str">
        <f>TabForme[[#This Row],[Moyenne]]</f>
        <v/>
      </c>
      <c r="AI103" s="48"/>
    </row>
    <row r="104" spans="2:35" ht="14.25">
      <c r="B104" s="118" t="str">
        <f>IF(INDEX(TabEntrainement[Seance],ROW()-18)&lt;&gt;0,INDEX(TabEntrainement[Seance],ROW()-18),"")</f>
        <v/>
      </c>
      <c r="C104" s="117"/>
      <c r="D104" s="117"/>
      <c r="E104" s="117"/>
      <c r="F104" s="117"/>
      <c r="G104" s="117"/>
      <c r="H104" s="117"/>
      <c r="I104" s="117"/>
      <c r="J104" s="117"/>
      <c r="K104" s="117"/>
      <c r="L104" s="117"/>
      <c r="M104" s="117"/>
      <c r="N104" s="117"/>
      <c r="O104" s="117"/>
      <c r="P104" s="117"/>
      <c r="Q104" s="117"/>
      <c r="R104" s="117"/>
      <c r="S104" s="117"/>
      <c r="T104" s="117"/>
      <c r="U104" s="117"/>
      <c r="V104" s="117"/>
      <c r="W104" s="117"/>
      <c r="X104" s="117"/>
      <c r="Y104" s="117"/>
      <c r="Z104" s="117"/>
      <c r="AA104" s="117"/>
      <c r="AB104" s="117"/>
      <c r="AC104" s="117"/>
      <c r="AD104" s="117"/>
      <c r="AE104" s="117"/>
      <c r="AF104" s="117"/>
      <c r="AG104" s="160" t="str">
        <f>IF(COUNTA(TabForme[[#This Row],[J1]:[J30]])&lt;&gt;0,AVERAGE(TabForme[[#This Row],[J1]:[J30]]),"")</f>
        <v/>
      </c>
      <c r="AH104" s="49" t="str">
        <f>TabForme[[#This Row],[Moyenne]]</f>
        <v/>
      </c>
      <c r="AI104" s="48"/>
    </row>
    <row r="105" spans="2:35" ht="14.25">
      <c r="B105" s="118" t="str">
        <f>IF(INDEX(TabEntrainement[Seance],ROW()-18)&lt;&gt;0,INDEX(TabEntrainement[Seance],ROW()-18),"")</f>
        <v/>
      </c>
      <c r="C105" s="117"/>
      <c r="D105" s="117"/>
      <c r="E105" s="117"/>
      <c r="F105" s="117"/>
      <c r="G105" s="117"/>
      <c r="H105" s="117"/>
      <c r="I105" s="117"/>
      <c r="J105" s="117"/>
      <c r="K105" s="117"/>
      <c r="L105" s="117"/>
      <c r="M105" s="117"/>
      <c r="N105" s="117"/>
      <c r="O105" s="117"/>
      <c r="P105" s="117"/>
      <c r="Q105" s="117"/>
      <c r="R105" s="117"/>
      <c r="S105" s="117"/>
      <c r="T105" s="117"/>
      <c r="U105" s="117"/>
      <c r="V105" s="117"/>
      <c r="W105" s="117"/>
      <c r="X105" s="117"/>
      <c r="Y105" s="117"/>
      <c r="Z105" s="117"/>
      <c r="AA105" s="117"/>
      <c r="AB105" s="117"/>
      <c r="AC105" s="117"/>
      <c r="AD105" s="117"/>
      <c r="AE105" s="117"/>
      <c r="AF105" s="117"/>
      <c r="AG105" s="160" t="str">
        <f>IF(COUNTA(TabForme[[#This Row],[J1]:[J30]])&lt;&gt;0,AVERAGE(TabForme[[#This Row],[J1]:[J30]]),"")</f>
        <v/>
      </c>
      <c r="AH105" s="49" t="str">
        <f>TabForme[[#This Row],[Moyenne]]</f>
        <v/>
      </c>
      <c r="AI105" s="48"/>
    </row>
    <row r="106" spans="2:35" ht="14.25">
      <c r="B106" s="118" t="str">
        <f>IF(INDEX(TabEntrainement[Seance],ROW()-18)&lt;&gt;0,INDEX(TabEntrainement[Seance],ROW()-18),"")</f>
        <v/>
      </c>
      <c r="C106" s="117"/>
      <c r="D106" s="117"/>
      <c r="E106" s="117"/>
      <c r="F106" s="117"/>
      <c r="G106" s="117"/>
      <c r="H106" s="117"/>
      <c r="I106" s="117"/>
      <c r="J106" s="117"/>
      <c r="K106" s="117"/>
      <c r="L106" s="117"/>
      <c r="M106" s="117"/>
      <c r="N106" s="117"/>
      <c r="O106" s="117"/>
      <c r="P106" s="117"/>
      <c r="Q106" s="117"/>
      <c r="R106" s="117"/>
      <c r="S106" s="117"/>
      <c r="T106" s="117"/>
      <c r="U106" s="117"/>
      <c r="V106" s="117"/>
      <c r="W106" s="117"/>
      <c r="X106" s="117"/>
      <c r="Y106" s="117"/>
      <c r="Z106" s="117"/>
      <c r="AA106" s="117"/>
      <c r="AB106" s="117"/>
      <c r="AC106" s="117"/>
      <c r="AD106" s="117"/>
      <c r="AE106" s="117"/>
      <c r="AF106" s="117"/>
      <c r="AG106" s="160" t="str">
        <f>IF(COUNTA(TabForme[[#This Row],[J1]:[J30]])&lt;&gt;0,AVERAGE(TabForme[[#This Row],[J1]:[J30]]),"")</f>
        <v/>
      </c>
      <c r="AH106" s="49" t="str">
        <f>TabForme[[#This Row],[Moyenne]]</f>
        <v/>
      </c>
      <c r="AI106" s="48"/>
    </row>
    <row r="107" spans="2:35" ht="14.25">
      <c r="B107" s="118" t="str">
        <f>IF(INDEX(TabEntrainement[Seance],ROW()-18)&lt;&gt;0,INDEX(TabEntrainement[Seance],ROW()-18),"")</f>
        <v/>
      </c>
      <c r="C107" s="117"/>
      <c r="D107" s="117"/>
      <c r="E107" s="117"/>
      <c r="F107" s="117"/>
      <c r="G107" s="117"/>
      <c r="H107" s="117"/>
      <c r="I107" s="117"/>
      <c r="J107" s="117"/>
      <c r="K107" s="117"/>
      <c r="L107" s="117"/>
      <c r="M107" s="117"/>
      <c r="N107" s="117"/>
      <c r="O107" s="117"/>
      <c r="P107" s="117"/>
      <c r="Q107" s="117"/>
      <c r="R107" s="117"/>
      <c r="S107" s="117"/>
      <c r="T107" s="117"/>
      <c r="U107" s="117"/>
      <c r="V107" s="117"/>
      <c r="W107" s="117"/>
      <c r="X107" s="117"/>
      <c r="Y107" s="117"/>
      <c r="Z107" s="117"/>
      <c r="AA107" s="117"/>
      <c r="AB107" s="117"/>
      <c r="AC107" s="117"/>
      <c r="AD107" s="117"/>
      <c r="AE107" s="117"/>
      <c r="AF107" s="117"/>
      <c r="AG107" s="160" t="str">
        <f>IF(COUNTA(TabForme[[#This Row],[J1]:[J30]])&lt;&gt;0,AVERAGE(TabForme[[#This Row],[J1]:[J30]]),"")</f>
        <v/>
      </c>
      <c r="AH107" s="49" t="str">
        <f>TabForme[[#This Row],[Moyenne]]</f>
        <v/>
      </c>
      <c r="AI107" s="48"/>
    </row>
    <row r="108" spans="2:35" ht="14.25">
      <c r="B108" s="118" t="str">
        <f>IF(INDEX(TabEntrainement[Seance],ROW()-18)&lt;&gt;0,INDEX(TabEntrainement[Seance],ROW()-18),"")</f>
        <v/>
      </c>
      <c r="C108" s="117"/>
      <c r="D108" s="117"/>
      <c r="E108" s="117"/>
      <c r="F108" s="117"/>
      <c r="G108" s="117"/>
      <c r="H108" s="117"/>
      <c r="I108" s="117"/>
      <c r="J108" s="117"/>
      <c r="K108" s="117"/>
      <c r="L108" s="117"/>
      <c r="M108" s="117"/>
      <c r="N108" s="117"/>
      <c r="O108" s="117"/>
      <c r="P108" s="117"/>
      <c r="Q108" s="117"/>
      <c r="R108" s="117"/>
      <c r="S108" s="117"/>
      <c r="T108" s="117"/>
      <c r="U108" s="117"/>
      <c r="V108" s="117"/>
      <c r="W108" s="117"/>
      <c r="X108" s="117"/>
      <c r="Y108" s="117"/>
      <c r="Z108" s="117"/>
      <c r="AA108" s="117"/>
      <c r="AB108" s="117"/>
      <c r="AC108" s="117"/>
      <c r="AD108" s="117"/>
      <c r="AE108" s="117"/>
      <c r="AF108" s="117"/>
      <c r="AG108" s="160" t="str">
        <f>IF(COUNTA(TabForme[[#This Row],[J1]:[J30]])&lt;&gt;0,AVERAGE(TabForme[[#This Row],[J1]:[J30]]),"")</f>
        <v/>
      </c>
      <c r="AH108" s="49" t="str">
        <f>TabForme[[#This Row],[Moyenne]]</f>
        <v/>
      </c>
      <c r="AI108" s="48"/>
    </row>
    <row r="109" spans="2:35" ht="14.25">
      <c r="B109" s="118" t="str">
        <f>IF(INDEX(TabEntrainement[Seance],ROW()-18)&lt;&gt;0,INDEX(TabEntrainement[Seance],ROW()-18),"")</f>
        <v/>
      </c>
      <c r="C109" s="117"/>
      <c r="D109" s="117"/>
      <c r="E109" s="117"/>
      <c r="F109" s="117"/>
      <c r="G109" s="117"/>
      <c r="H109" s="117"/>
      <c r="I109" s="117"/>
      <c r="J109" s="117"/>
      <c r="K109" s="117"/>
      <c r="L109" s="117"/>
      <c r="M109" s="117"/>
      <c r="N109" s="117"/>
      <c r="O109" s="117"/>
      <c r="P109" s="117"/>
      <c r="Q109" s="117"/>
      <c r="R109" s="117"/>
      <c r="S109" s="117"/>
      <c r="T109" s="117"/>
      <c r="U109" s="117"/>
      <c r="V109" s="117"/>
      <c r="W109" s="117"/>
      <c r="X109" s="117"/>
      <c r="Y109" s="117"/>
      <c r="Z109" s="117"/>
      <c r="AA109" s="117"/>
      <c r="AB109" s="117"/>
      <c r="AC109" s="117"/>
      <c r="AD109" s="117"/>
      <c r="AE109" s="117"/>
      <c r="AF109" s="117"/>
      <c r="AG109" s="160" t="str">
        <f>IF(COUNTA(TabForme[[#This Row],[J1]:[J30]])&lt;&gt;0,AVERAGE(TabForme[[#This Row],[J1]:[J30]]),"")</f>
        <v/>
      </c>
      <c r="AH109" s="49" t="str">
        <f>TabForme[[#This Row],[Moyenne]]</f>
        <v/>
      </c>
      <c r="AI109" s="48"/>
    </row>
    <row r="110" spans="2:35" ht="14.25">
      <c r="B110" s="118" t="str">
        <f>IF(INDEX(TabEntrainement[Seance],ROW()-18)&lt;&gt;0,INDEX(TabEntrainement[Seance],ROW()-18),"")</f>
        <v/>
      </c>
      <c r="C110" s="117"/>
      <c r="D110" s="117"/>
      <c r="E110" s="117"/>
      <c r="F110" s="117"/>
      <c r="G110" s="117"/>
      <c r="H110" s="117"/>
      <c r="I110" s="117"/>
      <c r="J110" s="117"/>
      <c r="K110" s="117"/>
      <c r="L110" s="117"/>
      <c r="M110" s="117"/>
      <c r="N110" s="117"/>
      <c r="O110" s="117"/>
      <c r="P110" s="117"/>
      <c r="Q110" s="117"/>
      <c r="R110" s="117"/>
      <c r="S110" s="117"/>
      <c r="T110" s="117"/>
      <c r="U110" s="117"/>
      <c r="V110" s="117"/>
      <c r="W110" s="117"/>
      <c r="X110" s="117"/>
      <c r="Y110" s="117"/>
      <c r="Z110" s="117"/>
      <c r="AA110" s="117"/>
      <c r="AB110" s="117"/>
      <c r="AC110" s="117"/>
      <c r="AD110" s="117"/>
      <c r="AE110" s="117"/>
      <c r="AF110" s="117"/>
      <c r="AG110" s="160" t="str">
        <f>IF(COUNTA(TabForme[[#This Row],[J1]:[J30]])&lt;&gt;0,AVERAGE(TabForme[[#This Row],[J1]:[J30]]),"")</f>
        <v/>
      </c>
      <c r="AH110" s="49" t="str">
        <f>TabForme[[#This Row],[Moyenne]]</f>
        <v/>
      </c>
      <c r="AI110" s="48"/>
    </row>
    <row r="111" spans="2:35" ht="14.25">
      <c r="B111" s="118" t="str">
        <f>IF(INDEX(TabEntrainement[Seance],ROW()-18)&lt;&gt;0,INDEX(TabEntrainement[Seance],ROW()-18),"")</f>
        <v/>
      </c>
      <c r="C111" s="117"/>
      <c r="D111" s="117"/>
      <c r="E111" s="117"/>
      <c r="F111" s="117"/>
      <c r="G111" s="117"/>
      <c r="H111" s="117"/>
      <c r="I111" s="117"/>
      <c r="J111" s="117"/>
      <c r="K111" s="117"/>
      <c r="L111" s="117"/>
      <c r="M111" s="117"/>
      <c r="N111" s="117"/>
      <c r="O111" s="117"/>
      <c r="P111" s="117"/>
      <c r="Q111" s="117"/>
      <c r="R111" s="117"/>
      <c r="S111" s="117"/>
      <c r="T111" s="117"/>
      <c r="U111" s="117"/>
      <c r="V111" s="117"/>
      <c r="W111" s="117"/>
      <c r="X111" s="117"/>
      <c r="Y111" s="117"/>
      <c r="Z111" s="117"/>
      <c r="AA111" s="117"/>
      <c r="AB111" s="117"/>
      <c r="AC111" s="117"/>
      <c r="AD111" s="117"/>
      <c r="AE111" s="117"/>
      <c r="AF111" s="117"/>
      <c r="AG111" s="160" t="str">
        <f>IF(COUNTA(TabForme[[#This Row],[J1]:[J30]])&lt;&gt;0,AVERAGE(TabForme[[#This Row],[J1]:[J30]]),"")</f>
        <v/>
      </c>
      <c r="AH111" s="49" t="str">
        <f>TabForme[[#This Row],[Moyenne]]</f>
        <v/>
      </c>
      <c r="AI111" s="48"/>
    </row>
    <row r="112" spans="2:35" ht="14.25">
      <c r="B112" s="118" t="str">
        <f>IF(INDEX(TabEntrainement[Seance],ROW()-18)&lt;&gt;0,INDEX(TabEntrainement[Seance],ROW()-18),"")</f>
        <v/>
      </c>
      <c r="C112" s="117"/>
      <c r="D112" s="117"/>
      <c r="E112" s="117"/>
      <c r="F112" s="117"/>
      <c r="G112" s="117"/>
      <c r="H112" s="117"/>
      <c r="I112" s="117"/>
      <c r="J112" s="117"/>
      <c r="K112" s="117"/>
      <c r="L112" s="117"/>
      <c r="M112" s="117"/>
      <c r="N112" s="117"/>
      <c r="O112" s="117"/>
      <c r="P112" s="117"/>
      <c r="Q112" s="117"/>
      <c r="R112" s="117"/>
      <c r="S112" s="117"/>
      <c r="T112" s="117"/>
      <c r="U112" s="117"/>
      <c r="V112" s="117"/>
      <c r="W112" s="117"/>
      <c r="X112" s="117"/>
      <c r="Y112" s="117"/>
      <c r="Z112" s="117"/>
      <c r="AA112" s="117"/>
      <c r="AB112" s="117"/>
      <c r="AC112" s="117"/>
      <c r="AD112" s="117"/>
      <c r="AE112" s="117"/>
      <c r="AF112" s="117"/>
      <c r="AG112" s="160" t="str">
        <f>IF(COUNTA(TabForme[[#This Row],[J1]:[J30]])&lt;&gt;0,AVERAGE(TabForme[[#This Row],[J1]:[J30]]),"")</f>
        <v/>
      </c>
      <c r="AH112" s="49" t="str">
        <f>TabForme[[#This Row],[Moyenne]]</f>
        <v/>
      </c>
      <c r="AI112" s="48"/>
    </row>
    <row r="113" spans="2:35" ht="14.25">
      <c r="B113" s="118" t="str">
        <f>IF(INDEX(TabEntrainement[Seance],ROW()-18)&lt;&gt;0,INDEX(TabEntrainement[Seance],ROW()-18),"")</f>
        <v/>
      </c>
      <c r="C113" s="117"/>
      <c r="D113" s="117"/>
      <c r="E113" s="117"/>
      <c r="F113" s="117"/>
      <c r="G113" s="117"/>
      <c r="H113" s="117"/>
      <c r="I113" s="117"/>
      <c r="J113" s="117"/>
      <c r="K113" s="117"/>
      <c r="L113" s="117"/>
      <c r="M113" s="117"/>
      <c r="N113" s="117"/>
      <c r="O113" s="117"/>
      <c r="P113" s="117"/>
      <c r="Q113" s="117"/>
      <c r="R113" s="117"/>
      <c r="S113" s="117"/>
      <c r="T113" s="117"/>
      <c r="U113" s="117"/>
      <c r="V113" s="117"/>
      <c r="W113" s="117"/>
      <c r="X113" s="117"/>
      <c r="Y113" s="117"/>
      <c r="Z113" s="117"/>
      <c r="AA113" s="117"/>
      <c r="AB113" s="117"/>
      <c r="AC113" s="117"/>
      <c r="AD113" s="117"/>
      <c r="AE113" s="117"/>
      <c r="AF113" s="117"/>
      <c r="AG113" s="160" t="str">
        <f>IF(COUNTA(TabForme[[#This Row],[J1]:[J30]])&lt;&gt;0,AVERAGE(TabForme[[#This Row],[J1]:[J30]]),"")</f>
        <v/>
      </c>
      <c r="AH113" s="49" t="str">
        <f>TabForme[[#This Row],[Moyenne]]</f>
        <v/>
      </c>
      <c r="AI113" s="48"/>
    </row>
    <row r="114" spans="2:35" ht="14.25">
      <c r="B114" s="118" t="str">
        <f>IF(INDEX(TabEntrainement[Seance],ROW()-18)&lt;&gt;0,INDEX(TabEntrainement[Seance],ROW()-18),"")</f>
        <v/>
      </c>
      <c r="C114" s="117"/>
      <c r="D114" s="117"/>
      <c r="E114" s="117"/>
      <c r="F114" s="117"/>
      <c r="G114" s="117"/>
      <c r="H114" s="117"/>
      <c r="I114" s="117"/>
      <c r="J114" s="117"/>
      <c r="K114" s="117"/>
      <c r="L114" s="117"/>
      <c r="M114" s="117"/>
      <c r="N114" s="117"/>
      <c r="O114" s="117"/>
      <c r="P114" s="117"/>
      <c r="Q114" s="117"/>
      <c r="R114" s="117"/>
      <c r="S114" s="117"/>
      <c r="T114" s="117"/>
      <c r="U114" s="117"/>
      <c r="V114" s="117"/>
      <c r="W114" s="117"/>
      <c r="X114" s="117"/>
      <c r="Y114" s="117"/>
      <c r="Z114" s="117"/>
      <c r="AA114" s="117"/>
      <c r="AB114" s="117"/>
      <c r="AC114" s="117"/>
      <c r="AD114" s="117"/>
      <c r="AE114" s="117"/>
      <c r="AF114" s="117"/>
      <c r="AG114" s="160" t="str">
        <f>IF(COUNTA(TabForme[[#This Row],[J1]:[J30]])&lt;&gt;0,AVERAGE(TabForme[[#This Row],[J1]:[J30]]),"")</f>
        <v/>
      </c>
      <c r="AH114" s="49" t="str">
        <f>TabForme[[#This Row],[Moyenne]]</f>
        <v/>
      </c>
      <c r="AI114" s="48"/>
    </row>
    <row r="115" spans="2:35" ht="14.25">
      <c r="B115" s="118" t="str">
        <f>IF(INDEX(TabEntrainement[Seance],ROW()-18)&lt;&gt;0,INDEX(TabEntrainement[Seance],ROW()-18),"")</f>
        <v/>
      </c>
      <c r="C115" s="117"/>
      <c r="D115" s="117"/>
      <c r="E115" s="117"/>
      <c r="F115" s="117"/>
      <c r="G115" s="117"/>
      <c r="H115" s="117"/>
      <c r="I115" s="117"/>
      <c r="J115" s="117"/>
      <c r="K115" s="117"/>
      <c r="L115" s="117"/>
      <c r="M115" s="117"/>
      <c r="N115" s="117"/>
      <c r="O115" s="117"/>
      <c r="P115" s="117"/>
      <c r="Q115" s="117"/>
      <c r="R115" s="117"/>
      <c r="S115" s="117"/>
      <c r="T115" s="117"/>
      <c r="U115" s="117"/>
      <c r="V115" s="117"/>
      <c r="W115" s="117"/>
      <c r="X115" s="117"/>
      <c r="Y115" s="117"/>
      <c r="Z115" s="117"/>
      <c r="AA115" s="117"/>
      <c r="AB115" s="117"/>
      <c r="AC115" s="117"/>
      <c r="AD115" s="117"/>
      <c r="AE115" s="117"/>
      <c r="AF115" s="117"/>
      <c r="AG115" s="160" t="str">
        <f>IF(COUNTA(TabForme[[#This Row],[J1]:[J30]])&lt;&gt;0,AVERAGE(TabForme[[#This Row],[J1]:[J30]]),"")</f>
        <v/>
      </c>
      <c r="AH115" s="49" t="str">
        <f>TabForme[[#This Row],[Moyenne]]</f>
        <v/>
      </c>
      <c r="AI115" s="48"/>
    </row>
    <row r="116" spans="2:35" ht="14.25">
      <c r="B116" s="118" t="str">
        <f>IF(INDEX(TabEntrainement[Seance],ROW()-18)&lt;&gt;0,INDEX(TabEntrainement[Seance],ROW()-18),"")</f>
        <v/>
      </c>
      <c r="C116" s="117"/>
      <c r="D116" s="117"/>
      <c r="E116" s="117"/>
      <c r="F116" s="117"/>
      <c r="G116" s="117"/>
      <c r="H116" s="117"/>
      <c r="I116" s="117"/>
      <c r="J116" s="117"/>
      <c r="K116" s="117"/>
      <c r="L116" s="117"/>
      <c r="M116" s="117"/>
      <c r="N116" s="117"/>
      <c r="O116" s="117"/>
      <c r="P116" s="117"/>
      <c r="Q116" s="117"/>
      <c r="R116" s="117"/>
      <c r="S116" s="117"/>
      <c r="T116" s="117"/>
      <c r="U116" s="117"/>
      <c r="V116" s="117"/>
      <c r="W116" s="117"/>
      <c r="X116" s="117"/>
      <c r="Y116" s="117"/>
      <c r="Z116" s="117"/>
      <c r="AA116" s="117"/>
      <c r="AB116" s="117"/>
      <c r="AC116" s="117"/>
      <c r="AD116" s="117"/>
      <c r="AE116" s="117"/>
      <c r="AF116" s="117"/>
      <c r="AG116" s="160" t="str">
        <f>IF(COUNTA(TabForme[[#This Row],[J1]:[J30]])&lt;&gt;0,AVERAGE(TabForme[[#This Row],[J1]:[J30]]),"")</f>
        <v/>
      </c>
      <c r="AH116" s="49" t="str">
        <f>TabForme[[#This Row],[Moyenne]]</f>
        <v/>
      </c>
      <c r="AI116" s="48"/>
    </row>
    <row r="117" spans="2:35" ht="14.25">
      <c r="B117" s="118" t="str">
        <f>IF(INDEX(TabEntrainement[Seance],ROW()-18)&lt;&gt;0,INDEX(TabEntrainement[Seance],ROW()-18),"")</f>
        <v/>
      </c>
      <c r="C117" s="117"/>
      <c r="D117" s="117"/>
      <c r="E117" s="117"/>
      <c r="F117" s="117"/>
      <c r="G117" s="117"/>
      <c r="H117" s="117"/>
      <c r="I117" s="117"/>
      <c r="J117" s="117"/>
      <c r="K117" s="117"/>
      <c r="L117" s="117"/>
      <c r="M117" s="117"/>
      <c r="N117" s="117"/>
      <c r="O117" s="117"/>
      <c r="P117" s="117"/>
      <c r="Q117" s="117"/>
      <c r="R117" s="117"/>
      <c r="S117" s="117"/>
      <c r="T117" s="117"/>
      <c r="U117" s="117"/>
      <c r="V117" s="117"/>
      <c r="W117" s="117"/>
      <c r="X117" s="117"/>
      <c r="Y117" s="117"/>
      <c r="Z117" s="117"/>
      <c r="AA117" s="117"/>
      <c r="AB117" s="117"/>
      <c r="AC117" s="117"/>
      <c r="AD117" s="117"/>
      <c r="AE117" s="117"/>
      <c r="AF117" s="117"/>
      <c r="AG117" s="160" t="str">
        <f>IF(COUNTA(TabForme[[#This Row],[J1]:[J30]])&lt;&gt;0,AVERAGE(TabForme[[#This Row],[J1]:[J30]]),"")</f>
        <v/>
      </c>
      <c r="AH117" s="49" t="str">
        <f>TabForme[[#This Row],[Moyenne]]</f>
        <v/>
      </c>
      <c r="AI117" s="48"/>
    </row>
    <row r="118" spans="2:35" ht="14.25">
      <c r="B118" s="118" t="str">
        <f>IF(INDEX(TabEntrainement[Seance],ROW()-18)&lt;&gt;0,INDEX(TabEntrainement[Seance],ROW()-18),"")</f>
        <v/>
      </c>
      <c r="C118" s="117"/>
      <c r="D118" s="117"/>
      <c r="E118" s="117"/>
      <c r="F118" s="117"/>
      <c r="G118" s="117"/>
      <c r="H118" s="117"/>
      <c r="I118" s="117"/>
      <c r="J118" s="117"/>
      <c r="K118" s="117"/>
      <c r="L118" s="117"/>
      <c r="M118" s="117"/>
      <c r="N118" s="117"/>
      <c r="O118" s="117"/>
      <c r="P118" s="117"/>
      <c r="Q118" s="117"/>
      <c r="R118" s="117"/>
      <c r="S118" s="117"/>
      <c r="T118" s="117"/>
      <c r="U118" s="117"/>
      <c r="V118" s="117"/>
      <c r="W118" s="117"/>
      <c r="X118" s="117"/>
      <c r="Y118" s="117"/>
      <c r="Z118" s="117"/>
      <c r="AA118" s="117"/>
      <c r="AB118" s="117"/>
      <c r="AC118" s="117"/>
      <c r="AD118" s="117"/>
      <c r="AE118" s="117"/>
      <c r="AF118" s="117"/>
      <c r="AG118" s="160" t="str">
        <f>IF(COUNTA(TabForme[[#This Row],[J1]:[J30]])&lt;&gt;0,AVERAGE(TabForme[[#This Row],[J1]:[J30]]),"")</f>
        <v/>
      </c>
      <c r="AH118" s="49" t="str">
        <f>TabForme[[#This Row],[Moyenne]]</f>
        <v/>
      </c>
      <c r="AI118" s="48"/>
    </row>
    <row r="119" spans="2:35" ht="14.25">
      <c r="B119" s="118" t="str">
        <f>IF(INDEX(TabEntrainement[Seance],ROW()-18)&lt;&gt;0,INDEX(TabEntrainement[Seance],ROW()-18),"")</f>
        <v/>
      </c>
      <c r="C119" s="117"/>
      <c r="D119" s="117"/>
      <c r="E119" s="117"/>
      <c r="F119" s="117"/>
      <c r="G119" s="117"/>
      <c r="H119" s="117"/>
      <c r="I119" s="117"/>
      <c r="J119" s="117"/>
      <c r="K119" s="117"/>
      <c r="L119" s="117"/>
      <c r="M119" s="117"/>
      <c r="N119" s="117"/>
      <c r="O119" s="117"/>
      <c r="P119" s="117"/>
      <c r="Q119" s="117"/>
      <c r="R119" s="117"/>
      <c r="S119" s="117"/>
      <c r="T119" s="117"/>
      <c r="U119" s="117"/>
      <c r="V119" s="117"/>
      <c r="W119" s="117"/>
      <c r="X119" s="117"/>
      <c r="Y119" s="117"/>
      <c r="Z119" s="117"/>
      <c r="AA119" s="117"/>
      <c r="AB119" s="117"/>
      <c r="AC119" s="117"/>
      <c r="AD119" s="117"/>
      <c r="AE119" s="117"/>
      <c r="AF119" s="117"/>
      <c r="AG119" s="160" t="str">
        <f>IF(COUNTA(TabForme[[#This Row],[J1]:[J30]])&lt;&gt;0,AVERAGE(TabForme[[#This Row],[J1]:[J30]]),"")</f>
        <v/>
      </c>
      <c r="AH119" s="49" t="str">
        <f>TabForme[[#This Row],[Moyenne]]</f>
        <v/>
      </c>
      <c r="AI119" s="48"/>
    </row>
    <row r="120" spans="2:35" ht="14.25">
      <c r="B120" s="118" t="str">
        <f>IF(INDEX(TabEntrainement[Seance],ROW()-18)&lt;&gt;0,INDEX(TabEntrainement[Seance],ROW()-18),"")</f>
        <v/>
      </c>
      <c r="C120" s="117"/>
      <c r="D120" s="117"/>
      <c r="E120" s="117"/>
      <c r="F120" s="117"/>
      <c r="G120" s="117"/>
      <c r="H120" s="117"/>
      <c r="I120" s="117"/>
      <c r="J120" s="117"/>
      <c r="K120" s="117"/>
      <c r="L120" s="117"/>
      <c r="M120" s="117"/>
      <c r="N120" s="117"/>
      <c r="O120" s="117"/>
      <c r="P120" s="117"/>
      <c r="Q120" s="117"/>
      <c r="R120" s="117"/>
      <c r="S120" s="117"/>
      <c r="T120" s="117"/>
      <c r="U120" s="117"/>
      <c r="V120" s="117"/>
      <c r="W120" s="117"/>
      <c r="X120" s="117"/>
      <c r="Y120" s="117"/>
      <c r="Z120" s="117"/>
      <c r="AA120" s="117"/>
      <c r="AB120" s="117"/>
      <c r="AC120" s="117"/>
      <c r="AD120" s="117"/>
      <c r="AE120" s="117"/>
      <c r="AF120" s="117"/>
      <c r="AG120" s="160" t="str">
        <f>IF(COUNTA(TabForme[[#This Row],[J1]:[J30]])&lt;&gt;0,AVERAGE(TabForme[[#This Row],[J1]:[J30]]),"")</f>
        <v/>
      </c>
      <c r="AH120" s="49" t="str">
        <f>TabForme[[#This Row],[Moyenne]]</f>
        <v/>
      </c>
      <c r="AI120" s="48"/>
    </row>
    <row r="121" spans="2:35" ht="14.25">
      <c r="B121" s="118" t="str">
        <f>IF(INDEX(TabEntrainement[Seance],ROW()-18)&lt;&gt;0,INDEX(TabEntrainement[Seance],ROW()-18),"")</f>
        <v/>
      </c>
      <c r="C121" s="117"/>
      <c r="D121" s="117"/>
      <c r="E121" s="117"/>
      <c r="F121" s="117"/>
      <c r="G121" s="117"/>
      <c r="H121" s="117"/>
      <c r="I121" s="117"/>
      <c r="J121" s="117"/>
      <c r="K121" s="117"/>
      <c r="L121" s="117"/>
      <c r="M121" s="117"/>
      <c r="N121" s="117"/>
      <c r="O121" s="117"/>
      <c r="P121" s="117"/>
      <c r="Q121" s="117"/>
      <c r="R121" s="117"/>
      <c r="S121" s="117"/>
      <c r="T121" s="117"/>
      <c r="U121" s="117"/>
      <c r="V121" s="117"/>
      <c r="W121" s="117"/>
      <c r="X121" s="117"/>
      <c r="Y121" s="117"/>
      <c r="Z121" s="117"/>
      <c r="AA121" s="117"/>
      <c r="AB121" s="117"/>
      <c r="AC121" s="117"/>
      <c r="AD121" s="117"/>
      <c r="AE121" s="117"/>
      <c r="AF121" s="117"/>
      <c r="AG121" s="160" t="str">
        <f>IF(COUNTA(TabForme[[#This Row],[J1]:[J30]])&lt;&gt;0,AVERAGE(TabForme[[#This Row],[J1]:[J30]]),"")</f>
        <v/>
      </c>
      <c r="AH121" s="49" t="str">
        <f>TabForme[[#This Row],[Moyenne]]</f>
        <v/>
      </c>
      <c r="AI121" s="48"/>
    </row>
    <row r="122" spans="2:35" ht="14.25">
      <c r="B122" s="118" t="str">
        <f>IF(INDEX(TabEntrainement[Seance],ROW()-18)&lt;&gt;0,INDEX(TabEntrainement[Seance],ROW()-18),"")</f>
        <v/>
      </c>
      <c r="C122" s="117"/>
      <c r="D122" s="117"/>
      <c r="E122" s="117"/>
      <c r="F122" s="117"/>
      <c r="G122" s="117"/>
      <c r="H122" s="117"/>
      <c r="I122" s="117"/>
      <c r="J122" s="117"/>
      <c r="K122" s="117"/>
      <c r="L122" s="117"/>
      <c r="M122" s="117"/>
      <c r="N122" s="117"/>
      <c r="O122" s="117"/>
      <c r="P122" s="117"/>
      <c r="Q122" s="117"/>
      <c r="R122" s="117"/>
      <c r="S122" s="117"/>
      <c r="T122" s="117"/>
      <c r="U122" s="117"/>
      <c r="V122" s="117"/>
      <c r="W122" s="117"/>
      <c r="X122" s="117"/>
      <c r="Y122" s="117"/>
      <c r="Z122" s="117"/>
      <c r="AA122" s="117"/>
      <c r="AB122" s="117"/>
      <c r="AC122" s="117"/>
      <c r="AD122" s="117"/>
      <c r="AE122" s="117"/>
      <c r="AF122" s="117"/>
      <c r="AG122" s="160" t="str">
        <f>IF(COUNTA(TabForme[[#This Row],[J1]:[J30]])&lt;&gt;0,AVERAGE(TabForme[[#This Row],[J1]:[J30]]),"")</f>
        <v/>
      </c>
      <c r="AH122" s="49" t="str">
        <f>TabForme[[#This Row],[Moyenne]]</f>
        <v/>
      </c>
      <c r="AI122" s="48"/>
    </row>
    <row r="123" spans="2:35" ht="14.25">
      <c r="B123" s="118" t="str">
        <f>IF(INDEX(TabEntrainement[Seance],ROW()-18)&lt;&gt;0,INDEX(TabEntrainement[Seance],ROW()-18),"")</f>
        <v/>
      </c>
      <c r="C123" s="117"/>
      <c r="D123" s="117"/>
      <c r="E123" s="117"/>
      <c r="F123" s="117"/>
      <c r="G123" s="117"/>
      <c r="H123" s="117"/>
      <c r="I123" s="117"/>
      <c r="J123" s="117"/>
      <c r="K123" s="117"/>
      <c r="L123" s="117"/>
      <c r="M123" s="117"/>
      <c r="N123" s="117"/>
      <c r="O123" s="117"/>
      <c r="P123" s="117"/>
      <c r="Q123" s="117"/>
      <c r="R123" s="117"/>
      <c r="S123" s="117"/>
      <c r="T123" s="117"/>
      <c r="U123" s="117"/>
      <c r="V123" s="117"/>
      <c r="W123" s="117"/>
      <c r="X123" s="117"/>
      <c r="Y123" s="117"/>
      <c r="Z123" s="117"/>
      <c r="AA123" s="117"/>
      <c r="AB123" s="117"/>
      <c r="AC123" s="117"/>
      <c r="AD123" s="117"/>
      <c r="AE123" s="117"/>
      <c r="AF123" s="117"/>
      <c r="AG123" s="160" t="str">
        <f>IF(COUNTA(TabForme[[#This Row],[J1]:[J30]])&lt;&gt;0,AVERAGE(TabForme[[#This Row],[J1]:[J30]]),"")</f>
        <v/>
      </c>
      <c r="AH123" s="49" t="str">
        <f>TabForme[[#This Row],[Moyenne]]</f>
        <v/>
      </c>
      <c r="AI123" s="48"/>
    </row>
    <row r="124" spans="2:35" ht="14.25">
      <c r="B124" s="118" t="str">
        <f>IF(INDEX(TabEntrainement[Seance],ROW()-18)&lt;&gt;0,INDEX(TabEntrainement[Seance],ROW()-18),"")</f>
        <v/>
      </c>
      <c r="C124" s="117"/>
      <c r="D124" s="117"/>
      <c r="E124" s="117"/>
      <c r="F124" s="117"/>
      <c r="G124" s="117"/>
      <c r="H124" s="117"/>
      <c r="I124" s="117"/>
      <c r="J124" s="117"/>
      <c r="K124" s="117"/>
      <c r="L124" s="117"/>
      <c r="M124" s="117"/>
      <c r="N124" s="117"/>
      <c r="O124" s="117"/>
      <c r="P124" s="117"/>
      <c r="Q124" s="117"/>
      <c r="R124" s="117"/>
      <c r="S124" s="117"/>
      <c r="T124" s="117"/>
      <c r="U124" s="117"/>
      <c r="V124" s="117"/>
      <c r="W124" s="117"/>
      <c r="X124" s="117"/>
      <c r="Y124" s="117"/>
      <c r="Z124" s="117"/>
      <c r="AA124" s="117"/>
      <c r="AB124" s="117"/>
      <c r="AC124" s="117"/>
      <c r="AD124" s="117"/>
      <c r="AE124" s="117"/>
      <c r="AF124" s="117"/>
      <c r="AG124" s="160" t="str">
        <f>IF(COUNTA(TabForme[[#This Row],[J1]:[J30]])&lt;&gt;0,AVERAGE(TabForme[[#This Row],[J1]:[J30]]),"")</f>
        <v/>
      </c>
      <c r="AH124" s="49" t="str">
        <f>TabForme[[#This Row],[Moyenne]]</f>
        <v/>
      </c>
      <c r="AI124" s="48"/>
    </row>
    <row r="125" spans="2:35" ht="14.25">
      <c r="B125" s="118" t="str">
        <f>IF(INDEX(TabEntrainement[Seance],ROW()-18)&lt;&gt;0,INDEX(TabEntrainement[Seance],ROW()-18),"")</f>
        <v/>
      </c>
      <c r="C125" s="117"/>
      <c r="D125" s="117"/>
      <c r="E125" s="117"/>
      <c r="F125" s="117"/>
      <c r="G125" s="117"/>
      <c r="H125" s="117"/>
      <c r="I125" s="117"/>
      <c r="J125" s="117"/>
      <c r="K125" s="117"/>
      <c r="L125" s="117"/>
      <c r="M125" s="117"/>
      <c r="N125" s="117"/>
      <c r="O125" s="117"/>
      <c r="P125" s="117"/>
      <c r="Q125" s="117"/>
      <c r="R125" s="117"/>
      <c r="S125" s="117"/>
      <c r="T125" s="117"/>
      <c r="U125" s="117"/>
      <c r="V125" s="117"/>
      <c r="W125" s="117"/>
      <c r="X125" s="117"/>
      <c r="Y125" s="117"/>
      <c r="Z125" s="117"/>
      <c r="AA125" s="117"/>
      <c r="AB125" s="117"/>
      <c r="AC125" s="117"/>
      <c r="AD125" s="117"/>
      <c r="AE125" s="117"/>
      <c r="AF125" s="117"/>
      <c r="AG125" s="160" t="str">
        <f>IF(COUNTA(TabForme[[#This Row],[J1]:[J30]])&lt;&gt;0,AVERAGE(TabForme[[#This Row],[J1]:[J30]]),"")</f>
        <v/>
      </c>
      <c r="AH125" s="49" t="str">
        <f>TabForme[[#This Row],[Moyenne]]</f>
        <v/>
      </c>
      <c r="AI125" s="48"/>
    </row>
    <row r="126" spans="2:35" ht="14.25">
      <c r="B126" s="118" t="str">
        <f>IF(INDEX(TabEntrainement[Seance],ROW()-18)&lt;&gt;0,INDEX(TabEntrainement[Seance],ROW()-18),"")</f>
        <v/>
      </c>
      <c r="C126" s="117"/>
      <c r="D126" s="117"/>
      <c r="E126" s="117"/>
      <c r="F126" s="117"/>
      <c r="G126" s="117"/>
      <c r="H126" s="117"/>
      <c r="I126" s="117"/>
      <c r="J126" s="117"/>
      <c r="K126" s="117"/>
      <c r="L126" s="117"/>
      <c r="M126" s="117"/>
      <c r="N126" s="117"/>
      <c r="O126" s="117"/>
      <c r="P126" s="117"/>
      <c r="Q126" s="117"/>
      <c r="R126" s="117"/>
      <c r="S126" s="117"/>
      <c r="T126" s="117"/>
      <c r="U126" s="117"/>
      <c r="V126" s="117"/>
      <c r="W126" s="117"/>
      <c r="X126" s="117"/>
      <c r="Y126" s="117"/>
      <c r="Z126" s="117"/>
      <c r="AA126" s="117"/>
      <c r="AB126" s="117"/>
      <c r="AC126" s="117"/>
      <c r="AD126" s="117"/>
      <c r="AE126" s="117"/>
      <c r="AF126" s="117"/>
      <c r="AG126" s="160" t="str">
        <f>IF(COUNTA(TabForme[[#This Row],[J1]:[J30]])&lt;&gt;0,AVERAGE(TabForme[[#This Row],[J1]:[J30]]),"")</f>
        <v/>
      </c>
      <c r="AH126" s="49" t="str">
        <f>TabForme[[#This Row],[Moyenne]]</f>
        <v/>
      </c>
      <c r="AI126" s="48"/>
    </row>
    <row r="127" spans="2:35" ht="14.25">
      <c r="B127" s="118" t="str">
        <f>IF(INDEX(TabEntrainement[Seance],ROW()-18)&lt;&gt;0,INDEX(TabEntrainement[Seance],ROW()-18),"")</f>
        <v/>
      </c>
      <c r="C127" s="117"/>
      <c r="D127" s="117"/>
      <c r="E127" s="117"/>
      <c r="F127" s="117"/>
      <c r="G127" s="117"/>
      <c r="H127" s="117"/>
      <c r="I127" s="117"/>
      <c r="J127" s="117"/>
      <c r="K127" s="117"/>
      <c r="L127" s="117"/>
      <c r="M127" s="117"/>
      <c r="N127" s="117"/>
      <c r="O127" s="117"/>
      <c r="P127" s="117"/>
      <c r="Q127" s="117"/>
      <c r="R127" s="117"/>
      <c r="S127" s="117"/>
      <c r="T127" s="117"/>
      <c r="U127" s="117"/>
      <c r="V127" s="117"/>
      <c r="W127" s="117"/>
      <c r="X127" s="117"/>
      <c r="Y127" s="117"/>
      <c r="Z127" s="117"/>
      <c r="AA127" s="117"/>
      <c r="AB127" s="117"/>
      <c r="AC127" s="117"/>
      <c r="AD127" s="117"/>
      <c r="AE127" s="117"/>
      <c r="AF127" s="117"/>
      <c r="AG127" s="160" t="str">
        <f>IF(COUNTA(TabForme[[#This Row],[J1]:[J30]])&lt;&gt;0,AVERAGE(TabForme[[#This Row],[J1]:[J30]]),"")</f>
        <v/>
      </c>
      <c r="AH127" s="49" t="str">
        <f>TabForme[[#This Row],[Moyenne]]</f>
        <v/>
      </c>
      <c r="AI127" s="48"/>
    </row>
    <row r="128" spans="2:35" ht="14.25">
      <c r="B128" s="118" t="str">
        <f>IF(INDEX(TabEntrainement[Seance],ROW()-18)&lt;&gt;0,INDEX(TabEntrainement[Seance],ROW()-18),"")</f>
        <v/>
      </c>
      <c r="C128" s="117"/>
      <c r="D128" s="117"/>
      <c r="E128" s="117"/>
      <c r="F128" s="117"/>
      <c r="G128" s="117"/>
      <c r="H128" s="117"/>
      <c r="I128" s="117"/>
      <c r="J128" s="117"/>
      <c r="K128" s="117"/>
      <c r="L128" s="117"/>
      <c r="M128" s="117"/>
      <c r="N128" s="117"/>
      <c r="O128" s="117"/>
      <c r="P128" s="117"/>
      <c r="Q128" s="117"/>
      <c r="R128" s="117"/>
      <c r="S128" s="117"/>
      <c r="T128" s="117"/>
      <c r="U128" s="117"/>
      <c r="V128" s="117"/>
      <c r="W128" s="117"/>
      <c r="X128" s="117"/>
      <c r="Y128" s="117"/>
      <c r="Z128" s="117"/>
      <c r="AA128" s="117"/>
      <c r="AB128" s="117"/>
      <c r="AC128" s="117"/>
      <c r="AD128" s="117"/>
      <c r="AE128" s="117"/>
      <c r="AF128" s="117"/>
      <c r="AG128" s="160" t="str">
        <f>IF(COUNTA(TabForme[[#This Row],[J1]:[J30]])&lt;&gt;0,AVERAGE(TabForme[[#This Row],[J1]:[J30]]),"")</f>
        <v/>
      </c>
      <c r="AH128" s="49" t="str">
        <f>TabForme[[#This Row],[Moyenne]]</f>
        <v/>
      </c>
      <c r="AI128" s="48"/>
    </row>
    <row r="129" spans="2:35" ht="14.25">
      <c r="B129" s="118" t="str">
        <f>IF(INDEX(TabEntrainement[Seance],ROW()-18)&lt;&gt;0,INDEX(TabEntrainement[Seance],ROW()-18),"")</f>
        <v/>
      </c>
      <c r="C129" s="117"/>
      <c r="D129" s="117"/>
      <c r="E129" s="117"/>
      <c r="F129" s="117"/>
      <c r="G129" s="117"/>
      <c r="H129" s="117"/>
      <c r="I129" s="117"/>
      <c r="J129" s="117"/>
      <c r="K129" s="117"/>
      <c r="L129" s="117"/>
      <c r="M129" s="117"/>
      <c r="N129" s="117"/>
      <c r="O129" s="117"/>
      <c r="P129" s="117"/>
      <c r="Q129" s="117"/>
      <c r="R129" s="117"/>
      <c r="S129" s="117"/>
      <c r="T129" s="117"/>
      <c r="U129" s="117"/>
      <c r="V129" s="117"/>
      <c r="W129" s="117"/>
      <c r="X129" s="117"/>
      <c r="Y129" s="117"/>
      <c r="Z129" s="117"/>
      <c r="AA129" s="117"/>
      <c r="AB129" s="117"/>
      <c r="AC129" s="117"/>
      <c r="AD129" s="117"/>
      <c r="AE129" s="117"/>
      <c r="AF129" s="117"/>
      <c r="AG129" s="160" t="str">
        <f>IF(COUNTA(TabForme[[#This Row],[J1]:[J30]])&lt;&gt;0,AVERAGE(TabForme[[#This Row],[J1]:[J30]]),"")</f>
        <v/>
      </c>
      <c r="AH129" s="49" t="str">
        <f>TabForme[[#This Row],[Moyenne]]</f>
        <v/>
      </c>
      <c r="AI129" s="48"/>
    </row>
    <row r="130" spans="2:35" ht="14.25">
      <c r="B130" s="118" t="str">
        <f>IF(INDEX(TabEntrainement[Seance],ROW()-18)&lt;&gt;0,INDEX(TabEntrainement[Seance],ROW()-18),"")</f>
        <v/>
      </c>
      <c r="C130" s="117"/>
      <c r="D130" s="117"/>
      <c r="E130" s="117"/>
      <c r="F130" s="117"/>
      <c r="G130" s="117"/>
      <c r="H130" s="117"/>
      <c r="I130" s="117"/>
      <c r="J130" s="117"/>
      <c r="K130" s="117"/>
      <c r="L130" s="117"/>
      <c r="M130" s="117"/>
      <c r="N130" s="117"/>
      <c r="O130" s="117"/>
      <c r="P130" s="117"/>
      <c r="Q130" s="117"/>
      <c r="R130" s="117"/>
      <c r="S130" s="117"/>
      <c r="T130" s="117"/>
      <c r="U130" s="117"/>
      <c r="V130" s="117"/>
      <c r="W130" s="117"/>
      <c r="X130" s="117"/>
      <c r="Y130" s="117"/>
      <c r="Z130" s="117"/>
      <c r="AA130" s="117"/>
      <c r="AB130" s="117"/>
      <c r="AC130" s="117"/>
      <c r="AD130" s="117"/>
      <c r="AE130" s="117"/>
      <c r="AF130" s="117"/>
      <c r="AG130" s="160" t="str">
        <f>IF(COUNTA(TabForme[[#This Row],[J1]:[J30]])&lt;&gt;0,AVERAGE(TabForme[[#This Row],[J1]:[J30]]),"")</f>
        <v/>
      </c>
      <c r="AH130" s="49" t="str">
        <f>TabForme[[#This Row],[Moyenne]]</f>
        <v/>
      </c>
      <c r="AI130" s="48"/>
    </row>
    <row r="131" spans="2:35" ht="14.25">
      <c r="B131" s="118" t="str">
        <f>IF(INDEX(TabEntrainement[Seance],ROW()-18)&lt;&gt;0,INDEX(TabEntrainement[Seance],ROW()-18),"")</f>
        <v/>
      </c>
      <c r="C131" s="117"/>
      <c r="D131" s="117"/>
      <c r="E131" s="117"/>
      <c r="F131" s="117"/>
      <c r="G131" s="117"/>
      <c r="H131" s="117"/>
      <c r="I131" s="117"/>
      <c r="J131" s="117"/>
      <c r="K131" s="117"/>
      <c r="L131" s="117"/>
      <c r="M131" s="117"/>
      <c r="N131" s="117"/>
      <c r="O131" s="117"/>
      <c r="P131" s="117"/>
      <c r="Q131" s="117"/>
      <c r="R131" s="117"/>
      <c r="S131" s="117"/>
      <c r="T131" s="117"/>
      <c r="U131" s="117"/>
      <c r="V131" s="117"/>
      <c r="W131" s="117"/>
      <c r="X131" s="117"/>
      <c r="Y131" s="117"/>
      <c r="Z131" s="117"/>
      <c r="AA131" s="117"/>
      <c r="AB131" s="117"/>
      <c r="AC131" s="117"/>
      <c r="AD131" s="117"/>
      <c r="AE131" s="117"/>
      <c r="AF131" s="117"/>
      <c r="AG131" s="160" t="str">
        <f>IF(COUNTA(TabForme[[#This Row],[J1]:[J30]])&lt;&gt;0,AVERAGE(TabForme[[#This Row],[J1]:[J30]]),"")</f>
        <v/>
      </c>
      <c r="AH131" s="49" t="str">
        <f>TabForme[[#This Row],[Moyenne]]</f>
        <v/>
      </c>
      <c r="AI131" s="48"/>
    </row>
    <row r="132" spans="2:35" ht="14.25">
      <c r="B132" s="118" t="str">
        <f>IF(INDEX(TabEntrainement[Seance],ROW()-18)&lt;&gt;0,INDEX(TabEntrainement[Seance],ROW()-18),"")</f>
        <v/>
      </c>
      <c r="C132" s="117"/>
      <c r="D132" s="117"/>
      <c r="E132" s="117"/>
      <c r="F132" s="117"/>
      <c r="G132" s="117"/>
      <c r="H132" s="117"/>
      <c r="I132" s="117"/>
      <c r="J132" s="117"/>
      <c r="K132" s="117"/>
      <c r="L132" s="117"/>
      <c r="M132" s="117"/>
      <c r="N132" s="117"/>
      <c r="O132" s="117"/>
      <c r="P132" s="117"/>
      <c r="Q132" s="117"/>
      <c r="R132" s="117"/>
      <c r="S132" s="117"/>
      <c r="T132" s="117"/>
      <c r="U132" s="117"/>
      <c r="V132" s="117"/>
      <c r="W132" s="117"/>
      <c r="X132" s="117"/>
      <c r="Y132" s="117"/>
      <c r="Z132" s="117"/>
      <c r="AA132" s="117"/>
      <c r="AB132" s="117"/>
      <c r="AC132" s="117"/>
      <c r="AD132" s="117"/>
      <c r="AE132" s="117"/>
      <c r="AF132" s="117"/>
      <c r="AG132" s="160" t="str">
        <f>IF(COUNTA(TabForme[[#This Row],[J1]:[J30]])&lt;&gt;0,AVERAGE(TabForme[[#This Row],[J1]:[J30]]),"")</f>
        <v/>
      </c>
      <c r="AH132" s="49" t="str">
        <f>TabForme[[#This Row],[Moyenne]]</f>
        <v/>
      </c>
      <c r="AI132" s="48"/>
    </row>
    <row r="133" spans="2:35" ht="14.25">
      <c r="B133" s="118" t="str">
        <f>IF(INDEX(TabEntrainement[Seance],ROW()-18)&lt;&gt;0,INDEX(TabEntrainement[Seance],ROW()-18),"")</f>
        <v/>
      </c>
      <c r="C133" s="117"/>
      <c r="D133" s="117"/>
      <c r="E133" s="117"/>
      <c r="F133" s="117"/>
      <c r="G133" s="117"/>
      <c r="H133" s="117"/>
      <c r="I133" s="117"/>
      <c r="J133" s="117"/>
      <c r="K133" s="117"/>
      <c r="L133" s="117"/>
      <c r="M133" s="117"/>
      <c r="N133" s="117"/>
      <c r="O133" s="117"/>
      <c r="P133" s="117"/>
      <c r="Q133" s="117"/>
      <c r="R133" s="117"/>
      <c r="S133" s="117"/>
      <c r="T133" s="117"/>
      <c r="U133" s="117"/>
      <c r="V133" s="117"/>
      <c r="W133" s="117"/>
      <c r="X133" s="117"/>
      <c r="Y133" s="117"/>
      <c r="Z133" s="117"/>
      <c r="AA133" s="117"/>
      <c r="AB133" s="117"/>
      <c r="AC133" s="117"/>
      <c r="AD133" s="117"/>
      <c r="AE133" s="117"/>
      <c r="AF133" s="117"/>
      <c r="AG133" s="160" t="str">
        <f>IF(COUNTA(TabForme[[#This Row],[J1]:[J30]])&lt;&gt;0,AVERAGE(TabForme[[#This Row],[J1]:[J30]]),"")</f>
        <v/>
      </c>
      <c r="AH133" s="49" t="str">
        <f>TabForme[[#This Row],[Moyenne]]</f>
        <v/>
      </c>
      <c r="AI133" s="48"/>
    </row>
    <row r="134" spans="2:35" ht="14.25">
      <c r="B134" s="118" t="str">
        <f>IF(INDEX(TabEntrainement[Seance],ROW()-18)&lt;&gt;0,INDEX(TabEntrainement[Seance],ROW()-18),"")</f>
        <v/>
      </c>
      <c r="C134" s="117"/>
      <c r="D134" s="117"/>
      <c r="E134" s="117"/>
      <c r="F134" s="117"/>
      <c r="G134" s="117"/>
      <c r="H134" s="117"/>
      <c r="I134" s="117"/>
      <c r="J134" s="117"/>
      <c r="K134" s="117"/>
      <c r="L134" s="117"/>
      <c r="M134" s="117"/>
      <c r="N134" s="117"/>
      <c r="O134" s="117"/>
      <c r="P134" s="117"/>
      <c r="Q134" s="117"/>
      <c r="R134" s="117"/>
      <c r="S134" s="117"/>
      <c r="T134" s="117"/>
      <c r="U134" s="117"/>
      <c r="V134" s="117"/>
      <c r="W134" s="117"/>
      <c r="X134" s="117"/>
      <c r="Y134" s="117"/>
      <c r="Z134" s="117"/>
      <c r="AA134" s="117"/>
      <c r="AB134" s="117"/>
      <c r="AC134" s="117"/>
      <c r="AD134" s="117"/>
      <c r="AE134" s="117"/>
      <c r="AF134" s="117"/>
      <c r="AG134" s="160" t="str">
        <f>IF(COUNTA(TabForme[[#This Row],[J1]:[J30]])&lt;&gt;0,AVERAGE(TabForme[[#This Row],[J1]:[J30]]),"")</f>
        <v/>
      </c>
      <c r="AH134" s="49" t="str">
        <f>TabForme[[#This Row],[Moyenne]]</f>
        <v/>
      </c>
      <c r="AI134" s="48"/>
    </row>
    <row r="135" spans="2:35" ht="14.25">
      <c r="B135" s="118" t="str">
        <f>IF(INDEX(TabEntrainement[Seance],ROW()-18)&lt;&gt;0,INDEX(TabEntrainement[Seance],ROW()-18),"")</f>
        <v/>
      </c>
      <c r="C135" s="117"/>
      <c r="D135" s="117"/>
      <c r="E135" s="117"/>
      <c r="F135" s="117"/>
      <c r="G135" s="117"/>
      <c r="H135" s="117"/>
      <c r="I135" s="117"/>
      <c r="J135" s="117"/>
      <c r="K135" s="117"/>
      <c r="L135" s="117"/>
      <c r="M135" s="117"/>
      <c r="N135" s="117"/>
      <c r="O135" s="117"/>
      <c r="P135" s="117"/>
      <c r="Q135" s="117"/>
      <c r="R135" s="117"/>
      <c r="S135" s="117"/>
      <c r="T135" s="117"/>
      <c r="U135" s="117"/>
      <c r="V135" s="117"/>
      <c r="W135" s="117"/>
      <c r="X135" s="117"/>
      <c r="Y135" s="117"/>
      <c r="Z135" s="117"/>
      <c r="AA135" s="117"/>
      <c r="AB135" s="117"/>
      <c r="AC135" s="117"/>
      <c r="AD135" s="117"/>
      <c r="AE135" s="117"/>
      <c r="AF135" s="117"/>
      <c r="AG135" s="160" t="str">
        <f>IF(COUNTA(TabForme[[#This Row],[J1]:[J30]])&lt;&gt;0,AVERAGE(TabForme[[#This Row],[J1]:[J30]]),"")</f>
        <v/>
      </c>
      <c r="AH135" s="49" t="str">
        <f>TabForme[[#This Row],[Moyenne]]</f>
        <v/>
      </c>
      <c r="AI135" s="48"/>
    </row>
    <row r="136" spans="2:35" ht="14.25">
      <c r="B136" s="118" t="str">
        <f>IF(INDEX(TabEntrainement[Seance],ROW()-18)&lt;&gt;0,INDEX(TabEntrainement[Seance],ROW()-18),"")</f>
        <v/>
      </c>
      <c r="C136" s="117"/>
      <c r="D136" s="117"/>
      <c r="E136" s="117"/>
      <c r="F136" s="117"/>
      <c r="G136" s="117"/>
      <c r="H136" s="117"/>
      <c r="I136" s="117"/>
      <c r="J136" s="117"/>
      <c r="K136" s="117"/>
      <c r="L136" s="117"/>
      <c r="M136" s="117"/>
      <c r="N136" s="117"/>
      <c r="O136" s="117"/>
      <c r="P136" s="117"/>
      <c r="Q136" s="117"/>
      <c r="R136" s="117"/>
      <c r="S136" s="117"/>
      <c r="T136" s="117"/>
      <c r="U136" s="117"/>
      <c r="V136" s="117"/>
      <c r="W136" s="117"/>
      <c r="X136" s="117"/>
      <c r="Y136" s="117"/>
      <c r="Z136" s="117"/>
      <c r="AA136" s="117"/>
      <c r="AB136" s="117"/>
      <c r="AC136" s="117"/>
      <c r="AD136" s="117"/>
      <c r="AE136" s="117"/>
      <c r="AF136" s="117"/>
      <c r="AG136" s="160" t="str">
        <f>IF(COUNTA(TabForme[[#This Row],[J1]:[J30]])&lt;&gt;0,AVERAGE(TabForme[[#This Row],[J1]:[J30]]),"")</f>
        <v/>
      </c>
      <c r="AH136" s="49" t="str">
        <f>TabForme[[#This Row],[Moyenne]]</f>
        <v/>
      </c>
      <c r="AI136" s="48"/>
    </row>
    <row r="137" spans="2:35" ht="14.25">
      <c r="B137" s="118" t="str">
        <f>IF(INDEX(TabEntrainement[Seance],ROW()-18)&lt;&gt;0,INDEX(TabEntrainement[Seance],ROW()-18),"")</f>
        <v/>
      </c>
      <c r="C137" s="117"/>
      <c r="D137" s="117"/>
      <c r="E137" s="117"/>
      <c r="F137" s="117"/>
      <c r="G137" s="117"/>
      <c r="H137" s="117"/>
      <c r="I137" s="117"/>
      <c r="J137" s="117"/>
      <c r="K137" s="117"/>
      <c r="L137" s="117"/>
      <c r="M137" s="117"/>
      <c r="N137" s="117"/>
      <c r="O137" s="117"/>
      <c r="P137" s="117"/>
      <c r="Q137" s="117"/>
      <c r="R137" s="117"/>
      <c r="S137" s="117"/>
      <c r="T137" s="117"/>
      <c r="U137" s="117"/>
      <c r="V137" s="117"/>
      <c r="W137" s="117"/>
      <c r="X137" s="117"/>
      <c r="Y137" s="117"/>
      <c r="Z137" s="117"/>
      <c r="AA137" s="117"/>
      <c r="AB137" s="117"/>
      <c r="AC137" s="117"/>
      <c r="AD137" s="117"/>
      <c r="AE137" s="117"/>
      <c r="AF137" s="117"/>
      <c r="AG137" s="160" t="str">
        <f>IF(COUNTA(TabForme[[#This Row],[J1]:[J30]])&lt;&gt;0,AVERAGE(TabForme[[#This Row],[J1]:[J30]]),"")</f>
        <v/>
      </c>
      <c r="AH137" s="49" t="str">
        <f>TabForme[[#This Row],[Moyenne]]</f>
        <v/>
      </c>
      <c r="AI137" s="48"/>
    </row>
    <row r="138" spans="2:35" ht="14.25">
      <c r="B138" s="118" t="str">
        <f>IF(INDEX(TabEntrainement[Seance],ROW()-18)&lt;&gt;0,INDEX(TabEntrainement[Seance],ROW()-18),"")</f>
        <v/>
      </c>
      <c r="C138" s="117"/>
      <c r="D138" s="117"/>
      <c r="E138" s="117"/>
      <c r="F138" s="117"/>
      <c r="G138" s="117"/>
      <c r="H138" s="117"/>
      <c r="I138" s="117"/>
      <c r="J138" s="117"/>
      <c r="K138" s="117"/>
      <c r="L138" s="117"/>
      <c r="M138" s="117"/>
      <c r="N138" s="117"/>
      <c r="O138" s="117"/>
      <c r="P138" s="117"/>
      <c r="Q138" s="117"/>
      <c r="R138" s="117"/>
      <c r="S138" s="117"/>
      <c r="T138" s="117"/>
      <c r="U138" s="117"/>
      <c r="V138" s="117"/>
      <c r="W138" s="117"/>
      <c r="X138" s="117"/>
      <c r="Y138" s="117"/>
      <c r="Z138" s="117"/>
      <c r="AA138" s="117"/>
      <c r="AB138" s="117"/>
      <c r="AC138" s="117"/>
      <c r="AD138" s="117"/>
      <c r="AE138" s="117"/>
      <c r="AF138" s="117"/>
      <c r="AG138" s="160" t="str">
        <f>IF(COUNTA(TabForme[[#This Row],[J1]:[J30]])&lt;&gt;0,AVERAGE(TabForme[[#This Row],[J1]:[J30]]),"")</f>
        <v/>
      </c>
      <c r="AH138" s="49" t="str">
        <f>TabForme[[#This Row],[Moyenne]]</f>
        <v/>
      </c>
      <c r="AI138" s="48"/>
    </row>
    <row r="139" spans="2:35" ht="14.25">
      <c r="B139" s="118" t="str">
        <f>IF(INDEX(TabEntrainement[Seance],ROW()-18)&lt;&gt;0,INDEX(TabEntrainement[Seance],ROW()-18),"")</f>
        <v/>
      </c>
      <c r="C139" s="117"/>
      <c r="D139" s="117"/>
      <c r="E139" s="117"/>
      <c r="F139" s="117"/>
      <c r="G139" s="117"/>
      <c r="H139" s="117"/>
      <c r="I139" s="117"/>
      <c r="J139" s="117"/>
      <c r="K139" s="117"/>
      <c r="L139" s="117"/>
      <c r="M139" s="117"/>
      <c r="N139" s="117"/>
      <c r="O139" s="117"/>
      <c r="P139" s="117"/>
      <c r="Q139" s="117"/>
      <c r="R139" s="117"/>
      <c r="S139" s="117"/>
      <c r="T139" s="117"/>
      <c r="U139" s="117"/>
      <c r="V139" s="117"/>
      <c r="W139" s="117"/>
      <c r="X139" s="117"/>
      <c r="Y139" s="117"/>
      <c r="Z139" s="117"/>
      <c r="AA139" s="117"/>
      <c r="AB139" s="117"/>
      <c r="AC139" s="117"/>
      <c r="AD139" s="117"/>
      <c r="AE139" s="117"/>
      <c r="AF139" s="117"/>
      <c r="AG139" s="160" t="str">
        <f>IF(COUNTA(TabForme[[#This Row],[J1]:[J30]])&lt;&gt;0,AVERAGE(TabForme[[#This Row],[J1]:[J30]]),"")</f>
        <v/>
      </c>
      <c r="AH139" s="49" t="str">
        <f>TabForme[[#This Row],[Moyenne]]</f>
        <v/>
      </c>
      <c r="AI139" s="48"/>
    </row>
    <row r="140" spans="2:35" ht="14.25">
      <c r="B140" s="118" t="str">
        <f>IF(INDEX(TabEntrainement[Seance],ROW()-18)&lt;&gt;0,INDEX(TabEntrainement[Seance],ROW()-18),"")</f>
        <v/>
      </c>
      <c r="C140" s="117"/>
      <c r="D140" s="117"/>
      <c r="E140" s="117"/>
      <c r="F140" s="117"/>
      <c r="G140" s="117"/>
      <c r="H140" s="117"/>
      <c r="I140" s="117"/>
      <c r="J140" s="117"/>
      <c r="K140" s="117"/>
      <c r="L140" s="117"/>
      <c r="M140" s="117"/>
      <c r="N140" s="117"/>
      <c r="O140" s="117"/>
      <c r="P140" s="117"/>
      <c r="Q140" s="117"/>
      <c r="R140" s="117"/>
      <c r="S140" s="117"/>
      <c r="T140" s="117"/>
      <c r="U140" s="117"/>
      <c r="V140" s="117"/>
      <c r="W140" s="117"/>
      <c r="X140" s="117"/>
      <c r="Y140" s="117"/>
      <c r="Z140" s="117"/>
      <c r="AA140" s="117"/>
      <c r="AB140" s="117"/>
      <c r="AC140" s="117"/>
      <c r="AD140" s="117"/>
      <c r="AE140" s="117"/>
      <c r="AF140" s="117"/>
      <c r="AG140" s="160" t="str">
        <f>IF(COUNTA(TabForme[[#This Row],[J1]:[J30]])&lt;&gt;0,AVERAGE(TabForme[[#This Row],[J1]:[J30]]),"")</f>
        <v/>
      </c>
      <c r="AH140" s="49" t="str">
        <f>TabForme[[#This Row],[Moyenne]]</f>
        <v/>
      </c>
      <c r="AI140" s="48"/>
    </row>
    <row r="141" spans="2:35" ht="14.25">
      <c r="B141" s="118" t="str">
        <f>IF(INDEX(TabEntrainement[Seance],ROW()-18)&lt;&gt;0,INDEX(TabEntrainement[Seance],ROW()-18),"")</f>
        <v/>
      </c>
      <c r="C141" s="117"/>
      <c r="D141" s="117"/>
      <c r="E141" s="117"/>
      <c r="F141" s="117"/>
      <c r="G141" s="117"/>
      <c r="H141" s="117"/>
      <c r="I141" s="117"/>
      <c r="J141" s="117"/>
      <c r="K141" s="117"/>
      <c r="L141" s="117"/>
      <c r="M141" s="117"/>
      <c r="N141" s="117"/>
      <c r="O141" s="117"/>
      <c r="P141" s="117"/>
      <c r="Q141" s="117"/>
      <c r="R141" s="117"/>
      <c r="S141" s="117"/>
      <c r="T141" s="117"/>
      <c r="U141" s="117"/>
      <c r="V141" s="117"/>
      <c r="W141" s="117"/>
      <c r="X141" s="117"/>
      <c r="Y141" s="117"/>
      <c r="Z141" s="117"/>
      <c r="AA141" s="117"/>
      <c r="AB141" s="117"/>
      <c r="AC141" s="117"/>
      <c r="AD141" s="117"/>
      <c r="AE141" s="117"/>
      <c r="AF141" s="117"/>
      <c r="AG141" s="160" t="str">
        <f>IF(COUNTA(TabForme[[#This Row],[J1]:[J30]])&lt;&gt;0,AVERAGE(TabForme[[#This Row],[J1]:[J30]]),"")</f>
        <v/>
      </c>
      <c r="AH141" s="49" t="str">
        <f>TabForme[[#This Row],[Moyenne]]</f>
        <v/>
      </c>
      <c r="AI141" s="48"/>
    </row>
    <row r="142" spans="2:35" ht="14.25">
      <c r="B142" s="118" t="str">
        <f>IF(INDEX(TabEntrainement[Seance],ROW()-18)&lt;&gt;0,INDEX(TabEntrainement[Seance],ROW()-18),"")</f>
        <v/>
      </c>
      <c r="C142" s="117"/>
      <c r="D142" s="117"/>
      <c r="E142" s="117"/>
      <c r="F142" s="117"/>
      <c r="G142" s="117"/>
      <c r="H142" s="117"/>
      <c r="I142" s="117"/>
      <c r="J142" s="117"/>
      <c r="K142" s="117"/>
      <c r="L142" s="117"/>
      <c r="M142" s="117"/>
      <c r="N142" s="117"/>
      <c r="O142" s="117"/>
      <c r="P142" s="117"/>
      <c r="Q142" s="117"/>
      <c r="R142" s="117"/>
      <c r="S142" s="117"/>
      <c r="T142" s="117"/>
      <c r="U142" s="117"/>
      <c r="V142" s="117"/>
      <c r="W142" s="117"/>
      <c r="X142" s="117"/>
      <c r="Y142" s="117"/>
      <c r="Z142" s="117"/>
      <c r="AA142" s="117"/>
      <c r="AB142" s="117"/>
      <c r="AC142" s="117"/>
      <c r="AD142" s="117"/>
      <c r="AE142" s="117"/>
      <c r="AF142" s="117"/>
      <c r="AG142" s="160" t="str">
        <f>IF(COUNTA(TabForme[[#This Row],[J1]:[J30]])&lt;&gt;0,AVERAGE(TabForme[[#This Row],[J1]:[J30]]),"")</f>
        <v/>
      </c>
      <c r="AH142" s="49" t="str">
        <f>TabForme[[#This Row],[Moyenne]]</f>
        <v/>
      </c>
      <c r="AI142" s="48"/>
    </row>
    <row r="143" spans="2:35" ht="14.25">
      <c r="B143" s="118" t="str">
        <f>IF(INDEX(TabEntrainement[Seance],ROW()-18)&lt;&gt;0,INDEX(TabEntrainement[Seance],ROW()-18),"")</f>
        <v/>
      </c>
      <c r="C143" s="117"/>
      <c r="D143" s="117"/>
      <c r="E143" s="117"/>
      <c r="F143" s="117"/>
      <c r="G143" s="117"/>
      <c r="H143" s="117"/>
      <c r="I143" s="117"/>
      <c r="J143" s="117"/>
      <c r="K143" s="117"/>
      <c r="L143" s="117"/>
      <c r="M143" s="117"/>
      <c r="N143" s="117"/>
      <c r="O143" s="117"/>
      <c r="P143" s="117"/>
      <c r="Q143" s="117"/>
      <c r="R143" s="117"/>
      <c r="S143" s="117"/>
      <c r="T143" s="117"/>
      <c r="U143" s="117"/>
      <c r="V143" s="117"/>
      <c r="W143" s="117"/>
      <c r="X143" s="117"/>
      <c r="Y143" s="117"/>
      <c r="Z143" s="117"/>
      <c r="AA143" s="117"/>
      <c r="AB143" s="117"/>
      <c r="AC143" s="117"/>
      <c r="AD143" s="117"/>
      <c r="AE143" s="117"/>
      <c r="AF143" s="117"/>
      <c r="AG143" s="160" t="str">
        <f>IF(COUNTA(TabForme[[#This Row],[J1]:[J30]])&lt;&gt;0,AVERAGE(TabForme[[#This Row],[J1]:[J30]]),"")</f>
        <v/>
      </c>
      <c r="AH143" s="49" t="str">
        <f>TabForme[[#This Row],[Moyenne]]</f>
        <v/>
      </c>
      <c r="AI143" s="48"/>
    </row>
    <row r="144" spans="2:35" ht="14.25">
      <c r="B144" s="118" t="str">
        <f>IF(INDEX(TabEntrainement[Seance],ROW()-18)&lt;&gt;0,INDEX(TabEntrainement[Seance],ROW()-18),"")</f>
        <v/>
      </c>
      <c r="C144" s="117"/>
      <c r="D144" s="117"/>
      <c r="E144" s="117"/>
      <c r="F144" s="117"/>
      <c r="G144" s="117"/>
      <c r="H144" s="117"/>
      <c r="I144" s="117"/>
      <c r="J144" s="117"/>
      <c r="K144" s="117"/>
      <c r="L144" s="117"/>
      <c r="M144" s="117"/>
      <c r="N144" s="117"/>
      <c r="O144" s="117"/>
      <c r="P144" s="117"/>
      <c r="Q144" s="117"/>
      <c r="R144" s="117"/>
      <c r="S144" s="117"/>
      <c r="T144" s="117"/>
      <c r="U144" s="117"/>
      <c r="V144" s="117"/>
      <c r="W144" s="117"/>
      <c r="X144" s="117"/>
      <c r="Y144" s="117"/>
      <c r="Z144" s="117"/>
      <c r="AA144" s="117"/>
      <c r="AB144" s="117"/>
      <c r="AC144" s="117"/>
      <c r="AD144" s="117"/>
      <c r="AE144" s="117"/>
      <c r="AF144" s="117"/>
      <c r="AG144" s="160" t="str">
        <f>IF(COUNTA(TabForme[[#This Row],[J1]:[J30]])&lt;&gt;0,AVERAGE(TabForme[[#This Row],[J1]:[J30]]),"")</f>
        <v/>
      </c>
      <c r="AH144" s="49" t="str">
        <f>TabForme[[#This Row],[Moyenne]]</f>
        <v/>
      </c>
      <c r="AI144" s="48"/>
    </row>
    <row r="145" spans="2:36" ht="14.25">
      <c r="B145" s="118" t="str">
        <f>IF(INDEX(TabEntrainement[Seance],ROW()-18)&lt;&gt;0,INDEX(TabEntrainement[Seance],ROW()-18),"")</f>
        <v/>
      </c>
      <c r="C145" s="117"/>
      <c r="D145" s="117"/>
      <c r="E145" s="117"/>
      <c r="F145" s="117"/>
      <c r="G145" s="117"/>
      <c r="H145" s="117"/>
      <c r="I145" s="117"/>
      <c r="J145" s="117"/>
      <c r="K145" s="117"/>
      <c r="L145" s="117"/>
      <c r="M145" s="117"/>
      <c r="N145" s="117"/>
      <c r="O145" s="117"/>
      <c r="P145" s="117"/>
      <c r="Q145" s="117"/>
      <c r="R145" s="117"/>
      <c r="S145" s="117"/>
      <c r="T145" s="117"/>
      <c r="U145" s="117"/>
      <c r="V145" s="117"/>
      <c r="W145" s="117"/>
      <c r="X145" s="117"/>
      <c r="Y145" s="117"/>
      <c r="Z145" s="117"/>
      <c r="AA145" s="117"/>
      <c r="AB145" s="117"/>
      <c r="AC145" s="117"/>
      <c r="AD145" s="117"/>
      <c r="AE145" s="117"/>
      <c r="AF145" s="117"/>
      <c r="AG145" s="160" t="str">
        <f>IF(COUNTA(TabForme[[#This Row],[J1]:[J30]])&lt;&gt;0,AVERAGE(TabForme[[#This Row],[J1]:[J30]]),"")</f>
        <v/>
      </c>
      <c r="AH145" s="49" t="str">
        <f>TabForme[[#This Row],[Moyenne]]</f>
        <v/>
      </c>
      <c r="AI145" s="48"/>
    </row>
    <row r="146" spans="2:36" ht="14.25">
      <c r="B146" s="118" t="str">
        <f>IF(INDEX(TabEntrainement[Seance],ROW()-18)&lt;&gt;0,INDEX(TabEntrainement[Seance],ROW()-18),"")</f>
        <v/>
      </c>
      <c r="C146" s="117"/>
      <c r="D146" s="117"/>
      <c r="E146" s="117"/>
      <c r="F146" s="117"/>
      <c r="G146" s="117"/>
      <c r="H146" s="117"/>
      <c r="I146" s="117"/>
      <c r="J146" s="117"/>
      <c r="K146" s="117"/>
      <c r="L146" s="117"/>
      <c r="M146" s="117"/>
      <c r="N146" s="117"/>
      <c r="O146" s="117"/>
      <c r="P146" s="117"/>
      <c r="Q146" s="117"/>
      <c r="R146" s="117"/>
      <c r="S146" s="117"/>
      <c r="T146" s="117"/>
      <c r="U146" s="117"/>
      <c r="V146" s="117"/>
      <c r="W146" s="117"/>
      <c r="X146" s="117"/>
      <c r="Y146" s="117"/>
      <c r="Z146" s="117"/>
      <c r="AA146" s="117"/>
      <c r="AB146" s="117"/>
      <c r="AC146" s="117"/>
      <c r="AD146" s="117"/>
      <c r="AE146" s="117"/>
      <c r="AF146" s="117"/>
      <c r="AG146" s="160" t="str">
        <f>IF(COUNTA(TabForme[[#This Row],[J1]:[J30]])&lt;&gt;0,AVERAGE(TabForme[[#This Row],[J1]:[J30]]),"")</f>
        <v/>
      </c>
      <c r="AH146" s="49" t="str">
        <f>TabForme[[#This Row],[Moyenne]]</f>
        <v/>
      </c>
      <c r="AI146" s="48"/>
    </row>
    <row r="147" spans="2:36" ht="14.25">
      <c r="B147" s="118" t="str">
        <f>IF(INDEX(TabEntrainement[Seance],ROW()-18)&lt;&gt;0,INDEX(TabEntrainement[Seance],ROW()-18),"")</f>
        <v/>
      </c>
      <c r="C147" s="117"/>
      <c r="D147" s="117"/>
      <c r="E147" s="117"/>
      <c r="F147" s="117"/>
      <c r="G147" s="117"/>
      <c r="H147" s="117"/>
      <c r="I147" s="117"/>
      <c r="J147" s="117"/>
      <c r="K147" s="117"/>
      <c r="L147" s="117"/>
      <c r="M147" s="117"/>
      <c r="N147" s="117"/>
      <c r="O147" s="117"/>
      <c r="P147" s="117"/>
      <c r="Q147" s="117"/>
      <c r="R147" s="117"/>
      <c r="S147" s="117"/>
      <c r="T147" s="117"/>
      <c r="U147" s="117"/>
      <c r="V147" s="117"/>
      <c r="W147" s="117"/>
      <c r="X147" s="117"/>
      <c r="Y147" s="117"/>
      <c r="Z147" s="117"/>
      <c r="AA147" s="117"/>
      <c r="AB147" s="117"/>
      <c r="AC147" s="117"/>
      <c r="AD147" s="117"/>
      <c r="AE147" s="117"/>
      <c r="AF147" s="117"/>
      <c r="AG147" s="160" t="str">
        <f>IF(COUNTA(TabForme[[#This Row],[J1]:[J30]])&lt;&gt;0,AVERAGE(TabForme[[#This Row],[J1]:[J30]]),"")</f>
        <v/>
      </c>
      <c r="AH147" s="49" t="str">
        <f>TabForme[[#This Row],[Moyenne]]</f>
        <v/>
      </c>
      <c r="AI147" s="48"/>
    </row>
    <row r="148" spans="2:36" ht="14.25">
      <c r="B148" s="118" t="str">
        <f>IF(INDEX(TabEntrainement[Seance],ROW()-18)&lt;&gt;0,INDEX(TabEntrainement[Seance],ROW()-18),"")</f>
        <v/>
      </c>
      <c r="C148" s="117"/>
      <c r="D148" s="117"/>
      <c r="E148" s="117"/>
      <c r="F148" s="117"/>
      <c r="G148" s="117"/>
      <c r="H148" s="117"/>
      <c r="I148" s="117"/>
      <c r="J148" s="117"/>
      <c r="K148" s="117"/>
      <c r="L148" s="117"/>
      <c r="M148" s="117"/>
      <c r="N148" s="117"/>
      <c r="O148" s="117"/>
      <c r="P148" s="117"/>
      <c r="Q148" s="117"/>
      <c r="R148" s="117"/>
      <c r="S148" s="117"/>
      <c r="T148" s="117"/>
      <c r="U148" s="117"/>
      <c r="V148" s="117"/>
      <c r="W148" s="117"/>
      <c r="X148" s="117"/>
      <c r="Y148" s="117"/>
      <c r="Z148" s="117"/>
      <c r="AA148" s="117"/>
      <c r="AB148" s="117"/>
      <c r="AC148" s="117"/>
      <c r="AD148" s="117"/>
      <c r="AE148" s="117"/>
      <c r="AF148" s="117"/>
      <c r="AG148" s="160" t="str">
        <f>IF(COUNTA(TabForme[[#This Row],[J1]:[J30]])&lt;&gt;0,AVERAGE(TabForme[[#This Row],[J1]:[J30]]),"")</f>
        <v/>
      </c>
      <c r="AH148" s="49" t="str">
        <f>TabForme[[#This Row],[Moyenne]]</f>
        <v/>
      </c>
      <c r="AI148" s="48"/>
    </row>
    <row r="149" spans="2:36" ht="14.25">
      <c r="B149" s="118" t="str">
        <f>IF(INDEX(TabEntrainement[Seance],ROW()-18)&lt;&gt;0,INDEX(TabEntrainement[Seance],ROW()-18),"")</f>
        <v/>
      </c>
      <c r="C149" s="117"/>
      <c r="D149" s="117"/>
      <c r="E149" s="117"/>
      <c r="F149" s="117"/>
      <c r="G149" s="117"/>
      <c r="H149" s="117"/>
      <c r="I149" s="117"/>
      <c r="J149" s="117"/>
      <c r="K149" s="117"/>
      <c r="L149" s="117"/>
      <c r="M149" s="117"/>
      <c r="N149" s="117"/>
      <c r="O149" s="117"/>
      <c r="P149" s="117"/>
      <c r="Q149" s="117"/>
      <c r="R149" s="117"/>
      <c r="S149" s="117"/>
      <c r="T149" s="117"/>
      <c r="U149" s="117"/>
      <c r="V149" s="117"/>
      <c r="W149" s="117"/>
      <c r="X149" s="117"/>
      <c r="Y149" s="117"/>
      <c r="Z149" s="117"/>
      <c r="AA149" s="117"/>
      <c r="AB149" s="117"/>
      <c r="AC149" s="117"/>
      <c r="AD149" s="117"/>
      <c r="AE149" s="117"/>
      <c r="AF149" s="117"/>
      <c r="AG149" s="160" t="str">
        <f>IF(COUNTA(TabForme[[#This Row],[J1]:[J30]])&lt;&gt;0,AVERAGE(TabForme[[#This Row],[J1]:[J30]]),"")</f>
        <v/>
      </c>
      <c r="AH149" s="49" t="str">
        <f>TabForme[[#This Row],[Moyenne]]</f>
        <v/>
      </c>
      <c r="AI149" s="48"/>
    </row>
    <row r="150" spans="2:36" ht="13.5">
      <c r="B150" s="92"/>
      <c r="C150" s="13">
        <f>SUBTOTAL(101,TabForme[J1])</f>
        <v>3.375</v>
      </c>
      <c r="D150" s="13">
        <f>SUBTOTAL(101,TabForme[J2])</f>
        <v>3.2777777777777777</v>
      </c>
      <c r="E150" s="13">
        <f>SUBTOTAL(101,TabForme[J3])</f>
        <v>2.8235294117647061</v>
      </c>
      <c r="F150" s="13">
        <f>SUBTOTAL(101,TabForme[J4])</f>
        <v>3.0714285714285716</v>
      </c>
      <c r="G150" s="13">
        <f>SUBTOTAL(101,TabForme[J5])</f>
        <v>3.3333333333333335</v>
      </c>
      <c r="H150" s="13">
        <f>SUBTOTAL(101,TabForme[J6])</f>
        <v>3.9444444444444446</v>
      </c>
      <c r="I150" s="13">
        <f>SUBTOTAL(101,TabForme[J7])</f>
        <v>3.5384615384615383</v>
      </c>
      <c r="J150" s="13">
        <f>SUBTOTAL(101,TabForme[J8])</f>
        <v>3.4285714285714284</v>
      </c>
      <c r="K150" s="13">
        <f>SUBTOTAL(101,TabForme[J9])</f>
        <v>4.3</v>
      </c>
      <c r="L150" s="13">
        <f>SUBTOTAL(101,TabForme[J10])</f>
        <v>3.3125</v>
      </c>
      <c r="M150" s="13">
        <f>SUBTOTAL(101,TabForme[J11])</f>
        <v>3.8</v>
      </c>
      <c r="N150" s="13">
        <f>SUBTOTAL(101,TabForme[J12])</f>
        <v>3.7058823529411766</v>
      </c>
      <c r="O150" s="13">
        <f>SUBTOTAL(101,TabForme[J13])</f>
        <v>3.8333333333333335</v>
      </c>
      <c r="P150" s="13">
        <f>SUBTOTAL(101,TabForme[J14])</f>
        <v>3.5833333333333335</v>
      </c>
      <c r="Q150" s="13">
        <f>SUBTOTAL(101,TabForme[J15])</f>
        <v>3.75</v>
      </c>
      <c r="R150" s="13">
        <f>SUBTOTAL(101,TabForme[J16])</f>
        <v>3.75</v>
      </c>
      <c r="S150" s="13">
        <f>SUBTOTAL(101,TabForme[J17])</f>
        <v>3</v>
      </c>
      <c r="T150" s="13">
        <f>SUBTOTAL(101,TabForme[J18])</f>
        <v>3.1904761904761907</v>
      </c>
      <c r="U150" s="13">
        <f>SUBTOTAL(101,TabForme[J19])</f>
        <v>4</v>
      </c>
      <c r="V150" s="13">
        <f>SUBTOTAL(101,TabForme[J20])</f>
        <v>4</v>
      </c>
      <c r="W150" s="13">
        <f>SUBTOTAL(101,TabForme[J21])</f>
        <v>3.0476190476190474</v>
      </c>
      <c r="X150" s="13" t="e">
        <f>SUBTOTAL(101,TabForme[J22])</f>
        <v>#DIV/0!</v>
      </c>
      <c r="Y150" s="13" t="e">
        <f>SUBTOTAL(101,TabForme[J23])</f>
        <v>#DIV/0!</v>
      </c>
      <c r="Z150" s="13" t="e">
        <f>SUBTOTAL(101,TabForme[J24])</f>
        <v>#DIV/0!</v>
      </c>
      <c r="AA150" s="13" t="e">
        <f>SUBTOTAL(101,TabForme[J25])</f>
        <v>#DIV/0!</v>
      </c>
      <c r="AB150" s="13" t="e">
        <f>SUBTOTAL(101,TabForme[J26])</f>
        <v>#DIV/0!</v>
      </c>
      <c r="AC150" s="13" t="e">
        <f>SUBTOTAL(101,TabForme[J27])</f>
        <v>#DIV/0!</v>
      </c>
      <c r="AD150" s="13" t="e">
        <f>SUBTOTAL(101,TabForme[J28])</f>
        <v>#DIV/0!</v>
      </c>
      <c r="AE150" s="13" t="e">
        <f>SUBTOTAL(101,TabForme[J29])</f>
        <v>#DIV/0!</v>
      </c>
      <c r="AF150" s="13" t="e">
        <f>SUBTOTAL(101,TabForme[J30])</f>
        <v>#DIV/0!</v>
      </c>
      <c r="AG150" s="24"/>
      <c r="AH150" s="24"/>
      <c r="AI150" s="24"/>
    </row>
    <row r="151" spans="2:36" ht="14.25">
      <c r="B151" s="31"/>
      <c r="C151" s="32"/>
      <c r="D151" s="32"/>
      <c r="E151" s="32"/>
      <c r="F151" s="32"/>
      <c r="G151" s="32"/>
      <c r="H151" s="32"/>
      <c r="I151" s="32"/>
      <c r="J151" s="32"/>
      <c r="K151" s="32"/>
      <c r="L151" s="32"/>
      <c r="M151" s="32"/>
      <c r="N151" s="32"/>
      <c r="O151" s="32"/>
      <c r="P151" s="32"/>
      <c r="Q151" s="32"/>
      <c r="R151" s="32"/>
      <c r="S151" s="32"/>
      <c r="T151" s="32"/>
      <c r="U151" s="32"/>
      <c r="V151" s="32"/>
      <c r="W151" s="32"/>
      <c r="X151" s="32"/>
      <c r="Y151" s="32"/>
      <c r="Z151" s="32"/>
      <c r="AA151" s="32"/>
      <c r="AB151" s="32"/>
      <c r="AC151" s="32"/>
      <c r="AD151" s="32"/>
      <c r="AE151" s="32"/>
      <c r="AF151" s="32"/>
      <c r="AG151" s="32"/>
      <c r="AH151" s="33"/>
      <c r="AI151" s="34"/>
      <c r="AJ151" s="35"/>
    </row>
    <row r="152" spans="2:36" ht="14.25">
      <c r="B152" s="31"/>
      <c r="C152" s="32"/>
      <c r="D152" s="32"/>
      <c r="E152" s="32"/>
      <c r="F152" s="32"/>
      <c r="G152" s="32"/>
      <c r="H152" s="32"/>
      <c r="I152" s="32"/>
      <c r="J152" s="32"/>
      <c r="K152" s="32"/>
      <c r="L152" s="32"/>
      <c r="M152" s="32"/>
      <c r="N152" s="32"/>
      <c r="O152" s="32"/>
      <c r="P152" s="32"/>
      <c r="Q152" s="32"/>
      <c r="R152" s="32"/>
      <c r="S152" s="32"/>
      <c r="T152" s="32"/>
      <c r="U152" s="32"/>
      <c r="V152" s="32"/>
      <c r="W152" s="32"/>
      <c r="X152" s="32"/>
      <c r="Y152" s="32"/>
      <c r="Z152" s="32"/>
      <c r="AA152" s="32"/>
      <c r="AB152" s="32"/>
      <c r="AC152" s="32"/>
      <c r="AD152" s="32"/>
      <c r="AE152" s="32"/>
      <c r="AF152" s="32"/>
      <c r="AG152" s="32"/>
      <c r="AH152" s="33"/>
      <c r="AI152" s="34"/>
      <c r="AJ152" s="35"/>
    </row>
    <row r="153" spans="2:36" ht="14.25">
      <c r="AG153" s="13"/>
      <c r="AH153" s="33"/>
      <c r="AI153" s="24"/>
      <c r="AJ153" s="16"/>
    </row>
  </sheetData>
  <sheetProtection sort="0" autoFilter="0"/>
  <dataValidations count="1">
    <dataValidation type="whole" allowBlank="1" showInputMessage="1" showErrorMessage="1" sqref="C19:AF149" xr:uid="{00000000-0002-0000-0200-000000000000}">
      <formula1>0</formula1>
      <formula2>10</formula2>
    </dataValidation>
  </dataValidations>
  <pageMargins left="0.7" right="0.7" top="0.75" bottom="0.75" header="0.3" footer="0.3"/>
  <pageSetup paperSize="9" orientation="landscape" horizontalDpi="0" verticalDpi="0"/>
  <ignoredErrors>
    <ignoredError sqref="B19 AG19:AI19" unlockedFormula="1"/>
    <ignoredError sqref="O19:R32 O44:R149 O33:R33 O34:R34 O35:R35 O36:R36 O37:R37 R38 R39 P38:Q38 O39:Q39 O38 R40 O40:Q40 O41:R41 O42 O43 P43:R43 P42:R42" calculatedColumn="1"/>
  </ignoredErrors>
  <drawing r:id="rId1"/>
  <legacyDrawing r:id="rId2"/>
  <mc:AlternateContent xmlns:mc="http://schemas.openxmlformats.org/markup-compatibility/2006">
    <mc:Choice Requires="x14">
      <controls>
        <mc:AlternateContent xmlns:mc="http://schemas.openxmlformats.org/markup-compatibility/2006">
          <mc:Choice Requires="x14">
            <control shapeId="5122" r:id="rId3" name="Button 2">
              <controlPr defaultSize="0" print="0" autoFill="0" autoPict="0" macro="[0]!CloseOnglet">
                <anchor moveWithCells="1" sizeWithCells="1">
                  <from>
                    <xdr:col>19</xdr:col>
                    <xdr:colOff>571500</xdr:colOff>
                    <xdr:row>1</xdr:row>
                    <xdr:rowOff>9525</xdr:rowOff>
                  </from>
                  <to>
                    <xdr:col>22</xdr:col>
                    <xdr:colOff>0</xdr:colOff>
                    <xdr:row>1</xdr:row>
                    <xdr:rowOff>390525</xdr:rowOff>
                  </to>
                </anchor>
              </controlPr>
            </control>
          </mc:Choice>
        </mc:AlternateContent>
        <mc:AlternateContent xmlns:mc="http://schemas.openxmlformats.org/markup-compatibility/2006">
          <mc:Choice Requires="x14">
            <control shapeId="5123" r:id="rId4" name="RPE">
              <controlPr defaultSize="0" print="0" autoFill="0" autoPict="0" macro="[0]!OpenOnglet">
                <anchor moveWithCells="1" sizeWithCells="1">
                  <from>
                    <xdr:col>16</xdr:col>
                    <xdr:colOff>600075</xdr:colOff>
                    <xdr:row>1</xdr:row>
                    <xdr:rowOff>9525</xdr:rowOff>
                  </from>
                  <to>
                    <xdr:col>19</xdr:col>
                    <xdr:colOff>28575</xdr:colOff>
                    <xdr:row>1</xdr:row>
                    <xdr:rowOff>390525</xdr:rowOff>
                  </to>
                </anchor>
              </controlPr>
            </control>
          </mc:Choice>
        </mc:AlternateContent>
      </controls>
    </mc:Choice>
  </mc:AlternateContent>
  <tableParts count="1">
    <tablePart r:id="rId5"/>
  </tableParts>
  <extLst>
    <ext xmlns:x14="http://schemas.microsoft.com/office/spreadsheetml/2009/9/main" uri="{78C0D931-6437-407d-A8EE-F0AAD7539E65}">
      <x14:conditionalFormattings>
        <x14:conditionalFormatting xmlns:xm="http://schemas.microsoft.com/office/excel/2006/main">
          <x14:cfRule type="dataBar" priority="1" id="{6F32A540-8E98-704F-A18D-E40E107AA058}">
            <x14:dataBar minLength="0" maxLength="100" gradient="0">
              <x14:cfvo type="num">
                <xm:f>Paramétres!$H$5</xm:f>
              </x14:cfvo>
              <x14:cfvo type="num">
                <xm:f>Paramétres!$H$14</xm:f>
              </x14:cfvo>
              <x14:fillColor theme="1" tint="0.249977111117893"/>
              <x14:negativeFillColor theme="0"/>
              <x14:axisColor rgb="FF000000"/>
            </x14:dataBar>
          </x14:cfRule>
          <xm:sqref>AH19:AH149</xm:sqref>
        </x14:conditionalFormatting>
      </x14:conditionalFormattings>
    </ext>
    <ext xmlns:x14="http://schemas.microsoft.com/office/spreadsheetml/2009/9/main" uri="{05C60535-1F16-4fd2-B633-F4F36F0B64E0}">
      <x14:sparklineGroups xmlns:xm="http://schemas.microsoft.com/office/excel/2006/main">
        <x14:sparklineGroup manualMax="0" manualMin="0" displayEmptyCellsAs="gap" xr2:uid="{00000000-0003-0000-0200-000001000000}">
          <x14:colorSeries theme="0" tint="-0.14999847407452621"/>
          <x14:colorNegative theme="5"/>
          <x14:colorAxis rgb="FF000000"/>
          <x14:colorMarkers theme="4" tint="-0.499984740745262"/>
          <x14:colorFirst theme="4" tint="0.39997558519241921"/>
          <x14:colorLast theme="4" tint="0.39997558519241921"/>
          <x14:colorHigh theme="4"/>
          <x14:colorLow theme="4"/>
          <x14:sparklines>
            <x14:sparkline>
              <xm:f>Forme!C19:AF19</xm:f>
              <xm:sqref>AI19</xm:sqref>
            </x14:sparkline>
            <x14:sparkline>
              <xm:f>Forme!C20:AF20</xm:f>
              <xm:sqref>AI20</xm:sqref>
            </x14:sparkline>
            <x14:sparkline>
              <xm:f>Forme!C21:AF21</xm:f>
              <xm:sqref>AI21</xm:sqref>
            </x14:sparkline>
            <x14:sparkline>
              <xm:f>Forme!C22:AF22</xm:f>
              <xm:sqref>AI22</xm:sqref>
            </x14:sparkline>
            <x14:sparkline>
              <xm:f>Forme!C23:AF23</xm:f>
              <xm:sqref>AI23</xm:sqref>
            </x14:sparkline>
            <x14:sparkline>
              <xm:f>Forme!C24:AF24</xm:f>
              <xm:sqref>AI24</xm:sqref>
            </x14:sparkline>
            <x14:sparkline>
              <xm:f>Forme!C25:AF25</xm:f>
              <xm:sqref>AI25</xm:sqref>
            </x14:sparkline>
            <x14:sparkline>
              <xm:f>Forme!C26:AF26</xm:f>
              <xm:sqref>AI26</xm:sqref>
            </x14:sparkline>
            <x14:sparkline>
              <xm:f>Forme!C27:AF27</xm:f>
              <xm:sqref>AI27</xm:sqref>
            </x14:sparkline>
            <x14:sparkline>
              <xm:f>Forme!C28:AF28</xm:f>
              <xm:sqref>AI28</xm:sqref>
            </x14:sparkline>
            <x14:sparkline>
              <xm:f>Forme!C29:AF29</xm:f>
              <xm:sqref>AI29</xm:sqref>
            </x14:sparkline>
            <x14:sparkline>
              <xm:f>Forme!C30:AF30</xm:f>
              <xm:sqref>AI30</xm:sqref>
            </x14:sparkline>
            <x14:sparkline>
              <xm:f>Forme!C31:AF31</xm:f>
              <xm:sqref>AI31</xm:sqref>
            </x14:sparkline>
            <x14:sparkline>
              <xm:f>Forme!C32:AF32</xm:f>
              <xm:sqref>AI32</xm:sqref>
            </x14:sparkline>
            <x14:sparkline>
              <xm:f>Forme!C33:AF33</xm:f>
              <xm:sqref>AI33</xm:sqref>
            </x14:sparkline>
            <x14:sparkline>
              <xm:f>Forme!C34:AF34</xm:f>
              <xm:sqref>AI34</xm:sqref>
            </x14:sparkline>
            <x14:sparkline>
              <xm:f>Forme!C35:AF35</xm:f>
              <xm:sqref>AI35</xm:sqref>
            </x14:sparkline>
            <x14:sparkline>
              <xm:f>Forme!C36:AF36</xm:f>
              <xm:sqref>AI36</xm:sqref>
            </x14:sparkline>
            <x14:sparkline>
              <xm:f>Forme!C37:AF37</xm:f>
              <xm:sqref>AI37</xm:sqref>
            </x14:sparkline>
            <x14:sparkline>
              <xm:f>Forme!C38:AF38</xm:f>
              <xm:sqref>AI38</xm:sqref>
            </x14:sparkline>
            <x14:sparkline>
              <xm:f>Forme!C39:AF39</xm:f>
              <xm:sqref>AI39</xm:sqref>
            </x14:sparkline>
            <x14:sparkline>
              <xm:f>Forme!C40:AF40</xm:f>
              <xm:sqref>AI40</xm:sqref>
            </x14:sparkline>
            <x14:sparkline>
              <xm:f>Forme!C41:AF41</xm:f>
              <xm:sqref>AI41</xm:sqref>
            </x14:sparkline>
            <x14:sparkline>
              <xm:f>Forme!C42:AF42</xm:f>
              <xm:sqref>AI42</xm:sqref>
            </x14:sparkline>
            <x14:sparkline>
              <xm:f>Forme!C43:AF43</xm:f>
              <xm:sqref>AI43</xm:sqref>
            </x14:sparkline>
            <x14:sparkline>
              <xm:f>Forme!C44:AF44</xm:f>
              <xm:sqref>AI44</xm:sqref>
            </x14:sparkline>
            <x14:sparkline>
              <xm:f>Forme!C45:AF45</xm:f>
              <xm:sqref>AI45</xm:sqref>
            </x14:sparkline>
            <x14:sparkline>
              <xm:f>Forme!C46:AF46</xm:f>
              <xm:sqref>AI46</xm:sqref>
            </x14:sparkline>
            <x14:sparkline>
              <xm:f>Forme!C47:AF47</xm:f>
              <xm:sqref>AI47</xm:sqref>
            </x14:sparkline>
            <x14:sparkline>
              <xm:f>Forme!C48:AF48</xm:f>
              <xm:sqref>AI48</xm:sqref>
            </x14:sparkline>
            <x14:sparkline>
              <xm:f>Forme!C49:AF49</xm:f>
              <xm:sqref>AI49</xm:sqref>
            </x14:sparkline>
            <x14:sparkline>
              <xm:f>Forme!C50:AF50</xm:f>
              <xm:sqref>AI50</xm:sqref>
            </x14:sparkline>
            <x14:sparkline>
              <xm:f>Forme!C51:AF51</xm:f>
              <xm:sqref>AI51</xm:sqref>
            </x14:sparkline>
            <x14:sparkline>
              <xm:f>Forme!C52:AF52</xm:f>
              <xm:sqref>AI52</xm:sqref>
            </x14:sparkline>
            <x14:sparkline>
              <xm:f>Forme!C53:AF53</xm:f>
              <xm:sqref>AI53</xm:sqref>
            </x14:sparkline>
            <x14:sparkline>
              <xm:f>Forme!C54:AF54</xm:f>
              <xm:sqref>AI54</xm:sqref>
            </x14:sparkline>
            <x14:sparkline>
              <xm:f>Forme!C55:AF55</xm:f>
              <xm:sqref>AI55</xm:sqref>
            </x14:sparkline>
            <x14:sparkline>
              <xm:f>Forme!C56:AF56</xm:f>
              <xm:sqref>AI56</xm:sqref>
            </x14:sparkline>
            <x14:sparkline>
              <xm:f>Forme!C57:AF57</xm:f>
              <xm:sqref>AI57</xm:sqref>
            </x14:sparkline>
            <x14:sparkline>
              <xm:f>Forme!C58:AF58</xm:f>
              <xm:sqref>AI58</xm:sqref>
            </x14:sparkline>
            <x14:sparkline>
              <xm:f>Forme!C59:AF59</xm:f>
              <xm:sqref>AI59</xm:sqref>
            </x14:sparkline>
            <x14:sparkline>
              <xm:f>Forme!C60:AF60</xm:f>
              <xm:sqref>AI60</xm:sqref>
            </x14:sparkline>
            <x14:sparkline>
              <xm:f>Forme!C61:AF61</xm:f>
              <xm:sqref>AI61</xm:sqref>
            </x14:sparkline>
            <x14:sparkline>
              <xm:f>Forme!C62:AF62</xm:f>
              <xm:sqref>AI62</xm:sqref>
            </x14:sparkline>
            <x14:sparkline>
              <xm:f>Forme!C63:AF63</xm:f>
              <xm:sqref>AI63</xm:sqref>
            </x14:sparkline>
            <x14:sparkline>
              <xm:f>Forme!C64:AF64</xm:f>
              <xm:sqref>AI64</xm:sqref>
            </x14:sparkline>
            <x14:sparkline>
              <xm:f>Forme!C65:AF65</xm:f>
              <xm:sqref>AI65</xm:sqref>
            </x14:sparkline>
            <x14:sparkline>
              <xm:f>Forme!C66:AF66</xm:f>
              <xm:sqref>AI66</xm:sqref>
            </x14:sparkline>
            <x14:sparkline>
              <xm:f>Forme!C67:AF67</xm:f>
              <xm:sqref>AI67</xm:sqref>
            </x14:sparkline>
            <x14:sparkline>
              <xm:f>Forme!C68:AF68</xm:f>
              <xm:sqref>AI68</xm:sqref>
            </x14:sparkline>
            <x14:sparkline>
              <xm:f>Forme!C69:AF69</xm:f>
              <xm:sqref>AI69</xm:sqref>
            </x14:sparkline>
            <x14:sparkline>
              <xm:f>Forme!C70:AF70</xm:f>
              <xm:sqref>AI70</xm:sqref>
            </x14:sparkline>
            <x14:sparkline>
              <xm:f>Forme!C71:AF71</xm:f>
              <xm:sqref>AI71</xm:sqref>
            </x14:sparkline>
            <x14:sparkline>
              <xm:f>Forme!C72:AF72</xm:f>
              <xm:sqref>AI72</xm:sqref>
            </x14:sparkline>
            <x14:sparkline>
              <xm:f>Forme!C73:AF73</xm:f>
              <xm:sqref>AI73</xm:sqref>
            </x14:sparkline>
            <x14:sparkline>
              <xm:f>Forme!C74:AF74</xm:f>
              <xm:sqref>AI74</xm:sqref>
            </x14:sparkline>
            <x14:sparkline>
              <xm:f>Forme!C75:AF75</xm:f>
              <xm:sqref>AI75</xm:sqref>
            </x14:sparkline>
            <x14:sparkline>
              <xm:f>Forme!C76:AF76</xm:f>
              <xm:sqref>AI76</xm:sqref>
            </x14:sparkline>
            <x14:sparkline>
              <xm:f>Forme!C77:AF77</xm:f>
              <xm:sqref>AI77</xm:sqref>
            </x14:sparkline>
            <x14:sparkline>
              <xm:f>Forme!C78:AF78</xm:f>
              <xm:sqref>AI78</xm:sqref>
            </x14:sparkline>
            <x14:sparkline>
              <xm:f>Forme!C79:AF79</xm:f>
              <xm:sqref>AI79</xm:sqref>
            </x14:sparkline>
            <x14:sparkline>
              <xm:f>Forme!C80:AF80</xm:f>
              <xm:sqref>AI80</xm:sqref>
            </x14:sparkline>
            <x14:sparkline>
              <xm:f>Forme!C81:AF81</xm:f>
              <xm:sqref>AI81</xm:sqref>
            </x14:sparkline>
            <x14:sparkline>
              <xm:f>Forme!C82:AF82</xm:f>
              <xm:sqref>AI82</xm:sqref>
            </x14:sparkline>
            <x14:sparkline>
              <xm:f>Forme!C83:AF83</xm:f>
              <xm:sqref>AI83</xm:sqref>
            </x14:sparkline>
            <x14:sparkline>
              <xm:f>Forme!C84:AF84</xm:f>
              <xm:sqref>AI84</xm:sqref>
            </x14:sparkline>
            <x14:sparkline>
              <xm:f>Forme!C85:AF85</xm:f>
              <xm:sqref>AI85</xm:sqref>
            </x14:sparkline>
            <x14:sparkline>
              <xm:f>Forme!C86:AF86</xm:f>
              <xm:sqref>AI86</xm:sqref>
            </x14:sparkline>
            <x14:sparkline>
              <xm:f>Forme!C87:AF87</xm:f>
              <xm:sqref>AI87</xm:sqref>
            </x14:sparkline>
            <x14:sparkline>
              <xm:f>Forme!C88:AF88</xm:f>
              <xm:sqref>AI88</xm:sqref>
            </x14:sparkline>
            <x14:sparkline>
              <xm:f>Forme!C89:AF89</xm:f>
              <xm:sqref>AI89</xm:sqref>
            </x14:sparkline>
            <x14:sparkline>
              <xm:f>Forme!C90:AF90</xm:f>
              <xm:sqref>AI90</xm:sqref>
            </x14:sparkline>
            <x14:sparkline>
              <xm:f>Forme!C91:AF91</xm:f>
              <xm:sqref>AI91</xm:sqref>
            </x14:sparkline>
            <x14:sparkline>
              <xm:f>Forme!C92:AF92</xm:f>
              <xm:sqref>AI92</xm:sqref>
            </x14:sparkline>
            <x14:sparkline>
              <xm:f>Forme!C93:AF93</xm:f>
              <xm:sqref>AI93</xm:sqref>
            </x14:sparkline>
            <x14:sparkline>
              <xm:f>Forme!C94:AF94</xm:f>
              <xm:sqref>AI94</xm:sqref>
            </x14:sparkline>
            <x14:sparkline>
              <xm:f>Forme!C95:AF95</xm:f>
              <xm:sqref>AI95</xm:sqref>
            </x14:sparkline>
            <x14:sparkline>
              <xm:f>Forme!C96:AF96</xm:f>
              <xm:sqref>AI96</xm:sqref>
            </x14:sparkline>
            <x14:sparkline>
              <xm:f>Forme!C97:AF97</xm:f>
              <xm:sqref>AI97</xm:sqref>
            </x14:sparkline>
            <x14:sparkline>
              <xm:f>Forme!C98:AF98</xm:f>
              <xm:sqref>AI98</xm:sqref>
            </x14:sparkline>
            <x14:sparkline>
              <xm:f>Forme!C99:AF99</xm:f>
              <xm:sqref>AI99</xm:sqref>
            </x14:sparkline>
            <x14:sparkline>
              <xm:f>Forme!C100:AF100</xm:f>
              <xm:sqref>AI100</xm:sqref>
            </x14:sparkline>
            <x14:sparkline>
              <xm:f>Forme!C101:AF101</xm:f>
              <xm:sqref>AI101</xm:sqref>
            </x14:sparkline>
            <x14:sparkline>
              <xm:f>Forme!C102:AF102</xm:f>
              <xm:sqref>AI102</xm:sqref>
            </x14:sparkline>
            <x14:sparkline>
              <xm:f>Forme!C103:AF103</xm:f>
              <xm:sqref>AI103</xm:sqref>
            </x14:sparkline>
            <x14:sparkline>
              <xm:f>Forme!C104:AF104</xm:f>
              <xm:sqref>AI104</xm:sqref>
            </x14:sparkline>
            <x14:sparkline>
              <xm:f>Forme!C105:AF105</xm:f>
              <xm:sqref>AI105</xm:sqref>
            </x14:sparkline>
            <x14:sparkline>
              <xm:f>Forme!C106:AF106</xm:f>
              <xm:sqref>AI106</xm:sqref>
            </x14:sparkline>
            <x14:sparkline>
              <xm:f>Forme!C107:AF107</xm:f>
              <xm:sqref>AI107</xm:sqref>
            </x14:sparkline>
            <x14:sparkline>
              <xm:f>Forme!C108:AF108</xm:f>
              <xm:sqref>AI108</xm:sqref>
            </x14:sparkline>
            <x14:sparkline>
              <xm:f>Forme!C109:AF109</xm:f>
              <xm:sqref>AI109</xm:sqref>
            </x14:sparkline>
            <x14:sparkline>
              <xm:f>Forme!C110:AF110</xm:f>
              <xm:sqref>AI110</xm:sqref>
            </x14:sparkline>
            <x14:sparkline>
              <xm:f>Forme!C111:AF111</xm:f>
              <xm:sqref>AI111</xm:sqref>
            </x14:sparkline>
            <x14:sparkline>
              <xm:f>Forme!C112:AF112</xm:f>
              <xm:sqref>AI112</xm:sqref>
            </x14:sparkline>
            <x14:sparkline>
              <xm:f>Forme!C113:AF113</xm:f>
              <xm:sqref>AI113</xm:sqref>
            </x14:sparkline>
            <x14:sparkline>
              <xm:f>Forme!C114:AF114</xm:f>
              <xm:sqref>AI114</xm:sqref>
            </x14:sparkline>
            <x14:sparkline>
              <xm:f>Forme!C115:AF115</xm:f>
              <xm:sqref>AI115</xm:sqref>
            </x14:sparkline>
            <x14:sparkline>
              <xm:f>Forme!C116:AF116</xm:f>
              <xm:sqref>AI116</xm:sqref>
            </x14:sparkline>
            <x14:sparkline>
              <xm:f>Forme!C117:AF117</xm:f>
              <xm:sqref>AI117</xm:sqref>
            </x14:sparkline>
            <x14:sparkline>
              <xm:f>Forme!C118:AF118</xm:f>
              <xm:sqref>AI118</xm:sqref>
            </x14:sparkline>
            <x14:sparkline>
              <xm:f>Forme!C119:AF119</xm:f>
              <xm:sqref>AI119</xm:sqref>
            </x14:sparkline>
            <x14:sparkline>
              <xm:f>Forme!C120:AF120</xm:f>
              <xm:sqref>AI120</xm:sqref>
            </x14:sparkline>
            <x14:sparkline>
              <xm:f>Forme!C121:AF121</xm:f>
              <xm:sqref>AI121</xm:sqref>
            </x14:sparkline>
            <x14:sparkline>
              <xm:f>Forme!C122:AF122</xm:f>
              <xm:sqref>AI122</xm:sqref>
            </x14:sparkline>
            <x14:sparkline>
              <xm:f>Forme!C123:AF123</xm:f>
              <xm:sqref>AI123</xm:sqref>
            </x14:sparkline>
            <x14:sparkline>
              <xm:f>Forme!C124:AF124</xm:f>
              <xm:sqref>AI124</xm:sqref>
            </x14:sparkline>
            <x14:sparkline>
              <xm:f>Forme!C125:AF125</xm:f>
              <xm:sqref>AI125</xm:sqref>
            </x14:sparkline>
            <x14:sparkline>
              <xm:f>Forme!C126:AF126</xm:f>
              <xm:sqref>AI126</xm:sqref>
            </x14:sparkline>
            <x14:sparkline>
              <xm:f>Forme!C127:AF127</xm:f>
              <xm:sqref>AI127</xm:sqref>
            </x14:sparkline>
            <x14:sparkline>
              <xm:f>Forme!C128:AF128</xm:f>
              <xm:sqref>AI128</xm:sqref>
            </x14:sparkline>
            <x14:sparkline>
              <xm:f>Forme!C129:AF129</xm:f>
              <xm:sqref>AI129</xm:sqref>
            </x14:sparkline>
            <x14:sparkline>
              <xm:f>Forme!C130:AF130</xm:f>
              <xm:sqref>AI130</xm:sqref>
            </x14:sparkline>
            <x14:sparkline>
              <xm:f>Forme!C131:AF131</xm:f>
              <xm:sqref>AI131</xm:sqref>
            </x14:sparkline>
            <x14:sparkline>
              <xm:f>Forme!C132:AF132</xm:f>
              <xm:sqref>AI132</xm:sqref>
            </x14:sparkline>
            <x14:sparkline>
              <xm:f>Forme!C133:AF133</xm:f>
              <xm:sqref>AI133</xm:sqref>
            </x14:sparkline>
            <x14:sparkline>
              <xm:f>Forme!C134:AF134</xm:f>
              <xm:sqref>AI134</xm:sqref>
            </x14:sparkline>
            <x14:sparkline>
              <xm:f>Forme!C135:AF135</xm:f>
              <xm:sqref>AI135</xm:sqref>
            </x14:sparkline>
            <x14:sparkline>
              <xm:f>Forme!C136:AF136</xm:f>
              <xm:sqref>AI136</xm:sqref>
            </x14:sparkline>
            <x14:sparkline>
              <xm:f>Forme!C137:AF137</xm:f>
              <xm:sqref>AI137</xm:sqref>
            </x14:sparkline>
            <x14:sparkline>
              <xm:f>Forme!C138:AF138</xm:f>
              <xm:sqref>AI138</xm:sqref>
            </x14:sparkline>
            <x14:sparkline>
              <xm:f>Forme!C139:AF139</xm:f>
              <xm:sqref>AI139</xm:sqref>
            </x14:sparkline>
            <x14:sparkline>
              <xm:f>Forme!C140:AF140</xm:f>
              <xm:sqref>AI140</xm:sqref>
            </x14:sparkline>
            <x14:sparkline>
              <xm:f>Forme!C141:AF141</xm:f>
              <xm:sqref>AI141</xm:sqref>
            </x14:sparkline>
            <x14:sparkline>
              <xm:f>Forme!C142:AF142</xm:f>
              <xm:sqref>AI142</xm:sqref>
            </x14:sparkline>
            <x14:sparkline>
              <xm:f>Forme!C143:AF143</xm:f>
              <xm:sqref>AI143</xm:sqref>
            </x14:sparkline>
            <x14:sparkline>
              <xm:f>Forme!C144:AF144</xm:f>
              <xm:sqref>AI144</xm:sqref>
            </x14:sparkline>
            <x14:sparkline>
              <xm:f>Forme!C145:AF145</xm:f>
              <xm:sqref>AI145</xm:sqref>
            </x14:sparkline>
            <x14:sparkline>
              <xm:f>Forme!C146:AF146</xm:f>
              <xm:sqref>AI146</xm:sqref>
            </x14:sparkline>
            <x14:sparkline>
              <xm:f>Forme!C147:AF147</xm:f>
              <xm:sqref>AI147</xm:sqref>
            </x14:sparkline>
            <x14:sparkline>
              <xm:f>Forme!C148:AF148</xm:f>
              <xm:sqref>AI148</xm:sqref>
            </x14:sparkline>
            <x14:sparkline>
              <xm:f>Forme!C149:AF149</xm:f>
              <xm:sqref>AI149</xm:sqref>
            </x14:sparkline>
          </x14:sparklines>
        </x14:sparklineGroup>
        <x14:sparklineGroup manualMax="0" manualMin="0" displayEmptyCellsAs="gap" markers="1" high="1" low="1" first="1" last="1" negative="1" xr2:uid="{00000000-0003-0000-0200-000002000000}">
          <x14:colorSeries theme="0" tint="-0.499984740745262"/>
          <x14:colorNegative theme="6"/>
          <x14:colorAxis rgb="FF000000"/>
          <x14:colorMarkers theme="7"/>
          <x14:colorFirst theme="7"/>
          <x14:colorLast theme="7"/>
          <x14:colorHigh theme="7"/>
          <x14:colorLow theme="7"/>
          <x14:sparklines>
            <x14:sparkline>
              <xm:f>Forme!C151:AF151</xm:f>
              <xm:sqref>AH151</xm:sqref>
            </x14:sparkline>
            <x14:sparkline>
              <xm:f>Forme!C152:AF152</xm:f>
              <xm:sqref>AH152</xm:sqref>
            </x14:sparkline>
          </x14:sparklines>
        </x14:sparklineGroup>
      </x14:sparklineGroups>
    </ext>
  </extLst>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Feuil5">
    <tabColor rgb="FF0070C0"/>
  </sheetPr>
  <dimension ref="B2:AJ153"/>
  <sheetViews>
    <sheetView showGridLines="0" workbookViewId="0">
      <pane ySplit="4" topLeftCell="A22" activePane="bottomLeft" state="frozen"/>
      <selection pane="bottomLeft" activeCell="W42" sqref="W42"/>
    </sheetView>
  </sheetViews>
  <sheetFormatPr baseColWidth="10" defaultRowHeight="12.75"/>
  <cols>
    <col min="1" max="1" width="3.140625" customWidth="1"/>
    <col min="2" max="2" width="11.140625" bestFit="1" customWidth="1"/>
    <col min="33" max="34" width="13" customWidth="1"/>
    <col min="35" max="35" width="21" customWidth="1"/>
  </cols>
  <sheetData>
    <row r="2" spans="2:32" ht="31.5">
      <c r="B2" s="373" t="s">
        <v>69</v>
      </c>
      <c r="T2" s="28"/>
    </row>
    <row r="4" spans="2:32" ht="27.95" customHeight="1">
      <c r="C4" s="90" t="str">
        <f ca="1">INDIRECT("'BDD - Joueurs'!B2")</f>
        <v>ADDA Matteo</v>
      </c>
      <c r="D4" s="90" t="str">
        <f ca="1">INDIRECT("'BDD - Joueurs'!B3")</f>
        <v>ALFONSO Joao</v>
      </c>
      <c r="E4" s="90" t="str">
        <f ca="1">INDIRECT("'BDD - Joueurs'!B4")</f>
        <v>BERDAH Matis</v>
      </c>
      <c r="F4" s="90" t="str">
        <f ca="1">INDIRECT("'BDD - Joueurs'!B5")</f>
        <v>CAMARA Bandiougou</v>
      </c>
      <c r="G4" s="90" t="str">
        <f ca="1">INDIRECT("'BDD - Joueurs'!B6")</f>
        <v>CAMARA Moussa</v>
      </c>
      <c r="H4" s="90" t="str">
        <f ca="1">INDIRECT("'BDD - Joueurs'!B7")</f>
        <v>CARREAU Ethan</v>
      </c>
      <c r="I4" s="90" t="str">
        <f ca="1">INDIRECT("'BDD - Joueurs'!B8")</f>
        <v>CHEROD Alexis</v>
      </c>
      <c r="J4" s="90" t="str">
        <f ca="1">INDIRECT("'BDD - Joueurs'!B9")</f>
        <v>DJEHICHE Ramzi</v>
      </c>
      <c r="K4" s="90" t="str">
        <f ca="1">INDIRECT("'BDD - Joueurs'!B10")</f>
        <v>DOSIERE Baptiste</v>
      </c>
      <c r="L4" s="90" t="str">
        <f ca="1">INDIRECT("'BDD - Joueurs'!B11")</f>
        <v>DUQUENOY Thomas</v>
      </c>
      <c r="M4" s="90" t="str">
        <f ca="1">INDIRECT("'BDD - Joueurs'!B12")</f>
        <v>KIPRE Jordan</v>
      </c>
      <c r="N4" s="90" t="str">
        <f ca="1">INDIRECT("'BDD - Joueurs'!B13")</f>
        <v>KONATE Mamadou</v>
      </c>
      <c r="O4" s="90" t="str">
        <f ca="1">INDIRECT("'BDD - Joueurs'!B14")</f>
        <v>LECOUFFE Hugo</v>
      </c>
      <c r="P4" s="90" t="str">
        <f ca="1">INDIRECT("'BDD - Joueurs'!B15")</f>
        <v>LEFRANC Nathan</v>
      </c>
      <c r="Q4" s="90" t="str">
        <f ca="1">INDIRECT("'BDD - Joueurs'!B16")</f>
        <v>MASSOUSSI Elie</v>
      </c>
      <c r="R4" s="90" t="str">
        <f ca="1">INDIRECT("'BDD - Joueurs'!B17")</f>
        <v>NGOUABI Yoann</v>
      </c>
      <c r="S4" s="90" t="str">
        <f ca="1">INDIRECT("'BDD - Joueurs'!B18")</f>
        <v>PLANET Mathis</v>
      </c>
      <c r="T4" s="90" t="str">
        <f ca="1">INDIRECT("'BDD - Joueurs'!B19")</f>
        <v>PRONNIER Nicolas</v>
      </c>
      <c r="U4" s="90" t="str">
        <f ca="1">INDIRECT("'BDD - Joueurs'!B20")</f>
        <v>STIOUET Reda</v>
      </c>
      <c r="V4" s="90" t="str">
        <f ca="1">INDIRECT("'BDD - Joueurs'!B21")</f>
        <v>ZERDEB Said</v>
      </c>
      <c r="W4" s="90" t="str">
        <f ca="1">INDIRECT("'BDD - Joueurs'!B22")</f>
        <v>OSSENI Farouk</v>
      </c>
      <c r="X4" s="90">
        <f ca="1">INDIRECT("'BDD - Joueurs'!B23")</f>
        <v>0</v>
      </c>
      <c r="Y4" s="90">
        <f ca="1">INDIRECT("'BDD - Joueurs'!B24")</f>
        <v>0</v>
      </c>
      <c r="Z4" s="90">
        <f ca="1">INDIRECT("'BDD - Joueurs'!B25")</f>
        <v>0</v>
      </c>
      <c r="AA4" s="90">
        <f ca="1">INDIRECT("'BDD - Joueurs'!B26")</f>
        <v>0</v>
      </c>
      <c r="AB4" s="90">
        <f ca="1">INDIRECT("'BDD - Joueurs'!B27")</f>
        <v>0</v>
      </c>
      <c r="AC4" s="90">
        <f ca="1">INDIRECT("'BDD - Joueurs'!B28")</f>
        <v>0</v>
      </c>
      <c r="AD4" s="90">
        <f ca="1">INDIRECT("'BDD - Joueurs'!B29")</f>
        <v>0</v>
      </c>
      <c r="AE4" s="90">
        <f ca="1">INDIRECT("'BDD - Joueurs'!B30")</f>
        <v>0</v>
      </c>
      <c r="AF4" s="90">
        <f ca="1">INDIRECT("'BDD - Joueurs'!B31")</f>
        <v>0</v>
      </c>
    </row>
    <row r="18" spans="2:35" ht="14.25">
      <c r="B18" s="37" t="s">
        <v>75</v>
      </c>
      <c r="C18" s="23" t="s">
        <v>16</v>
      </c>
      <c r="D18" s="38" t="s">
        <v>4</v>
      </c>
      <c r="E18" s="23" t="s">
        <v>19</v>
      </c>
      <c r="F18" s="38" t="s">
        <v>20</v>
      </c>
      <c r="G18" s="23" t="s">
        <v>21</v>
      </c>
      <c r="H18" s="38" t="s">
        <v>22</v>
      </c>
      <c r="I18" s="23" t="s">
        <v>23</v>
      </c>
      <c r="J18" s="38" t="s">
        <v>24</v>
      </c>
      <c r="K18" s="23" t="s">
        <v>25</v>
      </c>
      <c r="L18" s="23" t="s">
        <v>26</v>
      </c>
      <c r="M18" s="23" t="s">
        <v>27</v>
      </c>
      <c r="N18" s="38" t="s">
        <v>28</v>
      </c>
      <c r="O18" s="39" t="s">
        <v>45</v>
      </c>
      <c r="P18" s="4" t="s">
        <v>46</v>
      </c>
      <c r="Q18" s="39" t="s">
        <v>47</v>
      </c>
      <c r="R18" s="4" t="s">
        <v>48</v>
      </c>
      <c r="S18" s="3" t="s">
        <v>49</v>
      </c>
      <c r="T18" s="4" t="s">
        <v>50</v>
      </c>
      <c r="U18" s="3" t="s">
        <v>51</v>
      </c>
      <c r="V18" s="4" t="s">
        <v>52</v>
      </c>
      <c r="W18" s="3" t="s">
        <v>53</v>
      </c>
      <c r="X18" s="4" t="s">
        <v>54</v>
      </c>
      <c r="Y18" s="3" t="s">
        <v>55</v>
      </c>
      <c r="Z18" s="4" t="s">
        <v>56</v>
      </c>
      <c r="AA18" s="3" t="s">
        <v>57</v>
      </c>
      <c r="AB18" s="4" t="s">
        <v>58</v>
      </c>
      <c r="AC18" s="3" t="s">
        <v>59</v>
      </c>
      <c r="AD18" s="4" t="s">
        <v>60</v>
      </c>
      <c r="AE18" s="3" t="s">
        <v>61</v>
      </c>
      <c r="AF18" s="4" t="s">
        <v>62</v>
      </c>
      <c r="AG18" s="47" t="s">
        <v>9</v>
      </c>
      <c r="AH18" s="47" t="s">
        <v>70</v>
      </c>
      <c r="AI18" s="17" t="s">
        <v>1</v>
      </c>
    </row>
    <row r="19" spans="2:35" ht="14.25">
      <c r="B19" s="14">
        <f>IF(INDEX(TabEntrainement[Seance],ROW()-18)&lt;&gt;0,INDEX(TabEntrainement[Seance],ROW()-18),"")</f>
        <v>43318</v>
      </c>
      <c r="C19" s="117">
        <v>6</v>
      </c>
      <c r="D19" s="117">
        <v>6</v>
      </c>
      <c r="E19" s="117"/>
      <c r="F19" s="117"/>
      <c r="G19" s="117"/>
      <c r="H19" s="117">
        <v>5</v>
      </c>
      <c r="I19" s="117"/>
      <c r="J19" s="117"/>
      <c r="K19" s="117"/>
      <c r="L19" s="117"/>
      <c r="M19" s="117"/>
      <c r="N19" s="117"/>
      <c r="O19" s="117">
        <v>5</v>
      </c>
      <c r="P19" s="117">
        <v>5</v>
      </c>
      <c r="Q19" s="117">
        <v>5</v>
      </c>
      <c r="R19" s="117"/>
      <c r="S19" s="117">
        <v>5</v>
      </c>
      <c r="T19" s="117">
        <v>5</v>
      </c>
      <c r="U19" s="117"/>
      <c r="V19" s="117"/>
      <c r="W19" s="117">
        <v>6</v>
      </c>
      <c r="X19" s="117"/>
      <c r="Y19" s="117"/>
      <c r="Z19" s="117"/>
      <c r="AA19" s="117"/>
      <c r="AB19" s="117"/>
      <c r="AC19" s="117"/>
      <c r="AD19" s="117"/>
      <c r="AE19" s="117"/>
      <c r="AF19" s="117"/>
      <c r="AG19" s="160">
        <f>IF(COUNTA(TabREP[[#This Row],[J1]:[J30]])&lt;&gt;0,AVERAGE(TabREP[[#This Row],[J1]:[J30]]),"")</f>
        <v>5.333333333333333</v>
      </c>
      <c r="AH19" s="49">
        <f>TabREP[[#This Row],[Moyenne]]</f>
        <v>5.333333333333333</v>
      </c>
      <c r="AI19" s="48"/>
    </row>
    <row r="20" spans="2:35" ht="14.25">
      <c r="B20" s="14">
        <f>IF(INDEX(TabEntrainement[Seance],ROW()-18)&lt;&gt;0,INDEX(TabEntrainement[Seance],ROW()-18),"")</f>
        <v>43319</v>
      </c>
      <c r="C20" s="117">
        <v>7</v>
      </c>
      <c r="D20" s="117">
        <v>5</v>
      </c>
      <c r="E20" s="117"/>
      <c r="F20" s="117"/>
      <c r="G20" s="117"/>
      <c r="H20" s="117">
        <v>5</v>
      </c>
      <c r="I20" s="117"/>
      <c r="J20" s="117"/>
      <c r="K20" s="117"/>
      <c r="L20" s="117"/>
      <c r="M20" s="117"/>
      <c r="N20" s="117"/>
      <c r="O20" s="117">
        <v>4</v>
      </c>
      <c r="P20" s="117">
        <v>4</v>
      </c>
      <c r="Q20" s="117">
        <v>4</v>
      </c>
      <c r="R20" s="117"/>
      <c r="S20" s="117">
        <v>5</v>
      </c>
      <c r="T20" s="117">
        <v>4</v>
      </c>
      <c r="U20" s="117"/>
      <c r="V20" s="117"/>
      <c r="W20" s="117">
        <v>5</v>
      </c>
      <c r="X20" s="117"/>
      <c r="Y20" s="117"/>
      <c r="Z20" s="117"/>
      <c r="AA20" s="117"/>
      <c r="AB20" s="117"/>
      <c r="AC20" s="117"/>
      <c r="AD20" s="117"/>
      <c r="AE20" s="117"/>
      <c r="AF20" s="117"/>
      <c r="AG20" s="160">
        <f>IF(COUNTA(TabREP[[#This Row],[J1]:[J30]])&lt;&gt;0,AVERAGE(TabREP[[#This Row],[J1]:[J30]]),"")</f>
        <v>4.7777777777777777</v>
      </c>
      <c r="AH20" s="49">
        <f>TabREP[[#This Row],[Moyenne]]</f>
        <v>4.7777777777777777</v>
      </c>
      <c r="AI20" s="48"/>
    </row>
    <row r="21" spans="2:35" ht="14.25">
      <c r="B21" s="14">
        <f>IF(INDEX(TabEntrainement[Seance],ROW()-18)&lt;&gt;0,INDEX(TabEntrainement[Seance],ROW()-18),"")</f>
        <v>43321</v>
      </c>
      <c r="C21" s="117">
        <v>3</v>
      </c>
      <c r="D21" s="117">
        <v>4</v>
      </c>
      <c r="E21" s="117"/>
      <c r="F21" s="117"/>
      <c r="G21" s="117"/>
      <c r="H21" s="117">
        <v>4</v>
      </c>
      <c r="I21" s="117"/>
      <c r="J21" s="117"/>
      <c r="K21" s="117"/>
      <c r="L21" s="117">
        <v>4</v>
      </c>
      <c r="M21" s="117"/>
      <c r="N21" s="117"/>
      <c r="O21" s="117">
        <v>3</v>
      </c>
      <c r="P21" s="117">
        <v>4</v>
      </c>
      <c r="Q21" s="117">
        <v>4</v>
      </c>
      <c r="R21" s="117">
        <v>4</v>
      </c>
      <c r="S21" s="117">
        <v>4</v>
      </c>
      <c r="T21" s="117">
        <v>2</v>
      </c>
      <c r="U21" s="117"/>
      <c r="V21" s="117"/>
      <c r="W21" s="117">
        <v>4</v>
      </c>
      <c r="X21" s="117"/>
      <c r="Y21" s="117"/>
      <c r="Z21" s="117"/>
      <c r="AA21" s="117"/>
      <c r="AB21" s="117"/>
      <c r="AC21" s="117"/>
      <c r="AD21" s="117"/>
      <c r="AE21" s="117"/>
      <c r="AF21" s="117"/>
      <c r="AG21" s="160">
        <f>IF(COUNTA(TabREP[[#This Row],[J1]:[J30]])&lt;&gt;0,AVERAGE(TabREP[[#This Row],[J1]:[J30]]),"")</f>
        <v>3.6363636363636362</v>
      </c>
      <c r="AH21" s="49">
        <f>TabREP[[#This Row],[Moyenne]]</f>
        <v>3.6363636363636362</v>
      </c>
      <c r="AI21" s="48"/>
    </row>
    <row r="22" spans="2:35" ht="14.25">
      <c r="B22" s="14">
        <f>IF(INDEX(TabEntrainement[Seance],ROW()-18)&lt;&gt;0,INDEX(TabEntrainement[Seance],ROW()-18),"")</f>
        <v>43322</v>
      </c>
      <c r="C22" s="117">
        <v>7</v>
      </c>
      <c r="D22" s="117">
        <v>6</v>
      </c>
      <c r="E22" s="117"/>
      <c r="F22" s="117">
        <v>5</v>
      </c>
      <c r="G22" s="117"/>
      <c r="H22" s="117">
        <v>6</v>
      </c>
      <c r="I22" s="117"/>
      <c r="J22" s="117">
        <v>5</v>
      </c>
      <c r="K22" s="117"/>
      <c r="L22" s="117">
        <v>5</v>
      </c>
      <c r="M22" s="117"/>
      <c r="N22" s="117"/>
      <c r="O22" s="117"/>
      <c r="P22" s="117">
        <v>4</v>
      </c>
      <c r="Q22" s="117">
        <v>5</v>
      </c>
      <c r="R22" s="117">
        <v>4</v>
      </c>
      <c r="S22" s="117">
        <v>6</v>
      </c>
      <c r="T22" s="117">
        <v>4</v>
      </c>
      <c r="U22" s="117"/>
      <c r="V22" s="117"/>
      <c r="W22" s="117">
        <v>5</v>
      </c>
      <c r="X22" s="117"/>
      <c r="Y22" s="117"/>
      <c r="Z22" s="117"/>
      <c r="AA22" s="117"/>
      <c r="AB22" s="117"/>
      <c r="AC22" s="117"/>
      <c r="AD22" s="117"/>
      <c r="AE22" s="117"/>
      <c r="AF22" s="117"/>
      <c r="AG22" s="160">
        <f>IF(COUNTA(TabREP[[#This Row],[J1]:[J30]])&lt;&gt;0,AVERAGE(TabREP[[#This Row],[J1]:[J30]]),"")</f>
        <v>5.166666666666667</v>
      </c>
      <c r="AH22" s="49">
        <f>TabREP[[#This Row],[Moyenne]]</f>
        <v>5.166666666666667</v>
      </c>
      <c r="AI22" s="48"/>
    </row>
    <row r="23" spans="2:35" ht="14.25">
      <c r="B23" s="14">
        <f>IF(INDEX(TabEntrainement[Seance],ROW()-18)&lt;&gt;0,INDEX(TabEntrainement[Seance],ROW()-18),"")</f>
        <v>43325</v>
      </c>
      <c r="C23" s="117">
        <v>5</v>
      </c>
      <c r="D23" s="117">
        <v>7</v>
      </c>
      <c r="E23" s="117">
        <v>5</v>
      </c>
      <c r="F23" s="117">
        <v>6</v>
      </c>
      <c r="G23" s="117"/>
      <c r="H23" s="117">
        <v>6</v>
      </c>
      <c r="I23" s="117">
        <v>4</v>
      </c>
      <c r="J23" s="117"/>
      <c r="K23" s="117"/>
      <c r="L23" s="117">
        <v>5</v>
      </c>
      <c r="M23" s="117"/>
      <c r="N23" s="117"/>
      <c r="O23" s="117"/>
      <c r="P23" s="117">
        <v>5</v>
      </c>
      <c r="Q23" s="117">
        <v>5</v>
      </c>
      <c r="R23" s="117"/>
      <c r="S23" s="117"/>
      <c r="T23" s="117">
        <v>7</v>
      </c>
      <c r="U23" s="117"/>
      <c r="V23" s="117"/>
      <c r="W23" s="117">
        <v>6</v>
      </c>
      <c r="X23" s="117"/>
      <c r="Y23" s="117"/>
      <c r="Z23" s="117"/>
      <c r="AA23" s="117"/>
      <c r="AB23" s="117"/>
      <c r="AC23" s="117"/>
      <c r="AD23" s="117"/>
      <c r="AE23" s="117"/>
      <c r="AF23" s="117"/>
      <c r="AG23" s="160">
        <f>IF(COUNTA(TabREP[[#This Row],[J1]:[J30]])&lt;&gt;0,AVERAGE(TabREP[[#This Row],[J1]:[J30]]),"")</f>
        <v>5.5454545454545459</v>
      </c>
      <c r="AH23" s="49">
        <f>TabREP[[#This Row],[Moyenne]]</f>
        <v>5.5454545454545459</v>
      </c>
      <c r="AI23" s="48"/>
    </row>
    <row r="24" spans="2:35" ht="14.25">
      <c r="B24" s="14">
        <f>IF(INDEX(TabEntrainement[Seance],ROW()-18)&lt;&gt;0,INDEX(TabEntrainement[Seance],ROW()-18),"")</f>
        <v>43326</v>
      </c>
      <c r="C24" s="117">
        <v>5</v>
      </c>
      <c r="D24" s="117">
        <v>8</v>
      </c>
      <c r="E24" s="117">
        <v>4</v>
      </c>
      <c r="F24" s="117"/>
      <c r="G24" s="117"/>
      <c r="H24" s="117">
        <v>3</v>
      </c>
      <c r="I24" s="117">
        <v>4</v>
      </c>
      <c r="J24" s="117">
        <v>4</v>
      </c>
      <c r="K24" s="117"/>
      <c r="L24" s="117">
        <v>4</v>
      </c>
      <c r="M24" s="117"/>
      <c r="N24" s="117">
        <v>7</v>
      </c>
      <c r="O24" s="117"/>
      <c r="P24" s="117">
        <v>4</v>
      </c>
      <c r="Q24" s="117">
        <v>4</v>
      </c>
      <c r="R24" s="117"/>
      <c r="S24" s="117"/>
      <c r="T24" s="117">
        <v>4</v>
      </c>
      <c r="U24" s="117"/>
      <c r="V24" s="117"/>
      <c r="W24" s="117">
        <v>5</v>
      </c>
      <c r="X24" s="117"/>
      <c r="Y24" s="117"/>
      <c r="Z24" s="117"/>
      <c r="AA24" s="117"/>
      <c r="AB24" s="117"/>
      <c r="AC24" s="117"/>
      <c r="AD24" s="117"/>
      <c r="AE24" s="117"/>
      <c r="AF24" s="117"/>
      <c r="AG24" s="160">
        <f>IF(COUNTA(TabREP[[#This Row],[J1]:[J30]])&lt;&gt;0,AVERAGE(TabREP[[#This Row],[J1]:[J30]]),"")</f>
        <v>4.666666666666667</v>
      </c>
      <c r="AH24" s="49">
        <f>TabREP[[#This Row],[Moyenne]]</f>
        <v>4.666666666666667</v>
      </c>
      <c r="AI24" s="48"/>
    </row>
    <row r="25" spans="2:35" ht="14.25">
      <c r="B25" s="14">
        <f>IF(INDEX(TabEntrainement[Seance],ROW()-18)&lt;&gt;0,INDEX(TabEntrainement[Seance],ROW()-18),"")</f>
        <v>43327</v>
      </c>
      <c r="C25" s="117">
        <v>3</v>
      </c>
      <c r="D25" s="117"/>
      <c r="E25" s="117">
        <v>3</v>
      </c>
      <c r="F25" s="117"/>
      <c r="G25" s="117"/>
      <c r="H25" s="117">
        <v>3</v>
      </c>
      <c r="I25" s="117"/>
      <c r="J25" s="117"/>
      <c r="K25" s="117"/>
      <c r="L25" s="117"/>
      <c r="M25" s="117"/>
      <c r="N25" s="117">
        <v>5</v>
      </c>
      <c r="O25" s="117"/>
      <c r="P25" s="117">
        <v>3</v>
      </c>
      <c r="Q25" s="117">
        <v>3</v>
      </c>
      <c r="R25" s="117"/>
      <c r="S25" s="117"/>
      <c r="T25" s="117"/>
      <c r="U25" s="117"/>
      <c r="V25" s="117"/>
      <c r="W25" s="117">
        <v>4</v>
      </c>
      <c r="X25" s="117"/>
      <c r="Y25" s="117"/>
      <c r="Z25" s="117"/>
      <c r="AA25" s="117"/>
      <c r="AB25" s="117"/>
      <c r="AC25" s="117"/>
      <c r="AD25" s="117"/>
      <c r="AE25" s="117"/>
      <c r="AF25" s="117"/>
      <c r="AG25" s="160">
        <f>IF(COUNTA(TabREP[[#This Row],[J1]:[J30]])&lt;&gt;0,AVERAGE(TabREP[[#This Row],[J1]:[J30]]),"")</f>
        <v>3.4285714285714284</v>
      </c>
      <c r="AH25" s="49">
        <f>TabREP[[#This Row],[Moyenne]]</f>
        <v>3.4285714285714284</v>
      </c>
      <c r="AI25" s="48"/>
    </row>
    <row r="26" spans="2:35" ht="14.25">
      <c r="B26" s="14">
        <f>IF(INDEX(TabEntrainement[Seance],ROW()-18)&lt;&gt;0,INDEX(TabEntrainement[Seance],ROW()-18),"")</f>
        <v>43328</v>
      </c>
      <c r="C26" s="117">
        <v>4</v>
      </c>
      <c r="D26" s="117">
        <v>4</v>
      </c>
      <c r="E26" s="117">
        <v>3</v>
      </c>
      <c r="F26" s="117">
        <v>5</v>
      </c>
      <c r="G26" s="117"/>
      <c r="H26" s="117">
        <v>3</v>
      </c>
      <c r="I26" s="117">
        <v>4</v>
      </c>
      <c r="J26" s="117">
        <v>3</v>
      </c>
      <c r="K26" s="117"/>
      <c r="L26" s="117">
        <v>6</v>
      </c>
      <c r="M26" s="117"/>
      <c r="N26" s="117">
        <v>5</v>
      </c>
      <c r="O26" s="117"/>
      <c r="P26" s="117">
        <v>4</v>
      </c>
      <c r="Q26" s="117">
        <v>4</v>
      </c>
      <c r="R26" s="117"/>
      <c r="S26" s="117"/>
      <c r="T26" s="117">
        <v>3</v>
      </c>
      <c r="U26" s="117"/>
      <c r="V26" s="117"/>
      <c r="W26" s="117">
        <v>6</v>
      </c>
      <c r="X26" s="117"/>
      <c r="Y26" s="117"/>
      <c r="Z26" s="117"/>
      <c r="AA26" s="117"/>
      <c r="AB26" s="117"/>
      <c r="AC26" s="117"/>
      <c r="AD26" s="117"/>
      <c r="AE26" s="117"/>
      <c r="AF26" s="117"/>
      <c r="AG26" s="160">
        <f>IF(COUNTA(TabREP[[#This Row],[J1]:[J30]])&lt;&gt;0,AVERAGE(TabREP[[#This Row],[J1]:[J30]]),"")</f>
        <v>4.1538461538461542</v>
      </c>
      <c r="AH26" s="49">
        <f>TabREP[[#This Row],[Moyenne]]</f>
        <v>4.1538461538461542</v>
      </c>
      <c r="AI26" s="48"/>
    </row>
    <row r="27" spans="2:35" ht="14.25">
      <c r="B27" s="14">
        <f>IF(INDEX(TabEntrainement[Seance],ROW()-18)&lt;&gt;0,INDEX(TabEntrainement[Seance],ROW()-18),"")</f>
        <v>43329</v>
      </c>
      <c r="C27" s="117">
        <v>6</v>
      </c>
      <c r="D27" s="117"/>
      <c r="E27" s="117">
        <v>8</v>
      </c>
      <c r="F27" s="117">
        <v>7</v>
      </c>
      <c r="G27" s="117"/>
      <c r="H27" s="117"/>
      <c r="I27" s="117">
        <v>4</v>
      </c>
      <c r="J27" s="117">
        <v>5</v>
      </c>
      <c r="K27" s="117"/>
      <c r="L27" s="117"/>
      <c r="M27" s="117"/>
      <c r="N27" s="117">
        <v>8</v>
      </c>
      <c r="O27" s="117"/>
      <c r="P27" s="117">
        <v>3</v>
      </c>
      <c r="Q27" s="117">
        <v>6</v>
      </c>
      <c r="R27" s="117"/>
      <c r="S27" s="117"/>
      <c r="T27" s="117">
        <v>4</v>
      </c>
      <c r="U27" s="117"/>
      <c r="V27" s="117"/>
      <c r="W27" s="117">
        <v>5</v>
      </c>
      <c r="X27" s="117"/>
      <c r="Y27" s="117"/>
      <c r="Z27" s="117"/>
      <c r="AA27" s="117"/>
      <c r="AB27" s="117"/>
      <c r="AC27" s="117"/>
      <c r="AD27" s="117"/>
      <c r="AE27" s="117"/>
      <c r="AF27" s="117"/>
      <c r="AG27" s="160">
        <f>IF(COUNTA(TabREP[[#This Row],[J1]:[J30]])&lt;&gt;0,AVERAGE(TabREP[[#This Row],[J1]:[J30]]),"")</f>
        <v>5.6</v>
      </c>
      <c r="AH27" s="49">
        <f>TabREP[[#This Row],[Moyenne]]</f>
        <v>5.6</v>
      </c>
      <c r="AI27" s="48"/>
    </row>
    <row r="28" spans="2:35" ht="14.25">
      <c r="B28" s="14">
        <f>IF(INDEX(TabEntrainement[Seance],ROW()-18)&lt;&gt;0,INDEX(TabEntrainement[Seance],ROW()-18),"")</f>
        <v>43330</v>
      </c>
      <c r="C28" s="117">
        <v>4</v>
      </c>
      <c r="D28" s="117"/>
      <c r="E28" s="117">
        <v>4</v>
      </c>
      <c r="F28" s="117">
        <v>4</v>
      </c>
      <c r="G28" s="117"/>
      <c r="H28" s="117">
        <v>4</v>
      </c>
      <c r="I28" s="117">
        <v>4</v>
      </c>
      <c r="J28" s="117">
        <v>3</v>
      </c>
      <c r="K28" s="117"/>
      <c r="L28" s="117">
        <v>4</v>
      </c>
      <c r="M28" s="117"/>
      <c r="N28" s="117">
        <v>5</v>
      </c>
      <c r="O28" s="117"/>
      <c r="P28" s="117">
        <v>3</v>
      </c>
      <c r="Q28" s="117">
        <v>4</v>
      </c>
      <c r="R28" s="117"/>
      <c r="S28" s="117"/>
      <c r="T28" s="117">
        <v>3</v>
      </c>
      <c r="U28" s="117"/>
      <c r="V28" s="117"/>
      <c r="W28" s="117">
        <v>5</v>
      </c>
      <c r="X28" s="117"/>
      <c r="Y28" s="117"/>
      <c r="Z28" s="117"/>
      <c r="AA28" s="117"/>
      <c r="AB28" s="117"/>
      <c r="AC28" s="117"/>
      <c r="AD28" s="117"/>
      <c r="AE28" s="117"/>
      <c r="AF28" s="117"/>
      <c r="AG28" s="160">
        <f>IF(COUNTA(TabREP[[#This Row],[J1]:[J30]])&lt;&gt;0,AVERAGE(TabREP[[#This Row],[J1]:[J30]]),"")</f>
        <v>3.9166666666666665</v>
      </c>
      <c r="AH28" s="49">
        <f>TabREP[[#This Row],[Moyenne]]</f>
        <v>3.9166666666666665</v>
      </c>
      <c r="AI28" s="48"/>
    </row>
    <row r="29" spans="2:35" ht="14.25">
      <c r="B29" s="14">
        <f>IF(INDEX(TabEntrainement[Seance],ROW()-18)&lt;&gt;0,INDEX(TabEntrainement[Seance],ROW()-18),"")</f>
        <v>43332</v>
      </c>
      <c r="C29" s="117">
        <v>7</v>
      </c>
      <c r="D29" s="117">
        <v>7</v>
      </c>
      <c r="E29" s="117">
        <v>8</v>
      </c>
      <c r="F29" s="117">
        <v>7</v>
      </c>
      <c r="G29" s="117"/>
      <c r="H29" s="117"/>
      <c r="I29" s="117"/>
      <c r="J29" s="117"/>
      <c r="K29" s="117">
        <v>8</v>
      </c>
      <c r="L29" s="117">
        <v>8</v>
      </c>
      <c r="M29" s="117">
        <v>7</v>
      </c>
      <c r="N29" s="117">
        <v>9</v>
      </c>
      <c r="O29" s="117"/>
      <c r="P29" s="117">
        <v>6</v>
      </c>
      <c r="Q29" s="117">
        <v>6</v>
      </c>
      <c r="R29" s="117">
        <v>6</v>
      </c>
      <c r="S29" s="117">
        <v>8</v>
      </c>
      <c r="T29" s="117">
        <v>8</v>
      </c>
      <c r="U29" s="117"/>
      <c r="V29" s="117"/>
      <c r="W29" s="117">
        <v>8</v>
      </c>
      <c r="X29" s="117"/>
      <c r="Y29" s="117"/>
      <c r="Z29" s="117"/>
      <c r="AA29" s="117"/>
      <c r="AB29" s="117"/>
      <c r="AC29" s="117"/>
      <c r="AD29" s="117"/>
      <c r="AE29" s="117"/>
      <c r="AF29" s="117"/>
      <c r="AG29" s="160">
        <f>IF(COUNTA(TabREP[[#This Row],[J1]:[J30]])&lt;&gt;0,AVERAGE(TabREP[[#This Row],[J1]:[J30]]),"")</f>
        <v>7.3571428571428568</v>
      </c>
      <c r="AH29" s="49">
        <f>TabREP[[#This Row],[Moyenne]]</f>
        <v>7.3571428571428568</v>
      </c>
      <c r="AI29" s="48"/>
    </row>
    <row r="30" spans="2:35" ht="14.25">
      <c r="B30" s="14">
        <f>IF(INDEX(TabEntrainement[Seance],ROW()-18)&lt;&gt;0,INDEX(TabEntrainement[Seance],ROW()-18),"")</f>
        <v>43333</v>
      </c>
      <c r="C30" s="117">
        <v>6</v>
      </c>
      <c r="D30" s="117">
        <v>3</v>
      </c>
      <c r="E30" s="117">
        <v>8</v>
      </c>
      <c r="F30" s="117"/>
      <c r="G30" s="117"/>
      <c r="H30" s="117">
        <v>6</v>
      </c>
      <c r="I30" s="117"/>
      <c r="J30" s="117">
        <v>5</v>
      </c>
      <c r="K30" s="117">
        <v>6</v>
      </c>
      <c r="L30" s="117">
        <v>4</v>
      </c>
      <c r="M30" s="117"/>
      <c r="N30" s="117"/>
      <c r="O30" s="117"/>
      <c r="P30" s="117">
        <v>6</v>
      </c>
      <c r="Q30" s="117">
        <v>6</v>
      </c>
      <c r="R30" s="117">
        <v>6</v>
      </c>
      <c r="S30" s="117">
        <v>6</v>
      </c>
      <c r="T30" s="117">
        <v>4</v>
      </c>
      <c r="U30" s="117"/>
      <c r="V30" s="117"/>
      <c r="W30" s="117">
        <v>5</v>
      </c>
      <c r="X30" s="117"/>
      <c r="Y30" s="117"/>
      <c r="Z30" s="117"/>
      <c r="AA30" s="117"/>
      <c r="AB30" s="117"/>
      <c r="AC30" s="117"/>
      <c r="AD30" s="117"/>
      <c r="AE30" s="117"/>
      <c r="AF30" s="117"/>
      <c r="AG30" s="160">
        <f>IF(COUNTA(TabREP[[#This Row],[J1]:[J30]])&lt;&gt;0,AVERAGE(TabREP[[#This Row],[J1]:[J30]]),"")</f>
        <v>5.4615384615384617</v>
      </c>
      <c r="AH30" s="49">
        <f>TabREP[[#This Row],[Moyenne]]</f>
        <v>5.4615384615384617</v>
      </c>
      <c r="AI30" s="48"/>
    </row>
    <row r="31" spans="2:35" ht="14.25">
      <c r="B31" s="14">
        <f>IF(INDEX(TabEntrainement[Seance],ROW()-18)&lt;&gt;0,INDEX(TabEntrainement[Seance],ROW()-18),"")</f>
        <v>43335</v>
      </c>
      <c r="C31" s="117">
        <v>3</v>
      </c>
      <c r="D31" s="117">
        <v>2</v>
      </c>
      <c r="E31" s="117"/>
      <c r="F31" s="117">
        <v>2</v>
      </c>
      <c r="G31" s="117"/>
      <c r="H31" s="117">
        <v>1</v>
      </c>
      <c r="I31" s="117">
        <v>4</v>
      </c>
      <c r="J31" s="117"/>
      <c r="K31" s="117">
        <v>4</v>
      </c>
      <c r="L31" s="117">
        <v>3</v>
      </c>
      <c r="M31" s="117">
        <v>3</v>
      </c>
      <c r="N31" s="117">
        <v>2</v>
      </c>
      <c r="O31" s="117"/>
      <c r="P31" s="117">
        <v>3</v>
      </c>
      <c r="Q31" s="117">
        <v>3</v>
      </c>
      <c r="R31" s="117"/>
      <c r="S31" s="117">
        <v>3</v>
      </c>
      <c r="T31" s="117">
        <v>2</v>
      </c>
      <c r="U31" s="117"/>
      <c r="V31" s="117"/>
      <c r="W31" s="117">
        <v>2</v>
      </c>
      <c r="X31" s="117"/>
      <c r="Y31" s="117"/>
      <c r="Z31" s="117"/>
      <c r="AA31" s="117"/>
      <c r="AB31" s="117"/>
      <c r="AC31" s="117"/>
      <c r="AD31" s="117"/>
      <c r="AE31" s="117"/>
      <c r="AF31" s="117"/>
      <c r="AG31" s="160">
        <f>IF(COUNTA(TabREP[[#This Row],[J1]:[J30]])&lt;&gt;0,AVERAGE(TabREP[[#This Row],[J1]:[J30]]),"")</f>
        <v>2.6428571428571428</v>
      </c>
      <c r="AH31" s="49">
        <f>TabREP[[#This Row],[Moyenne]]</f>
        <v>2.6428571428571428</v>
      </c>
      <c r="AI31" s="48"/>
    </row>
    <row r="32" spans="2:35" ht="14.25">
      <c r="B32" s="14">
        <f>IF(INDEX(TabEntrainement[Seance],ROW()-18)&lt;&gt;0,INDEX(TabEntrainement[Seance],ROW()-18),"")</f>
        <v>43336</v>
      </c>
      <c r="C32" s="117">
        <v>3</v>
      </c>
      <c r="D32" s="117">
        <v>3</v>
      </c>
      <c r="E32" s="117">
        <v>2</v>
      </c>
      <c r="F32" s="117">
        <v>3</v>
      </c>
      <c r="G32" s="117">
        <v>3</v>
      </c>
      <c r="H32" s="117">
        <v>3</v>
      </c>
      <c r="I32" s="117">
        <v>3</v>
      </c>
      <c r="J32" s="117">
        <v>4</v>
      </c>
      <c r="K32" s="117"/>
      <c r="L32" s="117"/>
      <c r="M32" s="117">
        <v>6</v>
      </c>
      <c r="N32" s="117">
        <v>5</v>
      </c>
      <c r="O32" s="117">
        <v>3</v>
      </c>
      <c r="P32" s="117">
        <v>3</v>
      </c>
      <c r="Q32" s="117">
        <v>3</v>
      </c>
      <c r="R32" s="117">
        <v>4</v>
      </c>
      <c r="S32" s="117">
        <v>5</v>
      </c>
      <c r="T32" s="117">
        <v>3</v>
      </c>
      <c r="U32" s="117"/>
      <c r="V32" s="117"/>
      <c r="W32" s="117">
        <v>3</v>
      </c>
      <c r="X32" s="117"/>
      <c r="Y32" s="117"/>
      <c r="Z32" s="117"/>
      <c r="AA32" s="117"/>
      <c r="AB32" s="117"/>
      <c r="AC32" s="117"/>
      <c r="AD32" s="117"/>
      <c r="AE32" s="117"/>
      <c r="AF32" s="117"/>
      <c r="AG32" s="160">
        <f>IF(COUNTA(TabREP[[#This Row],[J1]:[J30]])&lt;&gt;0,AVERAGE(TabREP[[#This Row],[J1]:[J30]]),"")</f>
        <v>3.4705882352941178</v>
      </c>
      <c r="AH32" s="49">
        <f>TabREP[[#This Row],[Moyenne]]</f>
        <v>3.4705882352941178</v>
      </c>
      <c r="AI32" s="48"/>
    </row>
    <row r="33" spans="2:35" ht="14.25">
      <c r="B33" s="14">
        <f>IF(INDEX(TabEntrainement[Seance],ROW()-18)&lt;&gt;0,INDEX(TabEntrainement[Seance],ROW()-18),"")</f>
        <v>43339</v>
      </c>
      <c r="C33" s="117">
        <v>6</v>
      </c>
      <c r="D33" s="117">
        <v>5</v>
      </c>
      <c r="E33" s="117">
        <v>6</v>
      </c>
      <c r="F33" s="117">
        <v>6</v>
      </c>
      <c r="G33" s="117"/>
      <c r="H33" s="117">
        <v>4</v>
      </c>
      <c r="I33" s="117">
        <v>6</v>
      </c>
      <c r="J33" s="117"/>
      <c r="K33" s="117">
        <v>6</v>
      </c>
      <c r="L33" s="117">
        <v>6</v>
      </c>
      <c r="M33" s="117"/>
      <c r="N33" s="117">
        <v>6</v>
      </c>
      <c r="O33" s="117">
        <v>4</v>
      </c>
      <c r="P33" s="117">
        <v>4</v>
      </c>
      <c r="Q33" s="117">
        <v>4</v>
      </c>
      <c r="R33" s="117"/>
      <c r="S33" s="117">
        <v>5</v>
      </c>
      <c r="T33" s="117">
        <v>4</v>
      </c>
      <c r="U33" s="117"/>
      <c r="V33" s="117"/>
      <c r="W33" s="117">
        <v>5</v>
      </c>
      <c r="X33" s="117"/>
      <c r="Y33" s="117"/>
      <c r="Z33" s="117"/>
      <c r="AA33" s="117"/>
      <c r="AB33" s="117"/>
      <c r="AC33" s="117"/>
      <c r="AD33" s="117"/>
      <c r="AE33" s="117"/>
      <c r="AF33" s="117"/>
      <c r="AG33" s="160">
        <f>IF(COUNTA(TabREP[[#This Row],[J1]:[J30]])&lt;&gt;0,AVERAGE(TabREP[[#This Row],[J1]:[J30]]),"")</f>
        <v>5.1333333333333337</v>
      </c>
      <c r="AH33" s="49">
        <f>TabREP[[#This Row],[Moyenne]]</f>
        <v>5.1333333333333337</v>
      </c>
      <c r="AI33" s="48"/>
    </row>
    <row r="34" spans="2:35" ht="14.25">
      <c r="B34" s="14">
        <f>IF(INDEX(TabEntrainement[Seance],ROW()-18)&lt;&gt;0,INDEX(TabEntrainement[Seance],ROW()-18),"")</f>
        <v>43340</v>
      </c>
      <c r="C34" s="117">
        <v>5</v>
      </c>
      <c r="D34" s="117">
        <v>5</v>
      </c>
      <c r="E34" s="117">
        <v>5</v>
      </c>
      <c r="F34" s="117">
        <v>5</v>
      </c>
      <c r="G34" s="117"/>
      <c r="H34" s="117">
        <v>4</v>
      </c>
      <c r="I34" s="117">
        <v>4</v>
      </c>
      <c r="J34" s="117">
        <v>5</v>
      </c>
      <c r="K34" s="117"/>
      <c r="L34" s="117">
        <v>4</v>
      </c>
      <c r="M34" s="117">
        <v>5</v>
      </c>
      <c r="N34" s="117">
        <v>5</v>
      </c>
      <c r="O34" s="117">
        <v>5</v>
      </c>
      <c r="P34" s="117">
        <v>4</v>
      </c>
      <c r="Q34" s="117">
        <v>5</v>
      </c>
      <c r="R34" s="117">
        <v>5</v>
      </c>
      <c r="S34" s="117"/>
      <c r="T34" s="117">
        <v>2</v>
      </c>
      <c r="U34" s="117">
        <v>5</v>
      </c>
      <c r="V34" s="117"/>
      <c r="W34" s="117">
        <v>5</v>
      </c>
      <c r="X34" s="117"/>
      <c r="Y34" s="117"/>
      <c r="Z34" s="117"/>
      <c r="AA34" s="117"/>
      <c r="AB34" s="117"/>
      <c r="AC34" s="117"/>
      <c r="AD34" s="117"/>
      <c r="AE34" s="117"/>
      <c r="AF34" s="117"/>
      <c r="AG34" s="160">
        <f>IF(COUNTA(TabREP[[#This Row],[J1]:[J30]])&lt;&gt;0,AVERAGE(TabREP[[#This Row],[J1]:[J30]]),"")</f>
        <v>4.5882352941176467</v>
      </c>
      <c r="AH34" s="49">
        <f>TabREP[[#This Row],[Moyenne]]</f>
        <v>4.5882352941176467</v>
      </c>
      <c r="AI34" s="48"/>
    </row>
    <row r="35" spans="2:35" ht="14.25">
      <c r="B35" s="14">
        <f>IF(INDEX(TabEntrainement[Seance],ROW()-18)&lt;&gt;0,INDEX(TabEntrainement[Seance],ROW()-18),"")</f>
        <v>43342</v>
      </c>
      <c r="C35" s="117">
        <v>5</v>
      </c>
      <c r="D35" s="117">
        <v>6</v>
      </c>
      <c r="E35" s="117">
        <v>4</v>
      </c>
      <c r="F35" s="117">
        <v>5</v>
      </c>
      <c r="G35" s="117">
        <v>3</v>
      </c>
      <c r="H35" s="117">
        <v>5</v>
      </c>
      <c r="I35" s="117">
        <v>3</v>
      </c>
      <c r="J35" s="117">
        <v>4</v>
      </c>
      <c r="K35" s="117">
        <v>4</v>
      </c>
      <c r="L35" s="117">
        <v>4</v>
      </c>
      <c r="M35" s="117">
        <v>5</v>
      </c>
      <c r="N35" s="117">
        <v>6</v>
      </c>
      <c r="O35" s="117">
        <v>5</v>
      </c>
      <c r="P35" s="117">
        <v>4</v>
      </c>
      <c r="Q35" s="117">
        <v>5</v>
      </c>
      <c r="R35" s="117">
        <v>4</v>
      </c>
      <c r="S35" s="117">
        <v>5</v>
      </c>
      <c r="T35" s="117">
        <v>4</v>
      </c>
      <c r="U35" s="117">
        <v>6</v>
      </c>
      <c r="V35" s="117"/>
      <c r="W35" s="117">
        <v>5</v>
      </c>
      <c r="X35" s="117"/>
      <c r="Y35" s="117"/>
      <c r="Z35" s="117"/>
      <c r="AA35" s="117"/>
      <c r="AB35" s="117"/>
      <c r="AC35" s="117"/>
      <c r="AD35" s="117"/>
      <c r="AE35" s="117"/>
      <c r="AF35" s="117"/>
      <c r="AG35" s="160">
        <f>IF(COUNTA(TabREP[[#This Row],[J1]:[J30]])&lt;&gt;0,AVERAGE(TabREP[[#This Row],[J1]:[J30]]),"")</f>
        <v>4.5999999999999996</v>
      </c>
      <c r="AH35" s="49">
        <f>TabREP[[#This Row],[Moyenne]]</f>
        <v>4.5999999999999996</v>
      </c>
      <c r="AI35" s="48"/>
    </row>
    <row r="36" spans="2:35" ht="14.25">
      <c r="B36" s="14">
        <f>IF(INDEX(TabEntrainement[Seance],ROW()-18)&lt;&gt;0,INDEX(TabEntrainement[Seance],ROW()-18),"")</f>
        <v>43343</v>
      </c>
      <c r="C36" s="117">
        <v>3</v>
      </c>
      <c r="D36" s="117">
        <v>4</v>
      </c>
      <c r="E36" s="117"/>
      <c r="F36" s="117">
        <v>3</v>
      </c>
      <c r="G36" s="117"/>
      <c r="H36" s="117">
        <v>2</v>
      </c>
      <c r="I36" s="117">
        <v>3</v>
      </c>
      <c r="J36" s="117">
        <v>3</v>
      </c>
      <c r="K36" s="117">
        <v>5</v>
      </c>
      <c r="L36" s="117"/>
      <c r="M36" s="117">
        <v>4</v>
      </c>
      <c r="N36" s="117">
        <v>5</v>
      </c>
      <c r="O36" s="117">
        <v>3</v>
      </c>
      <c r="P36" s="117">
        <v>5</v>
      </c>
      <c r="Q36" s="117">
        <v>3</v>
      </c>
      <c r="R36" s="117">
        <v>3</v>
      </c>
      <c r="S36" s="117">
        <v>4</v>
      </c>
      <c r="T36" s="117"/>
      <c r="U36" s="117">
        <v>4</v>
      </c>
      <c r="V36" s="117"/>
      <c r="W36" s="117">
        <v>5</v>
      </c>
      <c r="X36" s="117"/>
      <c r="Y36" s="117"/>
      <c r="Z36" s="117"/>
      <c r="AA36" s="117"/>
      <c r="AB36" s="117"/>
      <c r="AC36" s="117"/>
      <c r="AD36" s="117"/>
      <c r="AE36" s="117"/>
      <c r="AF36" s="117"/>
      <c r="AG36" s="160">
        <f>IF(COUNTA(TabREP[[#This Row],[J1]:[J30]])&lt;&gt;0,AVERAGE(TabREP[[#This Row],[J1]:[J30]]),"")</f>
        <v>3.6875</v>
      </c>
      <c r="AH36" s="49">
        <f>TabREP[[#This Row],[Moyenne]]</f>
        <v>3.6875</v>
      </c>
      <c r="AI36" s="48"/>
    </row>
    <row r="37" spans="2:35" ht="14.25">
      <c r="B37" s="14">
        <f>IF(INDEX(TabEntrainement[Seance],ROW()-18)&lt;&gt;0,INDEX(TabEntrainement[Seance],ROW()-18),"")</f>
        <v>43347</v>
      </c>
      <c r="C37" s="117">
        <v>4</v>
      </c>
      <c r="D37" s="117">
        <v>4</v>
      </c>
      <c r="E37" s="117">
        <v>3</v>
      </c>
      <c r="F37" s="117"/>
      <c r="G37" s="117"/>
      <c r="H37" s="117"/>
      <c r="I37" s="117"/>
      <c r="J37" s="117"/>
      <c r="K37" s="117">
        <v>4</v>
      </c>
      <c r="L37" s="117">
        <v>5</v>
      </c>
      <c r="M37" s="117">
        <v>4</v>
      </c>
      <c r="N37" s="117">
        <v>5</v>
      </c>
      <c r="O37" s="117">
        <v>5</v>
      </c>
      <c r="P37" s="117">
        <v>4</v>
      </c>
      <c r="Q37" s="117">
        <v>4</v>
      </c>
      <c r="R37" s="117">
        <v>3</v>
      </c>
      <c r="S37" s="117"/>
      <c r="T37" s="117">
        <v>5</v>
      </c>
      <c r="U37" s="117"/>
      <c r="V37" s="117">
        <v>5</v>
      </c>
      <c r="W37" s="117">
        <v>5</v>
      </c>
      <c r="X37" s="117"/>
      <c r="Y37" s="117"/>
      <c r="Z37" s="117"/>
      <c r="AA37" s="117"/>
      <c r="AB37" s="117"/>
      <c r="AC37" s="117"/>
      <c r="AD37" s="117"/>
      <c r="AE37" s="117"/>
      <c r="AF37" s="117"/>
      <c r="AG37" s="160">
        <f>IF(COUNTA(TabREP[[#This Row],[J1]:[J30]])&lt;&gt;0,AVERAGE(TabREP[[#This Row],[J1]:[J30]]),"")</f>
        <v>4.2857142857142856</v>
      </c>
      <c r="AH37" s="49">
        <f>TabREP[[#This Row],[Moyenne]]</f>
        <v>4.2857142857142856</v>
      </c>
      <c r="AI37" s="48"/>
    </row>
    <row r="38" spans="2:35" ht="14.25">
      <c r="B38" s="14">
        <f>IF(INDEX(TabEntrainement[Seance],ROW()-18)&lt;&gt;0,INDEX(TabEntrainement[Seance],ROW()-18),"")</f>
        <v>43349</v>
      </c>
      <c r="C38" s="117">
        <v>4</v>
      </c>
      <c r="D38" s="117">
        <v>4</v>
      </c>
      <c r="E38" s="117">
        <v>3</v>
      </c>
      <c r="F38" s="117"/>
      <c r="G38" s="117">
        <v>4</v>
      </c>
      <c r="H38" s="117"/>
      <c r="I38" s="117">
        <v>3</v>
      </c>
      <c r="J38" s="117">
        <v>3</v>
      </c>
      <c r="K38" s="117">
        <v>4</v>
      </c>
      <c r="L38" s="117">
        <v>6</v>
      </c>
      <c r="M38" s="117">
        <v>4</v>
      </c>
      <c r="N38" s="117">
        <v>5</v>
      </c>
      <c r="O38" s="117">
        <v>5</v>
      </c>
      <c r="P38" s="117">
        <v>4</v>
      </c>
      <c r="Q38" s="117">
        <v>4</v>
      </c>
      <c r="R38" s="117">
        <v>3</v>
      </c>
      <c r="S38" s="117">
        <v>5</v>
      </c>
      <c r="T38" s="117">
        <v>6</v>
      </c>
      <c r="U38" s="117"/>
      <c r="V38" s="117">
        <v>4</v>
      </c>
      <c r="W38" s="117">
        <v>4</v>
      </c>
      <c r="X38" s="117"/>
      <c r="Y38" s="117"/>
      <c r="Z38" s="117"/>
      <c r="AA38" s="117"/>
      <c r="AB38" s="117"/>
      <c r="AC38" s="117"/>
      <c r="AD38" s="117"/>
      <c r="AE38" s="117"/>
      <c r="AF38" s="117"/>
      <c r="AG38" s="160">
        <f>IF(COUNTA(TabREP[[#This Row],[J1]:[J30]])&lt;&gt;0,AVERAGE(TabREP[[#This Row],[J1]:[J30]]),"")</f>
        <v>4.166666666666667</v>
      </c>
      <c r="AH38" s="49">
        <f>TabREP[[#This Row],[Moyenne]]</f>
        <v>4.166666666666667</v>
      </c>
      <c r="AI38" s="48"/>
    </row>
    <row r="39" spans="2:35" ht="14.25">
      <c r="B39" s="14">
        <f>IF(INDEX(TabEntrainement[Seance],ROW()-18)&lt;&gt;0,INDEX(TabEntrainement[Seance],ROW()-18),"")</f>
        <v>43350</v>
      </c>
      <c r="C39" s="117">
        <v>3</v>
      </c>
      <c r="D39" s="117">
        <v>3</v>
      </c>
      <c r="E39" s="117"/>
      <c r="F39" s="117"/>
      <c r="G39" s="117"/>
      <c r="H39" s="117">
        <v>3</v>
      </c>
      <c r="I39" s="117">
        <v>3</v>
      </c>
      <c r="J39" s="117">
        <v>3</v>
      </c>
      <c r="K39" s="117"/>
      <c r="L39" s="117"/>
      <c r="M39" s="117"/>
      <c r="N39" s="117"/>
      <c r="O39" s="117">
        <v>3</v>
      </c>
      <c r="P39" s="117">
        <v>4</v>
      </c>
      <c r="Q39" s="117">
        <v>4</v>
      </c>
      <c r="R39" s="117"/>
      <c r="S39" s="117"/>
      <c r="T39" s="117">
        <v>4</v>
      </c>
      <c r="U39" s="117">
        <v>4</v>
      </c>
      <c r="V39" s="117">
        <v>2</v>
      </c>
      <c r="W39" s="117">
        <v>4</v>
      </c>
      <c r="X39" s="117"/>
      <c r="Y39" s="117"/>
      <c r="Z39" s="117"/>
      <c r="AA39" s="117"/>
      <c r="AB39" s="117"/>
      <c r="AC39" s="117"/>
      <c r="AD39" s="117"/>
      <c r="AE39" s="117"/>
      <c r="AF39" s="117"/>
      <c r="AG39" s="160">
        <f>IF(COUNTA(TabREP[[#This Row],[J1]:[J30]])&lt;&gt;0,AVERAGE(TabREP[[#This Row],[J1]:[J30]]),"")</f>
        <v>3.3333333333333335</v>
      </c>
      <c r="AH39" s="49">
        <f>TabREP[[#This Row],[Moyenne]]</f>
        <v>3.3333333333333335</v>
      </c>
      <c r="AI39" s="48"/>
    </row>
    <row r="40" spans="2:35" ht="14.25">
      <c r="B40" s="14">
        <f>IF(INDEX(TabEntrainement[Seance],ROW()-18)&lt;&gt;0,INDEX(TabEntrainement[Seance],ROW()-18),"")</f>
        <v>43354</v>
      </c>
      <c r="C40" s="117">
        <v>4</v>
      </c>
      <c r="D40" s="117"/>
      <c r="E40" s="117">
        <v>4</v>
      </c>
      <c r="F40" s="117">
        <v>5</v>
      </c>
      <c r="G40" s="117"/>
      <c r="H40" s="117"/>
      <c r="I40" s="117"/>
      <c r="J40" s="117"/>
      <c r="K40" s="117">
        <v>5</v>
      </c>
      <c r="L40" s="117">
        <v>6</v>
      </c>
      <c r="M40" s="117"/>
      <c r="N40" s="117">
        <v>5</v>
      </c>
      <c r="O40" s="117">
        <v>6</v>
      </c>
      <c r="P40" s="117">
        <v>4</v>
      </c>
      <c r="Q40" s="117">
        <v>5</v>
      </c>
      <c r="R40" s="117"/>
      <c r="S40" s="117">
        <v>4</v>
      </c>
      <c r="T40" s="117">
        <v>5</v>
      </c>
      <c r="U40" s="117"/>
      <c r="V40" s="117">
        <v>2</v>
      </c>
      <c r="W40" s="117"/>
      <c r="X40" s="117"/>
      <c r="Y40" s="117"/>
      <c r="Z40" s="117"/>
      <c r="AA40" s="117"/>
      <c r="AB40" s="117"/>
      <c r="AC40" s="117"/>
      <c r="AD40" s="117"/>
      <c r="AE40" s="117"/>
      <c r="AF40" s="117"/>
      <c r="AG40" s="160">
        <f>IF(COUNTA(TabREP[[#This Row],[J1]:[J30]])&lt;&gt;0,AVERAGE(TabREP[[#This Row],[J1]:[J30]]),"")</f>
        <v>4.583333333333333</v>
      </c>
      <c r="AH40" s="49">
        <f>TabREP[[#This Row],[Moyenne]]</f>
        <v>4.583333333333333</v>
      </c>
      <c r="AI40" s="48"/>
    </row>
    <row r="41" spans="2:35" ht="14.25">
      <c r="B41" s="14">
        <f>IF(INDEX(TabEntrainement[Seance],ROW()-18)&lt;&gt;0,INDEX(TabEntrainement[Seance],ROW()-18),"")</f>
        <v>43357</v>
      </c>
      <c r="C41" s="117">
        <v>5</v>
      </c>
      <c r="D41" s="117"/>
      <c r="E41" s="117">
        <v>4</v>
      </c>
      <c r="F41" s="117">
        <v>4</v>
      </c>
      <c r="G41" s="117"/>
      <c r="H41" s="117"/>
      <c r="I41" s="117"/>
      <c r="J41" s="117">
        <v>3</v>
      </c>
      <c r="K41" s="117">
        <v>6</v>
      </c>
      <c r="L41" s="117">
        <v>6</v>
      </c>
      <c r="M41" s="117">
        <v>6</v>
      </c>
      <c r="N41" s="117">
        <v>6</v>
      </c>
      <c r="O41" s="117">
        <v>6</v>
      </c>
      <c r="P41" s="117">
        <v>4</v>
      </c>
      <c r="Q41" s="117">
        <v>5</v>
      </c>
      <c r="R41" s="117">
        <v>4</v>
      </c>
      <c r="S41" s="117">
        <v>5</v>
      </c>
      <c r="T41" s="117">
        <v>4</v>
      </c>
      <c r="U41" s="117"/>
      <c r="V41" s="117">
        <v>1</v>
      </c>
      <c r="W41" s="117"/>
      <c r="X41" s="117"/>
      <c r="Y41" s="117"/>
      <c r="Z41" s="117"/>
      <c r="AA41" s="117"/>
      <c r="AB41" s="117"/>
      <c r="AC41" s="117"/>
      <c r="AD41" s="117"/>
      <c r="AE41" s="117"/>
      <c r="AF41" s="117"/>
      <c r="AG41" s="160">
        <f>IF(COUNTA(TabREP[[#This Row],[J1]:[J30]])&lt;&gt;0,AVERAGE(TabREP[[#This Row],[J1]:[J30]]),"")</f>
        <v>4.5999999999999996</v>
      </c>
      <c r="AH41" s="49">
        <f>TabREP[[#This Row],[Moyenne]]</f>
        <v>4.5999999999999996</v>
      </c>
      <c r="AI41" s="48"/>
    </row>
    <row r="42" spans="2:35" ht="14.25">
      <c r="B42" s="14">
        <f>IF(INDEX(TabEntrainement[Seance],ROW()-18)&lt;&gt;0,INDEX(TabEntrainement[Seance],ROW()-18),"")</f>
        <v>43358</v>
      </c>
      <c r="C42" s="117">
        <v>3</v>
      </c>
      <c r="D42" s="117"/>
      <c r="E42" s="117">
        <v>4</v>
      </c>
      <c r="F42" s="117"/>
      <c r="G42" s="117"/>
      <c r="H42" s="117">
        <v>3</v>
      </c>
      <c r="I42" s="117"/>
      <c r="J42" s="117">
        <v>3</v>
      </c>
      <c r="K42" s="117"/>
      <c r="L42" s="117"/>
      <c r="M42" s="117">
        <v>4</v>
      </c>
      <c r="N42" s="117">
        <v>4</v>
      </c>
      <c r="O42" s="117"/>
      <c r="P42" s="117">
        <v>3</v>
      </c>
      <c r="Q42" s="117">
        <v>3</v>
      </c>
      <c r="R42" s="117">
        <v>3</v>
      </c>
      <c r="S42" s="117"/>
      <c r="T42" s="117"/>
      <c r="U42" s="117">
        <v>4</v>
      </c>
      <c r="V42" s="117">
        <v>3</v>
      </c>
      <c r="W42" s="117"/>
      <c r="X42" s="117"/>
      <c r="Y42" s="117"/>
      <c r="Z42" s="117"/>
      <c r="AA42" s="117"/>
      <c r="AB42" s="117"/>
      <c r="AC42" s="117"/>
      <c r="AD42" s="117"/>
      <c r="AE42" s="117"/>
      <c r="AF42" s="117"/>
      <c r="AG42" s="160">
        <f>IF(COUNTA(TabREP[[#This Row],[J1]:[J30]])&lt;&gt;0,AVERAGE(TabREP[[#This Row],[J1]:[J30]]),"")</f>
        <v>3.3636363636363638</v>
      </c>
      <c r="AH42" s="49">
        <f>TabREP[[#This Row],[Moyenne]]</f>
        <v>3.3636363636363638</v>
      </c>
      <c r="AI42" s="48"/>
    </row>
    <row r="43" spans="2:35" ht="14.25">
      <c r="B43" s="14" t="str">
        <f>IF(INDEX(TabEntrainement[Seance],ROW()-18)&lt;&gt;0,INDEX(TabEntrainement[Seance],ROW()-18),"")</f>
        <v/>
      </c>
      <c r="C43" s="117"/>
      <c r="D43" s="117"/>
      <c r="E43" s="117"/>
      <c r="F43" s="117"/>
      <c r="G43" s="117"/>
      <c r="H43" s="117"/>
      <c r="I43" s="117"/>
      <c r="J43" s="117"/>
      <c r="K43" s="117"/>
      <c r="L43" s="117"/>
      <c r="M43" s="117"/>
      <c r="N43" s="117"/>
      <c r="O43" s="117"/>
      <c r="P43" s="117"/>
      <c r="Q43" s="117"/>
      <c r="R43" s="117"/>
      <c r="S43" s="117"/>
      <c r="T43" s="117"/>
      <c r="U43" s="117"/>
      <c r="V43" s="117"/>
      <c r="W43" s="117"/>
      <c r="X43" s="117"/>
      <c r="Y43" s="117"/>
      <c r="Z43" s="117"/>
      <c r="AA43" s="117"/>
      <c r="AB43" s="117"/>
      <c r="AC43" s="117"/>
      <c r="AD43" s="117"/>
      <c r="AE43" s="117"/>
      <c r="AF43" s="117"/>
      <c r="AG43" s="160" t="str">
        <f>IF(COUNTA(TabREP[[#This Row],[J1]:[J30]])&lt;&gt;0,AVERAGE(TabREP[[#This Row],[J1]:[J30]]),"")</f>
        <v/>
      </c>
      <c r="AH43" s="49" t="str">
        <f>TabREP[[#This Row],[Moyenne]]</f>
        <v/>
      </c>
      <c r="AI43" s="48"/>
    </row>
    <row r="44" spans="2:35" ht="14.25">
      <c r="B44" s="14" t="str">
        <f>IF(INDEX(TabEntrainement[Seance],ROW()-18)&lt;&gt;0,INDEX(TabEntrainement[Seance],ROW()-18),"")</f>
        <v/>
      </c>
      <c r="C44" s="117"/>
      <c r="D44" s="117"/>
      <c r="E44" s="117"/>
      <c r="F44" s="117"/>
      <c r="G44" s="117"/>
      <c r="H44" s="117"/>
      <c r="I44" s="117"/>
      <c r="J44" s="117"/>
      <c r="K44" s="117"/>
      <c r="L44" s="117"/>
      <c r="M44" s="117"/>
      <c r="N44" s="117"/>
      <c r="O44" s="117"/>
      <c r="P44" s="117"/>
      <c r="Q44" s="117"/>
      <c r="R44" s="117"/>
      <c r="S44" s="117"/>
      <c r="T44" s="117"/>
      <c r="U44" s="117"/>
      <c r="V44" s="117"/>
      <c r="W44" s="117"/>
      <c r="X44" s="117"/>
      <c r="Y44" s="117"/>
      <c r="Z44" s="117"/>
      <c r="AA44" s="117"/>
      <c r="AB44" s="117"/>
      <c r="AC44" s="117"/>
      <c r="AD44" s="117"/>
      <c r="AE44" s="117"/>
      <c r="AF44" s="117"/>
      <c r="AG44" s="160" t="str">
        <f>IF(COUNTA(TabREP[[#This Row],[J1]:[J30]])&lt;&gt;0,AVERAGE(TabREP[[#This Row],[J1]:[J30]]),"")</f>
        <v/>
      </c>
      <c r="AH44" s="49" t="str">
        <f>TabREP[[#This Row],[Moyenne]]</f>
        <v/>
      </c>
      <c r="AI44" s="48"/>
    </row>
    <row r="45" spans="2:35" ht="14.25">
      <c r="B45" s="14" t="str">
        <f>IF(INDEX(TabEntrainement[Seance],ROW()-18)&lt;&gt;0,INDEX(TabEntrainement[Seance],ROW()-18),"")</f>
        <v/>
      </c>
      <c r="C45" s="117"/>
      <c r="D45" s="117"/>
      <c r="E45" s="117"/>
      <c r="F45" s="117"/>
      <c r="G45" s="117"/>
      <c r="H45" s="117"/>
      <c r="I45" s="117"/>
      <c r="J45" s="117"/>
      <c r="K45" s="117"/>
      <c r="L45" s="117"/>
      <c r="M45" s="117"/>
      <c r="N45" s="117"/>
      <c r="O45" s="117"/>
      <c r="P45" s="117"/>
      <c r="Q45" s="117"/>
      <c r="R45" s="117"/>
      <c r="S45" s="117"/>
      <c r="T45" s="117"/>
      <c r="U45" s="117"/>
      <c r="V45" s="117"/>
      <c r="W45" s="117"/>
      <c r="X45" s="117"/>
      <c r="Y45" s="117"/>
      <c r="Z45" s="117"/>
      <c r="AA45" s="117"/>
      <c r="AB45" s="117"/>
      <c r="AC45" s="117"/>
      <c r="AD45" s="117"/>
      <c r="AE45" s="117"/>
      <c r="AF45" s="117"/>
      <c r="AG45" s="160" t="str">
        <f>IF(COUNTA(TabREP[[#This Row],[J1]:[J30]])&lt;&gt;0,AVERAGE(TabREP[[#This Row],[J1]:[J30]]),"")</f>
        <v/>
      </c>
      <c r="AH45" s="49" t="str">
        <f>TabREP[[#This Row],[Moyenne]]</f>
        <v/>
      </c>
      <c r="AI45" s="48"/>
    </row>
    <row r="46" spans="2:35" ht="14.25">
      <c r="B46" s="14" t="str">
        <f>IF(INDEX(TabEntrainement[Seance],ROW()-18)&lt;&gt;0,INDEX(TabEntrainement[Seance],ROW()-18),"")</f>
        <v/>
      </c>
      <c r="C46" s="117"/>
      <c r="D46" s="117"/>
      <c r="E46" s="117"/>
      <c r="F46" s="117"/>
      <c r="G46" s="117"/>
      <c r="H46" s="117"/>
      <c r="I46" s="117"/>
      <c r="J46" s="117"/>
      <c r="K46" s="117"/>
      <c r="L46" s="117"/>
      <c r="M46" s="117"/>
      <c r="N46" s="117"/>
      <c r="O46" s="117"/>
      <c r="P46" s="117"/>
      <c r="Q46" s="117"/>
      <c r="R46" s="117"/>
      <c r="S46" s="117"/>
      <c r="T46" s="117"/>
      <c r="U46" s="117"/>
      <c r="V46" s="117"/>
      <c r="W46" s="117"/>
      <c r="X46" s="117"/>
      <c r="Y46" s="117"/>
      <c r="Z46" s="117"/>
      <c r="AA46" s="117"/>
      <c r="AB46" s="117"/>
      <c r="AC46" s="117"/>
      <c r="AD46" s="117"/>
      <c r="AE46" s="117"/>
      <c r="AF46" s="117"/>
      <c r="AG46" s="160" t="str">
        <f>IF(COUNTA(TabREP[[#This Row],[J1]:[J30]])&lt;&gt;0,AVERAGE(TabREP[[#This Row],[J1]:[J30]]),"")</f>
        <v/>
      </c>
      <c r="AH46" s="49" t="str">
        <f>TabREP[[#This Row],[Moyenne]]</f>
        <v/>
      </c>
      <c r="AI46" s="48"/>
    </row>
    <row r="47" spans="2:35" ht="14.25">
      <c r="B47" s="14" t="str">
        <f>IF(INDEX(TabEntrainement[Seance],ROW()-18)&lt;&gt;0,INDEX(TabEntrainement[Seance],ROW()-18),"")</f>
        <v/>
      </c>
      <c r="C47" s="117"/>
      <c r="D47" s="117"/>
      <c r="E47" s="117"/>
      <c r="F47" s="117"/>
      <c r="G47" s="117"/>
      <c r="H47" s="117"/>
      <c r="I47" s="117"/>
      <c r="J47" s="117"/>
      <c r="K47" s="117"/>
      <c r="L47" s="117"/>
      <c r="M47" s="117"/>
      <c r="N47" s="117"/>
      <c r="O47" s="117"/>
      <c r="P47" s="117"/>
      <c r="Q47" s="117"/>
      <c r="R47" s="117"/>
      <c r="S47" s="117"/>
      <c r="T47" s="117"/>
      <c r="U47" s="117"/>
      <c r="V47" s="117"/>
      <c r="W47" s="117"/>
      <c r="X47" s="117"/>
      <c r="Y47" s="117"/>
      <c r="Z47" s="117"/>
      <c r="AA47" s="117"/>
      <c r="AB47" s="117"/>
      <c r="AC47" s="117"/>
      <c r="AD47" s="117"/>
      <c r="AE47" s="117"/>
      <c r="AF47" s="117"/>
      <c r="AG47" s="160" t="str">
        <f>IF(COUNTA(TabREP[[#This Row],[J1]:[J30]])&lt;&gt;0,AVERAGE(TabREP[[#This Row],[J1]:[J30]]),"")</f>
        <v/>
      </c>
      <c r="AH47" s="49" t="str">
        <f>TabREP[[#This Row],[Moyenne]]</f>
        <v/>
      </c>
      <c r="AI47" s="48"/>
    </row>
    <row r="48" spans="2:35" ht="14.25">
      <c r="B48" s="14" t="str">
        <f>IF(INDEX(TabEntrainement[Seance],ROW()-18)&lt;&gt;0,INDEX(TabEntrainement[Seance],ROW()-18),"")</f>
        <v/>
      </c>
      <c r="C48" s="117"/>
      <c r="D48" s="117"/>
      <c r="E48" s="117"/>
      <c r="F48" s="117"/>
      <c r="G48" s="117"/>
      <c r="H48" s="117"/>
      <c r="I48" s="117"/>
      <c r="J48" s="117"/>
      <c r="K48" s="117"/>
      <c r="L48" s="117"/>
      <c r="M48" s="117"/>
      <c r="N48" s="117"/>
      <c r="O48" s="117"/>
      <c r="P48" s="117"/>
      <c r="Q48" s="117"/>
      <c r="R48" s="117"/>
      <c r="S48" s="117"/>
      <c r="T48" s="117"/>
      <c r="U48" s="117"/>
      <c r="V48" s="117"/>
      <c r="W48" s="117"/>
      <c r="X48" s="117"/>
      <c r="Y48" s="117"/>
      <c r="Z48" s="117"/>
      <c r="AA48" s="117"/>
      <c r="AB48" s="117"/>
      <c r="AC48" s="117"/>
      <c r="AD48" s="117"/>
      <c r="AE48" s="117"/>
      <c r="AF48" s="117"/>
      <c r="AG48" s="160" t="str">
        <f>IF(COUNTA(TabREP[[#This Row],[J1]:[J30]])&lt;&gt;0,AVERAGE(TabREP[[#This Row],[J1]:[J30]]),"")</f>
        <v/>
      </c>
      <c r="AH48" s="49" t="str">
        <f>TabREP[[#This Row],[Moyenne]]</f>
        <v/>
      </c>
      <c r="AI48" s="48"/>
    </row>
    <row r="49" spans="2:35" ht="14.25">
      <c r="B49" s="14" t="str">
        <f>IF(INDEX(TabEntrainement[Seance],ROW()-18)&lt;&gt;0,INDEX(TabEntrainement[Seance],ROW()-18),"")</f>
        <v/>
      </c>
      <c r="C49" s="117"/>
      <c r="D49" s="117"/>
      <c r="E49" s="117"/>
      <c r="F49" s="117"/>
      <c r="G49" s="117"/>
      <c r="H49" s="117"/>
      <c r="I49" s="117"/>
      <c r="J49" s="117"/>
      <c r="K49" s="117"/>
      <c r="L49" s="117"/>
      <c r="M49" s="117"/>
      <c r="N49" s="117"/>
      <c r="O49" s="117"/>
      <c r="P49" s="117"/>
      <c r="Q49" s="117"/>
      <c r="R49" s="117"/>
      <c r="S49" s="117"/>
      <c r="T49" s="117"/>
      <c r="U49" s="117"/>
      <c r="V49" s="117"/>
      <c r="W49" s="117"/>
      <c r="X49" s="117"/>
      <c r="Y49" s="117"/>
      <c r="Z49" s="117"/>
      <c r="AA49" s="117"/>
      <c r="AB49" s="117"/>
      <c r="AC49" s="117"/>
      <c r="AD49" s="117"/>
      <c r="AE49" s="117"/>
      <c r="AF49" s="117"/>
      <c r="AG49" s="160" t="str">
        <f>IF(COUNTA(TabREP[[#This Row],[J1]:[J30]])&lt;&gt;0,AVERAGE(TabREP[[#This Row],[J1]:[J30]]),"")</f>
        <v/>
      </c>
      <c r="AH49" s="49" t="str">
        <f>TabREP[[#This Row],[Moyenne]]</f>
        <v/>
      </c>
      <c r="AI49" s="48"/>
    </row>
    <row r="50" spans="2:35" ht="14.25">
      <c r="B50" s="14" t="str">
        <f>IF(INDEX(TabEntrainement[Seance],ROW()-18)&lt;&gt;0,INDEX(TabEntrainement[Seance],ROW()-18),"")</f>
        <v/>
      </c>
      <c r="C50" s="117"/>
      <c r="D50" s="117"/>
      <c r="E50" s="117"/>
      <c r="F50" s="117"/>
      <c r="G50" s="117"/>
      <c r="H50" s="117"/>
      <c r="I50" s="117"/>
      <c r="J50" s="117"/>
      <c r="K50" s="117"/>
      <c r="L50" s="117"/>
      <c r="M50" s="117"/>
      <c r="N50" s="117"/>
      <c r="O50" s="117"/>
      <c r="P50" s="117"/>
      <c r="Q50" s="117"/>
      <c r="R50" s="117"/>
      <c r="S50" s="117"/>
      <c r="T50" s="117"/>
      <c r="U50" s="117"/>
      <c r="V50" s="117"/>
      <c r="W50" s="117"/>
      <c r="X50" s="117"/>
      <c r="Y50" s="117"/>
      <c r="Z50" s="117"/>
      <c r="AA50" s="117"/>
      <c r="AB50" s="117"/>
      <c r="AC50" s="117"/>
      <c r="AD50" s="117"/>
      <c r="AE50" s="117"/>
      <c r="AF50" s="117"/>
      <c r="AG50" s="160" t="str">
        <f>IF(COUNTA(TabREP[[#This Row],[J1]:[J30]])&lt;&gt;0,AVERAGE(TabREP[[#This Row],[J1]:[J30]]),"")</f>
        <v/>
      </c>
      <c r="AH50" s="49" t="str">
        <f>TabREP[[#This Row],[Moyenne]]</f>
        <v/>
      </c>
      <c r="AI50" s="48"/>
    </row>
    <row r="51" spans="2:35" ht="14.25">
      <c r="B51" s="14" t="str">
        <f>IF(INDEX(TabEntrainement[Seance],ROW()-18)&lt;&gt;0,INDEX(TabEntrainement[Seance],ROW()-18),"")</f>
        <v/>
      </c>
      <c r="C51" s="117"/>
      <c r="D51" s="117"/>
      <c r="E51" s="117"/>
      <c r="F51" s="117"/>
      <c r="G51" s="117"/>
      <c r="H51" s="117"/>
      <c r="I51" s="117"/>
      <c r="J51" s="117"/>
      <c r="K51" s="117"/>
      <c r="L51" s="117"/>
      <c r="M51" s="117"/>
      <c r="N51" s="117"/>
      <c r="O51" s="117"/>
      <c r="P51" s="117"/>
      <c r="Q51" s="117"/>
      <c r="R51" s="117"/>
      <c r="S51" s="117"/>
      <c r="T51" s="117"/>
      <c r="U51" s="117"/>
      <c r="V51" s="117"/>
      <c r="W51" s="117"/>
      <c r="X51" s="117"/>
      <c r="Y51" s="117"/>
      <c r="Z51" s="117"/>
      <c r="AA51" s="117"/>
      <c r="AB51" s="117"/>
      <c r="AC51" s="117"/>
      <c r="AD51" s="117"/>
      <c r="AE51" s="117"/>
      <c r="AF51" s="117"/>
      <c r="AG51" s="160" t="str">
        <f>IF(COUNTA(TabREP[[#This Row],[J1]:[J30]])&lt;&gt;0,AVERAGE(TabREP[[#This Row],[J1]:[J30]]),"")</f>
        <v/>
      </c>
      <c r="AH51" s="49" t="str">
        <f>TabREP[[#This Row],[Moyenne]]</f>
        <v/>
      </c>
      <c r="AI51" s="48"/>
    </row>
    <row r="52" spans="2:35" ht="14.25">
      <c r="B52" s="14" t="str">
        <f>IF(INDEX(TabEntrainement[Seance],ROW()-18)&lt;&gt;0,INDEX(TabEntrainement[Seance],ROW()-18),"")</f>
        <v/>
      </c>
      <c r="C52" s="117"/>
      <c r="D52" s="117"/>
      <c r="E52" s="117"/>
      <c r="F52" s="117"/>
      <c r="G52" s="117"/>
      <c r="H52" s="117"/>
      <c r="I52" s="117"/>
      <c r="J52" s="117"/>
      <c r="K52" s="117"/>
      <c r="L52" s="117"/>
      <c r="M52" s="117"/>
      <c r="N52" s="117"/>
      <c r="O52" s="117"/>
      <c r="P52" s="117"/>
      <c r="Q52" s="117"/>
      <c r="R52" s="117"/>
      <c r="S52" s="117"/>
      <c r="T52" s="117"/>
      <c r="U52" s="117"/>
      <c r="V52" s="117"/>
      <c r="W52" s="117"/>
      <c r="X52" s="117"/>
      <c r="Y52" s="117"/>
      <c r="Z52" s="117"/>
      <c r="AA52" s="117"/>
      <c r="AB52" s="117"/>
      <c r="AC52" s="117"/>
      <c r="AD52" s="117"/>
      <c r="AE52" s="117"/>
      <c r="AF52" s="117"/>
      <c r="AG52" s="160" t="str">
        <f>IF(COUNTA(TabREP[[#This Row],[J1]:[J30]])&lt;&gt;0,AVERAGE(TabREP[[#This Row],[J1]:[J30]]),"")</f>
        <v/>
      </c>
      <c r="AH52" s="49" t="str">
        <f>TabREP[[#This Row],[Moyenne]]</f>
        <v/>
      </c>
      <c r="AI52" s="48"/>
    </row>
    <row r="53" spans="2:35" ht="14.25">
      <c r="B53" s="14" t="str">
        <f>IF(INDEX(TabEntrainement[Seance],ROW()-18)&lt;&gt;0,INDEX(TabEntrainement[Seance],ROW()-18),"")</f>
        <v/>
      </c>
      <c r="C53" s="117"/>
      <c r="D53" s="117"/>
      <c r="E53" s="117"/>
      <c r="F53" s="117"/>
      <c r="G53" s="117"/>
      <c r="H53" s="117"/>
      <c r="I53" s="117"/>
      <c r="J53" s="117"/>
      <c r="K53" s="117"/>
      <c r="L53" s="117"/>
      <c r="M53" s="117"/>
      <c r="N53" s="117"/>
      <c r="O53" s="117"/>
      <c r="P53" s="117"/>
      <c r="Q53" s="117"/>
      <c r="R53" s="117"/>
      <c r="S53" s="117"/>
      <c r="T53" s="117"/>
      <c r="U53" s="117"/>
      <c r="V53" s="117"/>
      <c r="W53" s="117"/>
      <c r="X53" s="117"/>
      <c r="Y53" s="117"/>
      <c r="Z53" s="117"/>
      <c r="AA53" s="117"/>
      <c r="AB53" s="117"/>
      <c r="AC53" s="117"/>
      <c r="AD53" s="117"/>
      <c r="AE53" s="117"/>
      <c r="AF53" s="117"/>
      <c r="AG53" s="160" t="str">
        <f>IF(COUNTA(TabREP[[#This Row],[J1]:[J30]])&lt;&gt;0,AVERAGE(TabREP[[#This Row],[J1]:[J30]]),"")</f>
        <v/>
      </c>
      <c r="AH53" s="49" t="str">
        <f>TabREP[[#This Row],[Moyenne]]</f>
        <v/>
      </c>
      <c r="AI53" s="48"/>
    </row>
    <row r="54" spans="2:35" ht="14.25">
      <c r="B54" s="14" t="str">
        <f>IF(INDEX(TabEntrainement[Seance],ROW()-18)&lt;&gt;0,INDEX(TabEntrainement[Seance],ROW()-18),"")</f>
        <v/>
      </c>
      <c r="C54" s="117"/>
      <c r="D54" s="117"/>
      <c r="E54" s="117"/>
      <c r="F54" s="117"/>
      <c r="G54" s="117"/>
      <c r="H54" s="117"/>
      <c r="I54" s="117"/>
      <c r="J54" s="117"/>
      <c r="K54" s="117"/>
      <c r="L54" s="117"/>
      <c r="M54" s="117"/>
      <c r="N54" s="117"/>
      <c r="O54" s="117"/>
      <c r="P54" s="117"/>
      <c r="Q54" s="117"/>
      <c r="R54" s="117"/>
      <c r="S54" s="117"/>
      <c r="T54" s="117"/>
      <c r="U54" s="117"/>
      <c r="V54" s="117"/>
      <c r="W54" s="117"/>
      <c r="X54" s="117"/>
      <c r="Y54" s="117"/>
      <c r="Z54" s="117"/>
      <c r="AA54" s="117"/>
      <c r="AB54" s="117"/>
      <c r="AC54" s="117"/>
      <c r="AD54" s="117"/>
      <c r="AE54" s="117"/>
      <c r="AF54" s="117"/>
      <c r="AG54" s="160" t="str">
        <f>IF(COUNTA(TabREP[[#This Row],[J1]:[J30]])&lt;&gt;0,AVERAGE(TabREP[[#This Row],[J1]:[J30]]),"")</f>
        <v/>
      </c>
      <c r="AH54" s="49" t="str">
        <f>TabREP[[#This Row],[Moyenne]]</f>
        <v/>
      </c>
      <c r="AI54" s="48"/>
    </row>
    <row r="55" spans="2:35" ht="14.25">
      <c r="B55" s="14" t="str">
        <f>IF(INDEX(TabEntrainement[Seance],ROW()-18)&lt;&gt;0,INDEX(TabEntrainement[Seance],ROW()-18),"")</f>
        <v/>
      </c>
      <c r="C55" s="117"/>
      <c r="D55" s="117"/>
      <c r="E55" s="117"/>
      <c r="F55" s="117"/>
      <c r="G55" s="117"/>
      <c r="H55" s="117"/>
      <c r="I55" s="117"/>
      <c r="J55" s="117"/>
      <c r="K55" s="117"/>
      <c r="L55" s="117"/>
      <c r="M55" s="117"/>
      <c r="N55" s="117"/>
      <c r="O55" s="117"/>
      <c r="P55" s="117"/>
      <c r="Q55" s="117"/>
      <c r="R55" s="117"/>
      <c r="S55" s="117"/>
      <c r="T55" s="117"/>
      <c r="U55" s="117"/>
      <c r="V55" s="117"/>
      <c r="W55" s="117"/>
      <c r="X55" s="117"/>
      <c r="Y55" s="117"/>
      <c r="Z55" s="117"/>
      <c r="AA55" s="117"/>
      <c r="AB55" s="117"/>
      <c r="AC55" s="117"/>
      <c r="AD55" s="117"/>
      <c r="AE55" s="117"/>
      <c r="AF55" s="117"/>
      <c r="AG55" s="160" t="str">
        <f>IF(COUNTA(TabREP[[#This Row],[J1]:[J30]])&lt;&gt;0,AVERAGE(TabREP[[#This Row],[J1]:[J30]]),"")</f>
        <v/>
      </c>
      <c r="AH55" s="49" t="str">
        <f>TabREP[[#This Row],[Moyenne]]</f>
        <v/>
      </c>
      <c r="AI55" s="48"/>
    </row>
    <row r="56" spans="2:35" ht="14.25">
      <c r="B56" s="14" t="str">
        <f>IF(INDEX(TabEntrainement[Seance],ROW()-18)&lt;&gt;0,INDEX(TabEntrainement[Seance],ROW()-18),"")</f>
        <v/>
      </c>
      <c r="C56" s="117"/>
      <c r="D56" s="117"/>
      <c r="E56" s="117"/>
      <c r="F56" s="117"/>
      <c r="G56" s="117"/>
      <c r="H56" s="117"/>
      <c r="I56" s="117"/>
      <c r="J56" s="117"/>
      <c r="K56" s="117"/>
      <c r="L56" s="117"/>
      <c r="M56" s="117"/>
      <c r="N56" s="117"/>
      <c r="O56" s="117"/>
      <c r="P56" s="117"/>
      <c r="Q56" s="117"/>
      <c r="R56" s="117"/>
      <c r="S56" s="117"/>
      <c r="T56" s="117"/>
      <c r="U56" s="117"/>
      <c r="V56" s="117"/>
      <c r="W56" s="117"/>
      <c r="X56" s="117"/>
      <c r="Y56" s="117"/>
      <c r="Z56" s="117"/>
      <c r="AA56" s="117"/>
      <c r="AB56" s="117"/>
      <c r="AC56" s="117"/>
      <c r="AD56" s="117"/>
      <c r="AE56" s="117"/>
      <c r="AF56" s="117"/>
      <c r="AG56" s="160" t="str">
        <f>IF(COUNTA(TabREP[[#This Row],[J1]:[J30]])&lt;&gt;0,AVERAGE(TabREP[[#This Row],[J1]:[J30]]),"")</f>
        <v/>
      </c>
      <c r="AH56" s="49" t="str">
        <f>TabREP[[#This Row],[Moyenne]]</f>
        <v/>
      </c>
      <c r="AI56" s="48"/>
    </row>
    <row r="57" spans="2:35" ht="14.25">
      <c r="B57" s="14" t="str">
        <f>IF(INDEX(TabEntrainement[Seance],ROW()-18)&lt;&gt;0,INDEX(TabEntrainement[Seance],ROW()-18),"")</f>
        <v/>
      </c>
      <c r="C57" s="117"/>
      <c r="D57" s="117"/>
      <c r="E57" s="117"/>
      <c r="F57" s="117"/>
      <c r="G57" s="117"/>
      <c r="H57" s="117"/>
      <c r="I57" s="117"/>
      <c r="J57" s="117"/>
      <c r="K57" s="117"/>
      <c r="L57" s="117"/>
      <c r="M57" s="117"/>
      <c r="N57" s="117"/>
      <c r="O57" s="117"/>
      <c r="P57" s="117"/>
      <c r="Q57" s="117"/>
      <c r="R57" s="117"/>
      <c r="S57" s="117"/>
      <c r="T57" s="117"/>
      <c r="U57" s="117"/>
      <c r="V57" s="117"/>
      <c r="W57" s="117"/>
      <c r="X57" s="117"/>
      <c r="Y57" s="117"/>
      <c r="Z57" s="117"/>
      <c r="AA57" s="117"/>
      <c r="AB57" s="117"/>
      <c r="AC57" s="117"/>
      <c r="AD57" s="117"/>
      <c r="AE57" s="117"/>
      <c r="AF57" s="117"/>
      <c r="AG57" s="160" t="str">
        <f>IF(COUNTA(TabREP[[#This Row],[J1]:[J30]])&lt;&gt;0,AVERAGE(TabREP[[#This Row],[J1]:[J30]]),"")</f>
        <v/>
      </c>
      <c r="AH57" s="49" t="str">
        <f>TabREP[[#This Row],[Moyenne]]</f>
        <v/>
      </c>
      <c r="AI57" s="48"/>
    </row>
    <row r="58" spans="2:35" ht="14.25">
      <c r="B58" s="14" t="str">
        <f>IF(INDEX(TabEntrainement[Seance],ROW()-18)&lt;&gt;0,INDEX(TabEntrainement[Seance],ROW()-18),"")</f>
        <v/>
      </c>
      <c r="C58" s="117"/>
      <c r="D58" s="117"/>
      <c r="E58" s="117"/>
      <c r="F58" s="117"/>
      <c r="G58" s="117"/>
      <c r="H58" s="117"/>
      <c r="I58" s="117"/>
      <c r="J58" s="117"/>
      <c r="K58" s="117"/>
      <c r="L58" s="117"/>
      <c r="M58" s="117"/>
      <c r="N58" s="117"/>
      <c r="O58" s="117"/>
      <c r="P58" s="117"/>
      <c r="Q58" s="117"/>
      <c r="R58" s="117"/>
      <c r="S58" s="117"/>
      <c r="T58" s="117"/>
      <c r="U58" s="117"/>
      <c r="V58" s="117"/>
      <c r="W58" s="117"/>
      <c r="X58" s="117"/>
      <c r="Y58" s="117"/>
      <c r="Z58" s="117"/>
      <c r="AA58" s="117"/>
      <c r="AB58" s="117"/>
      <c r="AC58" s="117"/>
      <c r="AD58" s="117"/>
      <c r="AE58" s="117"/>
      <c r="AF58" s="117"/>
      <c r="AG58" s="160" t="str">
        <f>IF(COUNTA(TabREP[[#This Row],[J1]:[J30]])&lt;&gt;0,AVERAGE(TabREP[[#This Row],[J1]:[J30]]),"")</f>
        <v/>
      </c>
      <c r="AH58" s="49" t="str">
        <f>TabREP[[#This Row],[Moyenne]]</f>
        <v/>
      </c>
      <c r="AI58" s="48"/>
    </row>
    <row r="59" spans="2:35" ht="14.25">
      <c r="B59" s="14" t="str">
        <f>IF(INDEX(TabEntrainement[Seance],ROW()-18)&lt;&gt;0,INDEX(TabEntrainement[Seance],ROW()-18),"")</f>
        <v/>
      </c>
      <c r="C59" s="117"/>
      <c r="D59" s="117"/>
      <c r="E59" s="117"/>
      <c r="F59" s="117"/>
      <c r="G59" s="117"/>
      <c r="H59" s="117"/>
      <c r="I59" s="117"/>
      <c r="J59" s="117"/>
      <c r="K59" s="117"/>
      <c r="L59" s="117"/>
      <c r="M59" s="117"/>
      <c r="N59" s="117"/>
      <c r="O59" s="117"/>
      <c r="P59" s="117"/>
      <c r="Q59" s="117"/>
      <c r="R59" s="117"/>
      <c r="S59" s="117"/>
      <c r="T59" s="117"/>
      <c r="U59" s="117"/>
      <c r="V59" s="117"/>
      <c r="W59" s="117"/>
      <c r="X59" s="117"/>
      <c r="Y59" s="117"/>
      <c r="Z59" s="117"/>
      <c r="AA59" s="117"/>
      <c r="AB59" s="117"/>
      <c r="AC59" s="117"/>
      <c r="AD59" s="117"/>
      <c r="AE59" s="117"/>
      <c r="AF59" s="117"/>
      <c r="AG59" s="160" t="str">
        <f>IF(COUNTA(TabREP[[#This Row],[J1]:[J30]])&lt;&gt;0,AVERAGE(TabREP[[#This Row],[J1]:[J30]]),"")</f>
        <v/>
      </c>
      <c r="AH59" s="49" t="str">
        <f>TabREP[[#This Row],[Moyenne]]</f>
        <v/>
      </c>
      <c r="AI59" s="48"/>
    </row>
    <row r="60" spans="2:35" ht="14.25">
      <c r="B60" s="14" t="str">
        <f>IF(INDEX(TabEntrainement[Seance],ROW()-18)&lt;&gt;0,INDEX(TabEntrainement[Seance],ROW()-18),"")</f>
        <v/>
      </c>
      <c r="C60" s="117"/>
      <c r="D60" s="117"/>
      <c r="E60" s="117"/>
      <c r="F60" s="117"/>
      <c r="G60" s="117"/>
      <c r="H60" s="117"/>
      <c r="I60" s="117"/>
      <c r="J60" s="117"/>
      <c r="K60" s="117"/>
      <c r="L60" s="117"/>
      <c r="M60" s="117"/>
      <c r="N60" s="117"/>
      <c r="O60" s="117"/>
      <c r="P60" s="117"/>
      <c r="Q60" s="117"/>
      <c r="R60" s="117"/>
      <c r="S60" s="117"/>
      <c r="T60" s="117"/>
      <c r="U60" s="117"/>
      <c r="V60" s="117"/>
      <c r="W60" s="117"/>
      <c r="X60" s="117"/>
      <c r="Y60" s="117"/>
      <c r="Z60" s="117"/>
      <c r="AA60" s="117"/>
      <c r="AB60" s="117"/>
      <c r="AC60" s="117"/>
      <c r="AD60" s="117"/>
      <c r="AE60" s="117"/>
      <c r="AF60" s="117"/>
      <c r="AG60" s="160" t="str">
        <f>IF(COUNTA(TabREP[[#This Row],[J1]:[J30]])&lt;&gt;0,AVERAGE(TabREP[[#This Row],[J1]:[J30]]),"")</f>
        <v/>
      </c>
      <c r="AH60" s="49" t="str">
        <f>TabREP[[#This Row],[Moyenne]]</f>
        <v/>
      </c>
      <c r="AI60" s="48"/>
    </row>
    <row r="61" spans="2:35" ht="14.25">
      <c r="B61" s="14" t="str">
        <f>IF(INDEX(TabEntrainement[Seance],ROW()-18)&lt;&gt;0,INDEX(TabEntrainement[Seance],ROW()-18),"")</f>
        <v/>
      </c>
      <c r="C61" s="117"/>
      <c r="D61" s="117"/>
      <c r="E61" s="117"/>
      <c r="F61" s="117"/>
      <c r="G61" s="117"/>
      <c r="H61" s="117"/>
      <c r="I61" s="117"/>
      <c r="J61" s="117"/>
      <c r="K61" s="117"/>
      <c r="L61" s="117"/>
      <c r="M61" s="117"/>
      <c r="N61" s="117"/>
      <c r="O61" s="117"/>
      <c r="P61" s="117"/>
      <c r="Q61" s="117"/>
      <c r="R61" s="117"/>
      <c r="S61" s="117"/>
      <c r="T61" s="117"/>
      <c r="U61" s="117"/>
      <c r="V61" s="117"/>
      <c r="W61" s="117"/>
      <c r="X61" s="117"/>
      <c r="Y61" s="117"/>
      <c r="Z61" s="117"/>
      <c r="AA61" s="117"/>
      <c r="AB61" s="117"/>
      <c r="AC61" s="117"/>
      <c r="AD61" s="117"/>
      <c r="AE61" s="117"/>
      <c r="AF61" s="117"/>
      <c r="AG61" s="160" t="str">
        <f>IF(COUNTA(TabREP[[#This Row],[J1]:[J30]])&lt;&gt;0,AVERAGE(TabREP[[#This Row],[J1]:[J30]]),"")</f>
        <v/>
      </c>
      <c r="AH61" s="49" t="str">
        <f>TabREP[[#This Row],[Moyenne]]</f>
        <v/>
      </c>
      <c r="AI61" s="48"/>
    </row>
    <row r="62" spans="2:35" ht="14.25">
      <c r="B62" s="14" t="str">
        <f>IF(INDEX(TabEntrainement[Seance],ROW()-18)&lt;&gt;0,INDEX(TabEntrainement[Seance],ROW()-18),"")</f>
        <v/>
      </c>
      <c r="C62" s="117"/>
      <c r="D62" s="117"/>
      <c r="E62" s="117"/>
      <c r="F62" s="117"/>
      <c r="G62" s="117"/>
      <c r="H62" s="117"/>
      <c r="I62" s="117"/>
      <c r="J62" s="117"/>
      <c r="K62" s="117"/>
      <c r="L62" s="117"/>
      <c r="M62" s="117"/>
      <c r="N62" s="117"/>
      <c r="O62" s="117"/>
      <c r="P62" s="117"/>
      <c r="Q62" s="117"/>
      <c r="R62" s="117"/>
      <c r="S62" s="117"/>
      <c r="T62" s="117"/>
      <c r="U62" s="117"/>
      <c r="V62" s="117"/>
      <c r="W62" s="117"/>
      <c r="X62" s="117"/>
      <c r="Y62" s="117"/>
      <c r="Z62" s="117"/>
      <c r="AA62" s="117"/>
      <c r="AB62" s="117"/>
      <c r="AC62" s="117"/>
      <c r="AD62" s="117"/>
      <c r="AE62" s="117"/>
      <c r="AF62" s="117"/>
      <c r="AG62" s="160" t="str">
        <f>IF(COUNTA(TabREP[[#This Row],[J1]:[J30]])&lt;&gt;0,AVERAGE(TabREP[[#This Row],[J1]:[J30]]),"")</f>
        <v/>
      </c>
      <c r="AH62" s="49" t="str">
        <f>TabREP[[#This Row],[Moyenne]]</f>
        <v/>
      </c>
      <c r="AI62" s="48"/>
    </row>
    <row r="63" spans="2:35" ht="14.25">
      <c r="B63" s="14" t="str">
        <f>IF(INDEX(TabEntrainement[Seance],ROW()-18)&lt;&gt;0,INDEX(TabEntrainement[Seance],ROW()-18),"")</f>
        <v/>
      </c>
      <c r="C63" s="117"/>
      <c r="D63" s="117"/>
      <c r="E63" s="117"/>
      <c r="F63" s="117"/>
      <c r="G63" s="117"/>
      <c r="H63" s="117"/>
      <c r="I63" s="117"/>
      <c r="J63" s="117"/>
      <c r="K63" s="117"/>
      <c r="L63" s="117"/>
      <c r="M63" s="117"/>
      <c r="N63" s="117"/>
      <c r="O63" s="117"/>
      <c r="P63" s="117"/>
      <c r="Q63" s="117"/>
      <c r="R63" s="117"/>
      <c r="S63" s="117"/>
      <c r="T63" s="117"/>
      <c r="U63" s="117"/>
      <c r="V63" s="117"/>
      <c r="W63" s="117"/>
      <c r="X63" s="117"/>
      <c r="Y63" s="117"/>
      <c r="Z63" s="117"/>
      <c r="AA63" s="117"/>
      <c r="AB63" s="117"/>
      <c r="AC63" s="117"/>
      <c r="AD63" s="117"/>
      <c r="AE63" s="117"/>
      <c r="AF63" s="117"/>
      <c r="AG63" s="160" t="str">
        <f>IF(COUNTA(TabREP[[#This Row],[J1]:[J30]])&lt;&gt;0,AVERAGE(TabREP[[#This Row],[J1]:[J30]]),"")</f>
        <v/>
      </c>
      <c r="AH63" s="49" t="str">
        <f>TabREP[[#This Row],[Moyenne]]</f>
        <v/>
      </c>
      <c r="AI63" s="48"/>
    </row>
    <row r="64" spans="2:35" ht="14.25">
      <c r="B64" s="14" t="str">
        <f>IF(INDEX(TabEntrainement[Seance],ROW()-18)&lt;&gt;0,INDEX(TabEntrainement[Seance],ROW()-18),"")</f>
        <v/>
      </c>
      <c r="C64" s="117"/>
      <c r="D64" s="117"/>
      <c r="E64" s="117"/>
      <c r="F64" s="117"/>
      <c r="G64" s="117"/>
      <c r="H64" s="117"/>
      <c r="I64" s="117"/>
      <c r="J64" s="117"/>
      <c r="K64" s="117"/>
      <c r="L64" s="117"/>
      <c r="M64" s="117"/>
      <c r="N64" s="117"/>
      <c r="O64" s="117"/>
      <c r="P64" s="117"/>
      <c r="Q64" s="117"/>
      <c r="R64" s="117"/>
      <c r="S64" s="117"/>
      <c r="T64" s="117"/>
      <c r="U64" s="117"/>
      <c r="V64" s="117"/>
      <c r="W64" s="117"/>
      <c r="X64" s="117"/>
      <c r="Y64" s="117"/>
      <c r="Z64" s="117"/>
      <c r="AA64" s="117"/>
      <c r="AB64" s="117"/>
      <c r="AC64" s="117"/>
      <c r="AD64" s="117"/>
      <c r="AE64" s="117"/>
      <c r="AF64" s="117"/>
      <c r="AG64" s="160" t="str">
        <f>IF(COUNTA(TabREP[[#This Row],[J1]:[J30]])&lt;&gt;0,AVERAGE(TabREP[[#This Row],[J1]:[J30]]),"")</f>
        <v/>
      </c>
      <c r="AH64" s="49" t="str">
        <f>TabREP[[#This Row],[Moyenne]]</f>
        <v/>
      </c>
      <c r="AI64" s="48"/>
    </row>
    <row r="65" spans="2:35" ht="14.25">
      <c r="B65" s="14" t="str">
        <f>IF(INDEX(TabEntrainement[Seance],ROW()-18)&lt;&gt;0,INDEX(TabEntrainement[Seance],ROW()-18),"")</f>
        <v/>
      </c>
      <c r="C65" s="117"/>
      <c r="D65" s="117"/>
      <c r="E65" s="117"/>
      <c r="F65" s="117"/>
      <c r="G65" s="117"/>
      <c r="H65" s="117"/>
      <c r="I65" s="117"/>
      <c r="J65" s="117"/>
      <c r="K65" s="117"/>
      <c r="L65" s="117"/>
      <c r="M65" s="117"/>
      <c r="N65" s="117"/>
      <c r="O65" s="117"/>
      <c r="P65" s="117"/>
      <c r="Q65" s="117"/>
      <c r="R65" s="117"/>
      <c r="S65" s="117"/>
      <c r="T65" s="117"/>
      <c r="U65" s="117"/>
      <c r="V65" s="117"/>
      <c r="W65" s="117"/>
      <c r="X65" s="117"/>
      <c r="Y65" s="117"/>
      <c r="Z65" s="117"/>
      <c r="AA65" s="117"/>
      <c r="AB65" s="117"/>
      <c r="AC65" s="117"/>
      <c r="AD65" s="117"/>
      <c r="AE65" s="117"/>
      <c r="AF65" s="117"/>
      <c r="AG65" s="160" t="str">
        <f>IF(COUNTA(TabREP[[#This Row],[J1]:[J30]])&lt;&gt;0,AVERAGE(TabREP[[#This Row],[J1]:[J30]]),"")</f>
        <v/>
      </c>
      <c r="AH65" s="49" t="str">
        <f>TabREP[[#This Row],[Moyenne]]</f>
        <v/>
      </c>
      <c r="AI65" s="48"/>
    </row>
    <row r="66" spans="2:35" ht="14.25">
      <c r="B66" s="14" t="str">
        <f>IF(INDEX(TabEntrainement[Seance],ROW()-18)&lt;&gt;0,INDEX(TabEntrainement[Seance],ROW()-18),"")</f>
        <v/>
      </c>
      <c r="C66" s="117"/>
      <c r="D66" s="117"/>
      <c r="E66" s="117"/>
      <c r="F66" s="117"/>
      <c r="G66" s="117"/>
      <c r="H66" s="117"/>
      <c r="I66" s="117"/>
      <c r="J66" s="117"/>
      <c r="K66" s="117"/>
      <c r="L66" s="117"/>
      <c r="M66" s="117"/>
      <c r="N66" s="117"/>
      <c r="O66" s="117"/>
      <c r="P66" s="117"/>
      <c r="Q66" s="117"/>
      <c r="R66" s="117"/>
      <c r="S66" s="117"/>
      <c r="T66" s="117"/>
      <c r="U66" s="117"/>
      <c r="V66" s="117"/>
      <c r="W66" s="117"/>
      <c r="X66" s="117"/>
      <c r="Y66" s="117"/>
      <c r="Z66" s="117"/>
      <c r="AA66" s="117"/>
      <c r="AB66" s="117"/>
      <c r="AC66" s="117"/>
      <c r="AD66" s="117"/>
      <c r="AE66" s="117"/>
      <c r="AF66" s="117"/>
      <c r="AG66" s="160" t="str">
        <f>IF(COUNTA(TabREP[[#This Row],[J1]:[J30]])&lt;&gt;0,AVERAGE(TabREP[[#This Row],[J1]:[J30]]),"")</f>
        <v/>
      </c>
      <c r="AH66" s="49" t="str">
        <f>TabREP[[#This Row],[Moyenne]]</f>
        <v/>
      </c>
      <c r="AI66" s="48"/>
    </row>
    <row r="67" spans="2:35" ht="14.25">
      <c r="B67" s="14" t="str">
        <f>IF(INDEX(TabEntrainement[Seance],ROW()-18)&lt;&gt;0,INDEX(TabEntrainement[Seance],ROW()-18),"")</f>
        <v/>
      </c>
      <c r="C67" s="117"/>
      <c r="D67" s="117"/>
      <c r="E67" s="117"/>
      <c r="F67" s="117"/>
      <c r="G67" s="117"/>
      <c r="H67" s="117"/>
      <c r="I67" s="117"/>
      <c r="J67" s="117"/>
      <c r="K67" s="117"/>
      <c r="L67" s="117"/>
      <c r="M67" s="117"/>
      <c r="N67" s="117"/>
      <c r="O67" s="117"/>
      <c r="P67" s="117"/>
      <c r="Q67" s="117"/>
      <c r="R67" s="117"/>
      <c r="S67" s="117"/>
      <c r="T67" s="117"/>
      <c r="U67" s="117"/>
      <c r="V67" s="117"/>
      <c r="W67" s="117"/>
      <c r="X67" s="117"/>
      <c r="Y67" s="117"/>
      <c r="Z67" s="117"/>
      <c r="AA67" s="117"/>
      <c r="AB67" s="117"/>
      <c r="AC67" s="117"/>
      <c r="AD67" s="117"/>
      <c r="AE67" s="117"/>
      <c r="AF67" s="117"/>
      <c r="AG67" s="160" t="str">
        <f>IF(COUNTA(TabREP[[#This Row],[J1]:[J30]])&lt;&gt;0,AVERAGE(TabREP[[#This Row],[J1]:[J30]]),"")</f>
        <v/>
      </c>
      <c r="AH67" s="49" t="str">
        <f>TabREP[[#This Row],[Moyenne]]</f>
        <v/>
      </c>
      <c r="AI67" s="48"/>
    </row>
    <row r="68" spans="2:35" ht="14.25">
      <c r="B68" s="14" t="str">
        <f>IF(INDEX(TabEntrainement[Seance],ROW()-18)&lt;&gt;0,INDEX(TabEntrainement[Seance],ROW()-18),"")</f>
        <v/>
      </c>
      <c r="C68" s="117"/>
      <c r="D68" s="117"/>
      <c r="E68" s="117"/>
      <c r="F68" s="117"/>
      <c r="G68" s="117"/>
      <c r="H68" s="117"/>
      <c r="I68" s="117"/>
      <c r="J68" s="117"/>
      <c r="K68" s="117"/>
      <c r="L68" s="117"/>
      <c r="M68" s="117"/>
      <c r="N68" s="117"/>
      <c r="O68" s="117"/>
      <c r="P68" s="117"/>
      <c r="Q68" s="117"/>
      <c r="R68" s="117"/>
      <c r="S68" s="117"/>
      <c r="T68" s="117"/>
      <c r="U68" s="117"/>
      <c r="V68" s="117"/>
      <c r="W68" s="117"/>
      <c r="X68" s="117"/>
      <c r="Y68" s="117"/>
      <c r="Z68" s="117"/>
      <c r="AA68" s="117"/>
      <c r="AB68" s="117"/>
      <c r="AC68" s="117"/>
      <c r="AD68" s="117"/>
      <c r="AE68" s="117"/>
      <c r="AF68" s="117"/>
      <c r="AG68" s="160" t="str">
        <f>IF(COUNTA(TabREP[[#This Row],[J1]:[J30]])&lt;&gt;0,AVERAGE(TabREP[[#This Row],[J1]:[J30]]),"")</f>
        <v/>
      </c>
      <c r="AH68" s="49" t="str">
        <f>TabREP[[#This Row],[Moyenne]]</f>
        <v/>
      </c>
      <c r="AI68" s="48"/>
    </row>
    <row r="69" spans="2:35" ht="14.25">
      <c r="B69" s="14" t="str">
        <f>IF(INDEX(TabEntrainement[Seance],ROW()-18)&lt;&gt;0,INDEX(TabEntrainement[Seance],ROW()-18),"")</f>
        <v/>
      </c>
      <c r="C69" s="117"/>
      <c r="D69" s="117"/>
      <c r="E69" s="117"/>
      <c r="F69" s="117"/>
      <c r="G69" s="117"/>
      <c r="H69" s="117"/>
      <c r="I69" s="117"/>
      <c r="J69" s="117"/>
      <c r="K69" s="117"/>
      <c r="L69" s="117"/>
      <c r="M69" s="117"/>
      <c r="N69" s="117"/>
      <c r="O69" s="117"/>
      <c r="P69" s="117"/>
      <c r="Q69" s="117"/>
      <c r="R69" s="117"/>
      <c r="S69" s="117"/>
      <c r="T69" s="117"/>
      <c r="U69" s="117"/>
      <c r="V69" s="117"/>
      <c r="W69" s="117"/>
      <c r="X69" s="117"/>
      <c r="Y69" s="117"/>
      <c r="Z69" s="117"/>
      <c r="AA69" s="117"/>
      <c r="AB69" s="117"/>
      <c r="AC69" s="117"/>
      <c r="AD69" s="117"/>
      <c r="AE69" s="117"/>
      <c r="AF69" s="117"/>
      <c r="AG69" s="160" t="str">
        <f>IF(COUNTA(TabREP[[#This Row],[J1]:[J30]])&lt;&gt;0,AVERAGE(TabREP[[#This Row],[J1]:[J30]]),"")</f>
        <v/>
      </c>
      <c r="AH69" s="49" t="str">
        <f>TabREP[[#This Row],[Moyenne]]</f>
        <v/>
      </c>
      <c r="AI69" s="48"/>
    </row>
    <row r="70" spans="2:35" ht="14.25">
      <c r="B70" s="14" t="str">
        <f>IF(INDEX(TabEntrainement[Seance],ROW()-18)&lt;&gt;0,INDEX(TabEntrainement[Seance],ROW()-18),"")</f>
        <v/>
      </c>
      <c r="C70" s="117"/>
      <c r="D70" s="117"/>
      <c r="E70" s="117"/>
      <c r="F70" s="117"/>
      <c r="G70" s="117"/>
      <c r="H70" s="117"/>
      <c r="I70" s="117"/>
      <c r="J70" s="117"/>
      <c r="K70" s="117"/>
      <c r="L70" s="117"/>
      <c r="M70" s="117"/>
      <c r="N70" s="117"/>
      <c r="O70" s="117"/>
      <c r="P70" s="117"/>
      <c r="Q70" s="117"/>
      <c r="R70" s="117"/>
      <c r="S70" s="117"/>
      <c r="T70" s="117"/>
      <c r="U70" s="117"/>
      <c r="V70" s="117"/>
      <c r="W70" s="117"/>
      <c r="X70" s="117"/>
      <c r="Y70" s="117"/>
      <c r="Z70" s="117"/>
      <c r="AA70" s="117"/>
      <c r="AB70" s="117"/>
      <c r="AC70" s="117"/>
      <c r="AD70" s="117"/>
      <c r="AE70" s="117"/>
      <c r="AF70" s="117"/>
      <c r="AG70" s="160" t="str">
        <f>IF(COUNTA(TabREP[[#This Row],[J1]:[J30]])&lt;&gt;0,AVERAGE(TabREP[[#This Row],[J1]:[J30]]),"")</f>
        <v/>
      </c>
      <c r="AH70" s="49" t="str">
        <f>TabREP[[#This Row],[Moyenne]]</f>
        <v/>
      </c>
      <c r="AI70" s="48"/>
    </row>
    <row r="71" spans="2:35" ht="14.25">
      <c r="B71" s="14" t="str">
        <f>IF(INDEX(TabEntrainement[Seance],ROW()-18)&lt;&gt;0,INDEX(TabEntrainement[Seance],ROW()-18),"")</f>
        <v/>
      </c>
      <c r="C71" s="117"/>
      <c r="D71" s="117"/>
      <c r="E71" s="117"/>
      <c r="F71" s="117"/>
      <c r="G71" s="117"/>
      <c r="H71" s="117"/>
      <c r="I71" s="117"/>
      <c r="J71" s="117"/>
      <c r="K71" s="117"/>
      <c r="L71" s="117"/>
      <c r="M71" s="117"/>
      <c r="N71" s="117"/>
      <c r="O71" s="117"/>
      <c r="P71" s="117"/>
      <c r="Q71" s="117"/>
      <c r="R71" s="117"/>
      <c r="S71" s="117"/>
      <c r="T71" s="117"/>
      <c r="U71" s="117"/>
      <c r="V71" s="117"/>
      <c r="W71" s="117"/>
      <c r="X71" s="117"/>
      <c r="Y71" s="117"/>
      <c r="Z71" s="117"/>
      <c r="AA71" s="117"/>
      <c r="AB71" s="117"/>
      <c r="AC71" s="117"/>
      <c r="AD71" s="117"/>
      <c r="AE71" s="117"/>
      <c r="AF71" s="117"/>
      <c r="AG71" s="160" t="str">
        <f>IF(COUNTA(TabREP[[#This Row],[J1]:[J30]])&lt;&gt;0,AVERAGE(TabREP[[#This Row],[J1]:[J30]]),"")</f>
        <v/>
      </c>
      <c r="AH71" s="49" t="str">
        <f>TabREP[[#This Row],[Moyenne]]</f>
        <v/>
      </c>
      <c r="AI71" s="48"/>
    </row>
    <row r="72" spans="2:35" ht="14.25">
      <c r="B72" s="14" t="str">
        <f>IF(INDEX(TabEntrainement[Seance],ROW()-18)&lt;&gt;0,INDEX(TabEntrainement[Seance],ROW()-18),"")</f>
        <v/>
      </c>
      <c r="C72" s="117"/>
      <c r="D72" s="117"/>
      <c r="E72" s="117"/>
      <c r="F72" s="117"/>
      <c r="G72" s="117"/>
      <c r="H72" s="117"/>
      <c r="I72" s="117"/>
      <c r="J72" s="117"/>
      <c r="K72" s="117"/>
      <c r="L72" s="117"/>
      <c r="M72" s="117"/>
      <c r="N72" s="117"/>
      <c r="O72" s="117"/>
      <c r="P72" s="117"/>
      <c r="Q72" s="117"/>
      <c r="R72" s="117"/>
      <c r="S72" s="117"/>
      <c r="T72" s="117"/>
      <c r="U72" s="117"/>
      <c r="V72" s="117"/>
      <c r="W72" s="117"/>
      <c r="X72" s="117"/>
      <c r="Y72" s="117"/>
      <c r="Z72" s="117"/>
      <c r="AA72" s="117"/>
      <c r="AB72" s="117"/>
      <c r="AC72" s="117"/>
      <c r="AD72" s="117"/>
      <c r="AE72" s="117"/>
      <c r="AF72" s="117"/>
      <c r="AG72" s="160" t="str">
        <f>IF(COUNTA(TabREP[[#This Row],[J1]:[J30]])&lt;&gt;0,AVERAGE(TabREP[[#This Row],[J1]:[J30]]),"")</f>
        <v/>
      </c>
      <c r="AH72" s="49" t="str">
        <f>TabREP[[#This Row],[Moyenne]]</f>
        <v/>
      </c>
      <c r="AI72" s="48"/>
    </row>
    <row r="73" spans="2:35" ht="14.25">
      <c r="B73" s="14" t="str">
        <f>IF(INDEX(TabEntrainement[Seance],ROW()-18)&lt;&gt;0,INDEX(TabEntrainement[Seance],ROW()-18),"")</f>
        <v/>
      </c>
      <c r="C73" s="117"/>
      <c r="D73" s="117"/>
      <c r="E73" s="117"/>
      <c r="F73" s="117"/>
      <c r="G73" s="117"/>
      <c r="H73" s="117"/>
      <c r="I73" s="117"/>
      <c r="J73" s="117"/>
      <c r="K73" s="117"/>
      <c r="L73" s="117"/>
      <c r="M73" s="117"/>
      <c r="N73" s="117"/>
      <c r="O73" s="117"/>
      <c r="P73" s="117"/>
      <c r="Q73" s="117"/>
      <c r="R73" s="117"/>
      <c r="S73" s="117"/>
      <c r="T73" s="117"/>
      <c r="U73" s="117"/>
      <c r="V73" s="117"/>
      <c r="W73" s="117"/>
      <c r="X73" s="117"/>
      <c r="Y73" s="117"/>
      <c r="Z73" s="117"/>
      <c r="AA73" s="117"/>
      <c r="AB73" s="117"/>
      <c r="AC73" s="117"/>
      <c r="AD73" s="117"/>
      <c r="AE73" s="117"/>
      <c r="AF73" s="117"/>
      <c r="AG73" s="160" t="str">
        <f>IF(COUNTA(TabREP[[#This Row],[J1]:[J30]])&lt;&gt;0,AVERAGE(TabREP[[#This Row],[J1]:[J30]]),"")</f>
        <v/>
      </c>
      <c r="AH73" s="49" t="str">
        <f>TabREP[[#This Row],[Moyenne]]</f>
        <v/>
      </c>
      <c r="AI73" s="48"/>
    </row>
    <row r="74" spans="2:35" ht="14.25">
      <c r="B74" s="14" t="str">
        <f>IF(INDEX(TabEntrainement[Seance],ROW()-18)&lt;&gt;0,INDEX(TabEntrainement[Seance],ROW()-18),"")</f>
        <v/>
      </c>
      <c r="C74" s="117"/>
      <c r="D74" s="117"/>
      <c r="E74" s="117"/>
      <c r="F74" s="117"/>
      <c r="G74" s="117"/>
      <c r="H74" s="117"/>
      <c r="I74" s="117"/>
      <c r="J74" s="117"/>
      <c r="K74" s="117"/>
      <c r="L74" s="117"/>
      <c r="M74" s="117"/>
      <c r="N74" s="117"/>
      <c r="O74" s="117"/>
      <c r="P74" s="117"/>
      <c r="Q74" s="117"/>
      <c r="R74" s="117"/>
      <c r="S74" s="117"/>
      <c r="T74" s="117"/>
      <c r="U74" s="117"/>
      <c r="V74" s="117"/>
      <c r="W74" s="117"/>
      <c r="X74" s="117"/>
      <c r="Y74" s="117"/>
      <c r="Z74" s="117"/>
      <c r="AA74" s="117"/>
      <c r="AB74" s="117"/>
      <c r="AC74" s="117"/>
      <c r="AD74" s="117"/>
      <c r="AE74" s="117"/>
      <c r="AF74" s="117"/>
      <c r="AG74" s="160" t="str">
        <f>IF(COUNTA(TabREP[[#This Row],[J1]:[J30]])&lt;&gt;0,AVERAGE(TabREP[[#This Row],[J1]:[J30]]),"")</f>
        <v/>
      </c>
      <c r="AH74" s="49" t="str">
        <f>TabREP[[#This Row],[Moyenne]]</f>
        <v/>
      </c>
      <c r="AI74" s="48"/>
    </row>
    <row r="75" spans="2:35" ht="14.25">
      <c r="B75" s="14" t="str">
        <f>IF(INDEX(TabEntrainement[Seance],ROW()-18)&lt;&gt;0,INDEX(TabEntrainement[Seance],ROW()-18),"")</f>
        <v/>
      </c>
      <c r="C75" s="117"/>
      <c r="D75" s="117"/>
      <c r="E75" s="117"/>
      <c r="F75" s="117"/>
      <c r="G75" s="117"/>
      <c r="H75" s="117"/>
      <c r="I75" s="117"/>
      <c r="J75" s="117"/>
      <c r="K75" s="117"/>
      <c r="L75" s="117"/>
      <c r="M75" s="117"/>
      <c r="N75" s="117"/>
      <c r="O75" s="117"/>
      <c r="P75" s="117"/>
      <c r="Q75" s="117"/>
      <c r="R75" s="117"/>
      <c r="S75" s="117"/>
      <c r="T75" s="117"/>
      <c r="U75" s="117"/>
      <c r="V75" s="117"/>
      <c r="W75" s="117"/>
      <c r="X75" s="117"/>
      <c r="Y75" s="117"/>
      <c r="Z75" s="117"/>
      <c r="AA75" s="117"/>
      <c r="AB75" s="117"/>
      <c r="AC75" s="117"/>
      <c r="AD75" s="117"/>
      <c r="AE75" s="117"/>
      <c r="AF75" s="117"/>
      <c r="AG75" s="160" t="str">
        <f>IF(COUNTA(TabREP[[#This Row],[J1]:[J30]])&lt;&gt;0,AVERAGE(TabREP[[#This Row],[J1]:[J30]]),"")</f>
        <v/>
      </c>
      <c r="AH75" s="49" t="str">
        <f>TabREP[[#This Row],[Moyenne]]</f>
        <v/>
      </c>
      <c r="AI75" s="48"/>
    </row>
    <row r="76" spans="2:35" ht="14.25">
      <c r="B76" s="14" t="str">
        <f>IF(INDEX(TabEntrainement[Seance],ROW()-18)&lt;&gt;0,INDEX(TabEntrainement[Seance],ROW()-18),"")</f>
        <v/>
      </c>
      <c r="C76" s="117"/>
      <c r="D76" s="117"/>
      <c r="E76" s="117"/>
      <c r="F76" s="117"/>
      <c r="G76" s="117"/>
      <c r="H76" s="117"/>
      <c r="I76" s="117"/>
      <c r="J76" s="117"/>
      <c r="K76" s="117"/>
      <c r="L76" s="117"/>
      <c r="M76" s="117"/>
      <c r="N76" s="117"/>
      <c r="O76" s="117"/>
      <c r="P76" s="117"/>
      <c r="Q76" s="117"/>
      <c r="R76" s="117"/>
      <c r="S76" s="117"/>
      <c r="T76" s="117"/>
      <c r="U76" s="117"/>
      <c r="V76" s="117"/>
      <c r="W76" s="117"/>
      <c r="X76" s="117"/>
      <c r="Y76" s="117"/>
      <c r="Z76" s="117"/>
      <c r="AA76" s="117"/>
      <c r="AB76" s="117"/>
      <c r="AC76" s="117"/>
      <c r="AD76" s="117"/>
      <c r="AE76" s="117"/>
      <c r="AF76" s="117"/>
      <c r="AG76" s="160" t="str">
        <f>IF(COUNTA(TabREP[[#This Row],[J1]:[J30]])&lt;&gt;0,AVERAGE(TabREP[[#This Row],[J1]:[J30]]),"")</f>
        <v/>
      </c>
      <c r="AH76" s="49" t="str">
        <f>TabREP[[#This Row],[Moyenne]]</f>
        <v/>
      </c>
      <c r="AI76" s="48"/>
    </row>
    <row r="77" spans="2:35" ht="14.25">
      <c r="B77" s="14" t="str">
        <f>IF(INDEX(TabEntrainement[Seance],ROW()-18)&lt;&gt;0,INDEX(TabEntrainement[Seance],ROW()-18),"")</f>
        <v/>
      </c>
      <c r="C77" s="117"/>
      <c r="D77" s="117"/>
      <c r="E77" s="117"/>
      <c r="F77" s="117"/>
      <c r="G77" s="117"/>
      <c r="H77" s="117"/>
      <c r="I77" s="117"/>
      <c r="J77" s="117"/>
      <c r="K77" s="117"/>
      <c r="L77" s="117"/>
      <c r="M77" s="117"/>
      <c r="N77" s="117"/>
      <c r="O77" s="117"/>
      <c r="P77" s="117"/>
      <c r="Q77" s="117"/>
      <c r="R77" s="117"/>
      <c r="S77" s="117"/>
      <c r="T77" s="117"/>
      <c r="U77" s="117"/>
      <c r="V77" s="117"/>
      <c r="W77" s="117"/>
      <c r="X77" s="117"/>
      <c r="Y77" s="117"/>
      <c r="Z77" s="117"/>
      <c r="AA77" s="117"/>
      <c r="AB77" s="117"/>
      <c r="AC77" s="117"/>
      <c r="AD77" s="117"/>
      <c r="AE77" s="117"/>
      <c r="AF77" s="117"/>
      <c r="AG77" s="160" t="str">
        <f>IF(COUNTA(TabREP[[#This Row],[J1]:[J30]])&lt;&gt;0,AVERAGE(TabREP[[#This Row],[J1]:[J30]]),"")</f>
        <v/>
      </c>
      <c r="AH77" s="49" t="str">
        <f>TabREP[[#This Row],[Moyenne]]</f>
        <v/>
      </c>
      <c r="AI77" s="48"/>
    </row>
    <row r="78" spans="2:35" ht="14.25">
      <c r="B78" s="14" t="str">
        <f>IF(INDEX(TabEntrainement[Seance],ROW()-18)&lt;&gt;0,INDEX(TabEntrainement[Seance],ROW()-18),"")</f>
        <v/>
      </c>
      <c r="C78" s="117"/>
      <c r="D78" s="117"/>
      <c r="E78" s="117"/>
      <c r="F78" s="117"/>
      <c r="G78" s="117"/>
      <c r="H78" s="117"/>
      <c r="I78" s="117"/>
      <c r="J78" s="117"/>
      <c r="K78" s="117"/>
      <c r="L78" s="117"/>
      <c r="M78" s="117"/>
      <c r="N78" s="117"/>
      <c r="O78" s="117"/>
      <c r="P78" s="117"/>
      <c r="Q78" s="117"/>
      <c r="R78" s="117"/>
      <c r="S78" s="117"/>
      <c r="T78" s="117"/>
      <c r="U78" s="117"/>
      <c r="V78" s="117"/>
      <c r="W78" s="117"/>
      <c r="X78" s="117"/>
      <c r="Y78" s="117"/>
      <c r="Z78" s="117"/>
      <c r="AA78" s="117"/>
      <c r="AB78" s="117"/>
      <c r="AC78" s="117"/>
      <c r="AD78" s="117"/>
      <c r="AE78" s="117"/>
      <c r="AF78" s="117"/>
      <c r="AG78" s="160" t="str">
        <f>IF(COUNTA(TabREP[[#This Row],[J1]:[J30]])&lt;&gt;0,AVERAGE(TabREP[[#This Row],[J1]:[J30]]),"")</f>
        <v/>
      </c>
      <c r="AH78" s="49" t="str">
        <f>TabREP[[#This Row],[Moyenne]]</f>
        <v/>
      </c>
      <c r="AI78" s="48"/>
    </row>
    <row r="79" spans="2:35" ht="14.25">
      <c r="B79" s="14" t="str">
        <f>IF(INDEX(TabEntrainement[Seance],ROW()-18)&lt;&gt;0,INDEX(TabEntrainement[Seance],ROW()-18),"")</f>
        <v/>
      </c>
      <c r="C79" s="117"/>
      <c r="D79" s="117"/>
      <c r="E79" s="117"/>
      <c r="F79" s="117"/>
      <c r="G79" s="117"/>
      <c r="H79" s="117"/>
      <c r="I79" s="117"/>
      <c r="J79" s="117"/>
      <c r="K79" s="117"/>
      <c r="L79" s="117"/>
      <c r="M79" s="117"/>
      <c r="N79" s="117"/>
      <c r="O79" s="117"/>
      <c r="P79" s="117"/>
      <c r="Q79" s="117"/>
      <c r="R79" s="117"/>
      <c r="S79" s="117"/>
      <c r="T79" s="117"/>
      <c r="U79" s="117"/>
      <c r="V79" s="117"/>
      <c r="W79" s="117"/>
      <c r="X79" s="117"/>
      <c r="Y79" s="117"/>
      <c r="Z79" s="117"/>
      <c r="AA79" s="117"/>
      <c r="AB79" s="117"/>
      <c r="AC79" s="117"/>
      <c r="AD79" s="117"/>
      <c r="AE79" s="117"/>
      <c r="AF79" s="117"/>
      <c r="AG79" s="160" t="str">
        <f>IF(COUNTA(TabREP[[#This Row],[J1]:[J30]])&lt;&gt;0,AVERAGE(TabREP[[#This Row],[J1]:[J30]]),"")</f>
        <v/>
      </c>
      <c r="AH79" s="49" t="str">
        <f>TabREP[[#This Row],[Moyenne]]</f>
        <v/>
      </c>
      <c r="AI79" s="48"/>
    </row>
    <row r="80" spans="2:35" ht="14.25">
      <c r="B80" s="14" t="str">
        <f>IF(INDEX(TabEntrainement[Seance],ROW()-18)&lt;&gt;0,INDEX(TabEntrainement[Seance],ROW()-18),"")</f>
        <v/>
      </c>
      <c r="C80" s="117"/>
      <c r="D80" s="117"/>
      <c r="E80" s="117"/>
      <c r="F80" s="117"/>
      <c r="G80" s="117"/>
      <c r="H80" s="117"/>
      <c r="I80" s="117"/>
      <c r="J80" s="117"/>
      <c r="K80" s="117"/>
      <c r="L80" s="117"/>
      <c r="M80" s="117"/>
      <c r="N80" s="117"/>
      <c r="O80" s="117"/>
      <c r="P80" s="117"/>
      <c r="Q80" s="117"/>
      <c r="R80" s="117"/>
      <c r="S80" s="117"/>
      <c r="T80" s="117"/>
      <c r="U80" s="117"/>
      <c r="V80" s="117"/>
      <c r="W80" s="117"/>
      <c r="X80" s="117"/>
      <c r="Y80" s="117"/>
      <c r="Z80" s="117"/>
      <c r="AA80" s="117"/>
      <c r="AB80" s="117"/>
      <c r="AC80" s="117"/>
      <c r="AD80" s="117"/>
      <c r="AE80" s="117"/>
      <c r="AF80" s="117"/>
      <c r="AG80" s="160" t="str">
        <f>IF(COUNTA(TabREP[[#This Row],[J1]:[J30]])&lt;&gt;0,AVERAGE(TabREP[[#This Row],[J1]:[J30]]),"")</f>
        <v/>
      </c>
      <c r="AH80" s="49" t="str">
        <f>TabREP[[#This Row],[Moyenne]]</f>
        <v/>
      </c>
      <c r="AI80" s="48"/>
    </row>
    <row r="81" spans="2:35" ht="14.25">
      <c r="B81" s="14" t="str">
        <f>IF(INDEX(TabEntrainement[Seance],ROW()-18)&lt;&gt;0,INDEX(TabEntrainement[Seance],ROW()-18),"")</f>
        <v/>
      </c>
      <c r="C81" s="117"/>
      <c r="D81" s="117"/>
      <c r="E81" s="117"/>
      <c r="F81" s="117"/>
      <c r="G81" s="117"/>
      <c r="H81" s="117"/>
      <c r="I81" s="117"/>
      <c r="J81" s="117"/>
      <c r="K81" s="117"/>
      <c r="L81" s="117"/>
      <c r="M81" s="117"/>
      <c r="N81" s="117"/>
      <c r="O81" s="117"/>
      <c r="P81" s="117"/>
      <c r="Q81" s="117"/>
      <c r="R81" s="117"/>
      <c r="S81" s="117"/>
      <c r="T81" s="117"/>
      <c r="U81" s="117"/>
      <c r="V81" s="117"/>
      <c r="W81" s="117"/>
      <c r="X81" s="117"/>
      <c r="Y81" s="117"/>
      <c r="Z81" s="117"/>
      <c r="AA81" s="117"/>
      <c r="AB81" s="117"/>
      <c r="AC81" s="117"/>
      <c r="AD81" s="117"/>
      <c r="AE81" s="117"/>
      <c r="AF81" s="117"/>
      <c r="AG81" s="160" t="str">
        <f>IF(COUNTA(TabREP[[#This Row],[J1]:[J30]])&lt;&gt;0,AVERAGE(TabREP[[#This Row],[J1]:[J30]]),"")</f>
        <v/>
      </c>
      <c r="AH81" s="49" t="str">
        <f>TabREP[[#This Row],[Moyenne]]</f>
        <v/>
      </c>
      <c r="AI81" s="48"/>
    </row>
    <row r="82" spans="2:35" ht="14.25">
      <c r="B82" s="14" t="str">
        <f>IF(INDEX(TabEntrainement[Seance],ROW()-18)&lt;&gt;0,INDEX(TabEntrainement[Seance],ROW()-18),"")</f>
        <v/>
      </c>
      <c r="C82" s="117"/>
      <c r="D82" s="117"/>
      <c r="E82" s="117"/>
      <c r="F82" s="117"/>
      <c r="G82" s="117"/>
      <c r="H82" s="117"/>
      <c r="I82" s="117"/>
      <c r="J82" s="117"/>
      <c r="K82" s="117"/>
      <c r="L82" s="117"/>
      <c r="M82" s="117"/>
      <c r="N82" s="117"/>
      <c r="O82" s="117"/>
      <c r="P82" s="117"/>
      <c r="Q82" s="117"/>
      <c r="R82" s="117"/>
      <c r="S82" s="117"/>
      <c r="T82" s="117"/>
      <c r="U82" s="117"/>
      <c r="V82" s="117"/>
      <c r="W82" s="117"/>
      <c r="X82" s="117"/>
      <c r="Y82" s="117"/>
      <c r="Z82" s="117"/>
      <c r="AA82" s="117"/>
      <c r="AB82" s="117"/>
      <c r="AC82" s="117"/>
      <c r="AD82" s="117"/>
      <c r="AE82" s="117"/>
      <c r="AF82" s="117"/>
      <c r="AG82" s="160" t="str">
        <f>IF(COUNTA(TabREP[[#This Row],[J1]:[J30]])&lt;&gt;0,AVERAGE(TabREP[[#This Row],[J1]:[J30]]),"")</f>
        <v/>
      </c>
      <c r="AH82" s="49" t="str">
        <f>TabREP[[#This Row],[Moyenne]]</f>
        <v/>
      </c>
      <c r="AI82" s="48"/>
    </row>
    <row r="83" spans="2:35" ht="14.25">
      <c r="B83" s="14" t="str">
        <f>IF(INDEX(TabEntrainement[Seance],ROW()-18)&lt;&gt;0,INDEX(TabEntrainement[Seance],ROW()-18),"")</f>
        <v/>
      </c>
      <c r="C83" s="117"/>
      <c r="D83" s="117"/>
      <c r="E83" s="117"/>
      <c r="F83" s="117"/>
      <c r="G83" s="117"/>
      <c r="H83" s="117"/>
      <c r="I83" s="117"/>
      <c r="J83" s="117"/>
      <c r="K83" s="117"/>
      <c r="L83" s="117"/>
      <c r="M83" s="117"/>
      <c r="N83" s="117"/>
      <c r="O83" s="117"/>
      <c r="P83" s="117"/>
      <c r="Q83" s="117"/>
      <c r="R83" s="117"/>
      <c r="S83" s="117"/>
      <c r="T83" s="117"/>
      <c r="U83" s="117"/>
      <c r="V83" s="117"/>
      <c r="W83" s="117"/>
      <c r="X83" s="117"/>
      <c r="Y83" s="117"/>
      <c r="Z83" s="117"/>
      <c r="AA83" s="117"/>
      <c r="AB83" s="117"/>
      <c r="AC83" s="117"/>
      <c r="AD83" s="117"/>
      <c r="AE83" s="117"/>
      <c r="AF83" s="117"/>
      <c r="AG83" s="160" t="str">
        <f>IF(COUNTA(TabREP[[#This Row],[J1]:[J30]])&lt;&gt;0,AVERAGE(TabREP[[#This Row],[J1]:[J30]]),"")</f>
        <v/>
      </c>
      <c r="AH83" s="49" t="str">
        <f>TabREP[[#This Row],[Moyenne]]</f>
        <v/>
      </c>
      <c r="AI83" s="48"/>
    </row>
    <row r="84" spans="2:35" ht="14.25">
      <c r="B84" s="14" t="str">
        <f>IF(INDEX(TabEntrainement[Seance],ROW()-18)&lt;&gt;0,INDEX(TabEntrainement[Seance],ROW()-18),"")</f>
        <v/>
      </c>
      <c r="C84" s="117"/>
      <c r="D84" s="117"/>
      <c r="E84" s="117"/>
      <c r="F84" s="117"/>
      <c r="G84" s="117"/>
      <c r="H84" s="117"/>
      <c r="I84" s="117"/>
      <c r="J84" s="117"/>
      <c r="K84" s="117"/>
      <c r="L84" s="117"/>
      <c r="M84" s="117"/>
      <c r="N84" s="117"/>
      <c r="O84" s="117"/>
      <c r="P84" s="117"/>
      <c r="Q84" s="117"/>
      <c r="R84" s="117"/>
      <c r="S84" s="117"/>
      <c r="T84" s="117"/>
      <c r="U84" s="117"/>
      <c r="V84" s="117"/>
      <c r="W84" s="117"/>
      <c r="X84" s="117"/>
      <c r="Y84" s="117"/>
      <c r="Z84" s="117"/>
      <c r="AA84" s="117"/>
      <c r="AB84" s="117"/>
      <c r="AC84" s="117"/>
      <c r="AD84" s="117"/>
      <c r="AE84" s="117"/>
      <c r="AF84" s="117"/>
      <c r="AG84" s="160" t="str">
        <f>IF(COUNTA(TabREP[[#This Row],[J1]:[J30]])&lt;&gt;0,AVERAGE(TabREP[[#This Row],[J1]:[J30]]),"")</f>
        <v/>
      </c>
      <c r="AH84" s="49" t="str">
        <f>TabREP[[#This Row],[Moyenne]]</f>
        <v/>
      </c>
      <c r="AI84" s="48"/>
    </row>
    <row r="85" spans="2:35" ht="14.25">
      <c r="B85" s="14" t="str">
        <f>IF(INDEX(TabEntrainement[Seance],ROW()-18)&lt;&gt;0,INDEX(TabEntrainement[Seance],ROW()-18),"")</f>
        <v/>
      </c>
      <c r="C85" s="117"/>
      <c r="D85" s="117"/>
      <c r="E85" s="117"/>
      <c r="F85" s="117"/>
      <c r="G85" s="117"/>
      <c r="H85" s="117"/>
      <c r="I85" s="117"/>
      <c r="J85" s="117"/>
      <c r="K85" s="117"/>
      <c r="L85" s="117"/>
      <c r="M85" s="117"/>
      <c r="N85" s="117"/>
      <c r="O85" s="117"/>
      <c r="P85" s="117"/>
      <c r="Q85" s="117"/>
      <c r="R85" s="117"/>
      <c r="S85" s="117"/>
      <c r="T85" s="117"/>
      <c r="U85" s="117"/>
      <c r="V85" s="117"/>
      <c r="W85" s="117"/>
      <c r="X85" s="117"/>
      <c r="Y85" s="117"/>
      <c r="Z85" s="117"/>
      <c r="AA85" s="117"/>
      <c r="AB85" s="117"/>
      <c r="AC85" s="117"/>
      <c r="AD85" s="117"/>
      <c r="AE85" s="117"/>
      <c r="AF85" s="117"/>
      <c r="AG85" s="160" t="str">
        <f>IF(COUNTA(TabREP[[#This Row],[J1]:[J30]])&lt;&gt;0,AVERAGE(TabREP[[#This Row],[J1]:[J30]]),"")</f>
        <v/>
      </c>
      <c r="AH85" s="49" t="str">
        <f>TabREP[[#This Row],[Moyenne]]</f>
        <v/>
      </c>
      <c r="AI85" s="48"/>
    </row>
    <row r="86" spans="2:35" ht="14.25">
      <c r="B86" s="14" t="str">
        <f>IF(INDEX(TabEntrainement[Seance],ROW()-18)&lt;&gt;0,INDEX(TabEntrainement[Seance],ROW()-18),"")</f>
        <v/>
      </c>
      <c r="C86" s="117"/>
      <c r="D86" s="117"/>
      <c r="E86" s="117"/>
      <c r="F86" s="117"/>
      <c r="G86" s="117"/>
      <c r="H86" s="117"/>
      <c r="I86" s="117"/>
      <c r="J86" s="117"/>
      <c r="K86" s="117"/>
      <c r="L86" s="117"/>
      <c r="M86" s="117"/>
      <c r="N86" s="117"/>
      <c r="O86" s="117"/>
      <c r="P86" s="117"/>
      <c r="Q86" s="117"/>
      <c r="R86" s="117"/>
      <c r="S86" s="117"/>
      <c r="T86" s="117"/>
      <c r="U86" s="117"/>
      <c r="V86" s="117"/>
      <c r="W86" s="117"/>
      <c r="X86" s="117"/>
      <c r="Y86" s="117"/>
      <c r="Z86" s="117"/>
      <c r="AA86" s="117"/>
      <c r="AB86" s="117"/>
      <c r="AC86" s="117"/>
      <c r="AD86" s="117"/>
      <c r="AE86" s="117"/>
      <c r="AF86" s="117"/>
      <c r="AG86" s="160" t="str">
        <f>IF(COUNTA(TabREP[[#This Row],[J1]:[J30]])&lt;&gt;0,AVERAGE(TabREP[[#This Row],[J1]:[J30]]),"")</f>
        <v/>
      </c>
      <c r="AH86" s="49" t="str">
        <f>TabREP[[#This Row],[Moyenne]]</f>
        <v/>
      </c>
      <c r="AI86" s="48"/>
    </row>
    <row r="87" spans="2:35" ht="14.25">
      <c r="B87" s="14" t="str">
        <f>IF(INDEX(TabEntrainement[Seance],ROW()-18)&lt;&gt;0,INDEX(TabEntrainement[Seance],ROW()-18),"")</f>
        <v/>
      </c>
      <c r="C87" s="117"/>
      <c r="D87" s="117"/>
      <c r="E87" s="117"/>
      <c r="F87" s="117"/>
      <c r="G87" s="117"/>
      <c r="H87" s="117"/>
      <c r="I87" s="117"/>
      <c r="J87" s="117"/>
      <c r="K87" s="117"/>
      <c r="L87" s="117"/>
      <c r="M87" s="117"/>
      <c r="N87" s="117"/>
      <c r="O87" s="117"/>
      <c r="P87" s="117"/>
      <c r="Q87" s="117"/>
      <c r="R87" s="117"/>
      <c r="S87" s="117"/>
      <c r="T87" s="117"/>
      <c r="U87" s="117"/>
      <c r="V87" s="117"/>
      <c r="W87" s="117"/>
      <c r="X87" s="117"/>
      <c r="Y87" s="117"/>
      <c r="Z87" s="117"/>
      <c r="AA87" s="117"/>
      <c r="AB87" s="117"/>
      <c r="AC87" s="117"/>
      <c r="AD87" s="117"/>
      <c r="AE87" s="117"/>
      <c r="AF87" s="117"/>
      <c r="AG87" s="160" t="str">
        <f>IF(COUNTA(TabREP[[#This Row],[J1]:[J30]])&lt;&gt;0,AVERAGE(TabREP[[#This Row],[J1]:[J30]]),"")</f>
        <v/>
      </c>
      <c r="AH87" s="49" t="str">
        <f>TabREP[[#This Row],[Moyenne]]</f>
        <v/>
      </c>
      <c r="AI87" s="48"/>
    </row>
    <row r="88" spans="2:35" ht="14.25">
      <c r="B88" s="14" t="str">
        <f>IF(INDEX(TabEntrainement[Seance],ROW()-18)&lt;&gt;0,INDEX(TabEntrainement[Seance],ROW()-18),"")</f>
        <v/>
      </c>
      <c r="C88" s="117"/>
      <c r="D88" s="117"/>
      <c r="E88" s="117"/>
      <c r="F88" s="117"/>
      <c r="G88" s="117"/>
      <c r="H88" s="117"/>
      <c r="I88" s="117"/>
      <c r="J88" s="117"/>
      <c r="K88" s="117"/>
      <c r="L88" s="117"/>
      <c r="M88" s="117"/>
      <c r="N88" s="117"/>
      <c r="O88" s="117"/>
      <c r="P88" s="117"/>
      <c r="Q88" s="117"/>
      <c r="R88" s="117"/>
      <c r="S88" s="117"/>
      <c r="T88" s="117"/>
      <c r="U88" s="117"/>
      <c r="V88" s="117"/>
      <c r="W88" s="117"/>
      <c r="X88" s="117"/>
      <c r="Y88" s="117"/>
      <c r="Z88" s="117"/>
      <c r="AA88" s="117"/>
      <c r="AB88" s="117"/>
      <c r="AC88" s="117"/>
      <c r="AD88" s="117"/>
      <c r="AE88" s="117"/>
      <c r="AF88" s="117"/>
      <c r="AG88" s="160" t="str">
        <f>IF(COUNTA(TabREP[[#This Row],[J1]:[J30]])&lt;&gt;0,AVERAGE(TabREP[[#This Row],[J1]:[J30]]),"")</f>
        <v/>
      </c>
      <c r="AH88" s="49" t="str">
        <f>TabREP[[#This Row],[Moyenne]]</f>
        <v/>
      </c>
      <c r="AI88" s="48"/>
    </row>
    <row r="89" spans="2:35" ht="14.25">
      <c r="B89" s="14" t="str">
        <f>IF(INDEX(TabEntrainement[Seance],ROW()-18)&lt;&gt;0,INDEX(TabEntrainement[Seance],ROW()-18),"")</f>
        <v/>
      </c>
      <c r="C89" s="117"/>
      <c r="D89" s="117"/>
      <c r="E89" s="117"/>
      <c r="F89" s="117"/>
      <c r="G89" s="117"/>
      <c r="H89" s="117"/>
      <c r="I89" s="117"/>
      <c r="J89" s="117"/>
      <c r="K89" s="117"/>
      <c r="L89" s="117"/>
      <c r="M89" s="117"/>
      <c r="N89" s="117"/>
      <c r="O89" s="117"/>
      <c r="P89" s="117"/>
      <c r="Q89" s="117"/>
      <c r="R89" s="117"/>
      <c r="S89" s="117"/>
      <c r="T89" s="117"/>
      <c r="U89" s="117"/>
      <c r="V89" s="117"/>
      <c r="W89" s="117"/>
      <c r="X89" s="117"/>
      <c r="Y89" s="117"/>
      <c r="Z89" s="117"/>
      <c r="AA89" s="117"/>
      <c r="AB89" s="117"/>
      <c r="AC89" s="117"/>
      <c r="AD89" s="117"/>
      <c r="AE89" s="117"/>
      <c r="AF89" s="117"/>
      <c r="AG89" s="160" t="str">
        <f>IF(COUNTA(TabREP[[#This Row],[J1]:[J30]])&lt;&gt;0,AVERAGE(TabREP[[#This Row],[J1]:[J30]]),"")</f>
        <v/>
      </c>
      <c r="AH89" s="49" t="str">
        <f>TabREP[[#This Row],[Moyenne]]</f>
        <v/>
      </c>
      <c r="AI89" s="48"/>
    </row>
    <row r="90" spans="2:35" ht="14.25">
      <c r="B90" s="14" t="str">
        <f>IF(INDEX(TabEntrainement[Seance],ROW()-18)&lt;&gt;0,INDEX(TabEntrainement[Seance],ROW()-18),"")</f>
        <v/>
      </c>
      <c r="C90" s="117"/>
      <c r="D90" s="117"/>
      <c r="E90" s="117"/>
      <c r="F90" s="117"/>
      <c r="G90" s="117"/>
      <c r="H90" s="117"/>
      <c r="I90" s="117"/>
      <c r="J90" s="117"/>
      <c r="K90" s="117"/>
      <c r="L90" s="117"/>
      <c r="M90" s="117"/>
      <c r="N90" s="117"/>
      <c r="O90" s="117"/>
      <c r="P90" s="117"/>
      <c r="Q90" s="117"/>
      <c r="R90" s="117"/>
      <c r="S90" s="117"/>
      <c r="T90" s="117"/>
      <c r="U90" s="117"/>
      <c r="V90" s="117"/>
      <c r="W90" s="117"/>
      <c r="X90" s="117"/>
      <c r="Y90" s="117"/>
      <c r="Z90" s="117"/>
      <c r="AA90" s="117"/>
      <c r="AB90" s="117"/>
      <c r="AC90" s="117"/>
      <c r="AD90" s="117"/>
      <c r="AE90" s="117"/>
      <c r="AF90" s="117"/>
      <c r="AG90" s="160" t="str">
        <f>IF(COUNTA(TabREP[[#This Row],[J1]:[J30]])&lt;&gt;0,AVERAGE(TabREP[[#This Row],[J1]:[J30]]),"")</f>
        <v/>
      </c>
      <c r="AH90" s="49" t="str">
        <f>TabREP[[#This Row],[Moyenne]]</f>
        <v/>
      </c>
      <c r="AI90" s="48"/>
    </row>
    <row r="91" spans="2:35" ht="14.25">
      <c r="B91" s="14" t="str">
        <f>IF(INDEX(TabEntrainement[Seance],ROW()-18)&lt;&gt;0,INDEX(TabEntrainement[Seance],ROW()-18),"")</f>
        <v/>
      </c>
      <c r="C91" s="117"/>
      <c r="D91" s="117"/>
      <c r="E91" s="117"/>
      <c r="F91" s="117"/>
      <c r="G91" s="117"/>
      <c r="H91" s="117"/>
      <c r="I91" s="117"/>
      <c r="J91" s="117"/>
      <c r="K91" s="117"/>
      <c r="L91" s="117"/>
      <c r="M91" s="117"/>
      <c r="N91" s="117"/>
      <c r="O91" s="117"/>
      <c r="P91" s="117"/>
      <c r="Q91" s="117"/>
      <c r="R91" s="117"/>
      <c r="S91" s="117"/>
      <c r="T91" s="117"/>
      <c r="U91" s="117"/>
      <c r="V91" s="117"/>
      <c r="W91" s="117"/>
      <c r="X91" s="117"/>
      <c r="Y91" s="117"/>
      <c r="Z91" s="117"/>
      <c r="AA91" s="117"/>
      <c r="AB91" s="117"/>
      <c r="AC91" s="117"/>
      <c r="AD91" s="117"/>
      <c r="AE91" s="117"/>
      <c r="AF91" s="117"/>
      <c r="AG91" s="160" t="str">
        <f>IF(COUNTA(TabREP[[#This Row],[J1]:[J30]])&lt;&gt;0,AVERAGE(TabREP[[#This Row],[J1]:[J30]]),"")</f>
        <v/>
      </c>
      <c r="AH91" s="49" t="str">
        <f>TabREP[[#This Row],[Moyenne]]</f>
        <v/>
      </c>
      <c r="AI91" s="48"/>
    </row>
    <row r="92" spans="2:35" ht="14.25">
      <c r="B92" s="14" t="str">
        <f>IF(INDEX(TabEntrainement[Seance],ROW()-18)&lt;&gt;0,INDEX(TabEntrainement[Seance],ROW()-18),"")</f>
        <v/>
      </c>
      <c r="C92" s="117"/>
      <c r="D92" s="117"/>
      <c r="E92" s="117"/>
      <c r="F92" s="117"/>
      <c r="G92" s="117"/>
      <c r="H92" s="117"/>
      <c r="I92" s="117"/>
      <c r="J92" s="117"/>
      <c r="K92" s="117"/>
      <c r="L92" s="117"/>
      <c r="M92" s="117"/>
      <c r="N92" s="117"/>
      <c r="O92" s="117"/>
      <c r="P92" s="117"/>
      <c r="Q92" s="117"/>
      <c r="R92" s="117"/>
      <c r="S92" s="117"/>
      <c r="T92" s="117"/>
      <c r="U92" s="117"/>
      <c r="V92" s="117"/>
      <c r="W92" s="117"/>
      <c r="X92" s="117"/>
      <c r="Y92" s="117"/>
      <c r="Z92" s="117"/>
      <c r="AA92" s="117"/>
      <c r="AB92" s="117"/>
      <c r="AC92" s="117"/>
      <c r="AD92" s="117"/>
      <c r="AE92" s="117"/>
      <c r="AF92" s="117"/>
      <c r="AG92" s="160" t="str">
        <f>IF(COUNTA(TabREP[[#This Row],[J1]:[J30]])&lt;&gt;0,AVERAGE(TabREP[[#This Row],[J1]:[J30]]),"")</f>
        <v/>
      </c>
      <c r="AH92" s="49" t="str">
        <f>TabREP[[#This Row],[Moyenne]]</f>
        <v/>
      </c>
      <c r="AI92" s="48"/>
    </row>
    <row r="93" spans="2:35" ht="14.25">
      <c r="B93" s="14" t="str">
        <f>IF(INDEX(TabEntrainement[Seance],ROW()-18)&lt;&gt;0,INDEX(TabEntrainement[Seance],ROW()-18),"")</f>
        <v/>
      </c>
      <c r="C93" s="117"/>
      <c r="D93" s="117"/>
      <c r="E93" s="117"/>
      <c r="F93" s="117"/>
      <c r="G93" s="117"/>
      <c r="H93" s="117"/>
      <c r="I93" s="117"/>
      <c r="J93" s="117"/>
      <c r="K93" s="117"/>
      <c r="L93" s="117"/>
      <c r="M93" s="117"/>
      <c r="N93" s="117"/>
      <c r="O93" s="117"/>
      <c r="P93" s="117"/>
      <c r="Q93" s="117"/>
      <c r="R93" s="117"/>
      <c r="S93" s="117"/>
      <c r="T93" s="117"/>
      <c r="U93" s="117"/>
      <c r="V93" s="117"/>
      <c r="W93" s="117"/>
      <c r="X93" s="117"/>
      <c r="Y93" s="117"/>
      <c r="Z93" s="117"/>
      <c r="AA93" s="117"/>
      <c r="AB93" s="117"/>
      <c r="AC93" s="117"/>
      <c r="AD93" s="117"/>
      <c r="AE93" s="117"/>
      <c r="AF93" s="117"/>
      <c r="AG93" s="160" t="str">
        <f>IF(COUNTA(TabREP[[#This Row],[J1]:[J30]])&lt;&gt;0,AVERAGE(TabREP[[#This Row],[J1]:[J30]]),"")</f>
        <v/>
      </c>
      <c r="AH93" s="49" t="str">
        <f>TabREP[[#This Row],[Moyenne]]</f>
        <v/>
      </c>
      <c r="AI93" s="48"/>
    </row>
    <row r="94" spans="2:35" ht="14.25">
      <c r="B94" s="14" t="str">
        <f>IF(INDEX(TabEntrainement[Seance],ROW()-18)&lt;&gt;0,INDEX(TabEntrainement[Seance],ROW()-18),"")</f>
        <v/>
      </c>
      <c r="C94" s="117"/>
      <c r="D94" s="117"/>
      <c r="E94" s="117"/>
      <c r="F94" s="117"/>
      <c r="G94" s="117"/>
      <c r="H94" s="117"/>
      <c r="I94" s="117"/>
      <c r="J94" s="117"/>
      <c r="K94" s="117"/>
      <c r="L94" s="117"/>
      <c r="M94" s="117"/>
      <c r="N94" s="117"/>
      <c r="O94" s="117"/>
      <c r="P94" s="117"/>
      <c r="Q94" s="117"/>
      <c r="R94" s="117"/>
      <c r="S94" s="117"/>
      <c r="T94" s="117"/>
      <c r="U94" s="117"/>
      <c r="V94" s="117"/>
      <c r="W94" s="117"/>
      <c r="X94" s="117"/>
      <c r="Y94" s="117"/>
      <c r="Z94" s="117"/>
      <c r="AA94" s="117"/>
      <c r="AB94" s="117"/>
      <c r="AC94" s="117"/>
      <c r="AD94" s="117"/>
      <c r="AE94" s="117"/>
      <c r="AF94" s="117"/>
      <c r="AG94" s="160" t="str">
        <f>IF(COUNTA(TabREP[[#This Row],[J1]:[J30]])&lt;&gt;0,AVERAGE(TabREP[[#This Row],[J1]:[J30]]),"")</f>
        <v/>
      </c>
      <c r="AH94" s="49" t="str">
        <f>TabREP[[#This Row],[Moyenne]]</f>
        <v/>
      </c>
      <c r="AI94" s="48"/>
    </row>
    <row r="95" spans="2:35" ht="14.25">
      <c r="B95" s="14" t="str">
        <f>IF(INDEX(TabEntrainement[Seance],ROW()-18)&lt;&gt;0,INDEX(TabEntrainement[Seance],ROW()-18),"")</f>
        <v/>
      </c>
      <c r="C95" s="117"/>
      <c r="D95" s="117"/>
      <c r="E95" s="117"/>
      <c r="F95" s="117"/>
      <c r="G95" s="117"/>
      <c r="H95" s="117"/>
      <c r="I95" s="117"/>
      <c r="J95" s="117"/>
      <c r="K95" s="117"/>
      <c r="L95" s="117"/>
      <c r="M95" s="117"/>
      <c r="N95" s="117"/>
      <c r="O95" s="117"/>
      <c r="P95" s="117"/>
      <c r="Q95" s="117"/>
      <c r="R95" s="117"/>
      <c r="S95" s="117"/>
      <c r="T95" s="117"/>
      <c r="U95" s="117"/>
      <c r="V95" s="117"/>
      <c r="W95" s="117"/>
      <c r="X95" s="117"/>
      <c r="Y95" s="117"/>
      <c r="Z95" s="117"/>
      <c r="AA95" s="117"/>
      <c r="AB95" s="117"/>
      <c r="AC95" s="117"/>
      <c r="AD95" s="117"/>
      <c r="AE95" s="117"/>
      <c r="AF95" s="117"/>
      <c r="AG95" s="160" t="str">
        <f>IF(COUNTA(TabREP[[#This Row],[J1]:[J30]])&lt;&gt;0,AVERAGE(TabREP[[#This Row],[J1]:[J30]]),"")</f>
        <v/>
      </c>
      <c r="AH95" s="49" t="str">
        <f>TabREP[[#This Row],[Moyenne]]</f>
        <v/>
      </c>
      <c r="AI95" s="48"/>
    </row>
    <row r="96" spans="2:35" ht="14.25">
      <c r="B96" s="14" t="str">
        <f>IF(INDEX(TabEntrainement[Seance],ROW()-18)&lt;&gt;0,INDEX(TabEntrainement[Seance],ROW()-18),"")</f>
        <v/>
      </c>
      <c r="C96" s="117"/>
      <c r="D96" s="117"/>
      <c r="E96" s="117"/>
      <c r="F96" s="117"/>
      <c r="G96" s="117"/>
      <c r="H96" s="117"/>
      <c r="I96" s="117"/>
      <c r="J96" s="117"/>
      <c r="K96" s="117"/>
      <c r="L96" s="117"/>
      <c r="M96" s="117"/>
      <c r="N96" s="117"/>
      <c r="O96" s="117"/>
      <c r="P96" s="117"/>
      <c r="Q96" s="117"/>
      <c r="R96" s="117"/>
      <c r="S96" s="117"/>
      <c r="T96" s="117"/>
      <c r="U96" s="117"/>
      <c r="V96" s="117"/>
      <c r="W96" s="117"/>
      <c r="X96" s="117"/>
      <c r="Y96" s="117"/>
      <c r="Z96" s="117"/>
      <c r="AA96" s="117"/>
      <c r="AB96" s="117"/>
      <c r="AC96" s="117"/>
      <c r="AD96" s="117"/>
      <c r="AE96" s="117"/>
      <c r="AF96" s="117"/>
      <c r="AG96" s="160" t="str">
        <f>IF(COUNTA(TabREP[[#This Row],[J1]:[J30]])&lt;&gt;0,AVERAGE(TabREP[[#This Row],[J1]:[J30]]),"")</f>
        <v/>
      </c>
      <c r="AH96" s="49" t="str">
        <f>TabREP[[#This Row],[Moyenne]]</f>
        <v/>
      </c>
      <c r="AI96" s="48"/>
    </row>
    <row r="97" spans="2:35" ht="14.25">
      <c r="B97" s="14" t="str">
        <f>IF(INDEX(TabEntrainement[Seance],ROW()-18)&lt;&gt;0,INDEX(TabEntrainement[Seance],ROW()-18),"")</f>
        <v/>
      </c>
      <c r="C97" s="117"/>
      <c r="D97" s="117"/>
      <c r="E97" s="117"/>
      <c r="F97" s="117"/>
      <c r="G97" s="117"/>
      <c r="H97" s="117"/>
      <c r="I97" s="117"/>
      <c r="J97" s="117"/>
      <c r="K97" s="117"/>
      <c r="L97" s="117"/>
      <c r="M97" s="117"/>
      <c r="N97" s="117"/>
      <c r="O97" s="117"/>
      <c r="P97" s="117"/>
      <c r="Q97" s="117"/>
      <c r="R97" s="117"/>
      <c r="S97" s="117"/>
      <c r="T97" s="117"/>
      <c r="U97" s="117"/>
      <c r="V97" s="117"/>
      <c r="W97" s="117"/>
      <c r="X97" s="117"/>
      <c r="Y97" s="117"/>
      <c r="Z97" s="117"/>
      <c r="AA97" s="117"/>
      <c r="AB97" s="117"/>
      <c r="AC97" s="117"/>
      <c r="AD97" s="117"/>
      <c r="AE97" s="117"/>
      <c r="AF97" s="117"/>
      <c r="AG97" s="160" t="str">
        <f>IF(COUNTA(TabREP[[#This Row],[J1]:[J30]])&lt;&gt;0,AVERAGE(TabREP[[#This Row],[J1]:[J30]]),"")</f>
        <v/>
      </c>
      <c r="AH97" s="49" t="str">
        <f>TabREP[[#This Row],[Moyenne]]</f>
        <v/>
      </c>
      <c r="AI97" s="48"/>
    </row>
    <row r="98" spans="2:35" ht="14.25">
      <c r="B98" s="14" t="str">
        <f>IF(INDEX(TabEntrainement[Seance],ROW()-18)&lt;&gt;0,INDEX(TabEntrainement[Seance],ROW()-18),"")</f>
        <v/>
      </c>
      <c r="C98" s="117"/>
      <c r="D98" s="117"/>
      <c r="E98" s="117"/>
      <c r="F98" s="117"/>
      <c r="G98" s="117"/>
      <c r="H98" s="117"/>
      <c r="I98" s="117"/>
      <c r="J98" s="117"/>
      <c r="K98" s="117"/>
      <c r="L98" s="117"/>
      <c r="M98" s="117"/>
      <c r="N98" s="117"/>
      <c r="O98" s="117"/>
      <c r="P98" s="117"/>
      <c r="Q98" s="117"/>
      <c r="R98" s="117"/>
      <c r="S98" s="117"/>
      <c r="T98" s="117"/>
      <c r="U98" s="117"/>
      <c r="V98" s="117"/>
      <c r="W98" s="117"/>
      <c r="X98" s="117"/>
      <c r="Y98" s="117"/>
      <c r="Z98" s="117"/>
      <c r="AA98" s="117"/>
      <c r="AB98" s="117"/>
      <c r="AC98" s="117"/>
      <c r="AD98" s="117"/>
      <c r="AE98" s="117"/>
      <c r="AF98" s="117"/>
      <c r="AG98" s="160" t="str">
        <f>IF(COUNTA(TabREP[[#This Row],[J1]:[J30]])&lt;&gt;0,AVERAGE(TabREP[[#This Row],[J1]:[J30]]),"")</f>
        <v/>
      </c>
      <c r="AH98" s="49" t="str">
        <f>TabREP[[#This Row],[Moyenne]]</f>
        <v/>
      </c>
      <c r="AI98" s="48"/>
    </row>
    <row r="99" spans="2:35" ht="14.25">
      <c r="B99" s="14" t="str">
        <f>IF(INDEX(TabEntrainement[Seance],ROW()-18)&lt;&gt;0,INDEX(TabEntrainement[Seance],ROW()-18),"")</f>
        <v/>
      </c>
      <c r="C99" s="117"/>
      <c r="D99" s="117"/>
      <c r="E99" s="117"/>
      <c r="F99" s="117"/>
      <c r="G99" s="117"/>
      <c r="H99" s="117"/>
      <c r="I99" s="117"/>
      <c r="J99" s="117"/>
      <c r="K99" s="117"/>
      <c r="L99" s="117"/>
      <c r="M99" s="117"/>
      <c r="N99" s="117"/>
      <c r="O99" s="117"/>
      <c r="P99" s="117"/>
      <c r="Q99" s="117"/>
      <c r="R99" s="117"/>
      <c r="S99" s="117"/>
      <c r="T99" s="117"/>
      <c r="U99" s="117"/>
      <c r="V99" s="117"/>
      <c r="W99" s="117"/>
      <c r="X99" s="117"/>
      <c r="Y99" s="117"/>
      <c r="Z99" s="117"/>
      <c r="AA99" s="117"/>
      <c r="AB99" s="117"/>
      <c r="AC99" s="117"/>
      <c r="AD99" s="117"/>
      <c r="AE99" s="117"/>
      <c r="AF99" s="117"/>
      <c r="AG99" s="160" t="str">
        <f>IF(COUNTA(TabREP[[#This Row],[J1]:[J30]])&lt;&gt;0,AVERAGE(TabREP[[#This Row],[J1]:[J30]]),"")</f>
        <v/>
      </c>
      <c r="AH99" s="49" t="str">
        <f>TabREP[[#This Row],[Moyenne]]</f>
        <v/>
      </c>
      <c r="AI99" s="48"/>
    </row>
    <row r="100" spans="2:35" ht="14.25">
      <c r="B100" s="14" t="str">
        <f>IF(INDEX(TabEntrainement[Seance],ROW()-18)&lt;&gt;0,INDEX(TabEntrainement[Seance],ROW()-18),"")</f>
        <v/>
      </c>
      <c r="C100" s="117"/>
      <c r="D100" s="117"/>
      <c r="E100" s="117"/>
      <c r="F100" s="117"/>
      <c r="G100" s="117"/>
      <c r="H100" s="117"/>
      <c r="I100" s="117"/>
      <c r="J100" s="117"/>
      <c r="K100" s="117"/>
      <c r="L100" s="117"/>
      <c r="M100" s="117"/>
      <c r="N100" s="117"/>
      <c r="O100" s="117"/>
      <c r="P100" s="117"/>
      <c r="Q100" s="117"/>
      <c r="R100" s="117"/>
      <c r="S100" s="117"/>
      <c r="T100" s="117"/>
      <c r="U100" s="117"/>
      <c r="V100" s="117"/>
      <c r="W100" s="117"/>
      <c r="X100" s="117"/>
      <c r="Y100" s="117"/>
      <c r="Z100" s="117"/>
      <c r="AA100" s="117"/>
      <c r="AB100" s="117"/>
      <c r="AC100" s="117"/>
      <c r="AD100" s="117"/>
      <c r="AE100" s="117"/>
      <c r="AF100" s="117"/>
      <c r="AG100" s="160" t="str">
        <f>IF(COUNTA(TabREP[[#This Row],[J1]:[J30]])&lt;&gt;0,AVERAGE(TabREP[[#This Row],[J1]:[J30]]),"")</f>
        <v/>
      </c>
      <c r="AH100" s="49" t="str">
        <f>TabREP[[#This Row],[Moyenne]]</f>
        <v/>
      </c>
      <c r="AI100" s="48"/>
    </row>
    <row r="101" spans="2:35" ht="14.25">
      <c r="B101" s="14" t="str">
        <f>IF(INDEX(TabEntrainement[Seance],ROW()-18)&lt;&gt;0,INDEX(TabEntrainement[Seance],ROW()-18),"")</f>
        <v/>
      </c>
      <c r="C101" s="117"/>
      <c r="D101" s="117"/>
      <c r="E101" s="117"/>
      <c r="F101" s="117"/>
      <c r="G101" s="117"/>
      <c r="H101" s="117"/>
      <c r="I101" s="117"/>
      <c r="J101" s="117"/>
      <c r="K101" s="117"/>
      <c r="L101" s="117"/>
      <c r="M101" s="117"/>
      <c r="N101" s="117"/>
      <c r="O101" s="117"/>
      <c r="P101" s="117"/>
      <c r="Q101" s="117"/>
      <c r="R101" s="117"/>
      <c r="S101" s="117"/>
      <c r="T101" s="117"/>
      <c r="U101" s="117"/>
      <c r="V101" s="117"/>
      <c r="W101" s="117"/>
      <c r="X101" s="117"/>
      <c r="Y101" s="117"/>
      <c r="Z101" s="117"/>
      <c r="AA101" s="117"/>
      <c r="AB101" s="117"/>
      <c r="AC101" s="117"/>
      <c r="AD101" s="117"/>
      <c r="AE101" s="117"/>
      <c r="AF101" s="117"/>
      <c r="AG101" s="160" t="str">
        <f>IF(COUNTA(TabREP[[#This Row],[J1]:[J30]])&lt;&gt;0,AVERAGE(TabREP[[#This Row],[J1]:[J30]]),"")</f>
        <v/>
      </c>
      <c r="AH101" s="49" t="str">
        <f>TabREP[[#This Row],[Moyenne]]</f>
        <v/>
      </c>
      <c r="AI101" s="48"/>
    </row>
    <row r="102" spans="2:35" ht="14.25">
      <c r="B102" s="14" t="str">
        <f>IF(INDEX(TabEntrainement[Seance],ROW()-18)&lt;&gt;0,INDEX(TabEntrainement[Seance],ROW()-18),"")</f>
        <v/>
      </c>
      <c r="C102" s="117"/>
      <c r="D102" s="117"/>
      <c r="E102" s="117"/>
      <c r="F102" s="117"/>
      <c r="G102" s="117"/>
      <c r="H102" s="117"/>
      <c r="I102" s="117"/>
      <c r="J102" s="117"/>
      <c r="K102" s="117"/>
      <c r="L102" s="117"/>
      <c r="M102" s="117"/>
      <c r="N102" s="117"/>
      <c r="O102" s="117"/>
      <c r="P102" s="117"/>
      <c r="Q102" s="117"/>
      <c r="R102" s="117"/>
      <c r="S102" s="117"/>
      <c r="T102" s="117"/>
      <c r="U102" s="117"/>
      <c r="V102" s="117"/>
      <c r="W102" s="117"/>
      <c r="X102" s="117"/>
      <c r="Y102" s="117"/>
      <c r="Z102" s="117"/>
      <c r="AA102" s="117"/>
      <c r="AB102" s="117"/>
      <c r="AC102" s="117"/>
      <c r="AD102" s="117"/>
      <c r="AE102" s="117"/>
      <c r="AF102" s="117"/>
      <c r="AG102" s="160" t="str">
        <f>IF(COUNTA(TabREP[[#This Row],[J1]:[J30]])&lt;&gt;0,AVERAGE(TabREP[[#This Row],[J1]:[J30]]),"")</f>
        <v/>
      </c>
      <c r="AH102" s="49" t="str">
        <f>TabREP[[#This Row],[Moyenne]]</f>
        <v/>
      </c>
      <c r="AI102" s="48"/>
    </row>
    <row r="103" spans="2:35" ht="14.25">
      <c r="B103" s="14" t="str">
        <f>IF(INDEX(TabEntrainement[Seance],ROW()-18)&lt;&gt;0,INDEX(TabEntrainement[Seance],ROW()-18),"")</f>
        <v/>
      </c>
      <c r="C103" s="117"/>
      <c r="D103" s="117"/>
      <c r="E103" s="117"/>
      <c r="F103" s="117"/>
      <c r="G103" s="117"/>
      <c r="H103" s="117"/>
      <c r="I103" s="117"/>
      <c r="J103" s="117"/>
      <c r="K103" s="117"/>
      <c r="L103" s="117"/>
      <c r="M103" s="117"/>
      <c r="N103" s="117"/>
      <c r="O103" s="117"/>
      <c r="P103" s="117"/>
      <c r="Q103" s="117"/>
      <c r="R103" s="117"/>
      <c r="S103" s="117"/>
      <c r="T103" s="117"/>
      <c r="U103" s="117"/>
      <c r="V103" s="117"/>
      <c r="W103" s="117"/>
      <c r="X103" s="117"/>
      <c r="Y103" s="117"/>
      <c r="Z103" s="117"/>
      <c r="AA103" s="117"/>
      <c r="AB103" s="117"/>
      <c r="AC103" s="117"/>
      <c r="AD103" s="117"/>
      <c r="AE103" s="117"/>
      <c r="AF103" s="117"/>
      <c r="AG103" s="160" t="str">
        <f>IF(COUNTA(TabREP[[#This Row],[J1]:[J30]])&lt;&gt;0,AVERAGE(TabREP[[#This Row],[J1]:[J30]]),"")</f>
        <v/>
      </c>
      <c r="AH103" s="49" t="str">
        <f>TabREP[[#This Row],[Moyenne]]</f>
        <v/>
      </c>
      <c r="AI103" s="48"/>
    </row>
    <row r="104" spans="2:35" ht="14.25">
      <c r="B104" s="14" t="str">
        <f>IF(INDEX(TabEntrainement[Seance],ROW()-18)&lt;&gt;0,INDEX(TabEntrainement[Seance],ROW()-18),"")</f>
        <v/>
      </c>
      <c r="C104" s="117"/>
      <c r="D104" s="117"/>
      <c r="E104" s="117"/>
      <c r="F104" s="117"/>
      <c r="G104" s="117"/>
      <c r="H104" s="117"/>
      <c r="I104" s="117"/>
      <c r="J104" s="117"/>
      <c r="K104" s="117"/>
      <c r="L104" s="117"/>
      <c r="M104" s="117"/>
      <c r="N104" s="117"/>
      <c r="O104" s="117"/>
      <c r="P104" s="117"/>
      <c r="Q104" s="117"/>
      <c r="R104" s="117"/>
      <c r="S104" s="117"/>
      <c r="T104" s="117"/>
      <c r="U104" s="117"/>
      <c r="V104" s="117"/>
      <c r="W104" s="117"/>
      <c r="X104" s="117"/>
      <c r="Y104" s="117"/>
      <c r="Z104" s="117"/>
      <c r="AA104" s="117"/>
      <c r="AB104" s="117"/>
      <c r="AC104" s="117"/>
      <c r="AD104" s="117"/>
      <c r="AE104" s="117"/>
      <c r="AF104" s="117"/>
      <c r="AG104" s="160" t="str">
        <f>IF(COUNTA(TabREP[[#This Row],[J1]:[J30]])&lt;&gt;0,AVERAGE(TabREP[[#This Row],[J1]:[J30]]),"")</f>
        <v/>
      </c>
      <c r="AH104" s="49" t="str">
        <f>TabREP[[#This Row],[Moyenne]]</f>
        <v/>
      </c>
      <c r="AI104" s="48"/>
    </row>
    <row r="105" spans="2:35" ht="14.25">
      <c r="B105" s="14" t="str">
        <f>IF(INDEX(TabEntrainement[Seance],ROW()-18)&lt;&gt;0,INDEX(TabEntrainement[Seance],ROW()-18),"")</f>
        <v/>
      </c>
      <c r="C105" s="117"/>
      <c r="D105" s="117"/>
      <c r="E105" s="117"/>
      <c r="F105" s="117"/>
      <c r="G105" s="117"/>
      <c r="H105" s="117"/>
      <c r="I105" s="117"/>
      <c r="J105" s="117"/>
      <c r="K105" s="117"/>
      <c r="L105" s="117"/>
      <c r="M105" s="117"/>
      <c r="N105" s="117"/>
      <c r="O105" s="117"/>
      <c r="P105" s="117"/>
      <c r="Q105" s="117"/>
      <c r="R105" s="117"/>
      <c r="S105" s="117"/>
      <c r="T105" s="117"/>
      <c r="U105" s="117"/>
      <c r="V105" s="117"/>
      <c r="W105" s="117"/>
      <c r="X105" s="117"/>
      <c r="Y105" s="117"/>
      <c r="Z105" s="117"/>
      <c r="AA105" s="117"/>
      <c r="AB105" s="117"/>
      <c r="AC105" s="117"/>
      <c r="AD105" s="117"/>
      <c r="AE105" s="117"/>
      <c r="AF105" s="117"/>
      <c r="AG105" s="160" t="str">
        <f>IF(COUNTA(TabREP[[#This Row],[J1]:[J30]])&lt;&gt;0,AVERAGE(TabREP[[#This Row],[J1]:[J30]]),"")</f>
        <v/>
      </c>
      <c r="AH105" s="49" t="str">
        <f>TabREP[[#This Row],[Moyenne]]</f>
        <v/>
      </c>
      <c r="AI105" s="48"/>
    </row>
    <row r="106" spans="2:35" ht="14.25">
      <c r="B106" s="14" t="str">
        <f>IF(INDEX(TabEntrainement[Seance],ROW()-18)&lt;&gt;0,INDEX(TabEntrainement[Seance],ROW()-18),"")</f>
        <v/>
      </c>
      <c r="C106" s="117"/>
      <c r="D106" s="117"/>
      <c r="E106" s="117"/>
      <c r="F106" s="117"/>
      <c r="G106" s="117"/>
      <c r="H106" s="117"/>
      <c r="I106" s="117"/>
      <c r="J106" s="117"/>
      <c r="K106" s="117"/>
      <c r="L106" s="117"/>
      <c r="M106" s="117"/>
      <c r="N106" s="117"/>
      <c r="O106" s="117"/>
      <c r="P106" s="117"/>
      <c r="Q106" s="117"/>
      <c r="R106" s="117"/>
      <c r="S106" s="117"/>
      <c r="T106" s="117"/>
      <c r="U106" s="117"/>
      <c r="V106" s="117"/>
      <c r="W106" s="117"/>
      <c r="X106" s="117"/>
      <c r="Y106" s="117"/>
      <c r="Z106" s="117"/>
      <c r="AA106" s="117"/>
      <c r="AB106" s="117"/>
      <c r="AC106" s="117"/>
      <c r="AD106" s="117"/>
      <c r="AE106" s="117"/>
      <c r="AF106" s="117"/>
      <c r="AG106" s="160" t="str">
        <f>IF(COUNTA(TabREP[[#This Row],[J1]:[J30]])&lt;&gt;0,AVERAGE(TabREP[[#This Row],[J1]:[J30]]),"")</f>
        <v/>
      </c>
      <c r="AH106" s="49" t="str">
        <f>TabREP[[#This Row],[Moyenne]]</f>
        <v/>
      </c>
      <c r="AI106" s="48"/>
    </row>
    <row r="107" spans="2:35" ht="14.25">
      <c r="B107" s="14" t="str">
        <f>IF(INDEX(TabEntrainement[Seance],ROW()-18)&lt;&gt;0,INDEX(TabEntrainement[Seance],ROW()-18),"")</f>
        <v/>
      </c>
      <c r="C107" s="117"/>
      <c r="D107" s="117"/>
      <c r="E107" s="117"/>
      <c r="F107" s="117"/>
      <c r="G107" s="117"/>
      <c r="H107" s="117"/>
      <c r="I107" s="117"/>
      <c r="J107" s="117"/>
      <c r="K107" s="117"/>
      <c r="L107" s="117"/>
      <c r="M107" s="117"/>
      <c r="N107" s="117"/>
      <c r="O107" s="117"/>
      <c r="P107" s="117"/>
      <c r="Q107" s="117"/>
      <c r="R107" s="117"/>
      <c r="S107" s="117"/>
      <c r="T107" s="117"/>
      <c r="U107" s="117"/>
      <c r="V107" s="117"/>
      <c r="W107" s="117"/>
      <c r="X107" s="117"/>
      <c r="Y107" s="117"/>
      <c r="Z107" s="117"/>
      <c r="AA107" s="117"/>
      <c r="AB107" s="117"/>
      <c r="AC107" s="117"/>
      <c r="AD107" s="117"/>
      <c r="AE107" s="117"/>
      <c r="AF107" s="117"/>
      <c r="AG107" s="160" t="str">
        <f>IF(COUNTA(TabREP[[#This Row],[J1]:[J30]])&lt;&gt;0,AVERAGE(TabREP[[#This Row],[J1]:[J30]]),"")</f>
        <v/>
      </c>
      <c r="AH107" s="49" t="str">
        <f>TabREP[[#This Row],[Moyenne]]</f>
        <v/>
      </c>
      <c r="AI107" s="48"/>
    </row>
    <row r="108" spans="2:35" ht="14.25">
      <c r="B108" s="14" t="str">
        <f>IF(INDEX(TabEntrainement[Seance],ROW()-18)&lt;&gt;0,INDEX(TabEntrainement[Seance],ROW()-18),"")</f>
        <v/>
      </c>
      <c r="C108" s="117"/>
      <c r="D108" s="117"/>
      <c r="E108" s="117"/>
      <c r="F108" s="117"/>
      <c r="G108" s="117"/>
      <c r="H108" s="117"/>
      <c r="I108" s="117"/>
      <c r="J108" s="117"/>
      <c r="K108" s="117"/>
      <c r="L108" s="117"/>
      <c r="M108" s="117"/>
      <c r="N108" s="117"/>
      <c r="O108" s="117"/>
      <c r="P108" s="117"/>
      <c r="Q108" s="117"/>
      <c r="R108" s="117"/>
      <c r="S108" s="117"/>
      <c r="T108" s="117"/>
      <c r="U108" s="117"/>
      <c r="V108" s="117"/>
      <c r="W108" s="117"/>
      <c r="X108" s="117"/>
      <c r="Y108" s="117"/>
      <c r="Z108" s="117"/>
      <c r="AA108" s="117"/>
      <c r="AB108" s="117"/>
      <c r="AC108" s="117"/>
      <c r="AD108" s="117"/>
      <c r="AE108" s="117"/>
      <c r="AF108" s="117"/>
      <c r="AG108" s="160" t="str">
        <f>IF(COUNTA(TabREP[[#This Row],[J1]:[J30]])&lt;&gt;0,AVERAGE(TabREP[[#This Row],[J1]:[J30]]),"")</f>
        <v/>
      </c>
      <c r="AH108" s="49" t="str">
        <f>TabREP[[#This Row],[Moyenne]]</f>
        <v/>
      </c>
      <c r="AI108" s="48"/>
    </row>
    <row r="109" spans="2:35" ht="14.25">
      <c r="B109" s="14" t="str">
        <f>IF(INDEX(TabEntrainement[Seance],ROW()-18)&lt;&gt;0,INDEX(TabEntrainement[Seance],ROW()-18),"")</f>
        <v/>
      </c>
      <c r="C109" s="117"/>
      <c r="D109" s="117"/>
      <c r="E109" s="117"/>
      <c r="F109" s="117"/>
      <c r="G109" s="117"/>
      <c r="H109" s="117"/>
      <c r="I109" s="117"/>
      <c r="J109" s="117"/>
      <c r="K109" s="117"/>
      <c r="L109" s="117"/>
      <c r="M109" s="117"/>
      <c r="N109" s="117"/>
      <c r="O109" s="117"/>
      <c r="P109" s="117"/>
      <c r="Q109" s="117"/>
      <c r="R109" s="117"/>
      <c r="S109" s="117"/>
      <c r="T109" s="117"/>
      <c r="U109" s="117"/>
      <c r="V109" s="117"/>
      <c r="W109" s="117"/>
      <c r="X109" s="117"/>
      <c r="Y109" s="117"/>
      <c r="Z109" s="117"/>
      <c r="AA109" s="117"/>
      <c r="AB109" s="117"/>
      <c r="AC109" s="117"/>
      <c r="AD109" s="117"/>
      <c r="AE109" s="117"/>
      <c r="AF109" s="117"/>
      <c r="AG109" s="160" t="str">
        <f>IF(COUNTA(TabREP[[#This Row],[J1]:[J30]])&lt;&gt;0,AVERAGE(TabREP[[#This Row],[J1]:[J30]]),"")</f>
        <v/>
      </c>
      <c r="AH109" s="49" t="str">
        <f>TabREP[[#This Row],[Moyenne]]</f>
        <v/>
      </c>
      <c r="AI109" s="48"/>
    </row>
    <row r="110" spans="2:35" ht="14.25">
      <c r="B110" s="14" t="str">
        <f>IF(INDEX(TabEntrainement[Seance],ROW()-18)&lt;&gt;0,INDEX(TabEntrainement[Seance],ROW()-18),"")</f>
        <v/>
      </c>
      <c r="C110" s="117"/>
      <c r="D110" s="117"/>
      <c r="E110" s="117"/>
      <c r="F110" s="117"/>
      <c r="G110" s="117"/>
      <c r="H110" s="117"/>
      <c r="I110" s="117"/>
      <c r="J110" s="117"/>
      <c r="K110" s="117"/>
      <c r="L110" s="117"/>
      <c r="M110" s="117"/>
      <c r="N110" s="117"/>
      <c r="O110" s="117"/>
      <c r="P110" s="117"/>
      <c r="Q110" s="117"/>
      <c r="R110" s="117"/>
      <c r="S110" s="117"/>
      <c r="T110" s="117"/>
      <c r="U110" s="117"/>
      <c r="V110" s="117"/>
      <c r="W110" s="117"/>
      <c r="X110" s="117"/>
      <c r="Y110" s="117"/>
      <c r="Z110" s="117"/>
      <c r="AA110" s="117"/>
      <c r="AB110" s="117"/>
      <c r="AC110" s="117"/>
      <c r="AD110" s="117"/>
      <c r="AE110" s="117"/>
      <c r="AF110" s="117"/>
      <c r="AG110" s="160" t="str">
        <f>IF(COUNTA(TabREP[[#This Row],[J1]:[J30]])&lt;&gt;0,AVERAGE(TabREP[[#This Row],[J1]:[J30]]),"")</f>
        <v/>
      </c>
      <c r="AH110" s="49" t="str">
        <f>TabREP[[#This Row],[Moyenne]]</f>
        <v/>
      </c>
      <c r="AI110" s="48"/>
    </row>
    <row r="111" spans="2:35" ht="14.25">
      <c r="B111" s="14" t="str">
        <f>IF(INDEX(TabEntrainement[Seance],ROW()-18)&lt;&gt;0,INDEX(TabEntrainement[Seance],ROW()-18),"")</f>
        <v/>
      </c>
      <c r="C111" s="117"/>
      <c r="D111" s="117"/>
      <c r="E111" s="117"/>
      <c r="F111" s="117"/>
      <c r="G111" s="117"/>
      <c r="H111" s="117"/>
      <c r="I111" s="117"/>
      <c r="J111" s="117"/>
      <c r="K111" s="117"/>
      <c r="L111" s="117"/>
      <c r="M111" s="117"/>
      <c r="N111" s="117"/>
      <c r="O111" s="117"/>
      <c r="P111" s="117"/>
      <c r="Q111" s="117"/>
      <c r="R111" s="117"/>
      <c r="S111" s="117"/>
      <c r="T111" s="117"/>
      <c r="U111" s="117"/>
      <c r="V111" s="117"/>
      <c r="W111" s="117"/>
      <c r="X111" s="117"/>
      <c r="Y111" s="117"/>
      <c r="Z111" s="117"/>
      <c r="AA111" s="117"/>
      <c r="AB111" s="117"/>
      <c r="AC111" s="117"/>
      <c r="AD111" s="117"/>
      <c r="AE111" s="117"/>
      <c r="AF111" s="117"/>
      <c r="AG111" s="160" t="str">
        <f>IF(COUNTA(TabREP[[#This Row],[J1]:[J30]])&lt;&gt;0,AVERAGE(TabREP[[#This Row],[J1]:[J30]]),"")</f>
        <v/>
      </c>
      <c r="AH111" s="49" t="str">
        <f>TabREP[[#This Row],[Moyenne]]</f>
        <v/>
      </c>
      <c r="AI111" s="48"/>
    </row>
    <row r="112" spans="2:35" ht="14.25">
      <c r="B112" s="14" t="str">
        <f>IF(INDEX(TabEntrainement[Seance],ROW()-18)&lt;&gt;0,INDEX(TabEntrainement[Seance],ROW()-18),"")</f>
        <v/>
      </c>
      <c r="C112" s="117"/>
      <c r="D112" s="117"/>
      <c r="E112" s="117"/>
      <c r="F112" s="117"/>
      <c r="G112" s="117"/>
      <c r="H112" s="117"/>
      <c r="I112" s="117"/>
      <c r="J112" s="117"/>
      <c r="K112" s="117"/>
      <c r="L112" s="117"/>
      <c r="M112" s="117"/>
      <c r="N112" s="117"/>
      <c r="O112" s="117"/>
      <c r="P112" s="117"/>
      <c r="Q112" s="117"/>
      <c r="R112" s="117"/>
      <c r="S112" s="117"/>
      <c r="T112" s="117"/>
      <c r="U112" s="117"/>
      <c r="V112" s="117"/>
      <c r="W112" s="117"/>
      <c r="X112" s="117"/>
      <c r="Y112" s="117"/>
      <c r="Z112" s="117"/>
      <c r="AA112" s="117"/>
      <c r="AB112" s="117"/>
      <c r="AC112" s="117"/>
      <c r="AD112" s="117"/>
      <c r="AE112" s="117"/>
      <c r="AF112" s="117"/>
      <c r="AG112" s="160" t="str">
        <f>IF(COUNTA(TabREP[[#This Row],[J1]:[J30]])&lt;&gt;0,AVERAGE(TabREP[[#This Row],[J1]:[J30]]),"")</f>
        <v/>
      </c>
      <c r="AH112" s="49" t="str">
        <f>TabREP[[#This Row],[Moyenne]]</f>
        <v/>
      </c>
      <c r="AI112" s="48"/>
    </row>
    <row r="113" spans="2:35" ht="14.25">
      <c r="B113" s="14" t="str">
        <f>IF(INDEX(TabEntrainement[Seance],ROW()-18)&lt;&gt;0,INDEX(TabEntrainement[Seance],ROW()-18),"")</f>
        <v/>
      </c>
      <c r="C113" s="117"/>
      <c r="D113" s="117"/>
      <c r="E113" s="117"/>
      <c r="F113" s="117"/>
      <c r="G113" s="117"/>
      <c r="H113" s="117"/>
      <c r="I113" s="117"/>
      <c r="J113" s="117"/>
      <c r="K113" s="117"/>
      <c r="L113" s="117"/>
      <c r="M113" s="117"/>
      <c r="N113" s="117"/>
      <c r="O113" s="117"/>
      <c r="P113" s="117"/>
      <c r="Q113" s="117"/>
      <c r="R113" s="117"/>
      <c r="S113" s="117"/>
      <c r="T113" s="117"/>
      <c r="U113" s="117"/>
      <c r="V113" s="117"/>
      <c r="W113" s="117"/>
      <c r="X113" s="117"/>
      <c r="Y113" s="117"/>
      <c r="Z113" s="117"/>
      <c r="AA113" s="117"/>
      <c r="AB113" s="117"/>
      <c r="AC113" s="117"/>
      <c r="AD113" s="117"/>
      <c r="AE113" s="117"/>
      <c r="AF113" s="117"/>
      <c r="AG113" s="160" t="str">
        <f>IF(COUNTA(TabREP[[#This Row],[J1]:[J30]])&lt;&gt;0,AVERAGE(TabREP[[#This Row],[J1]:[J30]]),"")</f>
        <v/>
      </c>
      <c r="AH113" s="49" t="str">
        <f>TabREP[[#This Row],[Moyenne]]</f>
        <v/>
      </c>
      <c r="AI113" s="48"/>
    </row>
    <row r="114" spans="2:35" ht="14.25">
      <c r="B114" s="14" t="str">
        <f>IF(INDEX(TabEntrainement[Seance],ROW()-18)&lt;&gt;0,INDEX(TabEntrainement[Seance],ROW()-18),"")</f>
        <v/>
      </c>
      <c r="C114" s="117"/>
      <c r="D114" s="117"/>
      <c r="E114" s="117"/>
      <c r="F114" s="117"/>
      <c r="G114" s="117"/>
      <c r="H114" s="117"/>
      <c r="I114" s="117"/>
      <c r="J114" s="117"/>
      <c r="K114" s="117"/>
      <c r="L114" s="117"/>
      <c r="M114" s="117"/>
      <c r="N114" s="117"/>
      <c r="O114" s="117"/>
      <c r="P114" s="117"/>
      <c r="Q114" s="117"/>
      <c r="R114" s="117"/>
      <c r="S114" s="117"/>
      <c r="T114" s="117"/>
      <c r="U114" s="117"/>
      <c r="V114" s="117"/>
      <c r="W114" s="117"/>
      <c r="X114" s="117"/>
      <c r="Y114" s="117"/>
      <c r="Z114" s="117"/>
      <c r="AA114" s="117"/>
      <c r="AB114" s="117"/>
      <c r="AC114" s="117"/>
      <c r="AD114" s="117"/>
      <c r="AE114" s="117"/>
      <c r="AF114" s="117"/>
      <c r="AG114" s="160" t="str">
        <f>IF(COUNTA(TabREP[[#This Row],[J1]:[J30]])&lt;&gt;0,AVERAGE(TabREP[[#This Row],[J1]:[J30]]),"")</f>
        <v/>
      </c>
      <c r="AH114" s="49" t="str">
        <f>TabREP[[#This Row],[Moyenne]]</f>
        <v/>
      </c>
      <c r="AI114" s="48"/>
    </row>
    <row r="115" spans="2:35" ht="14.25">
      <c r="B115" s="14" t="str">
        <f>IF(INDEX(TabEntrainement[Seance],ROW()-18)&lt;&gt;0,INDEX(TabEntrainement[Seance],ROW()-18),"")</f>
        <v/>
      </c>
      <c r="C115" s="117"/>
      <c r="D115" s="117"/>
      <c r="E115" s="117"/>
      <c r="F115" s="117"/>
      <c r="G115" s="117"/>
      <c r="H115" s="117"/>
      <c r="I115" s="117"/>
      <c r="J115" s="117"/>
      <c r="K115" s="117"/>
      <c r="L115" s="117"/>
      <c r="M115" s="117"/>
      <c r="N115" s="117"/>
      <c r="O115" s="117"/>
      <c r="P115" s="117"/>
      <c r="Q115" s="117"/>
      <c r="R115" s="117"/>
      <c r="S115" s="117"/>
      <c r="T115" s="117"/>
      <c r="U115" s="117"/>
      <c r="V115" s="117"/>
      <c r="W115" s="117"/>
      <c r="X115" s="117"/>
      <c r="Y115" s="117"/>
      <c r="Z115" s="117"/>
      <c r="AA115" s="117"/>
      <c r="AB115" s="117"/>
      <c r="AC115" s="117"/>
      <c r="AD115" s="117"/>
      <c r="AE115" s="117"/>
      <c r="AF115" s="117"/>
      <c r="AG115" s="160" t="str">
        <f>IF(COUNTA(TabREP[[#This Row],[J1]:[J30]])&lt;&gt;0,AVERAGE(TabREP[[#This Row],[J1]:[J30]]),"")</f>
        <v/>
      </c>
      <c r="AH115" s="49" t="str">
        <f>TabREP[[#This Row],[Moyenne]]</f>
        <v/>
      </c>
      <c r="AI115" s="48"/>
    </row>
    <row r="116" spans="2:35" ht="14.25">
      <c r="B116" s="14" t="str">
        <f>IF(INDEX(TabEntrainement[Seance],ROW()-18)&lt;&gt;0,INDEX(TabEntrainement[Seance],ROW()-18),"")</f>
        <v/>
      </c>
      <c r="C116" s="117"/>
      <c r="D116" s="117"/>
      <c r="E116" s="117"/>
      <c r="F116" s="117"/>
      <c r="G116" s="117"/>
      <c r="H116" s="117"/>
      <c r="I116" s="117"/>
      <c r="J116" s="117"/>
      <c r="K116" s="117"/>
      <c r="L116" s="117"/>
      <c r="M116" s="117"/>
      <c r="N116" s="117"/>
      <c r="O116" s="117"/>
      <c r="P116" s="117"/>
      <c r="Q116" s="117"/>
      <c r="R116" s="117"/>
      <c r="S116" s="117"/>
      <c r="T116" s="117"/>
      <c r="U116" s="117"/>
      <c r="V116" s="117"/>
      <c r="W116" s="117"/>
      <c r="X116" s="117"/>
      <c r="Y116" s="117"/>
      <c r="Z116" s="117"/>
      <c r="AA116" s="117"/>
      <c r="AB116" s="117"/>
      <c r="AC116" s="117"/>
      <c r="AD116" s="117"/>
      <c r="AE116" s="117"/>
      <c r="AF116" s="117"/>
      <c r="AG116" s="160" t="str">
        <f>IF(COUNTA(TabREP[[#This Row],[J1]:[J30]])&lt;&gt;0,AVERAGE(TabREP[[#This Row],[J1]:[J30]]),"")</f>
        <v/>
      </c>
      <c r="AH116" s="49" t="str">
        <f>TabREP[[#This Row],[Moyenne]]</f>
        <v/>
      </c>
      <c r="AI116" s="48"/>
    </row>
    <row r="117" spans="2:35" ht="14.25">
      <c r="B117" s="14" t="str">
        <f>IF(INDEX(TabEntrainement[Seance],ROW()-18)&lt;&gt;0,INDEX(TabEntrainement[Seance],ROW()-18),"")</f>
        <v/>
      </c>
      <c r="C117" s="117"/>
      <c r="D117" s="117"/>
      <c r="E117" s="117"/>
      <c r="F117" s="117"/>
      <c r="G117" s="117"/>
      <c r="H117" s="117"/>
      <c r="I117" s="117"/>
      <c r="J117" s="117"/>
      <c r="K117" s="117"/>
      <c r="L117" s="117"/>
      <c r="M117" s="117"/>
      <c r="N117" s="117"/>
      <c r="O117" s="117"/>
      <c r="P117" s="117"/>
      <c r="Q117" s="117"/>
      <c r="R117" s="117"/>
      <c r="S117" s="117"/>
      <c r="T117" s="117"/>
      <c r="U117" s="117"/>
      <c r="V117" s="117"/>
      <c r="W117" s="117"/>
      <c r="X117" s="117"/>
      <c r="Y117" s="117"/>
      <c r="Z117" s="117"/>
      <c r="AA117" s="117"/>
      <c r="AB117" s="117"/>
      <c r="AC117" s="117"/>
      <c r="AD117" s="117"/>
      <c r="AE117" s="117"/>
      <c r="AF117" s="117"/>
      <c r="AG117" s="160" t="str">
        <f>IF(COUNTA(TabREP[[#This Row],[J1]:[J30]])&lt;&gt;0,AVERAGE(TabREP[[#This Row],[J1]:[J30]]),"")</f>
        <v/>
      </c>
      <c r="AH117" s="49" t="str">
        <f>TabREP[[#This Row],[Moyenne]]</f>
        <v/>
      </c>
      <c r="AI117" s="48"/>
    </row>
    <row r="118" spans="2:35" ht="14.25">
      <c r="B118" s="14" t="str">
        <f>IF(INDEX(TabEntrainement[Seance],ROW()-18)&lt;&gt;0,INDEX(TabEntrainement[Seance],ROW()-18),"")</f>
        <v/>
      </c>
      <c r="C118" s="117"/>
      <c r="D118" s="117"/>
      <c r="E118" s="117"/>
      <c r="F118" s="117"/>
      <c r="G118" s="117"/>
      <c r="H118" s="117"/>
      <c r="I118" s="117"/>
      <c r="J118" s="117"/>
      <c r="K118" s="117"/>
      <c r="L118" s="117"/>
      <c r="M118" s="117"/>
      <c r="N118" s="117"/>
      <c r="O118" s="117"/>
      <c r="P118" s="117"/>
      <c r="Q118" s="117"/>
      <c r="R118" s="117"/>
      <c r="S118" s="117"/>
      <c r="T118" s="117"/>
      <c r="U118" s="117"/>
      <c r="V118" s="117"/>
      <c r="W118" s="117"/>
      <c r="X118" s="117"/>
      <c r="Y118" s="117"/>
      <c r="Z118" s="117"/>
      <c r="AA118" s="117"/>
      <c r="AB118" s="117"/>
      <c r="AC118" s="117"/>
      <c r="AD118" s="117"/>
      <c r="AE118" s="117"/>
      <c r="AF118" s="117"/>
      <c r="AG118" s="160" t="str">
        <f>IF(COUNTA(TabREP[[#This Row],[J1]:[J30]])&lt;&gt;0,AVERAGE(TabREP[[#This Row],[J1]:[J30]]),"")</f>
        <v/>
      </c>
      <c r="AH118" s="49" t="str">
        <f>TabREP[[#This Row],[Moyenne]]</f>
        <v/>
      </c>
      <c r="AI118" s="48"/>
    </row>
    <row r="119" spans="2:35" ht="14.25">
      <c r="B119" s="14" t="str">
        <f>IF(INDEX(TabEntrainement[Seance],ROW()-18)&lt;&gt;0,INDEX(TabEntrainement[Seance],ROW()-18),"")</f>
        <v/>
      </c>
      <c r="C119" s="117"/>
      <c r="D119" s="117"/>
      <c r="E119" s="117"/>
      <c r="F119" s="117"/>
      <c r="G119" s="117"/>
      <c r="H119" s="117"/>
      <c r="I119" s="117"/>
      <c r="J119" s="117"/>
      <c r="K119" s="117"/>
      <c r="L119" s="117"/>
      <c r="M119" s="117"/>
      <c r="N119" s="117"/>
      <c r="O119" s="117"/>
      <c r="P119" s="117"/>
      <c r="Q119" s="117"/>
      <c r="R119" s="117"/>
      <c r="S119" s="117"/>
      <c r="T119" s="117"/>
      <c r="U119" s="117"/>
      <c r="V119" s="117"/>
      <c r="W119" s="117"/>
      <c r="X119" s="117"/>
      <c r="Y119" s="117"/>
      <c r="Z119" s="117"/>
      <c r="AA119" s="117"/>
      <c r="AB119" s="117"/>
      <c r="AC119" s="117"/>
      <c r="AD119" s="117"/>
      <c r="AE119" s="117"/>
      <c r="AF119" s="117"/>
      <c r="AG119" s="160" t="str">
        <f>IF(COUNTA(TabREP[[#This Row],[J1]:[J30]])&lt;&gt;0,AVERAGE(TabREP[[#This Row],[J1]:[J30]]),"")</f>
        <v/>
      </c>
      <c r="AH119" s="49" t="str">
        <f>TabREP[[#This Row],[Moyenne]]</f>
        <v/>
      </c>
      <c r="AI119" s="48"/>
    </row>
    <row r="120" spans="2:35" ht="14.25">
      <c r="B120" s="14" t="str">
        <f>IF(INDEX(TabEntrainement[Seance],ROW()-18)&lt;&gt;0,INDEX(TabEntrainement[Seance],ROW()-18),"")</f>
        <v/>
      </c>
      <c r="C120" s="117"/>
      <c r="D120" s="117"/>
      <c r="E120" s="117"/>
      <c r="F120" s="117"/>
      <c r="G120" s="117"/>
      <c r="H120" s="117"/>
      <c r="I120" s="117"/>
      <c r="J120" s="117"/>
      <c r="K120" s="117"/>
      <c r="L120" s="117"/>
      <c r="M120" s="117"/>
      <c r="N120" s="117"/>
      <c r="O120" s="117"/>
      <c r="P120" s="117"/>
      <c r="Q120" s="117"/>
      <c r="R120" s="117"/>
      <c r="S120" s="117"/>
      <c r="T120" s="117"/>
      <c r="U120" s="117"/>
      <c r="V120" s="117"/>
      <c r="W120" s="117"/>
      <c r="X120" s="117"/>
      <c r="Y120" s="117"/>
      <c r="Z120" s="117"/>
      <c r="AA120" s="117"/>
      <c r="AB120" s="117"/>
      <c r="AC120" s="117"/>
      <c r="AD120" s="117"/>
      <c r="AE120" s="117"/>
      <c r="AF120" s="117"/>
      <c r="AG120" s="160" t="str">
        <f>IF(COUNTA(TabREP[[#This Row],[J1]:[J30]])&lt;&gt;0,AVERAGE(TabREP[[#This Row],[J1]:[J30]]),"")</f>
        <v/>
      </c>
      <c r="AH120" s="49" t="str">
        <f>TabREP[[#This Row],[Moyenne]]</f>
        <v/>
      </c>
      <c r="AI120" s="48"/>
    </row>
    <row r="121" spans="2:35" ht="14.25">
      <c r="B121" s="14" t="str">
        <f>IF(INDEX(TabEntrainement[Seance],ROW()-18)&lt;&gt;0,INDEX(TabEntrainement[Seance],ROW()-18),"")</f>
        <v/>
      </c>
      <c r="C121" s="117"/>
      <c r="D121" s="117"/>
      <c r="E121" s="117"/>
      <c r="F121" s="117"/>
      <c r="G121" s="117"/>
      <c r="H121" s="117"/>
      <c r="I121" s="117"/>
      <c r="J121" s="117"/>
      <c r="K121" s="117"/>
      <c r="L121" s="117"/>
      <c r="M121" s="117"/>
      <c r="N121" s="117"/>
      <c r="O121" s="117"/>
      <c r="P121" s="117"/>
      <c r="Q121" s="117"/>
      <c r="R121" s="117"/>
      <c r="S121" s="117"/>
      <c r="T121" s="117"/>
      <c r="U121" s="117"/>
      <c r="V121" s="117"/>
      <c r="W121" s="117"/>
      <c r="X121" s="117"/>
      <c r="Y121" s="117"/>
      <c r="Z121" s="117"/>
      <c r="AA121" s="117"/>
      <c r="AB121" s="117"/>
      <c r="AC121" s="117"/>
      <c r="AD121" s="117"/>
      <c r="AE121" s="117"/>
      <c r="AF121" s="117"/>
      <c r="AG121" s="160" t="str">
        <f>IF(COUNTA(TabREP[[#This Row],[J1]:[J30]])&lt;&gt;0,AVERAGE(TabREP[[#This Row],[J1]:[J30]]),"")</f>
        <v/>
      </c>
      <c r="AH121" s="49" t="str">
        <f>TabREP[[#This Row],[Moyenne]]</f>
        <v/>
      </c>
      <c r="AI121" s="48"/>
    </row>
    <row r="122" spans="2:35" ht="14.25">
      <c r="B122" s="14" t="str">
        <f>IF(INDEX(TabEntrainement[Seance],ROW()-18)&lt;&gt;0,INDEX(TabEntrainement[Seance],ROW()-18),"")</f>
        <v/>
      </c>
      <c r="C122" s="117"/>
      <c r="D122" s="117"/>
      <c r="E122" s="117"/>
      <c r="F122" s="117"/>
      <c r="G122" s="117"/>
      <c r="H122" s="117"/>
      <c r="I122" s="117"/>
      <c r="J122" s="117"/>
      <c r="K122" s="117"/>
      <c r="L122" s="117"/>
      <c r="M122" s="117"/>
      <c r="N122" s="117"/>
      <c r="O122" s="117"/>
      <c r="P122" s="117"/>
      <c r="Q122" s="117"/>
      <c r="R122" s="117"/>
      <c r="S122" s="117"/>
      <c r="T122" s="117"/>
      <c r="U122" s="117"/>
      <c r="V122" s="117"/>
      <c r="W122" s="117"/>
      <c r="X122" s="117"/>
      <c r="Y122" s="117"/>
      <c r="Z122" s="117"/>
      <c r="AA122" s="117"/>
      <c r="AB122" s="117"/>
      <c r="AC122" s="117"/>
      <c r="AD122" s="117"/>
      <c r="AE122" s="117"/>
      <c r="AF122" s="117"/>
      <c r="AG122" s="160" t="str">
        <f>IF(COUNTA(TabREP[[#This Row],[J1]:[J30]])&lt;&gt;0,AVERAGE(TabREP[[#This Row],[J1]:[J30]]),"")</f>
        <v/>
      </c>
      <c r="AH122" s="49" t="str">
        <f>TabREP[[#This Row],[Moyenne]]</f>
        <v/>
      </c>
      <c r="AI122" s="48"/>
    </row>
    <row r="123" spans="2:35" ht="14.25">
      <c r="B123" s="14" t="str">
        <f>IF(INDEX(TabEntrainement[Seance],ROW()-18)&lt;&gt;0,INDEX(TabEntrainement[Seance],ROW()-18),"")</f>
        <v/>
      </c>
      <c r="C123" s="117"/>
      <c r="D123" s="117"/>
      <c r="E123" s="117"/>
      <c r="F123" s="117"/>
      <c r="G123" s="117"/>
      <c r="H123" s="117"/>
      <c r="I123" s="117"/>
      <c r="J123" s="117"/>
      <c r="K123" s="117"/>
      <c r="L123" s="117"/>
      <c r="M123" s="117"/>
      <c r="N123" s="117"/>
      <c r="O123" s="117"/>
      <c r="P123" s="117"/>
      <c r="Q123" s="117"/>
      <c r="R123" s="117"/>
      <c r="S123" s="117"/>
      <c r="T123" s="117"/>
      <c r="U123" s="117"/>
      <c r="V123" s="117"/>
      <c r="W123" s="117"/>
      <c r="X123" s="117"/>
      <c r="Y123" s="117"/>
      <c r="Z123" s="117"/>
      <c r="AA123" s="117"/>
      <c r="AB123" s="117"/>
      <c r="AC123" s="117"/>
      <c r="AD123" s="117"/>
      <c r="AE123" s="117"/>
      <c r="AF123" s="117"/>
      <c r="AG123" s="160" t="str">
        <f>IF(COUNTA(TabREP[[#This Row],[J1]:[J30]])&lt;&gt;0,AVERAGE(TabREP[[#This Row],[J1]:[J30]]),"")</f>
        <v/>
      </c>
      <c r="AH123" s="49" t="str">
        <f>TabREP[[#This Row],[Moyenne]]</f>
        <v/>
      </c>
      <c r="AI123" s="48"/>
    </row>
    <row r="124" spans="2:35" ht="14.25">
      <c r="B124" s="14" t="str">
        <f>IF(INDEX(TabEntrainement[Seance],ROW()-18)&lt;&gt;0,INDEX(TabEntrainement[Seance],ROW()-18),"")</f>
        <v/>
      </c>
      <c r="C124" s="117"/>
      <c r="D124" s="117"/>
      <c r="E124" s="117"/>
      <c r="F124" s="117"/>
      <c r="G124" s="117"/>
      <c r="H124" s="117"/>
      <c r="I124" s="117"/>
      <c r="J124" s="117"/>
      <c r="K124" s="117"/>
      <c r="L124" s="117"/>
      <c r="M124" s="117"/>
      <c r="N124" s="117"/>
      <c r="O124" s="117"/>
      <c r="P124" s="117"/>
      <c r="Q124" s="117"/>
      <c r="R124" s="117"/>
      <c r="S124" s="117"/>
      <c r="T124" s="117"/>
      <c r="U124" s="117"/>
      <c r="V124" s="117"/>
      <c r="W124" s="117"/>
      <c r="X124" s="117"/>
      <c r="Y124" s="117"/>
      <c r="Z124" s="117"/>
      <c r="AA124" s="117"/>
      <c r="AB124" s="117"/>
      <c r="AC124" s="117"/>
      <c r="AD124" s="117"/>
      <c r="AE124" s="117"/>
      <c r="AF124" s="117"/>
      <c r="AG124" s="160" t="str">
        <f>IF(COUNTA(TabREP[[#This Row],[J1]:[J30]])&lt;&gt;0,AVERAGE(TabREP[[#This Row],[J1]:[J30]]),"")</f>
        <v/>
      </c>
      <c r="AH124" s="49" t="str">
        <f>TabREP[[#This Row],[Moyenne]]</f>
        <v/>
      </c>
      <c r="AI124" s="48"/>
    </row>
    <row r="125" spans="2:35" ht="14.25">
      <c r="B125" s="14" t="str">
        <f>IF(INDEX(TabEntrainement[Seance],ROW()-18)&lt;&gt;0,INDEX(TabEntrainement[Seance],ROW()-18),"")</f>
        <v/>
      </c>
      <c r="C125" s="117"/>
      <c r="D125" s="117"/>
      <c r="E125" s="117"/>
      <c r="F125" s="117"/>
      <c r="G125" s="117"/>
      <c r="H125" s="117"/>
      <c r="I125" s="117"/>
      <c r="J125" s="117"/>
      <c r="K125" s="117"/>
      <c r="L125" s="117"/>
      <c r="M125" s="117"/>
      <c r="N125" s="117"/>
      <c r="O125" s="117"/>
      <c r="P125" s="117"/>
      <c r="Q125" s="117"/>
      <c r="R125" s="117"/>
      <c r="S125" s="117"/>
      <c r="T125" s="117"/>
      <c r="U125" s="117"/>
      <c r="V125" s="117"/>
      <c r="W125" s="117"/>
      <c r="X125" s="117"/>
      <c r="Y125" s="117"/>
      <c r="Z125" s="117"/>
      <c r="AA125" s="117"/>
      <c r="AB125" s="117"/>
      <c r="AC125" s="117"/>
      <c r="AD125" s="117"/>
      <c r="AE125" s="117"/>
      <c r="AF125" s="117"/>
      <c r="AG125" s="160" t="str">
        <f>IF(COUNTA(TabREP[[#This Row],[J1]:[J30]])&lt;&gt;0,AVERAGE(TabREP[[#This Row],[J1]:[J30]]),"")</f>
        <v/>
      </c>
      <c r="AH125" s="49" t="str">
        <f>TabREP[[#This Row],[Moyenne]]</f>
        <v/>
      </c>
      <c r="AI125" s="48"/>
    </row>
    <row r="126" spans="2:35" ht="14.25">
      <c r="B126" s="14" t="str">
        <f>IF(INDEX(TabEntrainement[Seance],ROW()-18)&lt;&gt;0,INDEX(TabEntrainement[Seance],ROW()-18),"")</f>
        <v/>
      </c>
      <c r="C126" s="117"/>
      <c r="D126" s="117"/>
      <c r="E126" s="117"/>
      <c r="F126" s="117"/>
      <c r="G126" s="117"/>
      <c r="H126" s="117"/>
      <c r="I126" s="117"/>
      <c r="J126" s="117"/>
      <c r="K126" s="117"/>
      <c r="L126" s="117"/>
      <c r="M126" s="117"/>
      <c r="N126" s="117"/>
      <c r="O126" s="117"/>
      <c r="P126" s="117"/>
      <c r="Q126" s="117"/>
      <c r="R126" s="117"/>
      <c r="S126" s="117"/>
      <c r="T126" s="117"/>
      <c r="U126" s="117"/>
      <c r="V126" s="117"/>
      <c r="W126" s="117"/>
      <c r="X126" s="117"/>
      <c r="Y126" s="117"/>
      <c r="Z126" s="117"/>
      <c r="AA126" s="117"/>
      <c r="AB126" s="117"/>
      <c r="AC126" s="117"/>
      <c r="AD126" s="117"/>
      <c r="AE126" s="117"/>
      <c r="AF126" s="117"/>
      <c r="AG126" s="160" t="str">
        <f>IF(COUNTA(TabREP[[#This Row],[J1]:[J30]])&lt;&gt;0,AVERAGE(TabREP[[#This Row],[J1]:[J30]]),"")</f>
        <v/>
      </c>
      <c r="AH126" s="49" t="str">
        <f>TabREP[[#This Row],[Moyenne]]</f>
        <v/>
      </c>
      <c r="AI126" s="48"/>
    </row>
    <row r="127" spans="2:35" ht="14.25">
      <c r="B127" s="14" t="str">
        <f>IF(INDEX(TabEntrainement[Seance],ROW()-18)&lt;&gt;0,INDEX(TabEntrainement[Seance],ROW()-18),"")</f>
        <v/>
      </c>
      <c r="C127" s="117"/>
      <c r="D127" s="117"/>
      <c r="E127" s="117"/>
      <c r="F127" s="117"/>
      <c r="G127" s="117"/>
      <c r="H127" s="117"/>
      <c r="I127" s="117"/>
      <c r="J127" s="117"/>
      <c r="K127" s="117"/>
      <c r="L127" s="117"/>
      <c r="M127" s="117"/>
      <c r="N127" s="117"/>
      <c r="O127" s="117"/>
      <c r="P127" s="117"/>
      <c r="Q127" s="117"/>
      <c r="R127" s="117"/>
      <c r="S127" s="117"/>
      <c r="T127" s="117"/>
      <c r="U127" s="117"/>
      <c r="V127" s="117"/>
      <c r="W127" s="117"/>
      <c r="X127" s="117"/>
      <c r="Y127" s="117"/>
      <c r="Z127" s="117"/>
      <c r="AA127" s="117"/>
      <c r="AB127" s="117"/>
      <c r="AC127" s="117"/>
      <c r="AD127" s="117"/>
      <c r="AE127" s="117"/>
      <c r="AF127" s="117"/>
      <c r="AG127" s="160" t="str">
        <f>IF(COUNTA(TabREP[[#This Row],[J1]:[J30]])&lt;&gt;0,AVERAGE(TabREP[[#This Row],[J1]:[J30]]),"")</f>
        <v/>
      </c>
      <c r="AH127" s="49" t="str">
        <f>TabREP[[#This Row],[Moyenne]]</f>
        <v/>
      </c>
      <c r="AI127" s="48"/>
    </row>
    <row r="128" spans="2:35" ht="14.25">
      <c r="B128" s="14" t="str">
        <f>IF(INDEX(TabEntrainement[Seance],ROW()-18)&lt;&gt;0,INDEX(TabEntrainement[Seance],ROW()-18),"")</f>
        <v/>
      </c>
      <c r="C128" s="117"/>
      <c r="D128" s="117"/>
      <c r="E128" s="117"/>
      <c r="F128" s="117"/>
      <c r="G128" s="117"/>
      <c r="H128" s="117"/>
      <c r="I128" s="117"/>
      <c r="J128" s="117"/>
      <c r="K128" s="117"/>
      <c r="L128" s="117"/>
      <c r="M128" s="117"/>
      <c r="N128" s="117"/>
      <c r="O128" s="117"/>
      <c r="P128" s="117"/>
      <c r="Q128" s="117"/>
      <c r="R128" s="117"/>
      <c r="S128" s="117"/>
      <c r="T128" s="117"/>
      <c r="U128" s="117"/>
      <c r="V128" s="117"/>
      <c r="W128" s="117"/>
      <c r="X128" s="117"/>
      <c r="Y128" s="117"/>
      <c r="Z128" s="117"/>
      <c r="AA128" s="117"/>
      <c r="AB128" s="117"/>
      <c r="AC128" s="117"/>
      <c r="AD128" s="117"/>
      <c r="AE128" s="117"/>
      <c r="AF128" s="117"/>
      <c r="AG128" s="160" t="str">
        <f>IF(COUNTA(TabREP[[#This Row],[J1]:[J30]])&lt;&gt;0,AVERAGE(TabREP[[#This Row],[J1]:[J30]]),"")</f>
        <v/>
      </c>
      <c r="AH128" s="49" t="str">
        <f>TabREP[[#This Row],[Moyenne]]</f>
        <v/>
      </c>
      <c r="AI128" s="48"/>
    </row>
    <row r="129" spans="2:35" ht="14.25">
      <c r="B129" s="14" t="str">
        <f>IF(INDEX(TabEntrainement[Seance],ROW()-18)&lt;&gt;0,INDEX(TabEntrainement[Seance],ROW()-18),"")</f>
        <v/>
      </c>
      <c r="C129" s="117"/>
      <c r="D129" s="117"/>
      <c r="E129" s="117"/>
      <c r="F129" s="117"/>
      <c r="G129" s="117"/>
      <c r="H129" s="117"/>
      <c r="I129" s="117"/>
      <c r="J129" s="117"/>
      <c r="K129" s="117"/>
      <c r="L129" s="117"/>
      <c r="M129" s="117"/>
      <c r="N129" s="117"/>
      <c r="O129" s="117"/>
      <c r="P129" s="117"/>
      <c r="Q129" s="117"/>
      <c r="R129" s="117"/>
      <c r="S129" s="117"/>
      <c r="T129" s="117"/>
      <c r="U129" s="117"/>
      <c r="V129" s="117"/>
      <c r="W129" s="117"/>
      <c r="X129" s="117"/>
      <c r="Y129" s="117"/>
      <c r="Z129" s="117"/>
      <c r="AA129" s="117"/>
      <c r="AB129" s="117"/>
      <c r="AC129" s="117"/>
      <c r="AD129" s="117"/>
      <c r="AE129" s="117"/>
      <c r="AF129" s="117"/>
      <c r="AG129" s="160" t="str">
        <f>IF(COUNTA(TabREP[[#This Row],[J1]:[J30]])&lt;&gt;0,AVERAGE(TabREP[[#This Row],[J1]:[J30]]),"")</f>
        <v/>
      </c>
      <c r="AH129" s="49" t="str">
        <f>TabREP[[#This Row],[Moyenne]]</f>
        <v/>
      </c>
      <c r="AI129" s="48"/>
    </row>
    <row r="130" spans="2:35" ht="14.25">
      <c r="B130" s="14" t="str">
        <f>IF(INDEX(TabEntrainement[Seance],ROW()-18)&lt;&gt;0,INDEX(TabEntrainement[Seance],ROW()-18),"")</f>
        <v/>
      </c>
      <c r="C130" s="117"/>
      <c r="D130" s="117"/>
      <c r="E130" s="117"/>
      <c r="F130" s="117"/>
      <c r="G130" s="117"/>
      <c r="H130" s="117"/>
      <c r="I130" s="117"/>
      <c r="J130" s="117"/>
      <c r="K130" s="117"/>
      <c r="L130" s="117"/>
      <c r="M130" s="117"/>
      <c r="N130" s="117"/>
      <c r="O130" s="117"/>
      <c r="P130" s="117"/>
      <c r="Q130" s="117"/>
      <c r="R130" s="117"/>
      <c r="S130" s="117"/>
      <c r="T130" s="117"/>
      <c r="U130" s="117"/>
      <c r="V130" s="117"/>
      <c r="W130" s="117"/>
      <c r="X130" s="117"/>
      <c r="Y130" s="117"/>
      <c r="Z130" s="117"/>
      <c r="AA130" s="117"/>
      <c r="AB130" s="117"/>
      <c r="AC130" s="117"/>
      <c r="AD130" s="117"/>
      <c r="AE130" s="117"/>
      <c r="AF130" s="117"/>
      <c r="AG130" s="160" t="str">
        <f>IF(COUNTA(TabREP[[#This Row],[J1]:[J30]])&lt;&gt;0,AVERAGE(TabREP[[#This Row],[J1]:[J30]]),"")</f>
        <v/>
      </c>
      <c r="AH130" s="49" t="str">
        <f>TabREP[[#This Row],[Moyenne]]</f>
        <v/>
      </c>
      <c r="AI130" s="48"/>
    </row>
    <row r="131" spans="2:35" ht="14.25">
      <c r="B131" s="14" t="str">
        <f>IF(INDEX(TabEntrainement[Seance],ROW()-18)&lt;&gt;0,INDEX(TabEntrainement[Seance],ROW()-18),"")</f>
        <v/>
      </c>
      <c r="C131" s="117"/>
      <c r="D131" s="117"/>
      <c r="E131" s="117"/>
      <c r="F131" s="117"/>
      <c r="G131" s="117"/>
      <c r="H131" s="117"/>
      <c r="I131" s="117"/>
      <c r="J131" s="117"/>
      <c r="K131" s="117"/>
      <c r="L131" s="117"/>
      <c r="M131" s="117"/>
      <c r="N131" s="117"/>
      <c r="O131" s="117"/>
      <c r="P131" s="117"/>
      <c r="Q131" s="117"/>
      <c r="R131" s="117"/>
      <c r="S131" s="117"/>
      <c r="T131" s="117"/>
      <c r="U131" s="117"/>
      <c r="V131" s="117"/>
      <c r="W131" s="117"/>
      <c r="X131" s="117"/>
      <c r="Y131" s="117"/>
      <c r="Z131" s="117"/>
      <c r="AA131" s="117"/>
      <c r="AB131" s="117"/>
      <c r="AC131" s="117"/>
      <c r="AD131" s="117"/>
      <c r="AE131" s="117"/>
      <c r="AF131" s="117"/>
      <c r="AG131" s="160" t="str">
        <f>IF(COUNTA(TabREP[[#This Row],[J1]:[J30]])&lt;&gt;0,AVERAGE(TabREP[[#This Row],[J1]:[J30]]),"")</f>
        <v/>
      </c>
      <c r="AH131" s="49" t="str">
        <f>TabREP[[#This Row],[Moyenne]]</f>
        <v/>
      </c>
      <c r="AI131" s="48"/>
    </row>
    <row r="132" spans="2:35" ht="14.25">
      <c r="B132" s="14" t="str">
        <f>IF(INDEX(TabEntrainement[Seance],ROW()-18)&lt;&gt;0,INDEX(TabEntrainement[Seance],ROW()-18),"")</f>
        <v/>
      </c>
      <c r="C132" s="117"/>
      <c r="D132" s="117"/>
      <c r="E132" s="117"/>
      <c r="F132" s="117"/>
      <c r="G132" s="117"/>
      <c r="H132" s="117"/>
      <c r="I132" s="117"/>
      <c r="J132" s="117"/>
      <c r="K132" s="117"/>
      <c r="L132" s="117"/>
      <c r="M132" s="117"/>
      <c r="N132" s="117"/>
      <c r="O132" s="117"/>
      <c r="P132" s="117"/>
      <c r="Q132" s="117"/>
      <c r="R132" s="117"/>
      <c r="S132" s="117"/>
      <c r="T132" s="117"/>
      <c r="U132" s="117"/>
      <c r="V132" s="117"/>
      <c r="W132" s="117"/>
      <c r="X132" s="117"/>
      <c r="Y132" s="117"/>
      <c r="Z132" s="117"/>
      <c r="AA132" s="117"/>
      <c r="AB132" s="117"/>
      <c r="AC132" s="117"/>
      <c r="AD132" s="117"/>
      <c r="AE132" s="117"/>
      <c r="AF132" s="117"/>
      <c r="AG132" s="160" t="str">
        <f>IF(COUNTA(TabREP[[#This Row],[J1]:[J30]])&lt;&gt;0,AVERAGE(TabREP[[#This Row],[J1]:[J30]]),"")</f>
        <v/>
      </c>
      <c r="AH132" s="49" t="str">
        <f>TabREP[[#This Row],[Moyenne]]</f>
        <v/>
      </c>
      <c r="AI132" s="48"/>
    </row>
    <row r="133" spans="2:35" ht="14.25">
      <c r="B133" s="14" t="str">
        <f>IF(INDEX(TabEntrainement[Seance],ROW()-18)&lt;&gt;0,INDEX(TabEntrainement[Seance],ROW()-18),"")</f>
        <v/>
      </c>
      <c r="C133" s="117"/>
      <c r="D133" s="117"/>
      <c r="E133" s="117"/>
      <c r="F133" s="117"/>
      <c r="G133" s="117"/>
      <c r="H133" s="117"/>
      <c r="I133" s="117"/>
      <c r="J133" s="117"/>
      <c r="K133" s="117"/>
      <c r="L133" s="117"/>
      <c r="M133" s="117"/>
      <c r="N133" s="117"/>
      <c r="O133" s="117"/>
      <c r="P133" s="117"/>
      <c r="Q133" s="117"/>
      <c r="R133" s="117"/>
      <c r="S133" s="117"/>
      <c r="T133" s="117"/>
      <c r="U133" s="117"/>
      <c r="V133" s="117"/>
      <c r="W133" s="117"/>
      <c r="X133" s="117"/>
      <c r="Y133" s="117"/>
      <c r="Z133" s="117"/>
      <c r="AA133" s="117"/>
      <c r="AB133" s="117"/>
      <c r="AC133" s="117"/>
      <c r="AD133" s="117"/>
      <c r="AE133" s="117"/>
      <c r="AF133" s="117"/>
      <c r="AG133" s="160" t="str">
        <f>IF(COUNTA(TabREP[[#This Row],[J1]:[J30]])&lt;&gt;0,AVERAGE(TabREP[[#This Row],[J1]:[J30]]),"")</f>
        <v/>
      </c>
      <c r="AH133" s="49" t="str">
        <f>TabREP[[#This Row],[Moyenne]]</f>
        <v/>
      </c>
      <c r="AI133" s="48"/>
    </row>
    <row r="134" spans="2:35" ht="14.25">
      <c r="B134" s="14" t="str">
        <f>IF(INDEX(TabEntrainement[Seance],ROW()-18)&lt;&gt;0,INDEX(TabEntrainement[Seance],ROW()-18),"")</f>
        <v/>
      </c>
      <c r="C134" s="117"/>
      <c r="D134" s="117"/>
      <c r="E134" s="117"/>
      <c r="F134" s="117"/>
      <c r="G134" s="117"/>
      <c r="H134" s="117"/>
      <c r="I134" s="117"/>
      <c r="J134" s="117"/>
      <c r="K134" s="117"/>
      <c r="L134" s="117"/>
      <c r="M134" s="117"/>
      <c r="N134" s="117"/>
      <c r="O134" s="117"/>
      <c r="P134" s="117"/>
      <c r="Q134" s="117"/>
      <c r="R134" s="117"/>
      <c r="S134" s="117"/>
      <c r="T134" s="117"/>
      <c r="U134" s="117"/>
      <c r="V134" s="117"/>
      <c r="W134" s="117"/>
      <c r="X134" s="117"/>
      <c r="Y134" s="117"/>
      <c r="Z134" s="117"/>
      <c r="AA134" s="117"/>
      <c r="AB134" s="117"/>
      <c r="AC134" s="117"/>
      <c r="AD134" s="117"/>
      <c r="AE134" s="117"/>
      <c r="AF134" s="117"/>
      <c r="AG134" s="160" t="str">
        <f>IF(COUNTA(TabREP[[#This Row],[J1]:[J30]])&lt;&gt;0,AVERAGE(TabREP[[#This Row],[J1]:[J30]]),"")</f>
        <v/>
      </c>
      <c r="AH134" s="49" t="str">
        <f>TabREP[[#This Row],[Moyenne]]</f>
        <v/>
      </c>
      <c r="AI134" s="48"/>
    </row>
    <row r="135" spans="2:35" ht="14.25">
      <c r="B135" s="14" t="str">
        <f>IF(INDEX(TabEntrainement[Seance],ROW()-18)&lt;&gt;0,INDEX(TabEntrainement[Seance],ROW()-18),"")</f>
        <v/>
      </c>
      <c r="C135" s="117"/>
      <c r="D135" s="117"/>
      <c r="E135" s="117"/>
      <c r="F135" s="117"/>
      <c r="G135" s="117"/>
      <c r="H135" s="117"/>
      <c r="I135" s="117"/>
      <c r="J135" s="117"/>
      <c r="K135" s="117"/>
      <c r="L135" s="117"/>
      <c r="M135" s="117"/>
      <c r="N135" s="117"/>
      <c r="O135" s="117"/>
      <c r="P135" s="117"/>
      <c r="Q135" s="117"/>
      <c r="R135" s="117"/>
      <c r="S135" s="117"/>
      <c r="T135" s="117"/>
      <c r="U135" s="117"/>
      <c r="V135" s="117"/>
      <c r="W135" s="117"/>
      <c r="X135" s="117"/>
      <c r="Y135" s="117"/>
      <c r="Z135" s="117"/>
      <c r="AA135" s="117"/>
      <c r="AB135" s="117"/>
      <c r="AC135" s="117"/>
      <c r="AD135" s="117"/>
      <c r="AE135" s="117"/>
      <c r="AF135" s="117"/>
      <c r="AG135" s="160" t="str">
        <f>IF(COUNTA(TabREP[[#This Row],[J1]:[J30]])&lt;&gt;0,AVERAGE(TabREP[[#This Row],[J1]:[J30]]),"")</f>
        <v/>
      </c>
      <c r="AH135" s="49" t="str">
        <f>TabREP[[#This Row],[Moyenne]]</f>
        <v/>
      </c>
      <c r="AI135" s="48"/>
    </row>
    <row r="136" spans="2:35" ht="14.25">
      <c r="B136" s="14" t="str">
        <f>IF(INDEX(TabEntrainement[Seance],ROW()-18)&lt;&gt;0,INDEX(TabEntrainement[Seance],ROW()-18),"")</f>
        <v/>
      </c>
      <c r="C136" s="117"/>
      <c r="D136" s="117"/>
      <c r="E136" s="117"/>
      <c r="F136" s="117"/>
      <c r="G136" s="117"/>
      <c r="H136" s="117"/>
      <c r="I136" s="117"/>
      <c r="J136" s="117"/>
      <c r="K136" s="117"/>
      <c r="L136" s="117"/>
      <c r="M136" s="117"/>
      <c r="N136" s="117"/>
      <c r="O136" s="117"/>
      <c r="P136" s="117"/>
      <c r="Q136" s="117"/>
      <c r="R136" s="117"/>
      <c r="S136" s="117"/>
      <c r="T136" s="117"/>
      <c r="U136" s="117"/>
      <c r="V136" s="117"/>
      <c r="W136" s="117"/>
      <c r="X136" s="117"/>
      <c r="Y136" s="117"/>
      <c r="Z136" s="117"/>
      <c r="AA136" s="117"/>
      <c r="AB136" s="117"/>
      <c r="AC136" s="117"/>
      <c r="AD136" s="117"/>
      <c r="AE136" s="117"/>
      <c r="AF136" s="117"/>
      <c r="AG136" s="160" t="str">
        <f>IF(COUNTA(TabREP[[#This Row],[J1]:[J30]])&lt;&gt;0,AVERAGE(TabREP[[#This Row],[J1]:[J30]]),"")</f>
        <v/>
      </c>
      <c r="AH136" s="49" t="str">
        <f>TabREP[[#This Row],[Moyenne]]</f>
        <v/>
      </c>
      <c r="AI136" s="48"/>
    </row>
    <row r="137" spans="2:35" ht="14.25">
      <c r="B137" s="14" t="str">
        <f>IF(INDEX(TabEntrainement[Seance],ROW()-18)&lt;&gt;0,INDEX(TabEntrainement[Seance],ROW()-18),"")</f>
        <v/>
      </c>
      <c r="C137" s="117"/>
      <c r="D137" s="117"/>
      <c r="E137" s="117"/>
      <c r="F137" s="117"/>
      <c r="G137" s="117"/>
      <c r="H137" s="117"/>
      <c r="I137" s="117"/>
      <c r="J137" s="117"/>
      <c r="K137" s="117"/>
      <c r="L137" s="117"/>
      <c r="M137" s="117"/>
      <c r="N137" s="117"/>
      <c r="O137" s="117"/>
      <c r="P137" s="117"/>
      <c r="Q137" s="117"/>
      <c r="R137" s="117"/>
      <c r="S137" s="117"/>
      <c r="T137" s="117"/>
      <c r="U137" s="117"/>
      <c r="V137" s="117"/>
      <c r="W137" s="117"/>
      <c r="X137" s="117"/>
      <c r="Y137" s="117"/>
      <c r="Z137" s="117"/>
      <c r="AA137" s="117"/>
      <c r="AB137" s="117"/>
      <c r="AC137" s="117"/>
      <c r="AD137" s="117"/>
      <c r="AE137" s="117"/>
      <c r="AF137" s="117"/>
      <c r="AG137" s="160" t="str">
        <f>IF(COUNTA(TabREP[[#This Row],[J1]:[J30]])&lt;&gt;0,AVERAGE(TabREP[[#This Row],[J1]:[J30]]),"")</f>
        <v/>
      </c>
      <c r="AH137" s="49" t="str">
        <f>TabREP[[#This Row],[Moyenne]]</f>
        <v/>
      </c>
      <c r="AI137" s="48"/>
    </row>
    <row r="138" spans="2:35" ht="14.25">
      <c r="B138" s="14" t="str">
        <f>IF(INDEX(TabEntrainement[Seance],ROW()-18)&lt;&gt;0,INDEX(TabEntrainement[Seance],ROW()-18),"")</f>
        <v/>
      </c>
      <c r="C138" s="117"/>
      <c r="D138" s="117"/>
      <c r="E138" s="117"/>
      <c r="F138" s="117"/>
      <c r="G138" s="117"/>
      <c r="H138" s="117"/>
      <c r="I138" s="117"/>
      <c r="J138" s="117"/>
      <c r="K138" s="117"/>
      <c r="L138" s="117"/>
      <c r="M138" s="117"/>
      <c r="N138" s="117"/>
      <c r="O138" s="117"/>
      <c r="P138" s="117"/>
      <c r="Q138" s="117"/>
      <c r="R138" s="117"/>
      <c r="S138" s="117"/>
      <c r="T138" s="117"/>
      <c r="U138" s="117"/>
      <c r="V138" s="117"/>
      <c r="W138" s="117"/>
      <c r="X138" s="117"/>
      <c r="Y138" s="117"/>
      <c r="Z138" s="117"/>
      <c r="AA138" s="117"/>
      <c r="AB138" s="117"/>
      <c r="AC138" s="117"/>
      <c r="AD138" s="117"/>
      <c r="AE138" s="117"/>
      <c r="AF138" s="117"/>
      <c r="AG138" s="160" t="str">
        <f>IF(COUNTA(TabREP[[#This Row],[J1]:[J30]])&lt;&gt;0,AVERAGE(TabREP[[#This Row],[J1]:[J30]]),"")</f>
        <v/>
      </c>
      <c r="AH138" s="49" t="str">
        <f>TabREP[[#This Row],[Moyenne]]</f>
        <v/>
      </c>
      <c r="AI138" s="48"/>
    </row>
    <row r="139" spans="2:35" ht="14.25">
      <c r="B139" s="14" t="str">
        <f>IF(INDEX(TabEntrainement[Seance],ROW()-18)&lt;&gt;0,INDEX(TabEntrainement[Seance],ROW()-18),"")</f>
        <v/>
      </c>
      <c r="C139" s="117"/>
      <c r="D139" s="117"/>
      <c r="E139" s="117"/>
      <c r="F139" s="117"/>
      <c r="G139" s="117"/>
      <c r="H139" s="117"/>
      <c r="I139" s="117"/>
      <c r="J139" s="117"/>
      <c r="K139" s="117"/>
      <c r="L139" s="117"/>
      <c r="M139" s="117"/>
      <c r="N139" s="117"/>
      <c r="O139" s="117"/>
      <c r="P139" s="117"/>
      <c r="Q139" s="117"/>
      <c r="R139" s="117"/>
      <c r="S139" s="117"/>
      <c r="T139" s="117"/>
      <c r="U139" s="117"/>
      <c r="V139" s="117"/>
      <c r="W139" s="117"/>
      <c r="X139" s="117"/>
      <c r="Y139" s="117"/>
      <c r="Z139" s="117"/>
      <c r="AA139" s="117"/>
      <c r="AB139" s="117"/>
      <c r="AC139" s="117"/>
      <c r="AD139" s="117"/>
      <c r="AE139" s="117"/>
      <c r="AF139" s="117"/>
      <c r="AG139" s="160" t="str">
        <f>IF(COUNTA(TabREP[[#This Row],[J1]:[J30]])&lt;&gt;0,AVERAGE(TabREP[[#This Row],[J1]:[J30]]),"")</f>
        <v/>
      </c>
      <c r="AH139" s="49" t="str">
        <f>TabREP[[#This Row],[Moyenne]]</f>
        <v/>
      </c>
      <c r="AI139" s="48"/>
    </row>
    <row r="140" spans="2:35" ht="14.25">
      <c r="B140" s="14" t="str">
        <f>IF(INDEX(TabEntrainement[Seance],ROW()-18)&lt;&gt;0,INDEX(TabEntrainement[Seance],ROW()-18),"")</f>
        <v/>
      </c>
      <c r="C140" s="117"/>
      <c r="D140" s="117"/>
      <c r="E140" s="117"/>
      <c r="F140" s="117"/>
      <c r="G140" s="117"/>
      <c r="H140" s="117"/>
      <c r="I140" s="117"/>
      <c r="J140" s="117"/>
      <c r="K140" s="117"/>
      <c r="L140" s="117"/>
      <c r="M140" s="117"/>
      <c r="N140" s="117"/>
      <c r="O140" s="117"/>
      <c r="P140" s="117"/>
      <c r="Q140" s="117"/>
      <c r="R140" s="117"/>
      <c r="S140" s="117"/>
      <c r="T140" s="117"/>
      <c r="U140" s="117"/>
      <c r="V140" s="117"/>
      <c r="W140" s="117"/>
      <c r="X140" s="117"/>
      <c r="Y140" s="117"/>
      <c r="Z140" s="117"/>
      <c r="AA140" s="117"/>
      <c r="AB140" s="117"/>
      <c r="AC140" s="117"/>
      <c r="AD140" s="117"/>
      <c r="AE140" s="117"/>
      <c r="AF140" s="117"/>
      <c r="AG140" s="160" t="str">
        <f>IF(COUNTA(TabREP[[#This Row],[J1]:[J30]])&lt;&gt;0,AVERAGE(TabREP[[#This Row],[J1]:[J30]]),"")</f>
        <v/>
      </c>
      <c r="AH140" s="49" t="str">
        <f>TabREP[[#This Row],[Moyenne]]</f>
        <v/>
      </c>
      <c r="AI140" s="48"/>
    </row>
    <row r="141" spans="2:35" ht="14.25">
      <c r="B141" s="14" t="str">
        <f>IF(INDEX(TabEntrainement[Seance],ROW()-18)&lt;&gt;0,INDEX(TabEntrainement[Seance],ROW()-18),"")</f>
        <v/>
      </c>
      <c r="C141" s="117"/>
      <c r="D141" s="117"/>
      <c r="E141" s="117"/>
      <c r="F141" s="117"/>
      <c r="G141" s="117"/>
      <c r="H141" s="117"/>
      <c r="I141" s="117"/>
      <c r="J141" s="117"/>
      <c r="K141" s="117"/>
      <c r="L141" s="117"/>
      <c r="M141" s="117"/>
      <c r="N141" s="117"/>
      <c r="O141" s="117"/>
      <c r="P141" s="117"/>
      <c r="Q141" s="117"/>
      <c r="R141" s="117"/>
      <c r="S141" s="117"/>
      <c r="T141" s="117"/>
      <c r="U141" s="117"/>
      <c r="V141" s="117"/>
      <c r="W141" s="117"/>
      <c r="X141" s="117"/>
      <c r="Y141" s="117"/>
      <c r="Z141" s="117"/>
      <c r="AA141" s="117"/>
      <c r="AB141" s="117"/>
      <c r="AC141" s="117"/>
      <c r="AD141" s="117"/>
      <c r="AE141" s="117"/>
      <c r="AF141" s="117"/>
      <c r="AG141" s="160" t="str">
        <f>IF(COUNTA(TabREP[[#This Row],[J1]:[J30]])&lt;&gt;0,AVERAGE(TabREP[[#This Row],[J1]:[J30]]),"")</f>
        <v/>
      </c>
      <c r="AH141" s="49" t="str">
        <f>TabREP[[#This Row],[Moyenne]]</f>
        <v/>
      </c>
      <c r="AI141" s="48"/>
    </row>
    <row r="142" spans="2:35" ht="14.25">
      <c r="B142" s="14" t="str">
        <f>IF(INDEX(TabEntrainement[Seance],ROW()-18)&lt;&gt;0,INDEX(TabEntrainement[Seance],ROW()-18),"")</f>
        <v/>
      </c>
      <c r="C142" s="117"/>
      <c r="D142" s="117"/>
      <c r="E142" s="117"/>
      <c r="F142" s="117"/>
      <c r="G142" s="117"/>
      <c r="H142" s="117"/>
      <c r="I142" s="117"/>
      <c r="J142" s="117"/>
      <c r="K142" s="117"/>
      <c r="L142" s="117"/>
      <c r="M142" s="117"/>
      <c r="N142" s="117"/>
      <c r="O142" s="117"/>
      <c r="P142" s="117"/>
      <c r="Q142" s="117"/>
      <c r="R142" s="117"/>
      <c r="S142" s="117"/>
      <c r="T142" s="117"/>
      <c r="U142" s="117"/>
      <c r="V142" s="117"/>
      <c r="W142" s="117"/>
      <c r="X142" s="117"/>
      <c r="Y142" s="117"/>
      <c r="Z142" s="117"/>
      <c r="AA142" s="117"/>
      <c r="AB142" s="117"/>
      <c r="AC142" s="117"/>
      <c r="AD142" s="117"/>
      <c r="AE142" s="117"/>
      <c r="AF142" s="117"/>
      <c r="AG142" s="160" t="str">
        <f>IF(COUNTA(TabREP[[#This Row],[J1]:[J30]])&lt;&gt;0,AVERAGE(TabREP[[#This Row],[J1]:[J30]]),"")</f>
        <v/>
      </c>
      <c r="AH142" s="49" t="str">
        <f>TabREP[[#This Row],[Moyenne]]</f>
        <v/>
      </c>
      <c r="AI142" s="48"/>
    </row>
    <row r="143" spans="2:35" ht="14.25">
      <c r="B143" s="14" t="str">
        <f>IF(INDEX(TabEntrainement[Seance],ROW()-18)&lt;&gt;0,INDEX(TabEntrainement[Seance],ROW()-18),"")</f>
        <v/>
      </c>
      <c r="C143" s="117"/>
      <c r="D143" s="117"/>
      <c r="E143" s="117"/>
      <c r="F143" s="117"/>
      <c r="G143" s="117"/>
      <c r="H143" s="117"/>
      <c r="I143" s="117"/>
      <c r="J143" s="117"/>
      <c r="K143" s="117"/>
      <c r="L143" s="117"/>
      <c r="M143" s="117"/>
      <c r="N143" s="117"/>
      <c r="O143" s="117"/>
      <c r="P143" s="117"/>
      <c r="Q143" s="117"/>
      <c r="R143" s="117"/>
      <c r="S143" s="117"/>
      <c r="T143" s="117"/>
      <c r="U143" s="117"/>
      <c r="V143" s="117"/>
      <c r="W143" s="117"/>
      <c r="X143" s="117"/>
      <c r="Y143" s="117"/>
      <c r="Z143" s="117"/>
      <c r="AA143" s="117"/>
      <c r="AB143" s="117"/>
      <c r="AC143" s="117"/>
      <c r="AD143" s="117"/>
      <c r="AE143" s="117"/>
      <c r="AF143" s="117"/>
      <c r="AG143" s="160" t="str">
        <f>IF(COUNTA(TabREP[[#This Row],[J1]:[J30]])&lt;&gt;0,AVERAGE(TabREP[[#This Row],[J1]:[J30]]),"")</f>
        <v/>
      </c>
      <c r="AH143" s="49" t="str">
        <f>TabREP[[#This Row],[Moyenne]]</f>
        <v/>
      </c>
      <c r="AI143" s="48"/>
    </row>
    <row r="144" spans="2:35" ht="14.25">
      <c r="B144" s="14" t="str">
        <f>IF(INDEX(TabEntrainement[Seance],ROW()-18)&lt;&gt;0,INDEX(TabEntrainement[Seance],ROW()-18),"")</f>
        <v/>
      </c>
      <c r="C144" s="117"/>
      <c r="D144" s="117"/>
      <c r="E144" s="117"/>
      <c r="F144" s="117"/>
      <c r="G144" s="117"/>
      <c r="H144" s="117"/>
      <c r="I144" s="117"/>
      <c r="J144" s="117"/>
      <c r="K144" s="117"/>
      <c r="L144" s="117"/>
      <c r="M144" s="117"/>
      <c r="N144" s="117"/>
      <c r="O144" s="117"/>
      <c r="P144" s="117"/>
      <c r="Q144" s="117"/>
      <c r="R144" s="117"/>
      <c r="S144" s="117"/>
      <c r="T144" s="117"/>
      <c r="U144" s="117"/>
      <c r="V144" s="117"/>
      <c r="W144" s="117"/>
      <c r="X144" s="117"/>
      <c r="Y144" s="117"/>
      <c r="Z144" s="117"/>
      <c r="AA144" s="117"/>
      <c r="AB144" s="117"/>
      <c r="AC144" s="117"/>
      <c r="AD144" s="117"/>
      <c r="AE144" s="117"/>
      <c r="AF144" s="117"/>
      <c r="AG144" s="160" t="str">
        <f>IF(COUNTA(TabREP[[#This Row],[J1]:[J30]])&lt;&gt;0,AVERAGE(TabREP[[#This Row],[J1]:[J30]]),"")</f>
        <v/>
      </c>
      <c r="AH144" s="49" t="str">
        <f>TabREP[[#This Row],[Moyenne]]</f>
        <v/>
      </c>
      <c r="AI144" s="48"/>
    </row>
    <row r="145" spans="2:36" ht="14.25">
      <c r="B145" s="14" t="str">
        <f>IF(INDEX(TabEntrainement[Seance],ROW()-18)&lt;&gt;0,INDEX(TabEntrainement[Seance],ROW()-18),"")</f>
        <v/>
      </c>
      <c r="C145" s="117"/>
      <c r="D145" s="117"/>
      <c r="E145" s="117"/>
      <c r="F145" s="117"/>
      <c r="G145" s="117"/>
      <c r="H145" s="117"/>
      <c r="I145" s="117"/>
      <c r="J145" s="117"/>
      <c r="K145" s="117"/>
      <c r="L145" s="117"/>
      <c r="M145" s="117"/>
      <c r="N145" s="117"/>
      <c r="O145" s="117"/>
      <c r="P145" s="117"/>
      <c r="Q145" s="117"/>
      <c r="R145" s="117"/>
      <c r="S145" s="117"/>
      <c r="T145" s="117"/>
      <c r="U145" s="117"/>
      <c r="V145" s="117"/>
      <c r="W145" s="117"/>
      <c r="X145" s="117"/>
      <c r="Y145" s="117"/>
      <c r="Z145" s="117"/>
      <c r="AA145" s="117"/>
      <c r="AB145" s="117"/>
      <c r="AC145" s="117"/>
      <c r="AD145" s="117"/>
      <c r="AE145" s="117"/>
      <c r="AF145" s="117"/>
      <c r="AG145" s="160" t="str">
        <f>IF(COUNTA(TabREP[[#This Row],[J1]:[J30]])&lt;&gt;0,AVERAGE(TabREP[[#This Row],[J1]:[J30]]),"")</f>
        <v/>
      </c>
      <c r="AH145" s="49" t="str">
        <f>TabREP[[#This Row],[Moyenne]]</f>
        <v/>
      </c>
      <c r="AI145" s="48"/>
    </row>
    <row r="146" spans="2:36" ht="14.25">
      <c r="B146" s="14" t="str">
        <f>IF(INDEX(TabEntrainement[Seance],ROW()-18)&lt;&gt;0,INDEX(TabEntrainement[Seance],ROW()-18),"")</f>
        <v/>
      </c>
      <c r="C146" s="117"/>
      <c r="D146" s="117"/>
      <c r="E146" s="117"/>
      <c r="F146" s="117"/>
      <c r="G146" s="117"/>
      <c r="H146" s="117"/>
      <c r="I146" s="117"/>
      <c r="J146" s="117"/>
      <c r="K146" s="117"/>
      <c r="L146" s="117"/>
      <c r="M146" s="117"/>
      <c r="N146" s="117"/>
      <c r="O146" s="117"/>
      <c r="P146" s="117"/>
      <c r="Q146" s="117"/>
      <c r="R146" s="117"/>
      <c r="S146" s="117"/>
      <c r="T146" s="117"/>
      <c r="U146" s="117"/>
      <c r="V146" s="117"/>
      <c r="W146" s="117"/>
      <c r="X146" s="117"/>
      <c r="Y146" s="117"/>
      <c r="Z146" s="117"/>
      <c r="AA146" s="117"/>
      <c r="AB146" s="117"/>
      <c r="AC146" s="117"/>
      <c r="AD146" s="117"/>
      <c r="AE146" s="117"/>
      <c r="AF146" s="117"/>
      <c r="AG146" s="160" t="str">
        <f>IF(COUNTA(TabREP[[#This Row],[J1]:[J30]])&lt;&gt;0,AVERAGE(TabREP[[#This Row],[J1]:[J30]]),"")</f>
        <v/>
      </c>
      <c r="AH146" s="49" t="str">
        <f>TabREP[[#This Row],[Moyenne]]</f>
        <v/>
      </c>
      <c r="AI146" s="48"/>
    </row>
    <row r="147" spans="2:36" ht="14.25">
      <c r="B147" s="14" t="str">
        <f>IF(INDEX(TabEntrainement[Seance],ROW()-18)&lt;&gt;0,INDEX(TabEntrainement[Seance],ROW()-18),"")</f>
        <v/>
      </c>
      <c r="C147" s="117"/>
      <c r="D147" s="117"/>
      <c r="E147" s="117"/>
      <c r="F147" s="117"/>
      <c r="G147" s="117"/>
      <c r="H147" s="117"/>
      <c r="I147" s="117"/>
      <c r="J147" s="117"/>
      <c r="K147" s="117"/>
      <c r="L147" s="117"/>
      <c r="M147" s="117"/>
      <c r="N147" s="117"/>
      <c r="O147" s="117"/>
      <c r="P147" s="117"/>
      <c r="Q147" s="117"/>
      <c r="R147" s="117"/>
      <c r="S147" s="117"/>
      <c r="T147" s="117"/>
      <c r="U147" s="117"/>
      <c r="V147" s="117"/>
      <c r="W147" s="117"/>
      <c r="X147" s="117"/>
      <c r="Y147" s="117"/>
      <c r="Z147" s="117"/>
      <c r="AA147" s="117"/>
      <c r="AB147" s="117"/>
      <c r="AC147" s="117"/>
      <c r="AD147" s="117"/>
      <c r="AE147" s="117"/>
      <c r="AF147" s="117"/>
      <c r="AG147" s="160" t="str">
        <f>IF(COUNTA(TabREP[[#This Row],[J1]:[J30]])&lt;&gt;0,AVERAGE(TabREP[[#This Row],[J1]:[J30]]),"")</f>
        <v/>
      </c>
      <c r="AH147" s="49" t="str">
        <f>TabREP[[#This Row],[Moyenne]]</f>
        <v/>
      </c>
      <c r="AI147" s="48"/>
    </row>
    <row r="148" spans="2:36" ht="14.25">
      <c r="B148" s="14" t="str">
        <f>IF(INDEX(TabEntrainement[Seance],ROW()-18)&lt;&gt;0,INDEX(TabEntrainement[Seance],ROW()-18),"")</f>
        <v/>
      </c>
      <c r="C148" s="117"/>
      <c r="D148" s="117"/>
      <c r="E148" s="117"/>
      <c r="F148" s="117"/>
      <c r="G148" s="117"/>
      <c r="H148" s="117"/>
      <c r="I148" s="117"/>
      <c r="J148" s="117"/>
      <c r="K148" s="117"/>
      <c r="L148" s="117"/>
      <c r="M148" s="117"/>
      <c r="N148" s="117"/>
      <c r="O148" s="117"/>
      <c r="P148" s="117"/>
      <c r="Q148" s="117"/>
      <c r="R148" s="117"/>
      <c r="S148" s="117"/>
      <c r="T148" s="117"/>
      <c r="U148" s="117"/>
      <c r="V148" s="117"/>
      <c r="W148" s="117"/>
      <c r="X148" s="117"/>
      <c r="Y148" s="117"/>
      <c r="Z148" s="117"/>
      <c r="AA148" s="117"/>
      <c r="AB148" s="117"/>
      <c r="AC148" s="117"/>
      <c r="AD148" s="117"/>
      <c r="AE148" s="117"/>
      <c r="AF148" s="117"/>
      <c r="AG148" s="160" t="str">
        <f>IF(COUNTA(TabREP[[#This Row],[J1]:[J30]])&lt;&gt;0,AVERAGE(TabREP[[#This Row],[J1]:[J30]]),"")</f>
        <v/>
      </c>
      <c r="AH148" s="49" t="str">
        <f>TabREP[[#This Row],[Moyenne]]</f>
        <v/>
      </c>
      <c r="AI148" s="48"/>
    </row>
    <row r="149" spans="2:36" ht="14.25">
      <c r="B149" s="14" t="str">
        <f>IF(INDEX(TabEntrainement[Seance],ROW()-18)&lt;&gt;0,INDEX(TabEntrainement[Seance],ROW()-18),"")</f>
        <v/>
      </c>
      <c r="C149" s="117"/>
      <c r="D149" s="117"/>
      <c r="E149" s="117"/>
      <c r="F149" s="117"/>
      <c r="G149" s="117"/>
      <c r="H149" s="117"/>
      <c r="I149" s="117"/>
      <c r="J149" s="117"/>
      <c r="K149" s="117"/>
      <c r="L149" s="117"/>
      <c r="M149" s="117"/>
      <c r="N149" s="117"/>
      <c r="O149" s="117"/>
      <c r="P149" s="117"/>
      <c r="Q149" s="117"/>
      <c r="R149" s="117"/>
      <c r="S149" s="117"/>
      <c r="T149" s="117"/>
      <c r="U149" s="117"/>
      <c r="V149" s="117"/>
      <c r="W149" s="117"/>
      <c r="X149" s="117"/>
      <c r="Y149" s="117"/>
      <c r="Z149" s="117"/>
      <c r="AA149" s="117"/>
      <c r="AB149" s="117"/>
      <c r="AC149" s="117"/>
      <c r="AD149" s="117"/>
      <c r="AE149" s="117"/>
      <c r="AF149" s="117"/>
      <c r="AG149" s="160" t="str">
        <f>IF(COUNTA(TabREP[[#This Row],[J1]:[J30]])&lt;&gt;0,AVERAGE(TabREP[[#This Row],[J1]:[J30]]),"")</f>
        <v/>
      </c>
      <c r="AH149" s="49" t="str">
        <f>TabREP[[#This Row],[Moyenne]]</f>
        <v/>
      </c>
      <c r="AI149" s="48"/>
    </row>
    <row r="150" spans="2:36" ht="13.5">
      <c r="B150" s="12"/>
      <c r="C150" s="13">
        <f>SUBTOTAL(101,TabREP[J1])</f>
        <v>4.625</v>
      </c>
      <c r="D150" s="13">
        <f>SUBTOTAL(101,TabREP[J2])</f>
        <v>4.7777777777777777</v>
      </c>
      <c r="E150" s="13">
        <f>SUBTOTAL(101,TabREP[J3])</f>
        <v>4.5882352941176467</v>
      </c>
      <c r="F150" s="13">
        <f>SUBTOTAL(101,TabREP[J4])</f>
        <v>4.7857142857142856</v>
      </c>
      <c r="G150" s="13">
        <f>SUBTOTAL(101,TabREP[J5])</f>
        <v>3.3333333333333335</v>
      </c>
      <c r="H150" s="13">
        <f>SUBTOTAL(101,TabREP[J6])</f>
        <v>3.8888888888888888</v>
      </c>
      <c r="I150" s="13">
        <f>SUBTOTAL(101,TabREP[J7])</f>
        <v>3.7692307692307692</v>
      </c>
      <c r="J150" s="13">
        <f>SUBTOTAL(101,TabREP[J8])</f>
        <v>3.7857142857142856</v>
      </c>
      <c r="K150" s="13">
        <f>SUBTOTAL(101,TabREP[J9])</f>
        <v>5.2</v>
      </c>
      <c r="L150" s="13">
        <f>SUBTOTAL(101,TabREP[J10])</f>
        <v>5</v>
      </c>
      <c r="M150" s="13">
        <f>SUBTOTAL(101,TabREP[J11])</f>
        <v>4.8</v>
      </c>
      <c r="N150" s="13">
        <f>SUBTOTAL(101,TabREP[J12])</f>
        <v>5.4705882352941178</v>
      </c>
      <c r="O150" s="13">
        <f>SUBTOTAL(101,TabREP[J13])</f>
        <v>4.384615384615385</v>
      </c>
      <c r="P150" s="13">
        <f>SUBTOTAL(101,TabREP[J14])</f>
        <v>4.041666666666667</v>
      </c>
      <c r="Q150" s="13">
        <f>SUBTOTAL(101,TabREP[J15])</f>
        <v>4.333333333333333</v>
      </c>
      <c r="R150" s="13">
        <f>SUBTOTAL(101,TabREP[J16])</f>
        <v>4.083333333333333</v>
      </c>
      <c r="S150" s="13">
        <f>SUBTOTAL(101,TabREP[J17])</f>
        <v>5</v>
      </c>
      <c r="T150" s="13">
        <f>SUBTOTAL(101,TabREP[J18])</f>
        <v>4.1428571428571432</v>
      </c>
      <c r="U150" s="13">
        <f>SUBTOTAL(101,TabREP[J19])</f>
        <v>4.5999999999999996</v>
      </c>
      <c r="V150" s="13">
        <f>SUBTOTAL(101,TabREP[J20])</f>
        <v>2.8333333333333335</v>
      </c>
      <c r="W150" s="13">
        <f>SUBTOTAL(101,TabREP[J21])</f>
        <v>4.8571428571428568</v>
      </c>
      <c r="X150" s="13" t="e">
        <f>SUBTOTAL(101,TabREP[J22])</f>
        <v>#DIV/0!</v>
      </c>
      <c r="Y150" s="13" t="e">
        <f>SUBTOTAL(101,TabREP[J23])</f>
        <v>#DIV/0!</v>
      </c>
      <c r="Z150" s="13" t="e">
        <f>SUBTOTAL(101,TabREP[J24])</f>
        <v>#DIV/0!</v>
      </c>
      <c r="AA150" s="13" t="e">
        <f>SUBTOTAL(101,TabREP[J25])</f>
        <v>#DIV/0!</v>
      </c>
      <c r="AB150" s="13" t="e">
        <f>SUBTOTAL(101,TabREP[J26])</f>
        <v>#DIV/0!</v>
      </c>
      <c r="AC150" s="13" t="e">
        <f>SUBTOTAL(101,TabREP[J27])</f>
        <v>#DIV/0!</v>
      </c>
      <c r="AD150" s="13" t="e">
        <f>SUBTOTAL(101,TabREP[J28])</f>
        <v>#DIV/0!</v>
      </c>
      <c r="AE150" s="13" t="e">
        <f>SUBTOTAL(101,TabREP[J29])</f>
        <v>#DIV/0!</v>
      </c>
      <c r="AF150" s="13" t="e">
        <f>SUBTOTAL(101,TabREP[J30])</f>
        <v>#DIV/0!</v>
      </c>
      <c r="AG150" s="24"/>
      <c r="AH150" s="24"/>
      <c r="AI150" s="24"/>
    </row>
    <row r="151" spans="2:36" ht="14.25">
      <c r="B151" s="31"/>
      <c r="C151" s="32"/>
      <c r="D151" s="32"/>
      <c r="E151" s="32"/>
      <c r="F151" s="32"/>
      <c r="G151" s="32"/>
      <c r="H151" s="32"/>
      <c r="I151" s="32"/>
      <c r="J151" s="32"/>
      <c r="K151" s="32"/>
      <c r="L151" s="32"/>
      <c r="M151" s="32"/>
      <c r="N151" s="32"/>
      <c r="O151" s="32"/>
      <c r="P151" s="32"/>
      <c r="Q151" s="32"/>
      <c r="R151" s="32"/>
      <c r="S151" s="32"/>
      <c r="T151" s="32"/>
      <c r="U151" s="32"/>
      <c r="V151" s="32"/>
      <c r="W151" s="32"/>
      <c r="X151" s="32"/>
      <c r="Y151" s="32"/>
      <c r="Z151" s="32"/>
      <c r="AA151" s="32"/>
      <c r="AB151" s="32"/>
      <c r="AC151" s="32"/>
      <c r="AD151" s="32"/>
      <c r="AE151" s="32"/>
      <c r="AF151" s="32"/>
      <c r="AG151" s="32"/>
      <c r="AH151" s="33"/>
      <c r="AI151" s="34"/>
      <c r="AJ151" s="35"/>
    </row>
    <row r="152" spans="2:36" ht="14.25">
      <c r="B152" s="31"/>
      <c r="C152" s="32"/>
      <c r="D152" s="32"/>
      <c r="E152" s="32"/>
      <c r="F152" s="32"/>
      <c r="G152" s="32"/>
      <c r="H152" s="32"/>
      <c r="I152" s="32"/>
      <c r="J152" s="32"/>
      <c r="K152" s="32"/>
      <c r="L152" s="32"/>
      <c r="M152" s="32"/>
      <c r="N152" s="32"/>
      <c r="O152" s="32"/>
      <c r="P152" s="32"/>
      <c r="Q152" s="32"/>
      <c r="R152" s="32"/>
      <c r="S152" s="32"/>
      <c r="T152" s="32"/>
      <c r="U152" s="32"/>
      <c r="V152" s="32"/>
      <c r="W152" s="32"/>
      <c r="X152" s="32"/>
      <c r="Y152" s="32"/>
      <c r="Z152" s="32"/>
      <c r="AA152" s="32"/>
      <c r="AB152" s="32"/>
      <c r="AC152" s="32"/>
      <c r="AD152" s="32"/>
      <c r="AE152" s="32"/>
      <c r="AF152" s="32"/>
      <c r="AG152" s="32"/>
      <c r="AH152" s="33"/>
      <c r="AI152" s="34"/>
      <c r="AJ152" s="35"/>
    </row>
    <row r="153" spans="2:36" ht="14.25">
      <c r="AG153" s="13"/>
      <c r="AH153" s="33"/>
      <c r="AI153" s="24"/>
      <c r="AJ153" s="16"/>
    </row>
  </sheetData>
  <sheetProtection sort="0" autoFilter="0"/>
  <dataValidations count="1">
    <dataValidation type="whole" allowBlank="1" showInputMessage="1" showErrorMessage="1" sqref="C19:AF149" xr:uid="{00000000-0002-0000-0500-000000000000}">
      <formula1>0</formula1>
      <formula2>10</formula2>
    </dataValidation>
  </dataValidations>
  <pageMargins left="0.7" right="0.7" top="0.75" bottom="0.75" header="0.3" footer="0.3"/>
  <pageSetup paperSize="9" orientation="landscape" verticalDpi="0" r:id="rId1"/>
  <ignoredErrors>
    <ignoredError sqref="O19:R37 Z19:AF149 O43:R149 R39 O38:R38 O39:Q39 R40 O40:Q40 O41:R41 O42:R42" calculatedColumn="1"/>
  </ignoredErrors>
  <drawing r:id="rId2"/>
  <legacyDrawing r:id="rId3"/>
  <mc:AlternateContent xmlns:mc="http://schemas.openxmlformats.org/markup-compatibility/2006">
    <mc:Choice Requires="x14">
      <controls>
        <mc:AlternateContent xmlns:mc="http://schemas.openxmlformats.org/markup-compatibility/2006">
          <mc:Choice Requires="x14">
            <control shapeId="6145" r:id="rId4" name="Button 1">
              <controlPr defaultSize="0" print="0" autoFill="0" autoPict="0" macro="[0]!CloseOnglet">
                <anchor moveWithCells="1" sizeWithCells="1">
                  <from>
                    <xdr:col>19</xdr:col>
                    <xdr:colOff>600075</xdr:colOff>
                    <xdr:row>1</xdr:row>
                    <xdr:rowOff>47625</xdr:rowOff>
                  </from>
                  <to>
                    <xdr:col>22</xdr:col>
                    <xdr:colOff>28575</xdr:colOff>
                    <xdr:row>2</xdr:row>
                    <xdr:rowOff>9525</xdr:rowOff>
                  </to>
                </anchor>
              </controlPr>
            </control>
          </mc:Choice>
        </mc:AlternateContent>
      </controls>
    </mc:Choice>
  </mc:AlternateContent>
  <tableParts count="1">
    <tablePart r:id="rId5"/>
  </tableParts>
  <extLst>
    <ext xmlns:x14="http://schemas.microsoft.com/office/spreadsheetml/2009/9/main" uri="{78C0D931-6437-407d-A8EE-F0AAD7539E65}">
      <x14:conditionalFormattings>
        <x14:conditionalFormatting xmlns:xm="http://schemas.microsoft.com/office/excel/2006/main">
          <x14:cfRule type="dataBar" priority="1" id="{31B62CD0-DE3C-BD4C-8B01-E9DCF7F27F0B}">
            <x14:dataBar minLength="0" maxLength="100" gradient="0">
              <x14:cfvo type="num">
                <xm:f>Paramétres!$H$5</xm:f>
              </x14:cfvo>
              <x14:cfvo type="num">
                <xm:f>Paramétres!$H$14</xm:f>
              </x14:cfvo>
              <x14:fillColor theme="1" tint="0.249977111117893"/>
              <x14:negativeFillColor theme="0"/>
              <x14:axisColor rgb="FF000000"/>
            </x14:dataBar>
          </x14:cfRule>
          <xm:sqref>AH19:AH149</xm:sqref>
        </x14:conditionalFormatting>
      </x14:conditionalFormattings>
    </ext>
    <ext xmlns:x14="http://schemas.microsoft.com/office/spreadsheetml/2009/9/main" uri="{05C60535-1F16-4fd2-B633-F4F36F0B64E0}">
      <x14:sparklineGroups xmlns:xm="http://schemas.microsoft.com/office/excel/2006/main">
        <x14:sparklineGroup manualMax="0" manualMin="0" displayEmptyCellsAs="gap" markers="1" high="1" low="1" first="1" last="1" negative="1" xr2:uid="{00000000-0003-0000-0500-000007000000}">
          <x14:colorSeries theme="0" tint="-0.499984740745262"/>
          <x14:colorNegative theme="6"/>
          <x14:colorAxis rgb="FF000000"/>
          <x14:colorMarkers theme="7"/>
          <x14:colorFirst theme="7"/>
          <x14:colorLast theme="7"/>
          <x14:colorHigh theme="7"/>
          <x14:colorLow theme="7"/>
          <x14:sparklines>
            <x14:sparkline>
              <xm:f>RPE!C151:AF151</xm:f>
              <xm:sqref>AH151</xm:sqref>
            </x14:sparkline>
            <x14:sparkline>
              <xm:f>RPE!C152:AF152</xm:f>
              <xm:sqref>AH152</xm:sqref>
            </x14:sparkline>
          </x14:sparklines>
        </x14:sparklineGroup>
        <x14:sparklineGroup manualMax="0" manualMin="0" displayEmptyCellsAs="gap" xr2:uid="{00000000-0003-0000-0500-000008000000}">
          <x14:colorSeries theme="0" tint="-0.14999847407452621"/>
          <x14:colorNegative theme="5"/>
          <x14:colorAxis rgb="FF000000"/>
          <x14:colorMarkers theme="4" tint="-0.499984740745262"/>
          <x14:colorFirst theme="4" tint="0.39997558519241921"/>
          <x14:colorLast theme="4" tint="0.39997558519241921"/>
          <x14:colorHigh theme="4"/>
          <x14:colorLow theme="4"/>
          <x14:sparklines>
            <x14:sparkline>
              <xm:f>RPE!C19:AF19</xm:f>
              <xm:sqref>AI19</xm:sqref>
            </x14:sparkline>
            <x14:sparkline>
              <xm:f>RPE!C20:AF20</xm:f>
              <xm:sqref>AI20</xm:sqref>
            </x14:sparkline>
            <x14:sparkline>
              <xm:f>RPE!C21:AF21</xm:f>
              <xm:sqref>AI21</xm:sqref>
            </x14:sparkline>
            <x14:sparkline>
              <xm:f>RPE!C22:AF22</xm:f>
              <xm:sqref>AI22</xm:sqref>
            </x14:sparkline>
            <x14:sparkline>
              <xm:f>RPE!C23:AF23</xm:f>
              <xm:sqref>AI23</xm:sqref>
            </x14:sparkline>
            <x14:sparkline>
              <xm:f>RPE!C24:AF24</xm:f>
              <xm:sqref>AI24</xm:sqref>
            </x14:sparkline>
            <x14:sparkline>
              <xm:f>RPE!C25:AF25</xm:f>
              <xm:sqref>AI25</xm:sqref>
            </x14:sparkline>
            <x14:sparkline>
              <xm:f>RPE!C26:AF26</xm:f>
              <xm:sqref>AI26</xm:sqref>
            </x14:sparkline>
            <x14:sparkline>
              <xm:f>RPE!C27:AF27</xm:f>
              <xm:sqref>AI27</xm:sqref>
            </x14:sparkline>
            <x14:sparkline>
              <xm:f>RPE!C28:AF28</xm:f>
              <xm:sqref>AI28</xm:sqref>
            </x14:sparkline>
            <x14:sparkline>
              <xm:f>RPE!C29:AF29</xm:f>
              <xm:sqref>AI29</xm:sqref>
            </x14:sparkline>
            <x14:sparkline>
              <xm:f>RPE!C30:AF30</xm:f>
              <xm:sqref>AI30</xm:sqref>
            </x14:sparkline>
            <x14:sparkline>
              <xm:f>RPE!C31:AF31</xm:f>
              <xm:sqref>AI31</xm:sqref>
            </x14:sparkline>
            <x14:sparkline>
              <xm:f>RPE!C32:AF32</xm:f>
              <xm:sqref>AI32</xm:sqref>
            </x14:sparkline>
            <x14:sparkline>
              <xm:f>RPE!C33:AF33</xm:f>
              <xm:sqref>AI33</xm:sqref>
            </x14:sparkline>
            <x14:sparkline>
              <xm:f>RPE!C34:AF34</xm:f>
              <xm:sqref>AI34</xm:sqref>
            </x14:sparkline>
            <x14:sparkline>
              <xm:f>RPE!C35:AF35</xm:f>
              <xm:sqref>AI35</xm:sqref>
            </x14:sparkline>
            <x14:sparkline>
              <xm:f>RPE!C36:AF36</xm:f>
              <xm:sqref>AI36</xm:sqref>
            </x14:sparkline>
            <x14:sparkline>
              <xm:f>RPE!C37:AF37</xm:f>
              <xm:sqref>AI37</xm:sqref>
            </x14:sparkline>
            <x14:sparkline>
              <xm:f>RPE!C38:AF38</xm:f>
              <xm:sqref>AI38</xm:sqref>
            </x14:sparkline>
            <x14:sparkline>
              <xm:f>RPE!C39:AF39</xm:f>
              <xm:sqref>AI39</xm:sqref>
            </x14:sparkline>
            <x14:sparkline>
              <xm:f>RPE!C40:AF40</xm:f>
              <xm:sqref>AI40</xm:sqref>
            </x14:sparkline>
            <x14:sparkline>
              <xm:f>RPE!C41:AF41</xm:f>
              <xm:sqref>AI41</xm:sqref>
            </x14:sparkline>
            <x14:sparkline>
              <xm:f>RPE!C42:AF42</xm:f>
              <xm:sqref>AI42</xm:sqref>
            </x14:sparkline>
            <x14:sparkline>
              <xm:f>RPE!C43:AF43</xm:f>
              <xm:sqref>AI43</xm:sqref>
            </x14:sparkline>
            <x14:sparkline>
              <xm:f>RPE!C44:AF44</xm:f>
              <xm:sqref>AI44</xm:sqref>
            </x14:sparkline>
            <x14:sparkline>
              <xm:f>RPE!C45:AF45</xm:f>
              <xm:sqref>AI45</xm:sqref>
            </x14:sparkline>
            <x14:sparkline>
              <xm:f>RPE!C46:AF46</xm:f>
              <xm:sqref>AI46</xm:sqref>
            </x14:sparkline>
            <x14:sparkline>
              <xm:f>RPE!C47:AF47</xm:f>
              <xm:sqref>AI47</xm:sqref>
            </x14:sparkline>
            <x14:sparkline>
              <xm:f>RPE!C48:AF48</xm:f>
              <xm:sqref>AI48</xm:sqref>
            </x14:sparkline>
            <x14:sparkline>
              <xm:f>RPE!C49:AF49</xm:f>
              <xm:sqref>AI49</xm:sqref>
            </x14:sparkline>
            <x14:sparkline>
              <xm:f>RPE!C50:AF50</xm:f>
              <xm:sqref>AI50</xm:sqref>
            </x14:sparkline>
            <x14:sparkline>
              <xm:f>RPE!C51:AF51</xm:f>
              <xm:sqref>AI51</xm:sqref>
            </x14:sparkline>
            <x14:sparkline>
              <xm:f>RPE!C52:AF52</xm:f>
              <xm:sqref>AI52</xm:sqref>
            </x14:sparkline>
            <x14:sparkline>
              <xm:f>RPE!C53:AF53</xm:f>
              <xm:sqref>AI53</xm:sqref>
            </x14:sparkline>
            <x14:sparkline>
              <xm:f>RPE!C54:AF54</xm:f>
              <xm:sqref>AI54</xm:sqref>
            </x14:sparkline>
            <x14:sparkline>
              <xm:f>RPE!C55:AF55</xm:f>
              <xm:sqref>AI55</xm:sqref>
            </x14:sparkline>
            <x14:sparkline>
              <xm:f>RPE!C56:AF56</xm:f>
              <xm:sqref>AI56</xm:sqref>
            </x14:sparkline>
            <x14:sparkline>
              <xm:f>RPE!C57:AF57</xm:f>
              <xm:sqref>AI57</xm:sqref>
            </x14:sparkline>
            <x14:sparkline>
              <xm:f>RPE!C58:AF58</xm:f>
              <xm:sqref>AI58</xm:sqref>
            </x14:sparkline>
            <x14:sparkline>
              <xm:f>RPE!C59:AF59</xm:f>
              <xm:sqref>AI59</xm:sqref>
            </x14:sparkline>
            <x14:sparkline>
              <xm:f>RPE!C60:AF60</xm:f>
              <xm:sqref>AI60</xm:sqref>
            </x14:sparkline>
            <x14:sparkline>
              <xm:f>RPE!C61:AF61</xm:f>
              <xm:sqref>AI61</xm:sqref>
            </x14:sparkline>
            <x14:sparkline>
              <xm:f>RPE!C62:AF62</xm:f>
              <xm:sqref>AI62</xm:sqref>
            </x14:sparkline>
            <x14:sparkline>
              <xm:f>RPE!C63:AF63</xm:f>
              <xm:sqref>AI63</xm:sqref>
            </x14:sparkline>
            <x14:sparkline>
              <xm:f>RPE!C64:AF64</xm:f>
              <xm:sqref>AI64</xm:sqref>
            </x14:sparkline>
            <x14:sparkline>
              <xm:f>RPE!C65:AF65</xm:f>
              <xm:sqref>AI65</xm:sqref>
            </x14:sparkline>
            <x14:sparkline>
              <xm:f>RPE!C66:AF66</xm:f>
              <xm:sqref>AI66</xm:sqref>
            </x14:sparkline>
            <x14:sparkline>
              <xm:f>RPE!C67:AF67</xm:f>
              <xm:sqref>AI67</xm:sqref>
            </x14:sparkline>
            <x14:sparkline>
              <xm:f>RPE!C68:AF68</xm:f>
              <xm:sqref>AI68</xm:sqref>
            </x14:sparkline>
            <x14:sparkline>
              <xm:f>RPE!C69:AF69</xm:f>
              <xm:sqref>AI69</xm:sqref>
            </x14:sparkline>
            <x14:sparkline>
              <xm:f>RPE!C70:AF70</xm:f>
              <xm:sqref>AI70</xm:sqref>
            </x14:sparkline>
            <x14:sparkline>
              <xm:f>RPE!C71:AF71</xm:f>
              <xm:sqref>AI71</xm:sqref>
            </x14:sparkline>
            <x14:sparkline>
              <xm:f>RPE!C72:AF72</xm:f>
              <xm:sqref>AI72</xm:sqref>
            </x14:sparkline>
            <x14:sparkline>
              <xm:f>RPE!C73:AF73</xm:f>
              <xm:sqref>AI73</xm:sqref>
            </x14:sparkline>
            <x14:sparkline>
              <xm:f>RPE!C74:AF74</xm:f>
              <xm:sqref>AI74</xm:sqref>
            </x14:sparkline>
            <x14:sparkline>
              <xm:f>RPE!C75:AF75</xm:f>
              <xm:sqref>AI75</xm:sqref>
            </x14:sparkline>
            <x14:sparkline>
              <xm:f>RPE!C76:AF76</xm:f>
              <xm:sqref>AI76</xm:sqref>
            </x14:sparkline>
            <x14:sparkline>
              <xm:f>RPE!C77:AF77</xm:f>
              <xm:sqref>AI77</xm:sqref>
            </x14:sparkline>
            <x14:sparkline>
              <xm:f>RPE!C78:AF78</xm:f>
              <xm:sqref>AI78</xm:sqref>
            </x14:sparkline>
            <x14:sparkline>
              <xm:f>RPE!C79:AF79</xm:f>
              <xm:sqref>AI79</xm:sqref>
            </x14:sparkline>
            <x14:sparkline>
              <xm:f>RPE!C80:AF80</xm:f>
              <xm:sqref>AI80</xm:sqref>
            </x14:sparkline>
            <x14:sparkline>
              <xm:f>RPE!C81:AF81</xm:f>
              <xm:sqref>AI81</xm:sqref>
            </x14:sparkline>
            <x14:sparkline>
              <xm:f>RPE!C82:AF82</xm:f>
              <xm:sqref>AI82</xm:sqref>
            </x14:sparkline>
            <x14:sparkline>
              <xm:f>RPE!C83:AF83</xm:f>
              <xm:sqref>AI83</xm:sqref>
            </x14:sparkline>
            <x14:sparkline>
              <xm:f>RPE!C84:AF84</xm:f>
              <xm:sqref>AI84</xm:sqref>
            </x14:sparkline>
            <x14:sparkline>
              <xm:f>RPE!C85:AF85</xm:f>
              <xm:sqref>AI85</xm:sqref>
            </x14:sparkline>
            <x14:sparkline>
              <xm:f>RPE!C86:AF86</xm:f>
              <xm:sqref>AI86</xm:sqref>
            </x14:sparkline>
            <x14:sparkline>
              <xm:f>RPE!C87:AF87</xm:f>
              <xm:sqref>AI87</xm:sqref>
            </x14:sparkline>
            <x14:sparkline>
              <xm:f>RPE!C88:AF88</xm:f>
              <xm:sqref>AI88</xm:sqref>
            </x14:sparkline>
            <x14:sparkline>
              <xm:f>RPE!C89:AF89</xm:f>
              <xm:sqref>AI89</xm:sqref>
            </x14:sparkline>
            <x14:sparkline>
              <xm:f>RPE!C90:AF90</xm:f>
              <xm:sqref>AI90</xm:sqref>
            </x14:sparkline>
            <x14:sparkline>
              <xm:f>RPE!C91:AF91</xm:f>
              <xm:sqref>AI91</xm:sqref>
            </x14:sparkline>
            <x14:sparkline>
              <xm:f>RPE!C92:AF92</xm:f>
              <xm:sqref>AI92</xm:sqref>
            </x14:sparkline>
            <x14:sparkline>
              <xm:f>RPE!C93:AF93</xm:f>
              <xm:sqref>AI93</xm:sqref>
            </x14:sparkline>
            <x14:sparkline>
              <xm:f>RPE!C94:AF94</xm:f>
              <xm:sqref>AI94</xm:sqref>
            </x14:sparkline>
            <x14:sparkline>
              <xm:f>RPE!C95:AF95</xm:f>
              <xm:sqref>AI95</xm:sqref>
            </x14:sparkline>
            <x14:sparkline>
              <xm:f>RPE!C96:AF96</xm:f>
              <xm:sqref>AI96</xm:sqref>
            </x14:sparkline>
            <x14:sparkline>
              <xm:f>RPE!C97:AF97</xm:f>
              <xm:sqref>AI97</xm:sqref>
            </x14:sparkline>
            <x14:sparkline>
              <xm:f>RPE!C98:AF98</xm:f>
              <xm:sqref>AI98</xm:sqref>
            </x14:sparkline>
            <x14:sparkline>
              <xm:f>RPE!C99:AF99</xm:f>
              <xm:sqref>AI99</xm:sqref>
            </x14:sparkline>
            <x14:sparkline>
              <xm:f>RPE!C100:AF100</xm:f>
              <xm:sqref>AI100</xm:sqref>
            </x14:sparkline>
            <x14:sparkline>
              <xm:f>RPE!C101:AF101</xm:f>
              <xm:sqref>AI101</xm:sqref>
            </x14:sparkline>
            <x14:sparkline>
              <xm:f>RPE!C102:AF102</xm:f>
              <xm:sqref>AI102</xm:sqref>
            </x14:sparkline>
            <x14:sparkline>
              <xm:f>RPE!C103:AF103</xm:f>
              <xm:sqref>AI103</xm:sqref>
            </x14:sparkline>
            <x14:sparkline>
              <xm:f>RPE!C104:AF104</xm:f>
              <xm:sqref>AI104</xm:sqref>
            </x14:sparkline>
            <x14:sparkline>
              <xm:f>RPE!C105:AF105</xm:f>
              <xm:sqref>AI105</xm:sqref>
            </x14:sparkline>
            <x14:sparkline>
              <xm:f>RPE!C106:AF106</xm:f>
              <xm:sqref>AI106</xm:sqref>
            </x14:sparkline>
            <x14:sparkline>
              <xm:f>RPE!C107:AF107</xm:f>
              <xm:sqref>AI107</xm:sqref>
            </x14:sparkline>
            <x14:sparkline>
              <xm:f>RPE!C108:AF108</xm:f>
              <xm:sqref>AI108</xm:sqref>
            </x14:sparkline>
            <x14:sparkline>
              <xm:f>RPE!C109:AF109</xm:f>
              <xm:sqref>AI109</xm:sqref>
            </x14:sparkline>
            <x14:sparkline>
              <xm:f>RPE!C110:AF110</xm:f>
              <xm:sqref>AI110</xm:sqref>
            </x14:sparkline>
            <x14:sparkline>
              <xm:f>RPE!C111:AF111</xm:f>
              <xm:sqref>AI111</xm:sqref>
            </x14:sparkline>
            <x14:sparkline>
              <xm:f>RPE!C112:AF112</xm:f>
              <xm:sqref>AI112</xm:sqref>
            </x14:sparkline>
            <x14:sparkline>
              <xm:f>RPE!C113:AF113</xm:f>
              <xm:sqref>AI113</xm:sqref>
            </x14:sparkline>
            <x14:sparkline>
              <xm:f>RPE!C114:AF114</xm:f>
              <xm:sqref>AI114</xm:sqref>
            </x14:sparkline>
            <x14:sparkline>
              <xm:f>RPE!C115:AF115</xm:f>
              <xm:sqref>AI115</xm:sqref>
            </x14:sparkline>
            <x14:sparkline>
              <xm:f>RPE!C116:AF116</xm:f>
              <xm:sqref>AI116</xm:sqref>
            </x14:sparkline>
            <x14:sparkline>
              <xm:f>RPE!C117:AF117</xm:f>
              <xm:sqref>AI117</xm:sqref>
            </x14:sparkline>
            <x14:sparkline>
              <xm:f>RPE!C118:AF118</xm:f>
              <xm:sqref>AI118</xm:sqref>
            </x14:sparkline>
            <x14:sparkline>
              <xm:f>RPE!C119:AF119</xm:f>
              <xm:sqref>AI119</xm:sqref>
            </x14:sparkline>
            <x14:sparkline>
              <xm:f>RPE!C120:AF120</xm:f>
              <xm:sqref>AI120</xm:sqref>
            </x14:sparkline>
            <x14:sparkline>
              <xm:f>RPE!C121:AF121</xm:f>
              <xm:sqref>AI121</xm:sqref>
            </x14:sparkline>
            <x14:sparkline>
              <xm:f>RPE!C122:AF122</xm:f>
              <xm:sqref>AI122</xm:sqref>
            </x14:sparkline>
            <x14:sparkline>
              <xm:f>RPE!C123:AF123</xm:f>
              <xm:sqref>AI123</xm:sqref>
            </x14:sparkline>
            <x14:sparkline>
              <xm:f>RPE!C124:AF124</xm:f>
              <xm:sqref>AI124</xm:sqref>
            </x14:sparkline>
            <x14:sparkline>
              <xm:f>RPE!C125:AF125</xm:f>
              <xm:sqref>AI125</xm:sqref>
            </x14:sparkline>
            <x14:sparkline>
              <xm:f>RPE!C126:AF126</xm:f>
              <xm:sqref>AI126</xm:sqref>
            </x14:sparkline>
            <x14:sparkline>
              <xm:f>RPE!C127:AF127</xm:f>
              <xm:sqref>AI127</xm:sqref>
            </x14:sparkline>
            <x14:sparkline>
              <xm:f>RPE!C128:AF128</xm:f>
              <xm:sqref>AI128</xm:sqref>
            </x14:sparkline>
            <x14:sparkline>
              <xm:f>RPE!C129:AF129</xm:f>
              <xm:sqref>AI129</xm:sqref>
            </x14:sparkline>
            <x14:sparkline>
              <xm:f>RPE!C130:AF130</xm:f>
              <xm:sqref>AI130</xm:sqref>
            </x14:sparkline>
            <x14:sparkline>
              <xm:f>RPE!C131:AF131</xm:f>
              <xm:sqref>AI131</xm:sqref>
            </x14:sparkline>
            <x14:sparkline>
              <xm:f>RPE!C132:AF132</xm:f>
              <xm:sqref>AI132</xm:sqref>
            </x14:sparkline>
            <x14:sparkline>
              <xm:f>RPE!C133:AF133</xm:f>
              <xm:sqref>AI133</xm:sqref>
            </x14:sparkline>
            <x14:sparkline>
              <xm:f>RPE!C134:AF134</xm:f>
              <xm:sqref>AI134</xm:sqref>
            </x14:sparkline>
            <x14:sparkline>
              <xm:f>RPE!C135:AF135</xm:f>
              <xm:sqref>AI135</xm:sqref>
            </x14:sparkline>
            <x14:sparkline>
              <xm:f>RPE!C136:AF136</xm:f>
              <xm:sqref>AI136</xm:sqref>
            </x14:sparkline>
            <x14:sparkline>
              <xm:f>RPE!C137:AF137</xm:f>
              <xm:sqref>AI137</xm:sqref>
            </x14:sparkline>
            <x14:sparkline>
              <xm:f>RPE!C138:AF138</xm:f>
              <xm:sqref>AI138</xm:sqref>
            </x14:sparkline>
            <x14:sparkline>
              <xm:f>RPE!C139:AF139</xm:f>
              <xm:sqref>AI139</xm:sqref>
            </x14:sparkline>
            <x14:sparkline>
              <xm:f>RPE!C140:AF140</xm:f>
              <xm:sqref>AI140</xm:sqref>
            </x14:sparkline>
            <x14:sparkline>
              <xm:f>RPE!C141:AF141</xm:f>
              <xm:sqref>AI141</xm:sqref>
            </x14:sparkline>
            <x14:sparkline>
              <xm:f>RPE!C142:AF142</xm:f>
              <xm:sqref>AI142</xm:sqref>
            </x14:sparkline>
            <x14:sparkline>
              <xm:f>RPE!C143:AF143</xm:f>
              <xm:sqref>AI143</xm:sqref>
            </x14:sparkline>
            <x14:sparkline>
              <xm:f>RPE!C144:AF144</xm:f>
              <xm:sqref>AI144</xm:sqref>
            </x14:sparkline>
            <x14:sparkline>
              <xm:f>RPE!C145:AF145</xm:f>
              <xm:sqref>AI145</xm:sqref>
            </x14:sparkline>
            <x14:sparkline>
              <xm:f>RPE!C146:AF146</xm:f>
              <xm:sqref>AI146</xm:sqref>
            </x14:sparkline>
            <x14:sparkline>
              <xm:f>RPE!C147:AF147</xm:f>
              <xm:sqref>AI147</xm:sqref>
            </x14:sparkline>
            <x14:sparkline>
              <xm:f>RPE!C148:AF148</xm:f>
              <xm:sqref>AI148</xm:sqref>
            </x14:sparkline>
            <x14:sparkline>
              <xm:f>RPE!C149:AF149</xm:f>
              <xm:sqref>AI149</xm:sqref>
            </x14:sparkline>
          </x14:sparklines>
        </x14:sparklineGroup>
      </x14:sparklineGroups>
    </ext>
  </extLst>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627D964-0589-4092-AFC3-1975D8B6B554}">
  <sheetPr codeName="Feuil26">
    <tabColor theme="6"/>
  </sheetPr>
  <dimension ref="B2:AG141"/>
  <sheetViews>
    <sheetView showGridLines="0" workbookViewId="0">
      <selection activeCell="E30" sqref="E30"/>
    </sheetView>
  </sheetViews>
  <sheetFormatPr baseColWidth="10" defaultRowHeight="12.75"/>
  <cols>
    <col min="1" max="1" width="3.140625" customWidth="1"/>
    <col min="2" max="2" width="11.140625" bestFit="1" customWidth="1"/>
  </cols>
  <sheetData>
    <row r="2" spans="2:32" ht="31.5">
      <c r="B2" s="373" t="s">
        <v>470</v>
      </c>
      <c r="T2" s="28"/>
    </row>
    <row r="4" spans="2:32" ht="27.95" customHeight="1">
      <c r="C4" s="90" t="str">
        <f ca="1">INDIRECT("'BDD - Joueurs'!B2")</f>
        <v>ADDA Matteo</v>
      </c>
      <c r="D4" s="90" t="str">
        <f ca="1">INDIRECT("'BDD - Joueurs'!B3")</f>
        <v>ALFONSO Joao</v>
      </c>
      <c r="E4" s="90" t="str">
        <f ca="1">INDIRECT("'BDD - Joueurs'!B4")</f>
        <v>BERDAH Matis</v>
      </c>
      <c r="F4" s="90" t="str">
        <f ca="1">INDIRECT("'BDD - Joueurs'!B5")</f>
        <v>CAMARA Bandiougou</v>
      </c>
      <c r="G4" s="90" t="str">
        <f ca="1">INDIRECT("'BDD - Joueurs'!B6")</f>
        <v>CAMARA Moussa</v>
      </c>
      <c r="H4" s="90" t="str">
        <f ca="1">INDIRECT("'BDD - Joueurs'!B7")</f>
        <v>CARREAU Ethan</v>
      </c>
      <c r="I4" s="90" t="str">
        <f ca="1">INDIRECT("'BDD - Joueurs'!B8")</f>
        <v>CHEROD Alexis</v>
      </c>
      <c r="J4" s="90" t="str">
        <f ca="1">INDIRECT("'BDD - Joueurs'!B9")</f>
        <v>DJEHICHE Ramzi</v>
      </c>
      <c r="K4" s="90" t="str">
        <f ca="1">INDIRECT("'BDD - Joueurs'!B10")</f>
        <v>DOSIERE Baptiste</v>
      </c>
      <c r="L4" s="90" t="str">
        <f ca="1">INDIRECT("'BDD - Joueurs'!B11")</f>
        <v>DUQUENOY Thomas</v>
      </c>
      <c r="M4" s="90" t="str">
        <f ca="1">INDIRECT("'BDD - Joueurs'!B12")</f>
        <v>KIPRE Jordan</v>
      </c>
      <c r="N4" s="90" t="str">
        <f ca="1">INDIRECT("'BDD - Joueurs'!B13")</f>
        <v>KONATE Mamadou</v>
      </c>
      <c r="O4" s="90" t="str">
        <f ca="1">INDIRECT("'BDD - Joueurs'!B14")</f>
        <v>LECOUFFE Hugo</v>
      </c>
      <c r="P4" s="90" t="str">
        <f ca="1">INDIRECT("'BDD - Joueurs'!B15")</f>
        <v>LEFRANC Nathan</v>
      </c>
      <c r="Q4" s="90" t="str">
        <f ca="1">INDIRECT("'BDD - Joueurs'!B16")</f>
        <v>MASSOUSSI Elie</v>
      </c>
      <c r="R4" s="90" t="str">
        <f ca="1">INDIRECT("'BDD - Joueurs'!B17")</f>
        <v>NGOUABI Yoann</v>
      </c>
      <c r="S4" s="90" t="str">
        <f ca="1">INDIRECT("'BDD - Joueurs'!B18")</f>
        <v>PLANET Mathis</v>
      </c>
      <c r="T4" s="90" t="str">
        <f ca="1">INDIRECT("'BDD - Joueurs'!B19")</f>
        <v>PRONNIER Nicolas</v>
      </c>
      <c r="U4" s="90" t="str">
        <f ca="1">INDIRECT("'BDD - Joueurs'!B20")</f>
        <v>STIOUET Reda</v>
      </c>
      <c r="V4" s="90" t="str">
        <f ca="1">INDIRECT("'BDD - Joueurs'!B21")</f>
        <v>ZERDEB Said</v>
      </c>
      <c r="W4" s="90" t="str">
        <f ca="1">INDIRECT("'BDD - Joueurs'!B22")</f>
        <v>OSSENI Farouk</v>
      </c>
      <c r="X4" s="90">
        <f ca="1">INDIRECT("'BDD - Joueurs'!B23")</f>
        <v>0</v>
      </c>
      <c r="Y4" s="90">
        <f ca="1">INDIRECT("'BDD - Joueurs'!B24")</f>
        <v>0</v>
      </c>
      <c r="Z4" s="90">
        <f ca="1">INDIRECT("'BDD - Joueurs'!B25")</f>
        <v>0</v>
      </c>
      <c r="AA4" s="90">
        <f ca="1">INDIRECT("'BDD - Joueurs'!B26")</f>
        <v>0</v>
      </c>
      <c r="AB4" s="90">
        <f ca="1">INDIRECT("'BDD - Joueurs'!B27")</f>
        <v>0</v>
      </c>
      <c r="AC4" s="90">
        <f ca="1">INDIRECT("'BDD - Joueurs'!B28")</f>
        <v>0</v>
      </c>
      <c r="AD4" s="90">
        <f ca="1">INDIRECT("'BDD - Joueurs'!B29")</f>
        <v>0</v>
      </c>
      <c r="AE4" s="90">
        <f ca="1">INDIRECT("'BDD - Joueurs'!B30")</f>
        <v>0</v>
      </c>
      <c r="AF4" s="90">
        <f ca="1">INDIRECT("'BDD - Joueurs'!B31")</f>
        <v>0</v>
      </c>
    </row>
    <row r="6" spans="2:32" ht="14.25">
      <c r="B6" s="37" t="s">
        <v>75</v>
      </c>
      <c r="C6" s="23" t="s">
        <v>16</v>
      </c>
      <c r="D6" s="38" t="s">
        <v>4</v>
      </c>
      <c r="E6" s="23" t="s">
        <v>19</v>
      </c>
      <c r="F6" s="38" t="s">
        <v>20</v>
      </c>
      <c r="G6" s="23" t="s">
        <v>21</v>
      </c>
      <c r="H6" s="38" t="s">
        <v>22</v>
      </c>
      <c r="I6" s="23" t="s">
        <v>23</v>
      </c>
      <c r="J6" s="38" t="s">
        <v>24</v>
      </c>
      <c r="K6" s="23" t="s">
        <v>25</v>
      </c>
      <c r="L6" s="23" t="s">
        <v>26</v>
      </c>
      <c r="M6" s="23" t="s">
        <v>27</v>
      </c>
      <c r="N6" s="38" t="s">
        <v>28</v>
      </c>
      <c r="O6" s="39" t="s">
        <v>45</v>
      </c>
      <c r="P6" s="4" t="s">
        <v>46</v>
      </c>
      <c r="Q6" s="39" t="s">
        <v>47</v>
      </c>
      <c r="R6" s="4" t="s">
        <v>48</v>
      </c>
      <c r="S6" s="3" t="s">
        <v>49</v>
      </c>
      <c r="T6" s="4" t="s">
        <v>50</v>
      </c>
      <c r="U6" s="3" t="s">
        <v>51</v>
      </c>
      <c r="V6" s="4" t="s">
        <v>52</v>
      </c>
      <c r="W6" s="3" t="s">
        <v>53</v>
      </c>
      <c r="X6" s="4" t="s">
        <v>54</v>
      </c>
      <c r="Y6" s="3" t="s">
        <v>55</v>
      </c>
      <c r="Z6" s="4" t="s">
        <v>56</v>
      </c>
      <c r="AA6" s="3" t="s">
        <v>57</v>
      </c>
      <c r="AB6" s="4" t="s">
        <v>58</v>
      </c>
      <c r="AC6" s="3" t="s">
        <v>59</v>
      </c>
      <c r="AD6" s="4" t="s">
        <v>60</v>
      </c>
      <c r="AE6" s="3" t="s">
        <v>61</v>
      </c>
      <c r="AF6" s="4" t="s">
        <v>62</v>
      </c>
    </row>
    <row r="7" spans="2:32" ht="14.25">
      <c r="B7" s="372">
        <f>IF(TabEntrainement[[#This Row],[Seance]]="","",TabEntrainement[[#This Row],[Seance]])</f>
        <v>43318</v>
      </c>
      <c r="C7" s="117"/>
      <c r="D7" s="117"/>
      <c r="E7" s="117"/>
      <c r="F7" s="117"/>
      <c r="G7" s="117"/>
      <c r="H7" s="117"/>
      <c r="I7" s="117"/>
      <c r="J7" s="117"/>
      <c r="K7" s="117"/>
      <c r="L7" s="117"/>
      <c r="M7" s="117"/>
      <c r="N7" s="117"/>
      <c r="O7" s="117"/>
      <c r="P7" s="117"/>
      <c r="Q7" s="117"/>
      <c r="R7" s="117"/>
      <c r="S7" s="117"/>
      <c r="T7" s="117"/>
      <c r="U7" s="117"/>
      <c r="V7" s="117"/>
      <c r="W7" s="117"/>
      <c r="X7" s="117"/>
      <c r="Y7" s="117"/>
      <c r="Z7" s="117"/>
      <c r="AA7" s="117"/>
      <c r="AB7" s="117"/>
      <c r="AC7" s="117"/>
      <c r="AD7" s="117"/>
      <c r="AE7" s="117"/>
      <c r="AF7" s="117"/>
    </row>
    <row r="8" spans="2:32" ht="14.25">
      <c r="B8" s="372">
        <f>IF(TabEntrainement[[#This Row],[Seance]]="","",TabEntrainement[[#This Row],[Seance]])</f>
        <v>43319</v>
      </c>
      <c r="C8" s="117"/>
      <c r="D8" s="117"/>
      <c r="E8" s="117"/>
      <c r="F8" s="117"/>
      <c r="G8" s="117"/>
      <c r="H8" s="117"/>
      <c r="I8" s="117"/>
      <c r="J8" s="117"/>
      <c r="K8" s="117"/>
      <c r="L8" s="117"/>
      <c r="M8" s="117"/>
      <c r="N8" s="117"/>
      <c r="O8" s="117"/>
      <c r="P8" s="117"/>
      <c r="Q8" s="117"/>
      <c r="R8" s="117"/>
      <c r="S8" s="117"/>
      <c r="T8" s="117"/>
      <c r="U8" s="117"/>
      <c r="V8" s="117"/>
      <c r="W8" s="117"/>
      <c r="X8" s="117"/>
      <c r="Y8" s="117"/>
      <c r="Z8" s="117"/>
      <c r="AA8" s="117"/>
      <c r="AB8" s="117"/>
      <c r="AC8" s="117"/>
      <c r="AD8" s="117"/>
      <c r="AE8" s="117"/>
      <c r="AF8" s="117"/>
    </row>
    <row r="9" spans="2:32" ht="14.25">
      <c r="B9" s="372">
        <f>IF(TabEntrainement[[#This Row],[Seance]]="","",TabEntrainement[[#This Row],[Seance]])</f>
        <v>43321</v>
      </c>
      <c r="C9" s="117"/>
      <c r="D9" s="117"/>
      <c r="E9" s="117"/>
      <c r="F9" s="117"/>
      <c r="G9" s="117"/>
      <c r="H9" s="117"/>
      <c r="I9" s="117"/>
      <c r="J9" s="117"/>
      <c r="K9" s="117"/>
      <c r="L9" s="117"/>
      <c r="M9" s="117"/>
      <c r="N9" s="117"/>
      <c r="O9" s="117"/>
      <c r="P9" s="117"/>
      <c r="Q9" s="117"/>
      <c r="R9" s="117"/>
      <c r="S9" s="117"/>
      <c r="T9" s="117"/>
      <c r="U9" s="117"/>
      <c r="V9" s="117"/>
      <c r="W9" s="117"/>
      <c r="X9" s="117"/>
      <c r="Y9" s="117"/>
      <c r="Z9" s="117"/>
      <c r="AA9" s="117"/>
      <c r="AB9" s="117"/>
      <c r="AC9" s="117"/>
      <c r="AD9" s="117"/>
      <c r="AE9" s="117"/>
      <c r="AF9" s="117"/>
    </row>
    <row r="10" spans="2:32" ht="14.25">
      <c r="B10" s="372">
        <f>IF(TabEntrainement[[#This Row],[Seance]]="","",TabEntrainement[[#This Row],[Seance]])</f>
        <v>43322</v>
      </c>
      <c r="C10" s="117"/>
      <c r="D10" s="117"/>
      <c r="E10" s="117"/>
      <c r="F10" s="117"/>
      <c r="G10" s="117"/>
      <c r="H10" s="117"/>
      <c r="I10" s="117"/>
      <c r="J10" s="117"/>
      <c r="K10" s="117"/>
      <c r="L10" s="117"/>
      <c r="M10" s="117"/>
      <c r="N10" s="117"/>
      <c r="O10" s="117"/>
      <c r="P10" s="117"/>
      <c r="Q10" s="117"/>
      <c r="R10" s="117"/>
      <c r="S10" s="117"/>
      <c r="T10" s="117"/>
      <c r="U10" s="117"/>
      <c r="V10" s="117"/>
      <c r="W10" s="117"/>
      <c r="X10" s="117"/>
      <c r="Y10" s="117"/>
      <c r="Z10" s="117"/>
      <c r="AA10" s="117"/>
      <c r="AB10" s="117"/>
      <c r="AC10" s="117"/>
      <c r="AD10" s="117"/>
      <c r="AE10" s="117"/>
      <c r="AF10" s="117"/>
    </row>
    <row r="11" spans="2:32" ht="14.25">
      <c r="B11" s="372">
        <f>IF(TabEntrainement[[#This Row],[Seance]]="","",TabEntrainement[[#This Row],[Seance]])</f>
        <v>43325</v>
      </c>
      <c r="C11" s="117"/>
      <c r="D11" s="117"/>
      <c r="E11" s="117"/>
      <c r="F11" s="117"/>
      <c r="G11" s="117"/>
      <c r="H11" s="117"/>
      <c r="I11" s="117"/>
      <c r="J11" s="117"/>
      <c r="K11" s="117"/>
      <c r="L11" s="117"/>
      <c r="M11" s="117"/>
      <c r="N11" s="117"/>
      <c r="O11" s="117"/>
      <c r="P11" s="117"/>
      <c r="Q11" s="117"/>
      <c r="R11" s="117"/>
      <c r="S11" s="117"/>
      <c r="T11" s="117"/>
      <c r="U11" s="117"/>
      <c r="V11" s="117"/>
      <c r="W11" s="117"/>
      <c r="X11" s="117"/>
      <c r="Y11" s="117"/>
      <c r="Z11" s="117"/>
      <c r="AA11" s="117"/>
      <c r="AB11" s="117"/>
      <c r="AC11" s="117"/>
      <c r="AD11" s="117"/>
      <c r="AE11" s="117"/>
      <c r="AF11" s="117"/>
    </row>
    <row r="12" spans="2:32" ht="14.25">
      <c r="B12" s="372">
        <f>IF(TabEntrainement[[#This Row],[Seance]]="","",TabEntrainement[[#This Row],[Seance]])</f>
        <v>43326</v>
      </c>
      <c r="C12" s="117"/>
      <c r="D12" s="117"/>
      <c r="E12" s="117"/>
      <c r="F12" s="117"/>
      <c r="G12" s="117"/>
      <c r="H12" s="117"/>
      <c r="I12" s="117"/>
      <c r="J12" s="117"/>
      <c r="K12" s="117"/>
      <c r="L12" s="117"/>
      <c r="M12" s="117"/>
      <c r="N12" s="117"/>
      <c r="O12" s="117"/>
      <c r="P12" s="117"/>
      <c r="Q12" s="117"/>
      <c r="R12" s="117"/>
      <c r="S12" s="117"/>
      <c r="T12" s="117"/>
      <c r="U12" s="117"/>
      <c r="V12" s="117"/>
      <c r="W12" s="117"/>
      <c r="X12" s="117"/>
      <c r="Y12" s="117"/>
      <c r="Z12" s="117"/>
      <c r="AA12" s="117"/>
      <c r="AB12" s="117"/>
      <c r="AC12" s="117"/>
      <c r="AD12" s="117"/>
      <c r="AE12" s="117"/>
      <c r="AF12" s="117"/>
    </row>
    <row r="13" spans="2:32" ht="14.25">
      <c r="B13" s="372">
        <f>IF(TabEntrainement[[#This Row],[Seance]]="","",TabEntrainement[[#This Row],[Seance]])</f>
        <v>43327</v>
      </c>
      <c r="C13" s="117"/>
      <c r="D13" s="117"/>
      <c r="E13" s="117"/>
      <c r="F13" s="117"/>
      <c r="G13" s="117"/>
      <c r="H13" s="117"/>
      <c r="I13" s="117"/>
      <c r="J13" s="117"/>
      <c r="K13" s="117"/>
      <c r="L13" s="117"/>
      <c r="M13" s="117"/>
      <c r="N13" s="117"/>
      <c r="O13" s="117"/>
      <c r="P13" s="117"/>
      <c r="Q13" s="117"/>
      <c r="R13" s="117"/>
      <c r="S13" s="117"/>
      <c r="T13" s="117"/>
      <c r="U13" s="117"/>
      <c r="V13" s="117"/>
      <c r="W13" s="117"/>
      <c r="X13" s="117"/>
      <c r="Y13" s="117"/>
      <c r="Z13" s="117"/>
      <c r="AA13" s="117"/>
      <c r="AB13" s="117"/>
      <c r="AC13" s="117"/>
      <c r="AD13" s="117"/>
      <c r="AE13" s="117"/>
      <c r="AF13" s="117"/>
    </row>
    <row r="14" spans="2:32" ht="14.25">
      <c r="B14" s="372">
        <f>IF(TabEntrainement[[#This Row],[Seance]]="","",TabEntrainement[[#This Row],[Seance]])</f>
        <v>43328</v>
      </c>
      <c r="C14" s="117"/>
      <c r="D14" s="117"/>
      <c r="E14" s="117"/>
      <c r="F14" s="117"/>
      <c r="G14" s="117"/>
      <c r="H14" s="117"/>
      <c r="I14" s="117"/>
      <c r="J14" s="117"/>
      <c r="K14" s="117"/>
      <c r="L14" s="117"/>
      <c r="M14" s="117"/>
      <c r="N14" s="117"/>
      <c r="O14" s="117"/>
      <c r="P14" s="117"/>
      <c r="Q14" s="117"/>
      <c r="R14" s="117"/>
      <c r="S14" s="117"/>
      <c r="T14" s="117"/>
      <c r="U14" s="117"/>
      <c r="V14" s="117"/>
      <c r="W14" s="117"/>
      <c r="X14" s="117"/>
      <c r="Y14" s="117"/>
      <c r="Z14" s="117"/>
      <c r="AA14" s="117"/>
      <c r="AB14" s="117"/>
      <c r="AC14" s="117"/>
      <c r="AD14" s="117"/>
      <c r="AE14" s="117"/>
      <c r="AF14" s="117"/>
    </row>
    <row r="15" spans="2:32" ht="14.25">
      <c r="B15" s="372">
        <f>IF(TabEntrainement[[#This Row],[Seance]]="","",TabEntrainement[[#This Row],[Seance]])</f>
        <v>43329</v>
      </c>
      <c r="C15" s="117"/>
      <c r="D15" s="117"/>
      <c r="E15" s="117"/>
      <c r="F15" s="117"/>
      <c r="G15" s="117"/>
      <c r="H15" s="117"/>
      <c r="I15" s="117"/>
      <c r="J15" s="117"/>
      <c r="K15" s="117"/>
      <c r="L15" s="117"/>
      <c r="M15" s="117"/>
      <c r="N15" s="117"/>
      <c r="O15" s="117"/>
      <c r="P15" s="117"/>
      <c r="Q15" s="117"/>
      <c r="R15" s="117"/>
      <c r="S15" s="117"/>
      <c r="T15" s="117"/>
      <c r="U15" s="117"/>
      <c r="V15" s="117"/>
      <c r="W15" s="117"/>
      <c r="X15" s="117"/>
      <c r="Y15" s="117"/>
      <c r="Z15" s="117"/>
      <c r="AA15" s="117"/>
      <c r="AB15" s="117"/>
      <c r="AC15" s="117"/>
      <c r="AD15" s="117"/>
      <c r="AE15" s="117"/>
      <c r="AF15" s="117"/>
    </row>
    <row r="16" spans="2:32" ht="14.25">
      <c r="B16" s="372">
        <f>IF(TabEntrainement[[#This Row],[Seance]]="","",TabEntrainement[[#This Row],[Seance]])</f>
        <v>43330</v>
      </c>
      <c r="C16" s="117"/>
      <c r="D16" s="117"/>
      <c r="E16" s="117"/>
      <c r="F16" s="117"/>
      <c r="G16" s="117"/>
      <c r="H16" s="117"/>
      <c r="I16" s="117"/>
      <c r="J16" s="117"/>
      <c r="K16" s="117"/>
      <c r="L16" s="117"/>
      <c r="M16" s="117"/>
      <c r="N16" s="117"/>
      <c r="O16" s="117"/>
      <c r="P16" s="117"/>
      <c r="Q16" s="117"/>
      <c r="R16" s="117"/>
      <c r="S16" s="117"/>
      <c r="T16" s="117"/>
      <c r="U16" s="117"/>
      <c r="V16" s="117"/>
      <c r="W16" s="117"/>
      <c r="X16" s="117"/>
      <c r="Y16" s="117"/>
      <c r="Z16" s="117"/>
      <c r="AA16" s="117"/>
      <c r="AB16" s="117"/>
      <c r="AC16" s="117"/>
      <c r="AD16" s="117"/>
      <c r="AE16" s="117"/>
      <c r="AF16" s="117"/>
    </row>
    <row r="17" spans="2:32" ht="14.25">
      <c r="B17" s="372">
        <f>IF(TabEntrainement[[#This Row],[Seance]]="","",TabEntrainement[[#This Row],[Seance]])</f>
        <v>43332</v>
      </c>
      <c r="C17" s="117"/>
      <c r="D17" s="117"/>
      <c r="E17" s="117"/>
      <c r="F17" s="117"/>
      <c r="G17" s="117"/>
      <c r="H17" s="117"/>
      <c r="I17" s="117"/>
      <c r="J17" s="117"/>
      <c r="K17" s="117"/>
      <c r="L17" s="117"/>
      <c r="M17" s="117"/>
      <c r="N17" s="117"/>
      <c r="O17" s="117"/>
      <c r="P17" s="117"/>
      <c r="Q17" s="117"/>
      <c r="R17" s="117"/>
      <c r="S17" s="117"/>
      <c r="T17" s="117"/>
      <c r="U17" s="117"/>
      <c r="V17" s="117"/>
      <c r="W17" s="117"/>
      <c r="X17" s="117"/>
      <c r="Y17" s="117"/>
      <c r="Z17" s="117"/>
      <c r="AA17" s="117"/>
      <c r="AB17" s="117"/>
      <c r="AC17" s="117"/>
      <c r="AD17" s="117"/>
      <c r="AE17" s="117"/>
      <c r="AF17" s="117"/>
    </row>
    <row r="18" spans="2:32" ht="14.25">
      <c r="B18" s="372">
        <f>IF(TabEntrainement[[#This Row],[Seance]]="","",TabEntrainement[[#This Row],[Seance]])</f>
        <v>43333</v>
      </c>
      <c r="C18" s="117"/>
      <c r="D18" s="117"/>
      <c r="E18" s="117"/>
      <c r="F18" s="117"/>
      <c r="G18" s="117"/>
      <c r="H18" s="117"/>
      <c r="I18" s="117"/>
      <c r="J18" s="117"/>
      <c r="K18" s="117"/>
      <c r="L18" s="117"/>
      <c r="M18" s="117"/>
      <c r="N18" s="117"/>
      <c r="O18" s="117"/>
      <c r="P18" s="117"/>
      <c r="Q18" s="117"/>
      <c r="R18" s="117"/>
      <c r="S18" s="117"/>
      <c r="T18" s="117"/>
      <c r="U18" s="117"/>
      <c r="V18" s="117"/>
      <c r="W18" s="117"/>
      <c r="X18" s="117"/>
      <c r="Y18" s="117"/>
      <c r="Z18" s="117"/>
      <c r="AA18" s="117"/>
      <c r="AB18" s="117"/>
      <c r="AC18" s="117"/>
      <c r="AD18" s="117"/>
      <c r="AE18" s="117"/>
      <c r="AF18" s="117"/>
    </row>
    <row r="19" spans="2:32" ht="14.25">
      <c r="B19" s="372">
        <f>IF(TabEntrainement[[#This Row],[Seance]]="","",TabEntrainement[[#This Row],[Seance]])</f>
        <v>43335</v>
      </c>
      <c r="C19" s="117"/>
      <c r="D19" s="117"/>
      <c r="E19" s="117"/>
      <c r="F19" s="117"/>
      <c r="G19" s="117"/>
      <c r="H19" s="117"/>
      <c r="I19" s="117"/>
      <c r="J19" s="117"/>
      <c r="K19" s="117"/>
      <c r="L19" s="117"/>
      <c r="M19" s="117"/>
      <c r="N19" s="117"/>
      <c r="O19" s="117"/>
      <c r="P19" s="117"/>
      <c r="Q19" s="117"/>
      <c r="R19" s="117"/>
      <c r="S19" s="117"/>
      <c r="T19" s="117"/>
      <c r="U19" s="117"/>
      <c r="V19" s="117"/>
      <c r="W19" s="117"/>
      <c r="X19" s="117"/>
      <c r="Y19" s="117"/>
      <c r="Z19" s="117"/>
      <c r="AA19" s="117"/>
      <c r="AB19" s="117"/>
      <c r="AC19" s="117"/>
      <c r="AD19" s="117"/>
      <c r="AE19" s="117"/>
      <c r="AF19" s="117"/>
    </row>
    <row r="20" spans="2:32" ht="14.25">
      <c r="B20" s="372">
        <f>IF(TabEntrainement[[#This Row],[Seance]]="","",TabEntrainement[[#This Row],[Seance]])</f>
        <v>43336</v>
      </c>
      <c r="C20" s="117"/>
      <c r="D20" s="117"/>
      <c r="E20" s="117"/>
      <c r="F20" s="117"/>
      <c r="G20" s="117"/>
      <c r="H20" s="117"/>
      <c r="I20" s="117"/>
      <c r="J20" s="117"/>
      <c r="K20" s="117"/>
      <c r="L20" s="117"/>
      <c r="M20" s="117"/>
      <c r="N20" s="117"/>
      <c r="O20" s="117"/>
      <c r="P20" s="117"/>
      <c r="Q20" s="117"/>
      <c r="R20" s="117"/>
      <c r="S20" s="117"/>
      <c r="T20" s="117"/>
      <c r="U20" s="117"/>
      <c r="V20" s="117"/>
      <c r="W20" s="117"/>
      <c r="X20" s="117"/>
      <c r="Y20" s="117"/>
      <c r="Z20" s="117"/>
      <c r="AA20" s="117"/>
      <c r="AB20" s="117"/>
      <c r="AC20" s="117"/>
      <c r="AD20" s="117"/>
      <c r="AE20" s="117"/>
      <c r="AF20" s="117"/>
    </row>
    <row r="21" spans="2:32" ht="14.25">
      <c r="B21" s="372">
        <f>IF(TabEntrainement[[#This Row],[Seance]]="","",TabEntrainement[[#This Row],[Seance]])</f>
        <v>43339</v>
      </c>
      <c r="C21" s="117"/>
      <c r="D21" s="117"/>
      <c r="E21" s="117"/>
      <c r="F21" s="117"/>
      <c r="G21" s="117"/>
      <c r="H21" s="117"/>
      <c r="I21" s="117"/>
      <c r="J21" s="117"/>
      <c r="K21" s="117"/>
      <c r="L21" s="117"/>
      <c r="M21" s="117"/>
      <c r="N21" s="117"/>
      <c r="O21" s="117"/>
      <c r="P21" s="117"/>
      <c r="Q21" s="117"/>
      <c r="R21" s="117"/>
      <c r="S21" s="117"/>
      <c r="T21" s="117"/>
      <c r="U21" s="117"/>
      <c r="V21" s="117"/>
      <c r="W21" s="117"/>
      <c r="X21" s="117"/>
      <c r="Y21" s="117"/>
      <c r="Z21" s="117"/>
      <c r="AA21" s="117"/>
      <c r="AB21" s="117"/>
      <c r="AC21" s="117"/>
      <c r="AD21" s="117"/>
      <c r="AE21" s="117"/>
      <c r="AF21" s="117"/>
    </row>
    <row r="22" spans="2:32" ht="14.25">
      <c r="B22" s="372">
        <f>IF(TabEntrainement[[#This Row],[Seance]]="","",TabEntrainement[[#This Row],[Seance]])</f>
        <v>43340</v>
      </c>
      <c r="C22" s="117"/>
      <c r="D22" s="117"/>
      <c r="E22" s="117"/>
      <c r="F22" s="117"/>
      <c r="G22" s="117"/>
      <c r="H22" s="117"/>
      <c r="I22" s="117"/>
      <c r="J22" s="117"/>
      <c r="K22" s="117"/>
      <c r="L22" s="117"/>
      <c r="M22" s="117"/>
      <c r="N22" s="117"/>
      <c r="O22" s="117"/>
      <c r="P22" s="117"/>
      <c r="Q22" s="117"/>
      <c r="R22" s="117"/>
      <c r="S22" s="117"/>
      <c r="T22" s="117"/>
      <c r="U22" s="117"/>
      <c r="V22" s="117"/>
      <c r="W22" s="117"/>
      <c r="X22" s="117"/>
      <c r="Y22" s="117"/>
      <c r="Z22" s="117"/>
      <c r="AA22" s="117"/>
      <c r="AB22" s="117"/>
      <c r="AC22" s="117"/>
      <c r="AD22" s="117"/>
      <c r="AE22" s="117"/>
      <c r="AF22" s="117"/>
    </row>
    <row r="23" spans="2:32" ht="14.25">
      <c r="B23" s="372">
        <f>IF(TabEntrainement[[#This Row],[Seance]]="","",TabEntrainement[[#This Row],[Seance]])</f>
        <v>43342</v>
      </c>
      <c r="C23" s="117"/>
      <c r="D23" s="117"/>
      <c r="E23" s="117"/>
      <c r="F23" s="117"/>
      <c r="G23" s="117"/>
      <c r="H23" s="117"/>
      <c r="I23" s="117"/>
      <c r="J23" s="117"/>
      <c r="K23" s="117"/>
      <c r="L23" s="117"/>
      <c r="M23" s="117"/>
      <c r="N23" s="117"/>
      <c r="O23" s="117"/>
      <c r="P23" s="117"/>
      <c r="Q23" s="117"/>
      <c r="R23" s="117"/>
      <c r="S23" s="117"/>
      <c r="T23" s="117"/>
      <c r="U23" s="117"/>
      <c r="V23" s="117"/>
      <c r="W23" s="117"/>
      <c r="X23" s="117"/>
      <c r="Y23" s="117"/>
      <c r="Z23" s="117"/>
      <c r="AA23" s="117"/>
      <c r="AB23" s="117"/>
      <c r="AC23" s="117"/>
      <c r="AD23" s="117"/>
      <c r="AE23" s="117"/>
      <c r="AF23" s="117"/>
    </row>
    <row r="24" spans="2:32" ht="14.25">
      <c r="B24" s="372">
        <f>IF(TabEntrainement[[#This Row],[Seance]]="","",TabEntrainement[[#This Row],[Seance]])</f>
        <v>43343</v>
      </c>
      <c r="C24" s="117"/>
      <c r="D24" s="117"/>
      <c r="E24" s="117"/>
      <c r="F24" s="117"/>
      <c r="G24" s="117"/>
      <c r="H24" s="117"/>
      <c r="I24" s="117"/>
      <c r="J24" s="117"/>
      <c r="K24" s="117"/>
      <c r="L24" s="117"/>
      <c r="M24" s="117"/>
      <c r="N24" s="117"/>
      <c r="O24" s="117"/>
      <c r="P24" s="117"/>
      <c r="Q24" s="117"/>
      <c r="R24" s="117"/>
      <c r="S24" s="117"/>
      <c r="T24" s="117"/>
      <c r="U24" s="117"/>
      <c r="V24" s="117"/>
      <c r="W24" s="117"/>
      <c r="X24" s="117"/>
      <c r="Y24" s="117"/>
      <c r="Z24" s="117"/>
      <c r="AA24" s="117"/>
      <c r="AB24" s="117"/>
      <c r="AC24" s="117"/>
      <c r="AD24" s="117"/>
      <c r="AE24" s="117"/>
      <c r="AF24" s="117"/>
    </row>
    <row r="25" spans="2:32" ht="14.25">
      <c r="B25" s="372">
        <f>IF(TabEntrainement[[#This Row],[Seance]]="","",TabEntrainement[[#This Row],[Seance]])</f>
        <v>43347</v>
      </c>
      <c r="C25" s="117">
        <v>1</v>
      </c>
      <c r="D25" s="117"/>
      <c r="E25" s="117">
        <v>1</v>
      </c>
      <c r="F25" s="117"/>
      <c r="G25" s="117"/>
      <c r="H25" s="117"/>
      <c r="I25" s="117"/>
      <c r="J25" s="117"/>
      <c r="K25" s="117">
        <v>1</v>
      </c>
      <c r="L25" s="117"/>
      <c r="M25" s="117">
        <v>1</v>
      </c>
      <c r="N25" s="117"/>
      <c r="O25" s="117">
        <v>1</v>
      </c>
      <c r="P25" s="117"/>
      <c r="Q25" s="117"/>
      <c r="R25" s="117"/>
      <c r="S25" s="117"/>
      <c r="T25" s="117">
        <v>1</v>
      </c>
      <c r="U25" s="117"/>
      <c r="V25" s="117"/>
      <c r="W25" s="117">
        <v>1</v>
      </c>
      <c r="X25" s="117"/>
      <c r="Y25" s="117"/>
      <c r="Z25" s="117"/>
      <c r="AA25" s="117"/>
      <c r="AB25" s="117"/>
      <c r="AC25" s="117"/>
      <c r="AD25" s="117"/>
      <c r="AE25" s="117"/>
      <c r="AF25" s="117"/>
    </row>
    <row r="26" spans="2:32" ht="14.25">
      <c r="B26" s="372">
        <f>IF(TabEntrainement[[#This Row],[Seance]]="","",TabEntrainement[[#This Row],[Seance]])</f>
        <v>43349</v>
      </c>
      <c r="C26" s="117"/>
      <c r="D26" s="117">
        <v>1</v>
      </c>
      <c r="E26" s="117"/>
      <c r="F26" s="117"/>
      <c r="G26" s="117"/>
      <c r="H26" s="117"/>
      <c r="I26" s="117">
        <v>1</v>
      </c>
      <c r="J26" s="117">
        <v>1</v>
      </c>
      <c r="K26" s="117"/>
      <c r="L26" s="117"/>
      <c r="M26" s="117"/>
      <c r="N26" s="117"/>
      <c r="O26" s="117">
        <v>1</v>
      </c>
      <c r="P26" s="117"/>
      <c r="Q26" s="117">
        <v>1</v>
      </c>
      <c r="R26" s="117">
        <v>1</v>
      </c>
      <c r="S26" s="117">
        <v>1</v>
      </c>
      <c r="T26" s="117">
        <v>1</v>
      </c>
      <c r="U26" s="117"/>
      <c r="V26" s="117"/>
      <c r="W26" s="117">
        <v>1</v>
      </c>
      <c r="X26" s="117"/>
      <c r="Y26" s="117"/>
      <c r="Z26" s="117"/>
      <c r="AA26" s="117"/>
      <c r="AB26" s="117"/>
      <c r="AC26" s="117"/>
      <c r="AD26" s="117"/>
      <c r="AE26" s="117"/>
      <c r="AF26" s="117"/>
    </row>
    <row r="27" spans="2:32" ht="14.25">
      <c r="B27" s="372">
        <f>IF(TabEntrainement[[#This Row],[Seance]]="","",TabEntrainement[[#This Row],[Seance]])</f>
        <v>43350</v>
      </c>
      <c r="C27" s="117">
        <v>1</v>
      </c>
      <c r="D27" s="117"/>
      <c r="E27" s="117"/>
      <c r="F27" s="117"/>
      <c r="G27" s="117"/>
      <c r="H27" s="117"/>
      <c r="I27" s="117">
        <v>1</v>
      </c>
      <c r="J27" s="117">
        <v>1</v>
      </c>
      <c r="K27" s="117"/>
      <c r="L27" s="117"/>
      <c r="M27" s="117"/>
      <c r="N27" s="117"/>
      <c r="O27" s="117"/>
      <c r="P27" s="117"/>
      <c r="Q27" s="117">
        <v>1</v>
      </c>
      <c r="R27" s="117"/>
      <c r="S27" s="117"/>
      <c r="T27" s="117">
        <v>1</v>
      </c>
      <c r="U27" s="117">
        <v>1</v>
      </c>
      <c r="V27" s="117"/>
      <c r="W27" s="117"/>
      <c r="X27" s="117"/>
      <c r="Y27" s="117"/>
      <c r="Z27" s="117"/>
      <c r="AA27" s="117"/>
      <c r="AB27" s="117"/>
      <c r="AC27" s="117"/>
      <c r="AD27" s="117"/>
      <c r="AE27" s="117"/>
      <c r="AF27" s="117"/>
    </row>
    <row r="28" spans="2:32" ht="14.25">
      <c r="B28" s="372">
        <f>IF(TabEntrainement[[#This Row],[Seance]]="","",TabEntrainement[[#This Row],[Seance]])</f>
        <v>43354</v>
      </c>
      <c r="C28" s="117"/>
      <c r="D28" s="117"/>
      <c r="E28" s="117"/>
      <c r="F28" s="117"/>
      <c r="G28" s="117"/>
      <c r="H28" s="117"/>
      <c r="I28" s="117"/>
      <c r="J28" s="117"/>
      <c r="K28" s="117"/>
      <c r="L28" s="117"/>
      <c r="M28" s="117"/>
      <c r="N28" s="117"/>
      <c r="O28" s="117"/>
      <c r="P28" s="117"/>
      <c r="Q28" s="117"/>
      <c r="R28" s="117"/>
      <c r="S28" s="117"/>
      <c r="T28" s="117"/>
      <c r="U28" s="117"/>
      <c r="V28" s="117"/>
      <c r="W28" s="117"/>
      <c r="X28" s="117"/>
      <c r="Y28" s="117"/>
      <c r="Z28" s="117"/>
      <c r="AA28" s="117"/>
      <c r="AB28" s="117"/>
      <c r="AC28" s="117"/>
      <c r="AD28" s="117"/>
      <c r="AE28" s="117"/>
      <c r="AF28" s="117"/>
    </row>
    <row r="29" spans="2:32" ht="14.25">
      <c r="B29" s="372">
        <f>IF(TabEntrainement[[#This Row],[Seance]]="","",TabEntrainement[[#This Row],[Seance]])</f>
        <v>43357</v>
      </c>
      <c r="C29" s="117"/>
      <c r="D29" s="117"/>
      <c r="E29" s="117">
        <v>1</v>
      </c>
      <c r="F29" s="117"/>
      <c r="G29" s="117"/>
      <c r="H29" s="117"/>
      <c r="I29" s="117"/>
      <c r="J29" s="117"/>
      <c r="K29" s="117">
        <v>1</v>
      </c>
      <c r="L29" s="117">
        <v>1</v>
      </c>
      <c r="M29" s="117"/>
      <c r="N29" s="117">
        <v>1</v>
      </c>
      <c r="O29" s="117"/>
      <c r="P29" s="117"/>
      <c r="Q29" s="117">
        <v>1</v>
      </c>
      <c r="R29" s="117">
        <v>1</v>
      </c>
      <c r="S29" s="117">
        <v>1</v>
      </c>
      <c r="T29" s="117">
        <v>1</v>
      </c>
      <c r="U29" s="117"/>
      <c r="V29" s="117"/>
      <c r="W29" s="117"/>
      <c r="X29" s="117"/>
      <c r="Y29" s="117"/>
      <c r="Z29" s="117"/>
      <c r="AA29" s="117"/>
      <c r="AB29" s="117"/>
      <c r="AC29" s="117"/>
      <c r="AD29" s="117"/>
      <c r="AE29" s="117"/>
      <c r="AF29" s="117"/>
    </row>
    <row r="30" spans="2:32" ht="14.25">
      <c r="B30" s="372">
        <f>IF(TabEntrainement[[#This Row],[Seance]]="","",TabEntrainement[[#This Row],[Seance]])</f>
        <v>43358</v>
      </c>
      <c r="C30" s="117"/>
      <c r="D30" s="117"/>
      <c r="E30" s="117"/>
      <c r="F30" s="117">
        <v>1</v>
      </c>
      <c r="G30" s="117"/>
      <c r="H30" s="117"/>
      <c r="I30" s="117"/>
      <c r="J30" s="117">
        <v>1</v>
      </c>
      <c r="K30" s="117"/>
      <c r="L30" s="117"/>
      <c r="M30" s="117">
        <v>1</v>
      </c>
      <c r="N30" s="117"/>
      <c r="O30" s="117"/>
      <c r="P30" s="117">
        <v>1</v>
      </c>
      <c r="Q30" s="117">
        <v>1</v>
      </c>
      <c r="R30" s="117"/>
      <c r="S30" s="117"/>
      <c r="T30" s="117"/>
      <c r="U30" s="117"/>
      <c r="V30" s="117">
        <v>1</v>
      </c>
      <c r="W30" s="117"/>
      <c r="X30" s="117"/>
      <c r="Y30" s="117"/>
      <c r="Z30" s="117"/>
      <c r="AA30" s="117"/>
      <c r="AB30" s="117"/>
      <c r="AC30" s="117"/>
      <c r="AD30" s="117"/>
      <c r="AE30" s="117"/>
      <c r="AF30" s="117"/>
    </row>
    <row r="31" spans="2:32" ht="14.25">
      <c r="B31" s="372" t="str">
        <f>IF(TabEntrainement[[#This Row],[Seance]]="","",TabEntrainement[[#This Row],[Seance]])</f>
        <v/>
      </c>
      <c r="C31" s="117"/>
      <c r="D31" s="117"/>
      <c r="E31" s="117"/>
      <c r="F31" s="117"/>
      <c r="G31" s="117"/>
      <c r="H31" s="117"/>
      <c r="I31" s="117"/>
      <c r="J31" s="117"/>
      <c r="K31" s="117"/>
      <c r="L31" s="117"/>
      <c r="M31" s="117"/>
      <c r="N31" s="117"/>
      <c r="O31" s="117"/>
      <c r="P31" s="117"/>
      <c r="Q31" s="117"/>
      <c r="R31" s="117"/>
      <c r="S31" s="117"/>
      <c r="T31" s="117"/>
      <c r="U31" s="117"/>
      <c r="V31" s="117"/>
      <c r="W31" s="117"/>
      <c r="X31" s="117"/>
      <c r="Y31" s="117"/>
      <c r="Z31" s="117"/>
      <c r="AA31" s="117"/>
      <c r="AB31" s="117"/>
      <c r="AC31" s="117"/>
      <c r="AD31" s="117"/>
      <c r="AE31" s="117"/>
      <c r="AF31" s="117"/>
    </row>
    <row r="32" spans="2:32" ht="14.25">
      <c r="B32" s="372" t="str">
        <f>IF(TabEntrainement[[#This Row],[Seance]]="","",TabEntrainement[[#This Row],[Seance]])</f>
        <v/>
      </c>
      <c r="C32" s="117"/>
      <c r="D32" s="117"/>
      <c r="E32" s="117"/>
      <c r="F32" s="117"/>
      <c r="G32" s="117"/>
      <c r="H32" s="117"/>
      <c r="I32" s="117"/>
      <c r="J32" s="117"/>
      <c r="K32" s="117"/>
      <c r="L32" s="117"/>
      <c r="M32" s="117"/>
      <c r="N32" s="117"/>
      <c r="O32" s="117"/>
      <c r="P32" s="117"/>
      <c r="Q32" s="117"/>
      <c r="R32" s="117"/>
      <c r="S32" s="117"/>
      <c r="T32" s="117"/>
      <c r="U32" s="117"/>
      <c r="V32" s="117"/>
      <c r="W32" s="117"/>
      <c r="X32" s="117"/>
      <c r="Y32" s="117"/>
      <c r="Z32" s="117"/>
      <c r="AA32" s="117"/>
      <c r="AB32" s="117"/>
      <c r="AC32" s="117"/>
      <c r="AD32" s="117"/>
      <c r="AE32" s="117"/>
      <c r="AF32" s="117"/>
    </row>
    <row r="33" spans="2:32" ht="14.25">
      <c r="B33" s="372" t="str">
        <f>IF(TabEntrainement[[#This Row],[Seance]]="","",TabEntrainement[[#This Row],[Seance]])</f>
        <v/>
      </c>
      <c r="C33" s="117"/>
      <c r="D33" s="117"/>
      <c r="E33" s="117"/>
      <c r="F33" s="117"/>
      <c r="G33" s="117"/>
      <c r="H33" s="117"/>
      <c r="I33" s="117"/>
      <c r="J33" s="117"/>
      <c r="K33" s="117"/>
      <c r="L33" s="117"/>
      <c r="M33" s="117"/>
      <c r="N33" s="117"/>
      <c r="O33" s="117"/>
      <c r="P33" s="117"/>
      <c r="Q33" s="117"/>
      <c r="R33" s="117"/>
      <c r="S33" s="117"/>
      <c r="T33" s="117"/>
      <c r="U33" s="117"/>
      <c r="V33" s="117"/>
      <c r="W33" s="117"/>
      <c r="X33" s="117"/>
      <c r="Y33" s="117"/>
      <c r="Z33" s="117"/>
      <c r="AA33" s="117"/>
      <c r="AB33" s="117"/>
      <c r="AC33" s="117"/>
      <c r="AD33" s="117"/>
      <c r="AE33" s="117"/>
      <c r="AF33" s="117"/>
    </row>
    <row r="34" spans="2:32" ht="14.25">
      <c r="B34" s="372" t="str">
        <f>IF(TabEntrainement[[#This Row],[Seance]]="","",TabEntrainement[[#This Row],[Seance]])</f>
        <v/>
      </c>
      <c r="C34" s="117"/>
      <c r="D34" s="117"/>
      <c r="E34" s="117"/>
      <c r="F34" s="117"/>
      <c r="G34" s="117"/>
      <c r="H34" s="117"/>
      <c r="I34" s="117"/>
      <c r="J34" s="117"/>
      <c r="K34" s="117"/>
      <c r="L34" s="117"/>
      <c r="M34" s="117"/>
      <c r="N34" s="117"/>
      <c r="O34" s="117"/>
      <c r="P34" s="117"/>
      <c r="Q34" s="117"/>
      <c r="R34" s="117"/>
      <c r="S34" s="117"/>
      <c r="T34" s="117"/>
      <c r="U34" s="117"/>
      <c r="V34" s="117"/>
      <c r="W34" s="117"/>
      <c r="X34" s="117"/>
      <c r="Y34" s="117"/>
      <c r="Z34" s="117"/>
      <c r="AA34" s="117"/>
      <c r="AB34" s="117"/>
      <c r="AC34" s="117"/>
      <c r="AD34" s="117"/>
      <c r="AE34" s="117"/>
      <c r="AF34" s="117"/>
    </row>
    <row r="35" spans="2:32" ht="14.25">
      <c r="B35" s="372" t="str">
        <f>IF(TabEntrainement[[#This Row],[Seance]]="","",TabEntrainement[[#This Row],[Seance]])</f>
        <v/>
      </c>
      <c r="C35" s="117"/>
      <c r="D35" s="117"/>
      <c r="E35" s="117"/>
      <c r="F35" s="117"/>
      <c r="G35" s="117"/>
      <c r="H35" s="117"/>
      <c r="I35" s="117"/>
      <c r="J35" s="117"/>
      <c r="K35" s="117"/>
      <c r="L35" s="117"/>
      <c r="M35" s="117"/>
      <c r="N35" s="117"/>
      <c r="O35" s="117"/>
      <c r="P35" s="117"/>
      <c r="Q35" s="117"/>
      <c r="R35" s="117"/>
      <c r="S35" s="117"/>
      <c r="T35" s="117"/>
      <c r="U35" s="117"/>
      <c r="V35" s="117"/>
      <c r="W35" s="117"/>
      <c r="X35" s="117"/>
      <c r="Y35" s="117"/>
      <c r="Z35" s="117"/>
      <c r="AA35" s="117"/>
      <c r="AB35" s="117"/>
      <c r="AC35" s="117"/>
      <c r="AD35" s="117"/>
      <c r="AE35" s="117"/>
      <c r="AF35" s="117"/>
    </row>
    <row r="36" spans="2:32" ht="14.25">
      <c r="B36" s="372" t="str">
        <f>IF(TabEntrainement[[#This Row],[Seance]]="","",TabEntrainement[[#This Row],[Seance]])</f>
        <v/>
      </c>
      <c r="C36" s="117"/>
      <c r="D36" s="117"/>
      <c r="E36" s="117"/>
      <c r="F36" s="117"/>
      <c r="G36" s="117"/>
      <c r="H36" s="117"/>
      <c r="I36" s="117"/>
      <c r="J36" s="117"/>
      <c r="K36" s="117"/>
      <c r="L36" s="117"/>
      <c r="M36" s="117"/>
      <c r="N36" s="117"/>
      <c r="O36" s="117"/>
      <c r="P36" s="117"/>
      <c r="Q36" s="117"/>
      <c r="R36" s="117"/>
      <c r="S36" s="117"/>
      <c r="T36" s="117"/>
      <c r="U36" s="117"/>
      <c r="V36" s="117"/>
      <c r="W36" s="117"/>
      <c r="X36" s="117"/>
      <c r="Y36" s="117"/>
      <c r="Z36" s="117"/>
      <c r="AA36" s="117"/>
      <c r="AB36" s="117"/>
      <c r="AC36" s="117"/>
      <c r="AD36" s="117"/>
      <c r="AE36" s="117"/>
      <c r="AF36" s="117"/>
    </row>
    <row r="37" spans="2:32" ht="14.25">
      <c r="B37" s="372" t="str">
        <f>IF(TabEntrainement[[#This Row],[Seance]]="","",TabEntrainement[[#This Row],[Seance]])</f>
        <v/>
      </c>
      <c r="C37" s="117"/>
      <c r="D37" s="117"/>
      <c r="E37" s="117"/>
      <c r="F37" s="117"/>
      <c r="G37" s="117"/>
      <c r="H37" s="117"/>
      <c r="I37" s="117"/>
      <c r="J37" s="117"/>
      <c r="K37" s="117"/>
      <c r="L37" s="117"/>
      <c r="M37" s="117"/>
      <c r="N37" s="117"/>
      <c r="O37" s="117"/>
      <c r="P37" s="117"/>
      <c r="Q37" s="117"/>
      <c r="R37" s="117"/>
      <c r="S37" s="117"/>
      <c r="T37" s="117"/>
      <c r="U37" s="117"/>
      <c r="V37" s="117"/>
      <c r="W37" s="117"/>
      <c r="X37" s="117"/>
      <c r="Y37" s="117"/>
      <c r="Z37" s="117"/>
      <c r="AA37" s="117"/>
      <c r="AB37" s="117"/>
      <c r="AC37" s="117"/>
      <c r="AD37" s="117"/>
      <c r="AE37" s="117"/>
      <c r="AF37" s="117"/>
    </row>
    <row r="38" spans="2:32" ht="14.25">
      <c r="B38" s="372" t="str">
        <f>IF(TabEntrainement[[#This Row],[Seance]]="","",TabEntrainement[[#This Row],[Seance]])</f>
        <v/>
      </c>
      <c r="C38" s="117"/>
      <c r="D38" s="117"/>
      <c r="E38" s="117"/>
      <c r="F38" s="117"/>
      <c r="G38" s="117"/>
      <c r="H38" s="117"/>
      <c r="I38" s="117"/>
      <c r="J38" s="117"/>
      <c r="K38" s="117"/>
      <c r="L38" s="117"/>
      <c r="M38" s="117"/>
      <c r="N38" s="117"/>
      <c r="O38" s="117"/>
      <c r="P38" s="117"/>
      <c r="Q38" s="117"/>
      <c r="R38" s="117"/>
      <c r="S38" s="117"/>
      <c r="T38" s="117"/>
      <c r="U38" s="117"/>
      <c r="V38" s="117"/>
      <c r="W38" s="117"/>
      <c r="X38" s="117"/>
      <c r="Y38" s="117"/>
      <c r="Z38" s="117"/>
      <c r="AA38" s="117"/>
      <c r="AB38" s="117"/>
      <c r="AC38" s="117"/>
      <c r="AD38" s="117"/>
      <c r="AE38" s="117"/>
      <c r="AF38" s="117"/>
    </row>
    <row r="39" spans="2:32" ht="14.25">
      <c r="B39" s="372" t="str">
        <f>IF(TabEntrainement[[#This Row],[Seance]]="","",TabEntrainement[[#This Row],[Seance]])</f>
        <v/>
      </c>
      <c r="C39" s="117"/>
      <c r="D39" s="117"/>
      <c r="E39" s="117"/>
      <c r="F39" s="117"/>
      <c r="G39" s="117"/>
      <c r="H39" s="117"/>
      <c r="I39" s="117"/>
      <c r="J39" s="117"/>
      <c r="K39" s="117"/>
      <c r="L39" s="117"/>
      <c r="M39" s="117"/>
      <c r="N39" s="117"/>
      <c r="O39" s="117"/>
      <c r="P39" s="117"/>
      <c r="Q39" s="117"/>
      <c r="R39" s="117"/>
      <c r="S39" s="117"/>
      <c r="T39" s="117"/>
      <c r="U39" s="117"/>
      <c r="V39" s="117"/>
      <c r="W39" s="117"/>
      <c r="X39" s="117"/>
      <c r="Y39" s="117"/>
      <c r="Z39" s="117"/>
      <c r="AA39" s="117"/>
      <c r="AB39" s="117"/>
      <c r="AC39" s="117"/>
      <c r="AD39" s="117"/>
      <c r="AE39" s="117"/>
      <c r="AF39" s="117"/>
    </row>
    <row r="40" spans="2:32" ht="14.25">
      <c r="B40" s="372" t="str">
        <f>IF(TabEntrainement[[#This Row],[Seance]]="","",TabEntrainement[[#This Row],[Seance]])</f>
        <v/>
      </c>
      <c r="C40" s="117"/>
      <c r="D40" s="117"/>
      <c r="E40" s="117"/>
      <c r="F40" s="117"/>
      <c r="G40" s="117"/>
      <c r="H40" s="117"/>
      <c r="I40" s="117"/>
      <c r="J40" s="117"/>
      <c r="K40" s="117"/>
      <c r="L40" s="117"/>
      <c r="M40" s="117"/>
      <c r="N40" s="117"/>
      <c r="O40" s="117"/>
      <c r="P40" s="117"/>
      <c r="Q40" s="117"/>
      <c r="R40" s="117"/>
      <c r="S40" s="117"/>
      <c r="T40" s="117"/>
      <c r="U40" s="117"/>
      <c r="V40" s="117"/>
      <c r="W40" s="117"/>
      <c r="X40" s="117"/>
      <c r="Y40" s="117"/>
      <c r="Z40" s="117"/>
      <c r="AA40" s="117"/>
      <c r="AB40" s="117"/>
      <c r="AC40" s="117"/>
      <c r="AD40" s="117"/>
      <c r="AE40" s="117"/>
      <c r="AF40" s="117"/>
    </row>
    <row r="41" spans="2:32" ht="14.25">
      <c r="B41" s="372" t="str">
        <f>IF(TabEntrainement[[#This Row],[Seance]]="","",TabEntrainement[[#This Row],[Seance]])</f>
        <v/>
      </c>
      <c r="C41" s="117"/>
      <c r="D41" s="117"/>
      <c r="E41" s="117"/>
      <c r="F41" s="117"/>
      <c r="G41" s="117"/>
      <c r="H41" s="117"/>
      <c r="I41" s="117"/>
      <c r="J41" s="117"/>
      <c r="K41" s="117"/>
      <c r="L41" s="117"/>
      <c r="M41" s="117"/>
      <c r="N41" s="117"/>
      <c r="O41" s="117"/>
      <c r="P41" s="117"/>
      <c r="Q41" s="117"/>
      <c r="R41" s="117"/>
      <c r="S41" s="117"/>
      <c r="T41" s="117"/>
      <c r="U41" s="117"/>
      <c r="V41" s="117"/>
      <c r="W41" s="117"/>
      <c r="X41" s="117"/>
      <c r="Y41" s="117"/>
      <c r="Z41" s="117"/>
      <c r="AA41" s="117"/>
      <c r="AB41" s="117"/>
      <c r="AC41" s="117"/>
      <c r="AD41" s="117"/>
      <c r="AE41" s="117"/>
      <c r="AF41" s="117"/>
    </row>
    <row r="42" spans="2:32" ht="14.25">
      <c r="B42" s="372" t="str">
        <f>IF(TabEntrainement[[#This Row],[Seance]]="","",TabEntrainement[[#This Row],[Seance]])</f>
        <v/>
      </c>
      <c r="C42" s="117"/>
      <c r="D42" s="117"/>
      <c r="E42" s="117"/>
      <c r="F42" s="117"/>
      <c r="G42" s="117"/>
      <c r="H42" s="117"/>
      <c r="I42" s="117"/>
      <c r="J42" s="117"/>
      <c r="K42" s="117"/>
      <c r="L42" s="117"/>
      <c r="M42" s="117"/>
      <c r="N42" s="117"/>
      <c r="O42" s="117"/>
      <c r="P42" s="117"/>
      <c r="Q42" s="117"/>
      <c r="R42" s="117"/>
      <c r="S42" s="117"/>
      <c r="T42" s="117"/>
      <c r="U42" s="117"/>
      <c r="V42" s="117"/>
      <c r="W42" s="117"/>
      <c r="X42" s="117"/>
      <c r="Y42" s="117"/>
      <c r="Z42" s="117"/>
      <c r="AA42" s="117"/>
      <c r="AB42" s="117"/>
      <c r="AC42" s="117"/>
      <c r="AD42" s="117"/>
      <c r="AE42" s="117"/>
      <c r="AF42" s="117"/>
    </row>
    <row r="43" spans="2:32" ht="14.25">
      <c r="B43" s="372" t="str">
        <f>IF(TabEntrainement[[#This Row],[Seance]]="","",TabEntrainement[[#This Row],[Seance]])</f>
        <v/>
      </c>
      <c r="C43" s="117"/>
      <c r="D43" s="117"/>
      <c r="E43" s="117"/>
      <c r="F43" s="117"/>
      <c r="G43" s="117"/>
      <c r="H43" s="117"/>
      <c r="I43" s="117"/>
      <c r="J43" s="117"/>
      <c r="K43" s="117"/>
      <c r="L43" s="117"/>
      <c r="M43" s="117"/>
      <c r="N43" s="117"/>
      <c r="O43" s="117"/>
      <c r="P43" s="117"/>
      <c r="Q43" s="117"/>
      <c r="R43" s="117"/>
      <c r="S43" s="117"/>
      <c r="T43" s="117"/>
      <c r="U43" s="117"/>
      <c r="V43" s="117"/>
      <c r="W43" s="117"/>
      <c r="X43" s="117"/>
      <c r="Y43" s="117"/>
      <c r="Z43" s="117"/>
      <c r="AA43" s="117"/>
      <c r="AB43" s="117"/>
      <c r="AC43" s="117"/>
      <c r="AD43" s="117"/>
      <c r="AE43" s="117"/>
      <c r="AF43" s="117"/>
    </row>
    <row r="44" spans="2:32" ht="14.25">
      <c r="B44" s="372" t="str">
        <f>IF(TabEntrainement[[#This Row],[Seance]]="","",TabEntrainement[[#This Row],[Seance]])</f>
        <v/>
      </c>
      <c r="C44" s="117"/>
      <c r="D44" s="117"/>
      <c r="E44" s="117"/>
      <c r="F44" s="117"/>
      <c r="G44" s="117"/>
      <c r="H44" s="117"/>
      <c r="I44" s="117"/>
      <c r="J44" s="117"/>
      <c r="K44" s="117"/>
      <c r="L44" s="117"/>
      <c r="M44" s="117"/>
      <c r="N44" s="117"/>
      <c r="O44" s="117"/>
      <c r="P44" s="117"/>
      <c r="Q44" s="117"/>
      <c r="R44" s="117"/>
      <c r="S44" s="117"/>
      <c r="T44" s="117"/>
      <c r="U44" s="117"/>
      <c r="V44" s="117"/>
      <c r="W44" s="117"/>
      <c r="X44" s="117"/>
      <c r="Y44" s="117"/>
      <c r="Z44" s="117"/>
      <c r="AA44" s="117"/>
      <c r="AB44" s="117"/>
      <c r="AC44" s="117"/>
      <c r="AD44" s="117"/>
      <c r="AE44" s="117"/>
      <c r="AF44" s="117"/>
    </row>
    <row r="45" spans="2:32" ht="14.25">
      <c r="B45" s="372" t="str">
        <f>IF(TabEntrainement[[#This Row],[Seance]]="","",TabEntrainement[[#This Row],[Seance]])</f>
        <v/>
      </c>
      <c r="C45" s="117"/>
      <c r="D45" s="117"/>
      <c r="E45" s="117"/>
      <c r="F45" s="117"/>
      <c r="G45" s="117"/>
      <c r="H45" s="117"/>
      <c r="I45" s="117"/>
      <c r="J45" s="117"/>
      <c r="K45" s="117"/>
      <c r="L45" s="117"/>
      <c r="M45" s="117"/>
      <c r="N45" s="117"/>
      <c r="O45" s="117"/>
      <c r="P45" s="117"/>
      <c r="Q45" s="117"/>
      <c r="R45" s="117"/>
      <c r="S45" s="117"/>
      <c r="T45" s="117"/>
      <c r="U45" s="117"/>
      <c r="V45" s="117"/>
      <c r="W45" s="117"/>
      <c r="X45" s="117"/>
      <c r="Y45" s="117"/>
      <c r="Z45" s="117"/>
      <c r="AA45" s="117"/>
      <c r="AB45" s="117"/>
      <c r="AC45" s="117"/>
      <c r="AD45" s="117"/>
      <c r="AE45" s="117"/>
      <c r="AF45" s="117"/>
    </row>
    <row r="46" spans="2:32" ht="14.25">
      <c r="B46" s="372" t="str">
        <f>IF(TabEntrainement[[#This Row],[Seance]]="","",TabEntrainement[[#This Row],[Seance]])</f>
        <v/>
      </c>
      <c r="C46" s="117"/>
      <c r="D46" s="117"/>
      <c r="E46" s="117"/>
      <c r="F46" s="117"/>
      <c r="G46" s="117"/>
      <c r="H46" s="117"/>
      <c r="I46" s="117"/>
      <c r="J46" s="117"/>
      <c r="K46" s="117"/>
      <c r="L46" s="117"/>
      <c r="M46" s="117"/>
      <c r="N46" s="117"/>
      <c r="O46" s="117"/>
      <c r="P46" s="117"/>
      <c r="Q46" s="117"/>
      <c r="R46" s="117"/>
      <c r="S46" s="117"/>
      <c r="T46" s="117"/>
      <c r="U46" s="117"/>
      <c r="V46" s="117"/>
      <c r="W46" s="117"/>
      <c r="X46" s="117"/>
      <c r="Y46" s="117"/>
      <c r="Z46" s="117"/>
      <c r="AA46" s="117"/>
      <c r="AB46" s="117"/>
      <c r="AC46" s="117"/>
      <c r="AD46" s="117"/>
      <c r="AE46" s="117"/>
      <c r="AF46" s="117"/>
    </row>
    <row r="47" spans="2:32" ht="14.25">
      <c r="B47" s="372" t="str">
        <f>IF(TabEntrainement[[#This Row],[Seance]]="","",TabEntrainement[[#This Row],[Seance]])</f>
        <v/>
      </c>
      <c r="C47" s="117"/>
      <c r="D47" s="117"/>
      <c r="E47" s="117"/>
      <c r="F47" s="117"/>
      <c r="G47" s="117"/>
      <c r="H47" s="117"/>
      <c r="I47" s="117"/>
      <c r="J47" s="117"/>
      <c r="K47" s="117"/>
      <c r="L47" s="117"/>
      <c r="M47" s="117"/>
      <c r="N47" s="117"/>
      <c r="O47" s="117"/>
      <c r="P47" s="117"/>
      <c r="Q47" s="117"/>
      <c r="R47" s="117"/>
      <c r="S47" s="117"/>
      <c r="T47" s="117"/>
      <c r="U47" s="117"/>
      <c r="V47" s="117"/>
      <c r="W47" s="117"/>
      <c r="X47" s="117"/>
      <c r="Y47" s="117"/>
      <c r="Z47" s="117"/>
      <c r="AA47" s="117"/>
      <c r="AB47" s="117"/>
      <c r="AC47" s="117"/>
      <c r="AD47" s="117"/>
      <c r="AE47" s="117"/>
      <c r="AF47" s="117"/>
    </row>
    <row r="48" spans="2:32" ht="14.25">
      <c r="B48" s="372" t="str">
        <f>IF(TabEntrainement[[#This Row],[Seance]]="","",TabEntrainement[[#This Row],[Seance]])</f>
        <v/>
      </c>
      <c r="C48" s="117"/>
      <c r="D48" s="117"/>
      <c r="E48" s="117"/>
      <c r="F48" s="117"/>
      <c r="G48" s="117"/>
      <c r="H48" s="117"/>
      <c r="I48" s="117"/>
      <c r="J48" s="117"/>
      <c r="K48" s="117"/>
      <c r="L48" s="117"/>
      <c r="M48" s="117"/>
      <c r="N48" s="117"/>
      <c r="O48" s="117"/>
      <c r="P48" s="117"/>
      <c r="Q48" s="117"/>
      <c r="R48" s="117"/>
      <c r="S48" s="117"/>
      <c r="T48" s="117"/>
      <c r="U48" s="117"/>
      <c r="V48" s="117"/>
      <c r="W48" s="117"/>
      <c r="X48" s="117"/>
      <c r="Y48" s="117"/>
      <c r="Z48" s="117"/>
      <c r="AA48" s="117"/>
      <c r="AB48" s="117"/>
      <c r="AC48" s="117"/>
      <c r="AD48" s="117"/>
      <c r="AE48" s="117"/>
      <c r="AF48" s="117"/>
    </row>
    <row r="49" spans="2:32" ht="14.25">
      <c r="B49" s="372" t="str">
        <f>IF(TabEntrainement[[#This Row],[Seance]]="","",TabEntrainement[[#This Row],[Seance]])</f>
        <v/>
      </c>
      <c r="C49" s="117"/>
      <c r="D49" s="117"/>
      <c r="E49" s="117"/>
      <c r="F49" s="117"/>
      <c r="G49" s="117"/>
      <c r="H49" s="117"/>
      <c r="I49" s="117"/>
      <c r="J49" s="117"/>
      <c r="K49" s="117"/>
      <c r="L49" s="117"/>
      <c r="M49" s="117"/>
      <c r="N49" s="117"/>
      <c r="O49" s="117"/>
      <c r="P49" s="117"/>
      <c r="Q49" s="117"/>
      <c r="R49" s="117"/>
      <c r="S49" s="117"/>
      <c r="T49" s="117"/>
      <c r="U49" s="117"/>
      <c r="V49" s="117"/>
      <c r="W49" s="117"/>
      <c r="X49" s="117"/>
      <c r="Y49" s="117"/>
      <c r="Z49" s="117"/>
      <c r="AA49" s="117"/>
      <c r="AB49" s="117"/>
      <c r="AC49" s="117"/>
      <c r="AD49" s="117"/>
      <c r="AE49" s="117"/>
      <c r="AF49" s="117"/>
    </row>
    <row r="50" spans="2:32" ht="14.25">
      <c r="B50" s="372" t="str">
        <f>IF(TabEntrainement[[#This Row],[Seance]]="","",TabEntrainement[[#This Row],[Seance]])</f>
        <v/>
      </c>
      <c r="C50" s="117"/>
      <c r="D50" s="117"/>
      <c r="E50" s="117"/>
      <c r="F50" s="117"/>
      <c r="G50" s="117"/>
      <c r="H50" s="117"/>
      <c r="I50" s="117"/>
      <c r="J50" s="117"/>
      <c r="K50" s="117"/>
      <c r="L50" s="117"/>
      <c r="M50" s="117"/>
      <c r="N50" s="117"/>
      <c r="O50" s="117"/>
      <c r="P50" s="117"/>
      <c r="Q50" s="117"/>
      <c r="R50" s="117"/>
      <c r="S50" s="117"/>
      <c r="T50" s="117"/>
      <c r="U50" s="117"/>
      <c r="V50" s="117"/>
      <c r="W50" s="117"/>
      <c r="X50" s="117"/>
      <c r="Y50" s="117"/>
      <c r="Z50" s="117"/>
      <c r="AA50" s="117"/>
      <c r="AB50" s="117"/>
      <c r="AC50" s="117"/>
      <c r="AD50" s="117"/>
      <c r="AE50" s="117"/>
      <c r="AF50" s="117"/>
    </row>
    <row r="51" spans="2:32" ht="14.25">
      <c r="B51" s="372" t="str">
        <f>IF(TabEntrainement[[#This Row],[Seance]]="","",TabEntrainement[[#This Row],[Seance]])</f>
        <v/>
      </c>
      <c r="C51" s="117"/>
      <c r="D51" s="117"/>
      <c r="E51" s="117"/>
      <c r="F51" s="117"/>
      <c r="G51" s="117"/>
      <c r="H51" s="117"/>
      <c r="I51" s="117"/>
      <c r="J51" s="117"/>
      <c r="K51" s="117"/>
      <c r="L51" s="117"/>
      <c r="M51" s="117"/>
      <c r="N51" s="117"/>
      <c r="O51" s="117"/>
      <c r="P51" s="117"/>
      <c r="Q51" s="117"/>
      <c r="R51" s="117"/>
      <c r="S51" s="117"/>
      <c r="T51" s="117"/>
      <c r="U51" s="117"/>
      <c r="V51" s="117"/>
      <c r="W51" s="117"/>
      <c r="X51" s="117"/>
      <c r="Y51" s="117"/>
      <c r="Z51" s="117"/>
      <c r="AA51" s="117"/>
      <c r="AB51" s="117"/>
      <c r="AC51" s="117"/>
      <c r="AD51" s="117"/>
      <c r="AE51" s="117"/>
      <c r="AF51" s="117"/>
    </row>
    <row r="52" spans="2:32" ht="14.25">
      <c r="B52" s="372" t="str">
        <f>IF(TabEntrainement[[#This Row],[Seance]]="","",TabEntrainement[[#This Row],[Seance]])</f>
        <v/>
      </c>
      <c r="C52" s="117"/>
      <c r="D52" s="117"/>
      <c r="E52" s="117"/>
      <c r="F52" s="117"/>
      <c r="G52" s="117"/>
      <c r="H52" s="117"/>
      <c r="I52" s="117"/>
      <c r="J52" s="117"/>
      <c r="K52" s="117"/>
      <c r="L52" s="117"/>
      <c r="M52" s="117"/>
      <c r="N52" s="117"/>
      <c r="O52" s="117"/>
      <c r="P52" s="117"/>
      <c r="Q52" s="117"/>
      <c r="R52" s="117"/>
      <c r="S52" s="117"/>
      <c r="T52" s="117"/>
      <c r="U52" s="117"/>
      <c r="V52" s="117"/>
      <c r="W52" s="117"/>
      <c r="X52" s="117"/>
      <c r="Y52" s="117"/>
      <c r="Z52" s="117"/>
      <c r="AA52" s="117"/>
      <c r="AB52" s="117"/>
      <c r="AC52" s="117"/>
      <c r="AD52" s="117"/>
      <c r="AE52" s="117"/>
      <c r="AF52" s="117"/>
    </row>
    <row r="53" spans="2:32" ht="14.25">
      <c r="B53" s="372" t="str">
        <f>IF(TabEntrainement[[#This Row],[Seance]]="","",TabEntrainement[[#This Row],[Seance]])</f>
        <v/>
      </c>
      <c r="C53" s="117"/>
      <c r="D53" s="117"/>
      <c r="E53" s="117"/>
      <c r="F53" s="117"/>
      <c r="G53" s="117"/>
      <c r="H53" s="117"/>
      <c r="I53" s="117"/>
      <c r="J53" s="117"/>
      <c r="K53" s="117"/>
      <c r="L53" s="117"/>
      <c r="M53" s="117"/>
      <c r="N53" s="117"/>
      <c r="O53" s="117"/>
      <c r="P53" s="117"/>
      <c r="Q53" s="117"/>
      <c r="R53" s="117"/>
      <c r="S53" s="117"/>
      <c r="T53" s="117"/>
      <c r="U53" s="117"/>
      <c r="V53" s="117"/>
      <c r="W53" s="117"/>
      <c r="X53" s="117"/>
      <c r="Y53" s="117"/>
      <c r="Z53" s="117"/>
      <c r="AA53" s="117"/>
      <c r="AB53" s="117"/>
      <c r="AC53" s="117"/>
      <c r="AD53" s="117"/>
      <c r="AE53" s="117"/>
      <c r="AF53" s="117"/>
    </row>
    <row r="54" spans="2:32" ht="14.25">
      <c r="B54" s="372" t="str">
        <f>IF(TabEntrainement[[#This Row],[Seance]]="","",TabEntrainement[[#This Row],[Seance]])</f>
        <v/>
      </c>
      <c r="C54" s="117"/>
      <c r="D54" s="117"/>
      <c r="E54" s="117"/>
      <c r="F54" s="117"/>
      <c r="G54" s="117"/>
      <c r="H54" s="117"/>
      <c r="I54" s="117"/>
      <c r="J54" s="117"/>
      <c r="K54" s="117"/>
      <c r="L54" s="117"/>
      <c r="M54" s="117"/>
      <c r="N54" s="117"/>
      <c r="O54" s="117"/>
      <c r="P54" s="117"/>
      <c r="Q54" s="117"/>
      <c r="R54" s="117"/>
      <c r="S54" s="117"/>
      <c r="T54" s="117"/>
      <c r="U54" s="117"/>
      <c r="V54" s="117"/>
      <c r="W54" s="117"/>
      <c r="X54" s="117"/>
      <c r="Y54" s="117"/>
      <c r="Z54" s="117"/>
      <c r="AA54" s="117"/>
      <c r="AB54" s="117"/>
      <c r="AC54" s="117"/>
      <c r="AD54" s="117"/>
      <c r="AE54" s="117"/>
      <c r="AF54" s="117"/>
    </row>
    <row r="55" spans="2:32" ht="14.25">
      <c r="B55" s="372" t="str">
        <f>IF(TabEntrainement[[#This Row],[Seance]]="","",TabEntrainement[[#This Row],[Seance]])</f>
        <v/>
      </c>
      <c r="C55" s="117"/>
      <c r="D55" s="117"/>
      <c r="E55" s="117"/>
      <c r="F55" s="117"/>
      <c r="G55" s="117"/>
      <c r="H55" s="117"/>
      <c r="I55" s="117"/>
      <c r="J55" s="117"/>
      <c r="K55" s="117"/>
      <c r="L55" s="117"/>
      <c r="M55" s="117"/>
      <c r="N55" s="117"/>
      <c r="O55" s="117"/>
      <c r="P55" s="117"/>
      <c r="Q55" s="117"/>
      <c r="R55" s="117"/>
      <c r="S55" s="117"/>
      <c r="T55" s="117"/>
      <c r="U55" s="117"/>
      <c r="V55" s="117"/>
      <c r="W55" s="117"/>
      <c r="X55" s="117"/>
      <c r="Y55" s="117"/>
      <c r="Z55" s="117"/>
      <c r="AA55" s="117"/>
      <c r="AB55" s="117"/>
      <c r="AC55" s="117"/>
      <c r="AD55" s="117"/>
      <c r="AE55" s="117"/>
      <c r="AF55" s="117"/>
    </row>
    <row r="56" spans="2:32" ht="14.25">
      <c r="B56" s="372" t="str">
        <f>IF(TabEntrainement[[#This Row],[Seance]]="","",TabEntrainement[[#This Row],[Seance]])</f>
        <v/>
      </c>
      <c r="C56" s="117"/>
      <c r="D56" s="117"/>
      <c r="E56" s="117"/>
      <c r="F56" s="117"/>
      <c r="G56" s="117"/>
      <c r="H56" s="117"/>
      <c r="I56" s="117"/>
      <c r="J56" s="117"/>
      <c r="K56" s="117"/>
      <c r="L56" s="117"/>
      <c r="M56" s="117"/>
      <c r="N56" s="117"/>
      <c r="O56" s="117"/>
      <c r="P56" s="117"/>
      <c r="Q56" s="117"/>
      <c r="R56" s="117"/>
      <c r="S56" s="117"/>
      <c r="T56" s="117"/>
      <c r="U56" s="117"/>
      <c r="V56" s="117"/>
      <c r="W56" s="117"/>
      <c r="X56" s="117"/>
      <c r="Y56" s="117"/>
      <c r="Z56" s="117"/>
      <c r="AA56" s="117"/>
      <c r="AB56" s="117"/>
      <c r="AC56" s="117"/>
      <c r="AD56" s="117"/>
      <c r="AE56" s="117"/>
      <c r="AF56" s="117"/>
    </row>
    <row r="57" spans="2:32" ht="14.25">
      <c r="B57" s="372" t="str">
        <f>IF(TabEntrainement[[#This Row],[Seance]]="","",TabEntrainement[[#This Row],[Seance]])</f>
        <v/>
      </c>
      <c r="C57" s="117"/>
      <c r="D57" s="117"/>
      <c r="E57" s="117"/>
      <c r="F57" s="117"/>
      <c r="G57" s="117"/>
      <c r="H57" s="117"/>
      <c r="I57" s="117"/>
      <c r="J57" s="117"/>
      <c r="K57" s="117"/>
      <c r="L57" s="117"/>
      <c r="M57" s="117"/>
      <c r="N57" s="117"/>
      <c r="O57" s="117"/>
      <c r="P57" s="117"/>
      <c r="Q57" s="117"/>
      <c r="R57" s="117"/>
      <c r="S57" s="117"/>
      <c r="T57" s="117"/>
      <c r="U57" s="117"/>
      <c r="V57" s="117"/>
      <c r="W57" s="117"/>
      <c r="X57" s="117"/>
      <c r="Y57" s="117"/>
      <c r="Z57" s="117"/>
      <c r="AA57" s="117"/>
      <c r="AB57" s="117"/>
      <c r="AC57" s="117"/>
      <c r="AD57" s="117"/>
      <c r="AE57" s="117"/>
      <c r="AF57" s="117"/>
    </row>
    <row r="58" spans="2:32" ht="14.25">
      <c r="B58" s="372" t="str">
        <f>IF(TabEntrainement[[#This Row],[Seance]]="","",TabEntrainement[[#This Row],[Seance]])</f>
        <v/>
      </c>
      <c r="C58" s="117"/>
      <c r="D58" s="117"/>
      <c r="E58" s="117"/>
      <c r="F58" s="117"/>
      <c r="G58" s="117"/>
      <c r="H58" s="117"/>
      <c r="I58" s="117"/>
      <c r="J58" s="117"/>
      <c r="K58" s="117"/>
      <c r="L58" s="117"/>
      <c r="M58" s="117"/>
      <c r="N58" s="117"/>
      <c r="O58" s="117"/>
      <c r="P58" s="117"/>
      <c r="Q58" s="117"/>
      <c r="R58" s="117"/>
      <c r="S58" s="117"/>
      <c r="T58" s="117"/>
      <c r="U58" s="117"/>
      <c r="V58" s="117"/>
      <c r="W58" s="117"/>
      <c r="X58" s="117"/>
      <c r="Y58" s="117"/>
      <c r="Z58" s="117"/>
      <c r="AA58" s="117"/>
      <c r="AB58" s="117"/>
      <c r="AC58" s="117"/>
      <c r="AD58" s="117"/>
      <c r="AE58" s="117"/>
      <c r="AF58" s="117"/>
    </row>
    <row r="59" spans="2:32" ht="14.25">
      <c r="B59" s="372" t="str">
        <f>IF(TabEntrainement[[#This Row],[Seance]]="","",TabEntrainement[[#This Row],[Seance]])</f>
        <v/>
      </c>
      <c r="C59" s="117"/>
      <c r="D59" s="117"/>
      <c r="E59" s="117"/>
      <c r="F59" s="117"/>
      <c r="G59" s="117"/>
      <c r="H59" s="117"/>
      <c r="I59" s="117"/>
      <c r="J59" s="117"/>
      <c r="K59" s="117"/>
      <c r="L59" s="117"/>
      <c r="M59" s="117"/>
      <c r="N59" s="117"/>
      <c r="O59" s="117"/>
      <c r="P59" s="117"/>
      <c r="Q59" s="117"/>
      <c r="R59" s="117"/>
      <c r="S59" s="117"/>
      <c r="T59" s="117"/>
      <c r="U59" s="117"/>
      <c r="V59" s="117"/>
      <c r="W59" s="117"/>
      <c r="X59" s="117"/>
      <c r="Y59" s="117"/>
      <c r="Z59" s="117"/>
      <c r="AA59" s="117"/>
      <c r="AB59" s="117"/>
      <c r="AC59" s="117"/>
      <c r="AD59" s="117"/>
      <c r="AE59" s="117"/>
      <c r="AF59" s="117"/>
    </row>
    <row r="60" spans="2:32" ht="14.25">
      <c r="B60" s="372" t="str">
        <f>IF(TabEntrainement[[#This Row],[Seance]]="","",TabEntrainement[[#This Row],[Seance]])</f>
        <v/>
      </c>
      <c r="C60" s="117"/>
      <c r="D60" s="117"/>
      <c r="E60" s="117"/>
      <c r="F60" s="117"/>
      <c r="G60" s="117"/>
      <c r="H60" s="117"/>
      <c r="I60" s="117"/>
      <c r="J60" s="117"/>
      <c r="K60" s="117"/>
      <c r="L60" s="117"/>
      <c r="M60" s="117"/>
      <c r="N60" s="117"/>
      <c r="O60" s="117"/>
      <c r="P60" s="117"/>
      <c r="Q60" s="117"/>
      <c r="R60" s="117"/>
      <c r="S60" s="117"/>
      <c r="T60" s="117"/>
      <c r="U60" s="117"/>
      <c r="V60" s="117"/>
      <c r="W60" s="117"/>
      <c r="X60" s="117"/>
      <c r="Y60" s="117"/>
      <c r="Z60" s="117"/>
      <c r="AA60" s="117"/>
      <c r="AB60" s="117"/>
      <c r="AC60" s="117"/>
      <c r="AD60" s="117"/>
      <c r="AE60" s="117"/>
      <c r="AF60" s="117"/>
    </row>
    <row r="61" spans="2:32" ht="14.25">
      <c r="B61" s="372" t="str">
        <f>IF(TabEntrainement[[#This Row],[Seance]]="","",TabEntrainement[[#This Row],[Seance]])</f>
        <v/>
      </c>
      <c r="C61" s="117"/>
      <c r="D61" s="117"/>
      <c r="E61" s="117"/>
      <c r="F61" s="117"/>
      <c r="G61" s="117"/>
      <c r="H61" s="117"/>
      <c r="I61" s="117"/>
      <c r="J61" s="117"/>
      <c r="K61" s="117"/>
      <c r="L61" s="117"/>
      <c r="M61" s="117"/>
      <c r="N61" s="117"/>
      <c r="O61" s="117"/>
      <c r="P61" s="117"/>
      <c r="Q61" s="117"/>
      <c r="R61" s="117"/>
      <c r="S61" s="117"/>
      <c r="T61" s="117"/>
      <c r="U61" s="117"/>
      <c r="V61" s="117"/>
      <c r="W61" s="117"/>
      <c r="X61" s="117"/>
      <c r="Y61" s="117"/>
      <c r="Z61" s="117"/>
      <c r="AA61" s="117"/>
      <c r="AB61" s="117"/>
      <c r="AC61" s="117"/>
      <c r="AD61" s="117"/>
      <c r="AE61" s="117"/>
      <c r="AF61" s="117"/>
    </row>
    <row r="62" spans="2:32" ht="14.25">
      <c r="B62" s="372" t="str">
        <f>IF(TabEntrainement[[#This Row],[Seance]]="","",TabEntrainement[[#This Row],[Seance]])</f>
        <v/>
      </c>
      <c r="C62" s="117"/>
      <c r="D62" s="117"/>
      <c r="E62" s="117"/>
      <c r="F62" s="117"/>
      <c r="G62" s="117"/>
      <c r="H62" s="117"/>
      <c r="I62" s="117"/>
      <c r="J62" s="117"/>
      <c r="K62" s="117"/>
      <c r="L62" s="117"/>
      <c r="M62" s="117"/>
      <c r="N62" s="117"/>
      <c r="O62" s="117"/>
      <c r="P62" s="117"/>
      <c r="Q62" s="117"/>
      <c r="R62" s="117"/>
      <c r="S62" s="117"/>
      <c r="T62" s="117"/>
      <c r="U62" s="117"/>
      <c r="V62" s="117"/>
      <c r="W62" s="117"/>
      <c r="X62" s="117"/>
      <c r="Y62" s="117"/>
      <c r="Z62" s="117"/>
      <c r="AA62" s="117"/>
      <c r="AB62" s="117"/>
      <c r="AC62" s="117"/>
      <c r="AD62" s="117"/>
      <c r="AE62" s="117"/>
      <c r="AF62" s="117"/>
    </row>
    <row r="63" spans="2:32" ht="14.25">
      <c r="B63" s="372" t="str">
        <f>IF(TabEntrainement[[#This Row],[Seance]]="","",TabEntrainement[[#This Row],[Seance]])</f>
        <v/>
      </c>
      <c r="C63" s="117"/>
      <c r="D63" s="117"/>
      <c r="E63" s="117"/>
      <c r="F63" s="117"/>
      <c r="G63" s="117"/>
      <c r="H63" s="117"/>
      <c r="I63" s="117"/>
      <c r="J63" s="117"/>
      <c r="K63" s="117"/>
      <c r="L63" s="117"/>
      <c r="M63" s="117"/>
      <c r="N63" s="117"/>
      <c r="O63" s="117"/>
      <c r="P63" s="117"/>
      <c r="Q63" s="117"/>
      <c r="R63" s="117"/>
      <c r="S63" s="117"/>
      <c r="T63" s="117"/>
      <c r="U63" s="117"/>
      <c r="V63" s="117"/>
      <c r="W63" s="117"/>
      <c r="X63" s="117"/>
      <c r="Y63" s="117"/>
      <c r="Z63" s="117"/>
      <c r="AA63" s="117"/>
      <c r="AB63" s="117"/>
      <c r="AC63" s="117"/>
      <c r="AD63" s="117"/>
      <c r="AE63" s="117"/>
      <c r="AF63" s="117"/>
    </row>
    <row r="64" spans="2:32" ht="14.25">
      <c r="B64" s="372" t="str">
        <f>IF(TabEntrainement[[#This Row],[Seance]]="","",TabEntrainement[[#This Row],[Seance]])</f>
        <v/>
      </c>
      <c r="C64" s="117"/>
      <c r="D64" s="117"/>
      <c r="E64" s="117"/>
      <c r="F64" s="117"/>
      <c r="G64" s="117"/>
      <c r="H64" s="117"/>
      <c r="I64" s="117"/>
      <c r="J64" s="117"/>
      <c r="K64" s="117"/>
      <c r="L64" s="117"/>
      <c r="M64" s="117"/>
      <c r="N64" s="117"/>
      <c r="O64" s="117"/>
      <c r="P64" s="117"/>
      <c r="Q64" s="117"/>
      <c r="R64" s="117"/>
      <c r="S64" s="117"/>
      <c r="T64" s="117"/>
      <c r="U64" s="117"/>
      <c r="V64" s="117"/>
      <c r="W64" s="117"/>
      <c r="X64" s="117"/>
      <c r="Y64" s="117"/>
      <c r="Z64" s="117"/>
      <c r="AA64" s="117"/>
      <c r="AB64" s="117"/>
      <c r="AC64" s="117"/>
      <c r="AD64" s="117"/>
      <c r="AE64" s="117"/>
      <c r="AF64" s="117"/>
    </row>
    <row r="65" spans="2:32" ht="14.25">
      <c r="B65" s="372" t="str">
        <f>IF(TabEntrainement[[#This Row],[Seance]]="","",TabEntrainement[[#This Row],[Seance]])</f>
        <v/>
      </c>
      <c r="C65" s="117"/>
      <c r="D65" s="117"/>
      <c r="E65" s="117"/>
      <c r="F65" s="117"/>
      <c r="G65" s="117"/>
      <c r="H65" s="117"/>
      <c r="I65" s="117"/>
      <c r="J65" s="117"/>
      <c r="K65" s="117"/>
      <c r="L65" s="117"/>
      <c r="M65" s="117"/>
      <c r="N65" s="117"/>
      <c r="O65" s="117"/>
      <c r="P65" s="117"/>
      <c r="Q65" s="117"/>
      <c r="R65" s="117"/>
      <c r="S65" s="117"/>
      <c r="T65" s="117"/>
      <c r="U65" s="117"/>
      <c r="V65" s="117"/>
      <c r="W65" s="117"/>
      <c r="X65" s="117"/>
      <c r="Y65" s="117"/>
      <c r="Z65" s="117"/>
      <c r="AA65" s="117"/>
      <c r="AB65" s="117"/>
      <c r="AC65" s="117"/>
      <c r="AD65" s="117"/>
      <c r="AE65" s="117"/>
      <c r="AF65" s="117"/>
    </row>
    <row r="66" spans="2:32" ht="14.25">
      <c r="B66" s="372" t="str">
        <f>IF(TabEntrainement[[#This Row],[Seance]]="","",TabEntrainement[[#This Row],[Seance]])</f>
        <v/>
      </c>
      <c r="C66" s="117"/>
      <c r="D66" s="117"/>
      <c r="E66" s="117"/>
      <c r="F66" s="117"/>
      <c r="G66" s="117"/>
      <c r="H66" s="117"/>
      <c r="I66" s="117"/>
      <c r="J66" s="117"/>
      <c r="K66" s="117"/>
      <c r="L66" s="117"/>
      <c r="M66" s="117"/>
      <c r="N66" s="117"/>
      <c r="O66" s="117"/>
      <c r="P66" s="117"/>
      <c r="Q66" s="117"/>
      <c r="R66" s="117"/>
      <c r="S66" s="117"/>
      <c r="T66" s="117"/>
      <c r="U66" s="117"/>
      <c r="V66" s="117"/>
      <c r="W66" s="117"/>
      <c r="X66" s="117"/>
      <c r="Y66" s="117"/>
      <c r="Z66" s="117"/>
      <c r="AA66" s="117"/>
      <c r="AB66" s="117"/>
      <c r="AC66" s="117"/>
      <c r="AD66" s="117"/>
      <c r="AE66" s="117"/>
      <c r="AF66" s="117"/>
    </row>
    <row r="67" spans="2:32" ht="14.25">
      <c r="B67" s="372" t="str">
        <f>IF(TabEntrainement[[#This Row],[Seance]]="","",TabEntrainement[[#This Row],[Seance]])</f>
        <v/>
      </c>
      <c r="C67" s="117"/>
      <c r="D67" s="117"/>
      <c r="E67" s="117"/>
      <c r="F67" s="117"/>
      <c r="G67" s="117"/>
      <c r="H67" s="117"/>
      <c r="I67" s="117"/>
      <c r="J67" s="117"/>
      <c r="K67" s="117"/>
      <c r="L67" s="117"/>
      <c r="M67" s="117"/>
      <c r="N67" s="117"/>
      <c r="O67" s="117"/>
      <c r="P67" s="117"/>
      <c r="Q67" s="117"/>
      <c r="R67" s="117"/>
      <c r="S67" s="117"/>
      <c r="T67" s="117"/>
      <c r="U67" s="117"/>
      <c r="V67" s="117"/>
      <c r="W67" s="117"/>
      <c r="X67" s="117"/>
      <c r="Y67" s="117"/>
      <c r="Z67" s="117"/>
      <c r="AA67" s="117"/>
      <c r="AB67" s="117"/>
      <c r="AC67" s="117"/>
      <c r="AD67" s="117"/>
      <c r="AE67" s="117"/>
      <c r="AF67" s="117"/>
    </row>
    <row r="68" spans="2:32" ht="14.25">
      <c r="B68" s="372" t="str">
        <f>IF(TabEntrainement[[#This Row],[Seance]]="","",TabEntrainement[[#This Row],[Seance]])</f>
        <v/>
      </c>
      <c r="C68" s="117"/>
      <c r="D68" s="117"/>
      <c r="E68" s="117"/>
      <c r="F68" s="117"/>
      <c r="G68" s="117"/>
      <c r="H68" s="117"/>
      <c r="I68" s="117"/>
      <c r="J68" s="117"/>
      <c r="K68" s="117"/>
      <c r="L68" s="117"/>
      <c r="M68" s="117"/>
      <c r="N68" s="117"/>
      <c r="O68" s="117"/>
      <c r="P68" s="117"/>
      <c r="Q68" s="117"/>
      <c r="R68" s="117"/>
      <c r="S68" s="117"/>
      <c r="T68" s="117"/>
      <c r="U68" s="117"/>
      <c r="V68" s="117"/>
      <c r="W68" s="117"/>
      <c r="X68" s="117"/>
      <c r="Y68" s="117"/>
      <c r="Z68" s="117"/>
      <c r="AA68" s="117"/>
      <c r="AB68" s="117"/>
      <c r="AC68" s="117"/>
      <c r="AD68" s="117"/>
      <c r="AE68" s="117"/>
      <c r="AF68" s="117"/>
    </row>
    <row r="69" spans="2:32" ht="14.25">
      <c r="B69" s="372" t="str">
        <f>IF(TabEntrainement[[#This Row],[Seance]]="","",TabEntrainement[[#This Row],[Seance]])</f>
        <v/>
      </c>
      <c r="C69" s="117"/>
      <c r="D69" s="117"/>
      <c r="E69" s="117"/>
      <c r="F69" s="117"/>
      <c r="G69" s="117"/>
      <c r="H69" s="117"/>
      <c r="I69" s="117"/>
      <c r="J69" s="117"/>
      <c r="K69" s="117"/>
      <c r="L69" s="117"/>
      <c r="M69" s="117"/>
      <c r="N69" s="117"/>
      <c r="O69" s="117"/>
      <c r="P69" s="117"/>
      <c r="Q69" s="117"/>
      <c r="R69" s="117"/>
      <c r="S69" s="117"/>
      <c r="T69" s="117"/>
      <c r="U69" s="117"/>
      <c r="V69" s="117"/>
      <c r="W69" s="117"/>
      <c r="X69" s="117"/>
      <c r="Y69" s="117"/>
      <c r="Z69" s="117"/>
      <c r="AA69" s="117"/>
      <c r="AB69" s="117"/>
      <c r="AC69" s="117"/>
      <c r="AD69" s="117"/>
      <c r="AE69" s="117"/>
      <c r="AF69" s="117"/>
    </row>
    <row r="70" spans="2:32" ht="14.25">
      <c r="B70" s="372" t="str">
        <f>IF(TabEntrainement[[#This Row],[Seance]]="","",TabEntrainement[[#This Row],[Seance]])</f>
        <v/>
      </c>
      <c r="C70" s="117"/>
      <c r="D70" s="117"/>
      <c r="E70" s="117"/>
      <c r="F70" s="117"/>
      <c r="G70" s="117"/>
      <c r="H70" s="117"/>
      <c r="I70" s="117"/>
      <c r="J70" s="117"/>
      <c r="K70" s="117"/>
      <c r="L70" s="117"/>
      <c r="M70" s="117"/>
      <c r="N70" s="117"/>
      <c r="O70" s="117"/>
      <c r="P70" s="117"/>
      <c r="Q70" s="117"/>
      <c r="R70" s="117"/>
      <c r="S70" s="117"/>
      <c r="T70" s="117"/>
      <c r="U70" s="117"/>
      <c r="V70" s="117"/>
      <c r="W70" s="117"/>
      <c r="X70" s="117"/>
      <c r="Y70" s="117"/>
      <c r="Z70" s="117"/>
      <c r="AA70" s="117"/>
      <c r="AB70" s="117"/>
      <c r="AC70" s="117"/>
      <c r="AD70" s="117"/>
      <c r="AE70" s="117"/>
      <c r="AF70" s="117"/>
    </row>
    <row r="71" spans="2:32" ht="14.25">
      <c r="B71" s="372" t="str">
        <f>IF(TabEntrainement[[#This Row],[Seance]]="","",TabEntrainement[[#This Row],[Seance]])</f>
        <v/>
      </c>
      <c r="C71" s="117"/>
      <c r="D71" s="117"/>
      <c r="E71" s="117"/>
      <c r="F71" s="117"/>
      <c r="G71" s="117"/>
      <c r="H71" s="117"/>
      <c r="I71" s="117"/>
      <c r="J71" s="117"/>
      <c r="K71" s="117"/>
      <c r="L71" s="117"/>
      <c r="M71" s="117"/>
      <c r="N71" s="117"/>
      <c r="O71" s="117"/>
      <c r="P71" s="117"/>
      <c r="Q71" s="117"/>
      <c r="R71" s="117"/>
      <c r="S71" s="117"/>
      <c r="T71" s="117"/>
      <c r="U71" s="117"/>
      <c r="V71" s="117"/>
      <c r="W71" s="117"/>
      <c r="X71" s="117"/>
      <c r="Y71" s="117"/>
      <c r="Z71" s="117"/>
      <c r="AA71" s="117"/>
      <c r="AB71" s="117"/>
      <c r="AC71" s="117"/>
      <c r="AD71" s="117"/>
      <c r="AE71" s="117"/>
      <c r="AF71" s="117"/>
    </row>
    <row r="72" spans="2:32" ht="14.25">
      <c r="B72" s="372" t="str">
        <f>IF(TabEntrainement[[#This Row],[Seance]]="","",TabEntrainement[[#This Row],[Seance]])</f>
        <v/>
      </c>
      <c r="C72" s="117"/>
      <c r="D72" s="117"/>
      <c r="E72" s="117"/>
      <c r="F72" s="117"/>
      <c r="G72" s="117"/>
      <c r="H72" s="117"/>
      <c r="I72" s="117"/>
      <c r="J72" s="117"/>
      <c r="K72" s="117"/>
      <c r="L72" s="117"/>
      <c r="M72" s="117"/>
      <c r="N72" s="117"/>
      <c r="O72" s="117"/>
      <c r="P72" s="117"/>
      <c r="Q72" s="117"/>
      <c r="R72" s="117"/>
      <c r="S72" s="117"/>
      <c r="T72" s="117"/>
      <c r="U72" s="117"/>
      <c r="V72" s="117"/>
      <c r="W72" s="117"/>
      <c r="X72" s="117"/>
      <c r="Y72" s="117"/>
      <c r="Z72" s="117"/>
      <c r="AA72" s="117"/>
      <c r="AB72" s="117"/>
      <c r="AC72" s="117"/>
      <c r="AD72" s="117"/>
      <c r="AE72" s="117"/>
      <c r="AF72" s="117"/>
    </row>
    <row r="73" spans="2:32" ht="14.25">
      <c r="B73" s="372" t="str">
        <f>IF(TabEntrainement[[#This Row],[Seance]]="","",TabEntrainement[[#This Row],[Seance]])</f>
        <v/>
      </c>
      <c r="C73" s="117"/>
      <c r="D73" s="117"/>
      <c r="E73" s="117"/>
      <c r="F73" s="117"/>
      <c r="G73" s="117"/>
      <c r="H73" s="117"/>
      <c r="I73" s="117"/>
      <c r="J73" s="117"/>
      <c r="K73" s="117"/>
      <c r="L73" s="117"/>
      <c r="M73" s="117"/>
      <c r="N73" s="117"/>
      <c r="O73" s="117"/>
      <c r="P73" s="117"/>
      <c r="Q73" s="117"/>
      <c r="R73" s="117"/>
      <c r="S73" s="117"/>
      <c r="T73" s="117"/>
      <c r="U73" s="117"/>
      <c r="V73" s="117"/>
      <c r="W73" s="117"/>
      <c r="X73" s="117"/>
      <c r="Y73" s="117"/>
      <c r="Z73" s="117"/>
      <c r="AA73" s="117"/>
      <c r="AB73" s="117"/>
      <c r="AC73" s="117"/>
      <c r="AD73" s="117"/>
      <c r="AE73" s="117"/>
      <c r="AF73" s="117"/>
    </row>
    <row r="74" spans="2:32" ht="14.25">
      <c r="B74" s="372" t="str">
        <f>IF(TabEntrainement[[#This Row],[Seance]]="","",TabEntrainement[[#This Row],[Seance]])</f>
        <v/>
      </c>
      <c r="C74" s="117"/>
      <c r="D74" s="117"/>
      <c r="E74" s="117"/>
      <c r="F74" s="117"/>
      <c r="G74" s="117"/>
      <c r="H74" s="117"/>
      <c r="I74" s="117"/>
      <c r="J74" s="117"/>
      <c r="K74" s="117"/>
      <c r="L74" s="117"/>
      <c r="M74" s="117"/>
      <c r="N74" s="117"/>
      <c r="O74" s="117"/>
      <c r="P74" s="117"/>
      <c r="Q74" s="117"/>
      <c r="R74" s="117"/>
      <c r="S74" s="117"/>
      <c r="T74" s="117"/>
      <c r="U74" s="117"/>
      <c r="V74" s="117"/>
      <c r="W74" s="117"/>
      <c r="X74" s="117"/>
      <c r="Y74" s="117"/>
      <c r="Z74" s="117"/>
      <c r="AA74" s="117"/>
      <c r="AB74" s="117"/>
      <c r="AC74" s="117"/>
      <c r="AD74" s="117"/>
      <c r="AE74" s="117"/>
      <c r="AF74" s="117"/>
    </row>
    <row r="75" spans="2:32" ht="14.25">
      <c r="B75" s="372" t="str">
        <f>IF(TabEntrainement[[#This Row],[Seance]]="","",TabEntrainement[[#This Row],[Seance]])</f>
        <v/>
      </c>
      <c r="C75" s="117"/>
      <c r="D75" s="117"/>
      <c r="E75" s="117"/>
      <c r="F75" s="117"/>
      <c r="G75" s="117"/>
      <c r="H75" s="117"/>
      <c r="I75" s="117"/>
      <c r="J75" s="117"/>
      <c r="K75" s="117"/>
      <c r="L75" s="117"/>
      <c r="M75" s="117"/>
      <c r="N75" s="117"/>
      <c r="O75" s="117"/>
      <c r="P75" s="117"/>
      <c r="Q75" s="117"/>
      <c r="R75" s="117"/>
      <c r="S75" s="117"/>
      <c r="T75" s="117"/>
      <c r="U75" s="117"/>
      <c r="V75" s="117"/>
      <c r="W75" s="117"/>
      <c r="X75" s="117"/>
      <c r="Y75" s="117"/>
      <c r="Z75" s="117"/>
      <c r="AA75" s="117"/>
      <c r="AB75" s="117"/>
      <c r="AC75" s="117"/>
      <c r="AD75" s="117"/>
      <c r="AE75" s="117"/>
      <c r="AF75" s="117"/>
    </row>
    <row r="76" spans="2:32" ht="14.25">
      <c r="B76" s="372" t="str">
        <f>IF(TabEntrainement[[#This Row],[Seance]]="","",TabEntrainement[[#This Row],[Seance]])</f>
        <v/>
      </c>
      <c r="C76" s="117"/>
      <c r="D76" s="117"/>
      <c r="E76" s="117"/>
      <c r="F76" s="117"/>
      <c r="G76" s="117"/>
      <c r="H76" s="117"/>
      <c r="I76" s="117"/>
      <c r="J76" s="117"/>
      <c r="K76" s="117"/>
      <c r="L76" s="117"/>
      <c r="M76" s="117"/>
      <c r="N76" s="117"/>
      <c r="O76" s="117"/>
      <c r="P76" s="117"/>
      <c r="Q76" s="117"/>
      <c r="R76" s="117"/>
      <c r="S76" s="117"/>
      <c r="T76" s="117"/>
      <c r="U76" s="117"/>
      <c r="V76" s="117"/>
      <c r="W76" s="117"/>
      <c r="X76" s="117"/>
      <c r="Y76" s="117"/>
      <c r="Z76" s="117"/>
      <c r="AA76" s="117"/>
      <c r="AB76" s="117"/>
      <c r="AC76" s="117"/>
      <c r="AD76" s="117"/>
      <c r="AE76" s="117"/>
      <c r="AF76" s="117"/>
    </row>
    <row r="77" spans="2:32" ht="14.25">
      <c r="B77" s="372" t="str">
        <f>IF(TabEntrainement[[#This Row],[Seance]]="","",TabEntrainement[[#This Row],[Seance]])</f>
        <v/>
      </c>
      <c r="C77" s="117"/>
      <c r="D77" s="117"/>
      <c r="E77" s="117"/>
      <c r="F77" s="117"/>
      <c r="G77" s="117"/>
      <c r="H77" s="117"/>
      <c r="I77" s="117"/>
      <c r="J77" s="117"/>
      <c r="K77" s="117"/>
      <c r="L77" s="117"/>
      <c r="M77" s="117"/>
      <c r="N77" s="117"/>
      <c r="O77" s="117"/>
      <c r="P77" s="117"/>
      <c r="Q77" s="117"/>
      <c r="R77" s="117"/>
      <c r="S77" s="117"/>
      <c r="T77" s="117"/>
      <c r="U77" s="117"/>
      <c r="V77" s="117"/>
      <c r="W77" s="117"/>
      <c r="X77" s="117"/>
      <c r="Y77" s="117"/>
      <c r="Z77" s="117"/>
      <c r="AA77" s="117"/>
      <c r="AB77" s="117"/>
      <c r="AC77" s="117"/>
      <c r="AD77" s="117"/>
      <c r="AE77" s="117"/>
      <c r="AF77" s="117"/>
    </row>
    <row r="78" spans="2:32" ht="14.25">
      <c r="B78" s="372" t="str">
        <f>IF(TabEntrainement[[#This Row],[Seance]]="","",TabEntrainement[[#This Row],[Seance]])</f>
        <v/>
      </c>
      <c r="C78" s="117"/>
      <c r="D78" s="117"/>
      <c r="E78" s="117"/>
      <c r="F78" s="117"/>
      <c r="G78" s="117"/>
      <c r="H78" s="117"/>
      <c r="I78" s="117"/>
      <c r="J78" s="117"/>
      <c r="K78" s="117"/>
      <c r="L78" s="117"/>
      <c r="M78" s="117"/>
      <c r="N78" s="117"/>
      <c r="O78" s="117"/>
      <c r="P78" s="117"/>
      <c r="Q78" s="117"/>
      <c r="R78" s="117"/>
      <c r="S78" s="117"/>
      <c r="T78" s="117"/>
      <c r="U78" s="117"/>
      <c r="V78" s="117"/>
      <c r="W78" s="117"/>
      <c r="X78" s="117"/>
      <c r="Y78" s="117"/>
      <c r="Z78" s="117"/>
      <c r="AA78" s="117"/>
      <c r="AB78" s="117"/>
      <c r="AC78" s="117"/>
      <c r="AD78" s="117"/>
      <c r="AE78" s="117"/>
      <c r="AF78" s="117"/>
    </row>
    <row r="79" spans="2:32" ht="14.25">
      <c r="B79" s="372" t="str">
        <f>IF(TabEntrainement[[#This Row],[Seance]]="","",TabEntrainement[[#This Row],[Seance]])</f>
        <v/>
      </c>
      <c r="C79" s="117"/>
      <c r="D79" s="117"/>
      <c r="E79" s="117"/>
      <c r="F79" s="117"/>
      <c r="G79" s="117"/>
      <c r="H79" s="117"/>
      <c r="I79" s="117"/>
      <c r="J79" s="117"/>
      <c r="K79" s="117"/>
      <c r="L79" s="117"/>
      <c r="M79" s="117"/>
      <c r="N79" s="117"/>
      <c r="O79" s="117"/>
      <c r="P79" s="117"/>
      <c r="Q79" s="117"/>
      <c r="R79" s="117"/>
      <c r="S79" s="117"/>
      <c r="T79" s="117"/>
      <c r="U79" s="117"/>
      <c r="V79" s="117"/>
      <c r="W79" s="117"/>
      <c r="X79" s="117"/>
      <c r="Y79" s="117"/>
      <c r="Z79" s="117"/>
      <c r="AA79" s="117"/>
      <c r="AB79" s="117"/>
      <c r="AC79" s="117"/>
      <c r="AD79" s="117"/>
      <c r="AE79" s="117"/>
      <c r="AF79" s="117"/>
    </row>
    <row r="80" spans="2:32" ht="14.25">
      <c r="B80" s="372" t="str">
        <f>IF(TabEntrainement[[#This Row],[Seance]]="","",TabEntrainement[[#This Row],[Seance]])</f>
        <v/>
      </c>
      <c r="C80" s="117"/>
      <c r="D80" s="117"/>
      <c r="E80" s="117"/>
      <c r="F80" s="117"/>
      <c r="G80" s="117"/>
      <c r="H80" s="117"/>
      <c r="I80" s="117"/>
      <c r="J80" s="117"/>
      <c r="K80" s="117"/>
      <c r="L80" s="117"/>
      <c r="M80" s="117"/>
      <c r="N80" s="117"/>
      <c r="O80" s="117"/>
      <c r="P80" s="117"/>
      <c r="Q80" s="117"/>
      <c r="R80" s="117"/>
      <c r="S80" s="117"/>
      <c r="T80" s="117"/>
      <c r="U80" s="117"/>
      <c r="V80" s="117"/>
      <c r="W80" s="117"/>
      <c r="X80" s="117"/>
      <c r="Y80" s="117"/>
      <c r="Z80" s="117"/>
      <c r="AA80" s="117"/>
      <c r="AB80" s="117"/>
      <c r="AC80" s="117"/>
      <c r="AD80" s="117"/>
      <c r="AE80" s="117"/>
      <c r="AF80" s="117"/>
    </row>
    <row r="81" spans="2:32" ht="14.25">
      <c r="B81" s="372" t="str">
        <f>IF(TabEntrainement[[#This Row],[Seance]]="","",TabEntrainement[[#This Row],[Seance]])</f>
        <v/>
      </c>
      <c r="C81" s="117"/>
      <c r="D81" s="117"/>
      <c r="E81" s="117"/>
      <c r="F81" s="117"/>
      <c r="G81" s="117"/>
      <c r="H81" s="117"/>
      <c r="I81" s="117"/>
      <c r="J81" s="117"/>
      <c r="K81" s="117"/>
      <c r="L81" s="117"/>
      <c r="M81" s="117"/>
      <c r="N81" s="117"/>
      <c r="O81" s="117"/>
      <c r="P81" s="117"/>
      <c r="Q81" s="117"/>
      <c r="R81" s="117"/>
      <c r="S81" s="117"/>
      <c r="T81" s="117"/>
      <c r="U81" s="117"/>
      <c r="V81" s="117"/>
      <c r="W81" s="117"/>
      <c r="X81" s="117"/>
      <c r="Y81" s="117"/>
      <c r="Z81" s="117"/>
      <c r="AA81" s="117"/>
      <c r="AB81" s="117"/>
      <c r="AC81" s="117"/>
      <c r="AD81" s="117"/>
      <c r="AE81" s="117"/>
      <c r="AF81" s="117"/>
    </row>
    <row r="82" spans="2:32" ht="14.25">
      <c r="B82" s="372" t="str">
        <f>IF(TabEntrainement[[#This Row],[Seance]]="","",TabEntrainement[[#This Row],[Seance]])</f>
        <v/>
      </c>
      <c r="C82" s="117"/>
      <c r="D82" s="117"/>
      <c r="E82" s="117"/>
      <c r="F82" s="117"/>
      <c r="G82" s="117"/>
      <c r="H82" s="117"/>
      <c r="I82" s="117"/>
      <c r="J82" s="117"/>
      <c r="K82" s="117"/>
      <c r="L82" s="117"/>
      <c r="M82" s="117"/>
      <c r="N82" s="117"/>
      <c r="O82" s="117"/>
      <c r="P82" s="117"/>
      <c r="Q82" s="117"/>
      <c r="R82" s="117"/>
      <c r="S82" s="117"/>
      <c r="T82" s="117"/>
      <c r="U82" s="117"/>
      <c r="V82" s="117"/>
      <c r="W82" s="117"/>
      <c r="X82" s="117"/>
      <c r="Y82" s="117"/>
      <c r="Z82" s="117"/>
      <c r="AA82" s="117"/>
      <c r="AB82" s="117"/>
      <c r="AC82" s="117"/>
      <c r="AD82" s="117"/>
      <c r="AE82" s="117"/>
      <c r="AF82" s="117"/>
    </row>
    <row r="83" spans="2:32" ht="14.25">
      <c r="B83" s="372" t="str">
        <f>IF(TabEntrainement[[#This Row],[Seance]]="","",TabEntrainement[[#This Row],[Seance]])</f>
        <v/>
      </c>
      <c r="C83" s="117"/>
      <c r="D83" s="117"/>
      <c r="E83" s="117"/>
      <c r="F83" s="117"/>
      <c r="G83" s="117"/>
      <c r="H83" s="117"/>
      <c r="I83" s="117"/>
      <c r="J83" s="117"/>
      <c r="K83" s="117"/>
      <c r="L83" s="117"/>
      <c r="M83" s="117"/>
      <c r="N83" s="117"/>
      <c r="O83" s="117"/>
      <c r="P83" s="117"/>
      <c r="Q83" s="117"/>
      <c r="R83" s="117"/>
      <c r="S83" s="117"/>
      <c r="T83" s="117"/>
      <c r="U83" s="117"/>
      <c r="V83" s="117"/>
      <c r="W83" s="117"/>
      <c r="X83" s="117"/>
      <c r="Y83" s="117"/>
      <c r="Z83" s="117"/>
      <c r="AA83" s="117"/>
      <c r="AB83" s="117"/>
      <c r="AC83" s="117"/>
      <c r="AD83" s="117"/>
      <c r="AE83" s="117"/>
      <c r="AF83" s="117"/>
    </row>
    <row r="84" spans="2:32" ht="14.25">
      <c r="B84" s="372" t="str">
        <f>IF(TabEntrainement[[#This Row],[Seance]]="","",TabEntrainement[[#This Row],[Seance]])</f>
        <v/>
      </c>
      <c r="C84" s="117"/>
      <c r="D84" s="117"/>
      <c r="E84" s="117"/>
      <c r="F84" s="117"/>
      <c r="G84" s="117"/>
      <c r="H84" s="117"/>
      <c r="I84" s="117"/>
      <c r="J84" s="117"/>
      <c r="K84" s="117"/>
      <c r="L84" s="117"/>
      <c r="M84" s="117"/>
      <c r="N84" s="117"/>
      <c r="O84" s="117"/>
      <c r="P84" s="117"/>
      <c r="Q84" s="117"/>
      <c r="R84" s="117"/>
      <c r="S84" s="117"/>
      <c r="T84" s="117"/>
      <c r="U84" s="117"/>
      <c r="V84" s="117"/>
      <c r="W84" s="117"/>
      <c r="X84" s="117"/>
      <c r="Y84" s="117"/>
      <c r="Z84" s="117"/>
      <c r="AA84" s="117"/>
      <c r="AB84" s="117"/>
      <c r="AC84" s="117"/>
      <c r="AD84" s="117"/>
      <c r="AE84" s="117"/>
      <c r="AF84" s="117"/>
    </row>
    <row r="85" spans="2:32" ht="14.25">
      <c r="B85" s="372" t="str">
        <f>IF(TabEntrainement[[#This Row],[Seance]]="","",TabEntrainement[[#This Row],[Seance]])</f>
        <v/>
      </c>
      <c r="C85" s="117"/>
      <c r="D85" s="117"/>
      <c r="E85" s="117"/>
      <c r="F85" s="117"/>
      <c r="G85" s="117"/>
      <c r="H85" s="117"/>
      <c r="I85" s="117"/>
      <c r="J85" s="117"/>
      <c r="K85" s="117"/>
      <c r="L85" s="117"/>
      <c r="M85" s="117"/>
      <c r="N85" s="117"/>
      <c r="O85" s="117"/>
      <c r="P85" s="117"/>
      <c r="Q85" s="117"/>
      <c r="R85" s="117"/>
      <c r="S85" s="117"/>
      <c r="T85" s="117"/>
      <c r="U85" s="117"/>
      <c r="V85" s="117"/>
      <c r="W85" s="117"/>
      <c r="X85" s="117"/>
      <c r="Y85" s="117"/>
      <c r="Z85" s="117"/>
      <c r="AA85" s="117"/>
      <c r="AB85" s="117"/>
      <c r="AC85" s="117"/>
      <c r="AD85" s="117"/>
      <c r="AE85" s="117"/>
      <c r="AF85" s="117"/>
    </row>
    <row r="86" spans="2:32" ht="14.25">
      <c r="B86" s="372" t="str">
        <f>IF(TabEntrainement[[#This Row],[Seance]]="","",TabEntrainement[[#This Row],[Seance]])</f>
        <v/>
      </c>
      <c r="C86" s="117"/>
      <c r="D86" s="117"/>
      <c r="E86" s="117"/>
      <c r="F86" s="117"/>
      <c r="G86" s="117"/>
      <c r="H86" s="117"/>
      <c r="I86" s="117"/>
      <c r="J86" s="117"/>
      <c r="K86" s="117"/>
      <c r="L86" s="117"/>
      <c r="M86" s="117"/>
      <c r="N86" s="117"/>
      <c r="O86" s="117"/>
      <c r="P86" s="117"/>
      <c r="Q86" s="117"/>
      <c r="R86" s="117"/>
      <c r="S86" s="117"/>
      <c r="T86" s="117"/>
      <c r="U86" s="117"/>
      <c r="V86" s="117"/>
      <c r="W86" s="117"/>
      <c r="X86" s="117"/>
      <c r="Y86" s="117"/>
      <c r="Z86" s="117"/>
      <c r="AA86" s="117"/>
      <c r="AB86" s="117"/>
      <c r="AC86" s="117"/>
      <c r="AD86" s="117"/>
      <c r="AE86" s="117"/>
      <c r="AF86" s="117"/>
    </row>
    <row r="87" spans="2:32" ht="14.25">
      <c r="B87" s="372" t="str">
        <f>IF(TabEntrainement[[#This Row],[Seance]]="","",TabEntrainement[[#This Row],[Seance]])</f>
        <v/>
      </c>
      <c r="C87" s="117"/>
      <c r="D87" s="117"/>
      <c r="E87" s="117"/>
      <c r="F87" s="117"/>
      <c r="G87" s="117"/>
      <c r="H87" s="117"/>
      <c r="I87" s="117"/>
      <c r="J87" s="117"/>
      <c r="K87" s="117"/>
      <c r="L87" s="117"/>
      <c r="M87" s="117"/>
      <c r="N87" s="117"/>
      <c r="O87" s="117"/>
      <c r="P87" s="117"/>
      <c r="Q87" s="117"/>
      <c r="R87" s="117"/>
      <c r="S87" s="117"/>
      <c r="T87" s="117"/>
      <c r="U87" s="117"/>
      <c r="V87" s="117"/>
      <c r="W87" s="117"/>
      <c r="X87" s="117"/>
      <c r="Y87" s="117"/>
      <c r="Z87" s="117"/>
      <c r="AA87" s="117"/>
      <c r="AB87" s="117"/>
      <c r="AC87" s="117"/>
      <c r="AD87" s="117"/>
      <c r="AE87" s="117"/>
      <c r="AF87" s="117"/>
    </row>
    <row r="88" spans="2:32" ht="14.25">
      <c r="B88" s="372" t="str">
        <f>IF(TabEntrainement[[#This Row],[Seance]]="","",TabEntrainement[[#This Row],[Seance]])</f>
        <v/>
      </c>
      <c r="C88" s="117"/>
      <c r="D88" s="117"/>
      <c r="E88" s="117"/>
      <c r="F88" s="117"/>
      <c r="G88" s="117"/>
      <c r="H88" s="117"/>
      <c r="I88" s="117"/>
      <c r="J88" s="117"/>
      <c r="K88" s="117"/>
      <c r="L88" s="117"/>
      <c r="M88" s="117"/>
      <c r="N88" s="117"/>
      <c r="O88" s="117"/>
      <c r="P88" s="117"/>
      <c r="Q88" s="117"/>
      <c r="R88" s="117"/>
      <c r="S88" s="117"/>
      <c r="T88" s="117"/>
      <c r="U88" s="117"/>
      <c r="V88" s="117"/>
      <c r="W88" s="117"/>
      <c r="X88" s="117"/>
      <c r="Y88" s="117"/>
      <c r="Z88" s="117"/>
      <c r="AA88" s="117"/>
      <c r="AB88" s="117"/>
      <c r="AC88" s="117"/>
      <c r="AD88" s="117"/>
      <c r="AE88" s="117"/>
      <c r="AF88" s="117"/>
    </row>
    <row r="89" spans="2:32" ht="14.25">
      <c r="B89" s="372" t="str">
        <f>IF(TabEntrainement[[#This Row],[Seance]]="","",TabEntrainement[[#This Row],[Seance]])</f>
        <v/>
      </c>
      <c r="C89" s="117"/>
      <c r="D89" s="117"/>
      <c r="E89" s="117"/>
      <c r="F89" s="117"/>
      <c r="G89" s="117"/>
      <c r="H89" s="117"/>
      <c r="I89" s="117"/>
      <c r="J89" s="117"/>
      <c r="K89" s="117"/>
      <c r="L89" s="117"/>
      <c r="M89" s="117"/>
      <c r="N89" s="117"/>
      <c r="O89" s="117"/>
      <c r="P89" s="117"/>
      <c r="Q89" s="117"/>
      <c r="R89" s="117"/>
      <c r="S89" s="117"/>
      <c r="T89" s="117"/>
      <c r="U89" s="117"/>
      <c r="V89" s="117"/>
      <c r="W89" s="117"/>
      <c r="X89" s="117"/>
      <c r="Y89" s="117"/>
      <c r="Z89" s="117"/>
      <c r="AA89" s="117"/>
      <c r="AB89" s="117"/>
      <c r="AC89" s="117"/>
      <c r="AD89" s="117"/>
      <c r="AE89" s="117"/>
      <c r="AF89" s="117"/>
    </row>
    <row r="90" spans="2:32" ht="14.25">
      <c r="B90" s="372" t="str">
        <f>IF(TabEntrainement[[#This Row],[Seance]]="","",TabEntrainement[[#This Row],[Seance]])</f>
        <v/>
      </c>
      <c r="C90" s="117"/>
      <c r="D90" s="117"/>
      <c r="E90" s="117"/>
      <c r="F90" s="117"/>
      <c r="G90" s="117"/>
      <c r="H90" s="117"/>
      <c r="I90" s="117"/>
      <c r="J90" s="117"/>
      <c r="K90" s="117"/>
      <c r="L90" s="117"/>
      <c r="M90" s="117"/>
      <c r="N90" s="117"/>
      <c r="O90" s="117"/>
      <c r="P90" s="117"/>
      <c r="Q90" s="117"/>
      <c r="R90" s="117"/>
      <c r="S90" s="117"/>
      <c r="T90" s="117"/>
      <c r="U90" s="117"/>
      <c r="V90" s="117"/>
      <c r="W90" s="117"/>
      <c r="X90" s="117"/>
      <c r="Y90" s="117"/>
      <c r="Z90" s="117"/>
      <c r="AA90" s="117"/>
      <c r="AB90" s="117"/>
      <c r="AC90" s="117"/>
      <c r="AD90" s="117"/>
      <c r="AE90" s="117"/>
      <c r="AF90" s="117"/>
    </row>
    <row r="91" spans="2:32" ht="14.25">
      <c r="B91" s="372" t="str">
        <f>IF(TabEntrainement[[#This Row],[Seance]]="","",TabEntrainement[[#This Row],[Seance]])</f>
        <v/>
      </c>
      <c r="C91" s="117"/>
      <c r="D91" s="117"/>
      <c r="E91" s="117"/>
      <c r="F91" s="117"/>
      <c r="G91" s="117"/>
      <c r="H91" s="117"/>
      <c r="I91" s="117"/>
      <c r="J91" s="117"/>
      <c r="K91" s="117"/>
      <c r="L91" s="117"/>
      <c r="M91" s="117"/>
      <c r="N91" s="117"/>
      <c r="O91" s="117"/>
      <c r="P91" s="117"/>
      <c r="Q91" s="117"/>
      <c r="R91" s="117"/>
      <c r="S91" s="117"/>
      <c r="T91" s="117"/>
      <c r="U91" s="117"/>
      <c r="V91" s="117"/>
      <c r="W91" s="117"/>
      <c r="X91" s="117"/>
      <c r="Y91" s="117"/>
      <c r="Z91" s="117"/>
      <c r="AA91" s="117"/>
      <c r="AB91" s="117"/>
      <c r="AC91" s="117"/>
      <c r="AD91" s="117"/>
      <c r="AE91" s="117"/>
      <c r="AF91" s="117"/>
    </row>
    <row r="92" spans="2:32" ht="14.25">
      <c r="B92" s="372" t="str">
        <f>IF(TabEntrainement[[#This Row],[Seance]]="","",TabEntrainement[[#This Row],[Seance]])</f>
        <v/>
      </c>
      <c r="C92" s="117"/>
      <c r="D92" s="117"/>
      <c r="E92" s="117"/>
      <c r="F92" s="117"/>
      <c r="G92" s="117"/>
      <c r="H92" s="117"/>
      <c r="I92" s="117"/>
      <c r="J92" s="117"/>
      <c r="K92" s="117"/>
      <c r="L92" s="117"/>
      <c r="M92" s="117"/>
      <c r="N92" s="117"/>
      <c r="O92" s="117"/>
      <c r="P92" s="117"/>
      <c r="Q92" s="117"/>
      <c r="R92" s="117"/>
      <c r="S92" s="117"/>
      <c r="T92" s="117"/>
      <c r="U92" s="117"/>
      <c r="V92" s="117"/>
      <c r="W92" s="117"/>
      <c r="X92" s="117"/>
      <c r="Y92" s="117"/>
      <c r="Z92" s="117"/>
      <c r="AA92" s="117"/>
      <c r="AB92" s="117"/>
      <c r="AC92" s="117"/>
      <c r="AD92" s="117"/>
      <c r="AE92" s="117"/>
      <c r="AF92" s="117"/>
    </row>
    <row r="93" spans="2:32" ht="14.25">
      <c r="B93" s="372" t="str">
        <f>IF(TabEntrainement[[#This Row],[Seance]]="","",TabEntrainement[[#This Row],[Seance]])</f>
        <v/>
      </c>
      <c r="C93" s="117"/>
      <c r="D93" s="117"/>
      <c r="E93" s="117"/>
      <c r="F93" s="117"/>
      <c r="G93" s="117"/>
      <c r="H93" s="117"/>
      <c r="I93" s="117"/>
      <c r="J93" s="117"/>
      <c r="K93" s="117"/>
      <c r="L93" s="117"/>
      <c r="M93" s="117"/>
      <c r="N93" s="117"/>
      <c r="O93" s="117"/>
      <c r="P93" s="117"/>
      <c r="Q93" s="117"/>
      <c r="R93" s="117"/>
      <c r="S93" s="117"/>
      <c r="T93" s="117"/>
      <c r="U93" s="117"/>
      <c r="V93" s="117"/>
      <c r="W93" s="117"/>
      <c r="X93" s="117"/>
      <c r="Y93" s="117"/>
      <c r="Z93" s="117"/>
      <c r="AA93" s="117"/>
      <c r="AB93" s="117"/>
      <c r="AC93" s="117"/>
      <c r="AD93" s="117"/>
      <c r="AE93" s="117"/>
      <c r="AF93" s="117"/>
    </row>
    <row r="94" spans="2:32" ht="14.25">
      <c r="B94" s="372" t="str">
        <f>IF(TabEntrainement[[#This Row],[Seance]]="","",TabEntrainement[[#This Row],[Seance]])</f>
        <v/>
      </c>
      <c r="C94" s="117"/>
      <c r="D94" s="117"/>
      <c r="E94" s="117"/>
      <c r="F94" s="117"/>
      <c r="G94" s="117"/>
      <c r="H94" s="117"/>
      <c r="I94" s="117"/>
      <c r="J94" s="117"/>
      <c r="K94" s="117"/>
      <c r="L94" s="117"/>
      <c r="M94" s="117"/>
      <c r="N94" s="117"/>
      <c r="O94" s="117"/>
      <c r="P94" s="117"/>
      <c r="Q94" s="117"/>
      <c r="R94" s="117"/>
      <c r="S94" s="117"/>
      <c r="T94" s="117"/>
      <c r="U94" s="117"/>
      <c r="V94" s="117"/>
      <c r="W94" s="117"/>
      <c r="X94" s="117"/>
      <c r="Y94" s="117"/>
      <c r="Z94" s="117"/>
      <c r="AA94" s="117"/>
      <c r="AB94" s="117"/>
      <c r="AC94" s="117"/>
      <c r="AD94" s="117"/>
      <c r="AE94" s="117"/>
      <c r="AF94" s="117"/>
    </row>
    <row r="95" spans="2:32" ht="14.25">
      <c r="B95" s="372" t="str">
        <f>IF(TabEntrainement[[#This Row],[Seance]]="","",TabEntrainement[[#This Row],[Seance]])</f>
        <v/>
      </c>
      <c r="C95" s="117"/>
      <c r="D95" s="117"/>
      <c r="E95" s="117"/>
      <c r="F95" s="117"/>
      <c r="G95" s="117"/>
      <c r="H95" s="117"/>
      <c r="I95" s="117"/>
      <c r="J95" s="117"/>
      <c r="K95" s="117"/>
      <c r="L95" s="117"/>
      <c r="M95" s="117"/>
      <c r="N95" s="117"/>
      <c r="O95" s="117"/>
      <c r="P95" s="117"/>
      <c r="Q95" s="117"/>
      <c r="R95" s="117"/>
      <c r="S95" s="117"/>
      <c r="T95" s="117"/>
      <c r="U95" s="117"/>
      <c r="V95" s="117"/>
      <c r="W95" s="117"/>
      <c r="X95" s="117"/>
      <c r="Y95" s="117"/>
      <c r="Z95" s="117"/>
      <c r="AA95" s="117"/>
      <c r="AB95" s="117"/>
      <c r="AC95" s="117"/>
      <c r="AD95" s="117"/>
      <c r="AE95" s="117"/>
      <c r="AF95" s="117"/>
    </row>
    <row r="96" spans="2:32" ht="14.25">
      <c r="B96" s="372" t="str">
        <f>IF(TabEntrainement[[#This Row],[Seance]]="","",TabEntrainement[[#This Row],[Seance]])</f>
        <v/>
      </c>
      <c r="C96" s="117"/>
      <c r="D96" s="117"/>
      <c r="E96" s="117"/>
      <c r="F96" s="117"/>
      <c r="G96" s="117"/>
      <c r="H96" s="117"/>
      <c r="I96" s="117"/>
      <c r="J96" s="117"/>
      <c r="K96" s="117"/>
      <c r="L96" s="117"/>
      <c r="M96" s="117"/>
      <c r="N96" s="117"/>
      <c r="O96" s="117"/>
      <c r="P96" s="117"/>
      <c r="Q96" s="117"/>
      <c r="R96" s="117"/>
      <c r="S96" s="117"/>
      <c r="T96" s="117"/>
      <c r="U96" s="117"/>
      <c r="V96" s="117"/>
      <c r="W96" s="117"/>
      <c r="X96" s="117"/>
      <c r="Y96" s="117"/>
      <c r="Z96" s="117"/>
      <c r="AA96" s="117"/>
      <c r="AB96" s="117"/>
      <c r="AC96" s="117"/>
      <c r="AD96" s="117"/>
      <c r="AE96" s="117"/>
      <c r="AF96" s="117"/>
    </row>
    <row r="97" spans="2:32" ht="14.25">
      <c r="B97" s="372" t="str">
        <f>IF(TabEntrainement[[#This Row],[Seance]]="","",TabEntrainement[[#This Row],[Seance]])</f>
        <v/>
      </c>
      <c r="C97" s="117"/>
      <c r="D97" s="117"/>
      <c r="E97" s="117"/>
      <c r="F97" s="117"/>
      <c r="G97" s="117"/>
      <c r="H97" s="117"/>
      <c r="I97" s="117"/>
      <c r="J97" s="117"/>
      <c r="K97" s="117"/>
      <c r="L97" s="117"/>
      <c r="M97" s="117"/>
      <c r="N97" s="117"/>
      <c r="O97" s="117"/>
      <c r="P97" s="117"/>
      <c r="Q97" s="117"/>
      <c r="R97" s="117"/>
      <c r="S97" s="117"/>
      <c r="T97" s="117"/>
      <c r="U97" s="117"/>
      <c r="V97" s="117"/>
      <c r="W97" s="117"/>
      <c r="X97" s="117"/>
      <c r="Y97" s="117"/>
      <c r="Z97" s="117"/>
      <c r="AA97" s="117"/>
      <c r="AB97" s="117"/>
      <c r="AC97" s="117"/>
      <c r="AD97" s="117"/>
      <c r="AE97" s="117"/>
      <c r="AF97" s="117"/>
    </row>
    <row r="98" spans="2:32" ht="14.25">
      <c r="B98" s="372" t="str">
        <f>IF(TabEntrainement[[#This Row],[Seance]]="","",TabEntrainement[[#This Row],[Seance]])</f>
        <v/>
      </c>
      <c r="C98" s="117"/>
      <c r="D98" s="117"/>
      <c r="E98" s="117"/>
      <c r="F98" s="117"/>
      <c r="G98" s="117"/>
      <c r="H98" s="117"/>
      <c r="I98" s="117"/>
      <c r="J98" s="117"/>
      <c r="K98" s="117"/>
      <c r="L98" s="117"/>
      <c r="M98" s="117"/>
      <c r="N98" s="117"/>
      <c r="O98" s="117"/>
      <c r="P98" s="117"/>
      <c r="Q98" s="117"/>
      <c r="R98" s="117"/>
      <c r="S98" s="117"/>
      <c r="T98" s="117"/>
      <c r="U98" s="117"/>
      <c r="V98" s="117"/>
      <c r="W98" s="117"/>
      <c r="X98" s="117"/>
      <c r="Y98" s="117"/>
      <c r="Z98" s="117"/>
      <c r="AA98" s="117"/>
      <c r="AB98" s="117"/>
      <c r="AC98" s="117"/>
      <c r="AD98" s="117"/>
      <c r="AE98" s="117"/>
      <c r="AF98" s="117"/>
    </row>
    <row r="99" spans="2:32" ht="14.25">
      <c r="B99" s="372" t="str">
        <f>IF(TabEntrainement[[#This Row],[Seance]]="","",TabEntrainement[[#This Row],[Seance]])</f>
        <v/>
      </c>
      <c r="C99" s="117"/>
      <c r="D99" s="117"/>
      <c r="E99" s="117"/>
      <c r="F99" s="117"/>
      <c r="G99" s="117"/>
      <c r="H99" s="117"/>
      <c r="I99" s="117"/>
      <c r="J99" s="117"/>
      <c r="K99" s="117"/>
      <c r="L99" s="117"/>
      <c r="M99" s="117"/>
      <c r="N99" s="117"/>
      <c r="O99" s="117"/>
      <c r="P99" s="117"/>
      <c r="Q99" s="117"/>
      <c r="R99" s="117"/>
      <c r="S99" s="117"/>
      <c r="T99" s="117"/>
      <c r="U99" s="117"/>
      <c r="V99" s="117"/>
      <c r="W99" s="117"/>
      <c r="X99" s="117"/>
      <c r="Y99" s="117"/>
      <c r="Z99" s="117"/>
      <c r="AA99" s="117"/>
      <c r="AB99" s="117"/>
      <c r="AC99" s="117"/>
      <c r="AD99" s="117"/>
      <c r="AE99" s="117"/>
      <c r="AF99" s="117"/>
    </row>
    <row r="100" spans="2:32" ht="14.25">
      <c r="B100" s="372" t="str">
        <f>IF(TabEntrainement[[#This Row],[Seance]]="","",TabEntrainement[[#This Row],[Seance]])</f>
        <v/>
      </c>
      <c r="C100" s="117"/>
      <c r="D100" s="117"/>
      <c r="E100" s="117"/>
      <c r="F100" s="117"/>
      <c r="G100" s="117"/>
      <c r="H100" s="117"/>
      <c r="I100" s="117"/>
      <c r="J100" s="117"/>
      <c r="K100" s="117"/>
      <c r="L100" s="117"/>
      <c r="M100" s="117"/>
      <c r="N100" s="117"/>
      <c r="O100" s="117"/>
      <c r="P100" s="117"/>
      <c r="Q100" s="117"/>
      <c r="R100" s="117"/>
      <c r="S100" s="117"/>
      <c r="T100" s="117"/>
      <c r="U100" s="117"/>
      <c r="V100" s="117"/>
      <c r="W100" s="117"/>
      <c r="X100" s="117"/>
      <c r="Y100" s="117"/>
      <c r="Z100" s="117"/>
      <c r="AA100" s="117"/>
      <c r="AB100" s="117"/>
      <c r="AC100" s="117"/>
      <c r="AD100" s="117"/>
      <c r="AE100" s="117"/>
      <c r="AF100" s="117"/>
    </row>
    <row r="101" spans="2:32" ht="14.25">
      <c r="B101" s="372" t="str">
        <f>IF(TabEntrainement[[#This Row],[Seance]]="","",TabEntrainement[[#This Row],[Seance]])</f>
        <v/>
      </c>
      <c r="C101" s="117"/>
      <c r="D101" s="117"/>
      <c r="E101" s="117"/>
      <c r="F101" s="117"/>
      <c r="G101" s="117"/>
      <c r="H101" s="117"/>
      <c r="I101" s="117"/>
      <c r="J101" s="117"/>
      <c r="K101" s="117"/>
      <c r="L101" s="117"/>
      <c r="M101" s="117"/>
      <c r="N101" s="117"/>
      <c r="O101" s="117"/>
      <c r="P101" s="117"/>
      <c r="Q101" s="117"/>
      <c r="R101" s="117"/>
      <c r="S101" s="117"/>
      <c r="T101" s="117"/>
      <c r="U101" s="117"/>
      <c r="V101" s="117"/>
      <c r="W101" s="117"/>
      <c r="X101" s="117"/>
      <c r="Y101" s="117"/>
      <c r="Z101" s="117"/>
      <c r="AA101" s="117"/>
      <c r="AB101" s="117"/>
      <c r="AC101" s="117"/>
      <c r="AD101" s="117"/>
      <c r="AE101" s="117"/>
      <c r="AF101" s="117"/>
    </row>
    <row r="102" spans="2:32" ht="14.25">
      <c r="B102" s="372" t="str">
        <f>IF(TabEntrainement[[#This Row],[Seance]]="","",TabEntrainement[[#This Row],[Seance]])</f>
        <v/>
      </c>
      <c r="C102" s="117"/>
      <c r="D102" s="117"/>
      <c r="E102" s="117"/>
      <c r="F102" s="117"/>
      <c r="G102" s="117"/>
      <c r="H102" s="117"/>
      <c r="I102" s="117"/>
      <c r="J102" s="117"/>
      <c r="K102" s="117"/>
      <c r="L102" s="117"/>
      <c r="M102" s="117"/>
      <c r="N102" s="117"/>
      <c r="O102" s="117"/>
      <c r="P102" s="117"/>
      <c r="Q102" s="117"/>
      <c r="R102" s="117"/>
      <c r="S102" s="117"/>
      <c r="T102" s="117"/>
      <c r="U102" s="117"/>
      <c r="V102" s="117"/>
      <c r="W102" s="117"/>
      <c r="X102" s="117"/>
      <c r="Y102" s="117"/>
      <c r="Z102" s="117"/>
      <c r="AA102" s="117"/>
      <c r="AB102" s="117"/>
      <c r="AC102" s="117"/>
      <c r="AD102" s="117"/>
      <c r="AE102" s="117"/>
      <c r="AF102" s="117"/>
    </row>
    <row r="103" spans="2:32" ht="14.25">
      <c r="B103" s="372" t="str">
        <f>IF(TabEntrainement[[#This Row],[Seance]]="","",TabEntrainement[[#This Row],[Seance]])</f>
        <v/>
      </c>
      <c r="C103" s="117"/>
      <c r="D103" s="117"/>
      <c r="E103" s="117"/>
      <c r="F103" s="117"/>
      <c r="G103" s="117"/>
      <c r="H103" s="117"/>
      <c r="I103" s="117"/>
      <c r="J103" s="117"/>
      <c r="K103" s="117"/>
      <c r="L103" s="117"/>
      <c r="M103" s="117"/>
      <c r="N103" s="117"/>
      <c r="O103" s="117"/>
      <c r="P103" s="117"/>
      <c r="Q103" s="117"/>
      <c r="R103" s="117"/>
      <c r="S103" s="117"/>
      <c r="T103" s="117"/>
      <c r="U103" s="117"/>
      <c r="V103" s="117"/>
      <c r="W103" s="117"/>
      <c r="X103" s="117"/>
      <c r="Y103" s="117"/>
      <c r="Z103" s="117"/>
      <c r="AA103" s="117"/>
      <c r="AB103" s="117"/>
      <c r="AC103" s="117"/>
      <c r="AD103" s="117"/>
      <c r="AE103" s="117"/>
      <c r="AF103" s="117"/>
    </row>
    <row r="104" spans="2:32" ht="14.25">
      <c r="B104" s="372" t="str">
        <f>IF(TabEntrainement[[#This Row],[Seance]]="","",TabEntrainement[[#This Row],[Seance]])</f>
        <v/>
      </c>
      <c r="C104" s="117"/>
      <c r="D104" s="117"/>
      <c r="E104" s="117"/>
      <c r="F104" s="117"/>
      <c r="G104" s="117"/>
      <c r="H104" s="117"/>
      <c r="I104" s="117"/>
      <c r="J104" s="117"/>
      <c r="K104" s="117"/>
      <c r="L104" s="117"/>
      <c r="M104" s="117"/>
      <c r="N104" s="117"/>
      <c r="O104" s="117"/>
      <c r="P104" s="117"/>
      <c r="Q104" s="117"/>
      <c r="R104" s="117"/>
      <c r="S104" s="117"/>
      <c r="T104" s="117"/>
      <c r="U104" s="117"/>
      <c r="V104" s="117"/>
      <c r="W104" s="117"/>
      <c r="X104" s="117"/>
      <c r="Y104" s="117"/>
      <c r="Z104" s="117"/>
      <c r="AA104" s="117"/>
      <c r="AB104" s="117"/>
      <c r="AC104" s="117"/>
      <c r="AD104" s="117"/>
      <c r="AE104" s="117"/>
      <c r="AF104" s="117"/>
    </row>
    <row r="105" spans="2:32" ht="14.25">
      <c r="B105" s="372" t="str">
        <f>IF(TabEntrainement[[#This Row],[Seance]]="","",TabEntrainement[[#This Row],[Seance]])</f>
        <v/>
      </c>
      <c r="C105" s="117"/>
      <c r="D105" s="117"/>
      <c r="E105" s="117"/>
      <c r="F105" s="117"/>
      <c r="G105" s="117"/>
      <c r="H105" s="117"/>
      <c r="I105" s="117"/>
      <c r="J105" s="117"/>
      <c r="K105" s="117"/>
      <c r="L105" s="117"/>
      <c r="M105" s="117"/>
      <c r="N105" s="117"/>
      <c r="O105" s="117"/>
      <c r="P105" s="117"/>
      <c r="Q105" s="117"/>
      <c r="R105" s="117"/>
      <c r="S105" s="117"/>
      <c r="T105" s="117"/>
      <c r="U105" s="117"/>
      <c r="V105" s="117"/>
      <c r="W105" s="117"/>
      <c r="X105" s="117"/>
      <c r="Y105" s="117"/>
      <c r="Z105" s="117"/>
      <c r="AA105" s="117"/>
      <c r="AB105" s="117"/>
      <c r="AC105" s="117"/>
      <c r="AD105" s="117"/>
      <c r="AE105" s="117"/>
      <c r="AF105" s="117"/>
    </row>
    <row r="106" spans="2:32" ht="14.25">
      <c r="B106" s="372" t="str">
        <f>IF(TabEntrainement[[#This Row],[Seance]]="","",TabEntrainement[[#This Row],[Seance]])</f>
        <v/>
      </c>
      <c r="C106" s="117"/>
      <c r="D106" s="117"/>
      <c r="E106" s="117"/>
      <c r="F106" s="117"/>
      <c r="G106" s="117"/>
      <c r="H106" s="117"/>
      <c r="I106" s="117"/>
      <c r="J106" s="117"/>
      <c r="K106" s="117"/>
      <c r="L106" s="117"/>
      <c r="M106" s="117"/>
      <c r="N106" s="117"/>
      <c r="O106" s="117"/>
      <c r="P106" s="117"/>
      <c r="Q106" s="117"/>
      <c r="R106" s="117"/>
      <c r="S106" s="117"/>
      <c r="T106" s="117"/>
      <c r="U106" s="117"/>
      <c r="V106" s="117"/>
      <c r="W106" s="117"/>
      <c r="X106" s="117"/>
      <c r="Y106" s="117"/>
      <c r="Z106" s="117"/>
      <c r="AA106" s="117"/>
      <c r="AB106" s="117"/>
      <c r="AC106" s="117"/>
      <c r="AD106" s="117"/>
      <c r="AE106" s="117"/>
      <c r="AF106" s="117"/>
    </row>
    <row r="107" spans="2:32" ht="14.25">
      <c r="B107" s="372" t="str">
        <f>IF(TabEntrainement[[#This Row],[Seance]]="","",TabEntrainement[[#This Row],[Seance]])</f>
        <v/>
      </c>
      <c r="C107" s="117"/>
      <c r="D107" s="117"/>
      <c r="E107" s="117"/>
      <c r="F107" s="117"/>
      <c r="G107" s="117"/>
      <c r="H107" s="117"/>
      <c r="I107" s="117"/>
      <c r="J107" s="117"/>
      <c r="K107" s="117"/>
      <c r="L107" s="117"/>
      <c r="M107" s="117"/>
      <c r="N107" s="117"/>
      <c r="O107" s="117"/>
      <c r="P107" s="117"/>
      <c r="Q107" s="117"/>
      <c r="R107" s="117"/>
      <c r="S107" s="117"/>
      <c r="T107" s="117"/>
      <c r="U107" s="117"/>
      <c r="V107" s="117"/>
      <c r="W107" s="117"/>
      <c r="X107" s="117"/>
      <c r="Y107" s="117"/>
      <c r="Z107" s="117"/>
      <c r="AA107" s="117"/>
      <c r="AB107" s="117"/>
      <c r="AC107" s="117"/>
      <c r="AD107" s="117"/>
      <c r="AE107" s="117"/>
      <c r="AF107" s="117"/>
    </row>
    <row r="108" spans="2:32" ht="14.25">
      <c r="B108" s="372" t="str">
        <f>IF(TabEntrainement[[#This Row],[Seance]]="","",TabEntrainement[[#This Row],[Seance]])</f>
        <v/>
      </c>
      <c r="C108" s="117"/>
      <c r="D108" s="117"/>
      <c r="E108" s="117"/>
      <c r="F108" s="117"/>
      <c r="G108" s="117"/>
      <c r="H108" s="117"/>
      <c r="I108" s="117"/>
      <c r="J108" s="117"/>
      <c r="K108" s="117"/>
      <c r="L108" s="117"/>
      <c r="M108" s="117"/>
      <c r="N108" s="117"/>
      <c r="O108" s="117"/>
      <c r="P108" s="117"/>
      <c r="Q108" s="117"/>
      <c r="R108" s="117"/>
      <c r="S108" s="117"/>
      <c r="T108" s="117"/>
      <c r="U108" s="117"/>
      <c r="V108" s="117"/>
      <c r="W108" s="117"/>
      <c r="X108" s="117"/>
      <c r="Y108" s="117"/>
      <c r="Z108" s="117"/>
      <c r="AA108" s="117"/>
      <c r="AB108" s="117"/>
      <c r="AC108" s="117"/>
      <c r="AD108" s="117"/>
      <c r="AE108" s="117"/>
      <c r="AF108" s="117"/>
    </row>
    <row r="109" spans="2:32" ht="14.25">
      <c r="B109" s="372" t="str">
        <f>IF(TabEntrainement[[#This Row],[Seance]]="","",TabEntrainement[[#This Row],[Seance]])</f>
        <v/>
      </c>
      <c r="C109" s="117"/>
      <c r="D109" s="117"/>
      <c r="E109" s="117"/>
      <c r="F109" s="117"/>
      <c r="G109" s="117"/>
      <c r="H109" s="117"/>
      <c r="I109" s="117"/>
      <c r="J109" s="117"/>
      <c r="K109" s="117"/>
      <c r="L109" s="117"/>
      <c r="M109" s="117"/>
      <c r="N109" s="117"/>
      <c r="O109" s="117"/>
      <c r="P109" s="117"/>
      <c r="Q109" s="117"/>
      <c r="R109" s="117"/>
      <c r="S109" s="117"/>
      <c r="T109" s="117"/>
      <c r="U109" s="117"/>
      <c r="V109" s="117"/>
      <c r="W109" s="117"/>
      <c r="X109" s="117"/>
      <c r="Y109" s="117"/>
      <c r="Z109" s="117"/>
      <c r="AA109" s="117"/>
      <c r="AB109" s="117"/>
      <c r="AC109" s="117"/>
      <c r="AD109" s="117"/>
      <c r="AE109" s="117"/>
      <c r="AF109" s="117"/>
    </row>
    <row r="110" spans="2:32" ht="14.25">
      <c r="B110" s="372" t="str">
        <f>IF(TabEntrainement[[#This Row],[Seance]]="","",TabEntrainement[[#This Row],[Seance]])</f>
        <v/>
      </c>
      <c r="C110" s="117"/>
      <c r="D110" s="117"/>
      <c r="E110" s="117"/>
      <c r="F110" s="117"/>
      <c r="G110" s="117"/>
      <c r="H110" s="117"/>
      <c r="I110" s="117"/>
      <c r="J110" s="117"/>
      <c r="K110" s="117"/>
      <c r="L110" s="117"/>
      <c r="M110" s="117"/>
      <c r="N110" s="117"/>
      <c r="O110" s="117"/>
      <c r="P110" s="117"/>
      <c r="Q110" s="117"/>
      <c r="R110" s="117"/>
      <c r="S110" s="117"/>
      <c r="T110" s="117"/>
      <c r="U110" s="117"/>
      <c r="V110" s="117"/>
      <c r="W110" s="117"/>
      <c r="X110" s="117"/>
      <c r="Y110" s="117"/>
      <c r="Z110" s="117"/>
      <c r="AA110" s="117"/>
      <c r="AB110" s="117"/>
      <c r="AC110" s="117"/>
      <c r="AD110" s="117"/>
      <c r="AE110" s="117"/>
      <c r="AF110" s="117"/>
    </row>
    <row r="111" spans="2:32" ht="14.25">
      <c r="B111" s="372" t="str">
        <f>IF(TabEntrainement[[#This Row],[Seance]]="","",TabEntrainement[[#This Row],[Seance]])</f>
        <v/>
      </c>
      <c r="C111" s="117"/>
      <c r="D111" s="117"/>
      <c r="E111" s="117"/>
      <c r="F111" s="117"/>
      <c r="G111" s="117"/>
      <c r="H111" s="117"/>
      <c r="I111" s="117"/>
      <c r="J111" s="117"/>
      <c r="K111" s="117"/>
      <c r="L111" s="117"/>
      <c r="M111" s="117"/>
      <c r="N111" s="117"/>
      <c r="O111" s="117"/>
      <c r="P111" s="117"/>
      <c r="Q111" s="117"/>
      <c r="R111" s="117"/>
      <c r="S111" s="117"/>
      <c r="T111" s="117"/>
      <c r="U111" s="117"/>
      <c r="V111" s="117"/>
      <c r="W111" s="117"/>
      <c r="X111" s="117"/>
      <c r="Y111" s="117"/>
      <c r="Z111" s="117"/>
      <c r="AA111" s="117"/>
      <c r="AB111" s="117"/>
      <c r="AC111" s="117"/>
      <c r="AD111" s="117"/>
      <c r="AE111" s="117"/>
      <c r="AF111" s="117"/>
    </row>
    <row r="112" spans="2:32" ht="14.25">
      <c r="B112" s="372" t="str">
        <f>IF(TabEntrainement[[#This Row],[Seance]]="","",TabEntrainement[[#This Row],[Seance]])</f>
        <v/>
      </c>
      <c r="C112" s="117"/>
      <c r="D112" s="117"/>
      <c r="E112" s="117"/>
      <c r="F112" s="117"/>
      <c r="G112" s="117"/>
      <c r="H112" s="117"/>
      <c r="I112" s="117"/>
      <c r="J112" s="117"/>
      <c r="K112" s="117"/>
      <c r="L112" s="117"/>
      <c r="M112" s="117"/>
      <c r="N112" s="117"/>
      <c r="O112" s="117"/>
      <c r="P112" s="117"/>
      <c r="Q112" s="117"/>
      <c r="R112" s="117"/>
      <c r="S112" s="117"/>
      <c r="T112" s="117"/>
      <c r="U112" s="117"/>
      <c r="V112" s="117"/>
      <c r="W112" s="117"/>
      <c r="X112" s="117"/>
      <c r="Y112" s="117"/>
      <c r="Z112" s="117"/>
      <c r="AA112" s="117"/>
      <c r="AB112" s="117"/>
      <c r="AC112" s="117"/>
      <c r="AD112" s="117"/>
      <c r="AE112" s="117"/>
      <c r="AF112" s="117"/>
    </row>
    <row r="113" spans="2:32" ht="14.25">
      <c r="B113" s="372" t="str">
        <f>IF(TabEntrainement[[#This Row],[Seance]]="","",TabEntrainement[[#This Row],[Seance]])</f>
        <v/>
      </c>
      <c r="C113" s="117"/>
      <c r="D113" s="117"/>
      <c r="E113" s="117"/>
      <c r="F113" s="117"/>
      <c r="G113" s="117"/>
      <c r="H113" s="117"/>
      <c r="I113" s="117"/>
      <c r="J113" s="117"/>
      <c r="K113" s="117"/>
      <c r="L113" s="117"/>
      <c r="M113" s="117"/>
      <c r="N113" s="117"/>
      <c r="O113" s="117"/>
      <c r="P113" s="117"/>
      <c r="Q113" s="117"/>
      <c r="R113" s="117"/>
      <c r="S113" s="117"/>
      <c r="T113" s="117"/>
      <c r="U113" s="117"/>
      <c r="V113" s="117"/>
      <c r="W113" s="117"/>
      <c r="X113" s="117"/>
      <c r="Y113" s="117"/>
      <c r="Z113" s="117"/>
      <c r="AA113" s="117"/>
      <c r="AB113" s="117"/>
      <c r="AC113" s="117"/>
      <c r="AD113" s="117"/>
      <c r="AE113" s="117"/>
      <c r="AF113" s="117"/>
    </row>
    <row r="114" spans="2:32" ht="14.25">
      <c r="B114" s="372" t="str">
        <f>IF(TabEntrainement[[#This Row],[Seance]]="","",TabEntrainement[[#This Row],[Seance]])</f>
        <v/>
      </c>
      <c r="C114" s="117"/>
      <c r="D114" s="117"/>
      <c r="E114" s="117"/>
      <c r="F114" s="117"/>
      <c r="G114" s="117"/>
      <c r="H114" s="117"/>
      <c r="I114" s="117"/>
      <c r="J114" s="117"/>
      <c r="K114" s="117"/>
      <c r="L114" s="117"/>
      <c r="M114" s="117"/>
      <c r="N114" s="117"/>
      <c r="O114" s="117"/>
      <c r="P114" s="117"/>
      <c r="Q114" s="117"/>
      <c r="R114" s="117"/>
      <c r="S114" s="117"/>
      <c r="T114" s="117"/>
      <c r="U114" s="117"/>
      <c r="V114" s="117"/>
      <c r="W114" s="117"/>
      <c r="X114" s="117"/>
      <c r="Y114" s="117"/>
      <c r="Z114" s="117"/>
      <c r="AA114" s="117"/>
      <c r="AB114" s="117"/>
      <c r="AC114" s="117"/>
      <c r="AD114" s="117"/>
      <c r="AE114" s="117"/>
      <c r="AF114" s="117"/>
    </row>
    <row r="115" spans="2:32" ht="14.25">
      <c r="B115" s="372" t="str">
        <f>IF(TabEntrainement[[#This Row],[Seance]]="","",TabEntrainement[[#This Row],[Seance]])</f>
        <v/>
      </c>
      <c r="C115" s="117"/>
      <c r="D115" s="117"/>
      <c r="E115" s="117"/>
      <c r="F115" s="117"/>
      <c r="G115" s="117"/>
      <c r="H115" s="117"/>
      <c r="I115" s="117"/>
      <c r="J115" s="117"/>
      <c r="K115" s="117"/>
      <c r="L115" s="117"/>
      <c r="M115" s="117"/>
      <c r="N115" s="117"/>
      <c r="O115" s="117"/>
      <c r="P115" s="117"/>
      <c r="Q115" s="117"/>
      <c r="R115" s="117"/>
      <c r="S115" s="117"/>
      <c r="T115" s="117"/>
      <c r="U115" s="117"/>
      <c r="V115" s="117"/>
      <c r="W115" s="117"/>
      <c r="X115" s="117"/>
      <c r="Y115" s="117"/>
      <c r="Z115" s="117"/>
      <c r="AA115" s="117"/>
      <c r="AB115" s="117"/>
      <c r="AC115" s="117"/>
      <c r="AD115" s="117"/>
      <c r="AE115" s="117"/>
      <c r="AF115" s="117"/>
    </row>
    <row r="116" spans="2:32" ht="14.25">
      <c r="B116" s="372" t="str">
        <f>IF(TabEntrainement[[#This Row],[Seance]]="","",TabEntrainement[[#This Row],[Seance]])</f>
        <v/>
      </c>
      <c r="C116" s="117"/>
      <c r="D116" s="117"/>
      <c r="E116" s="117"/>
      <c r="F116" s="117"/>
      <c r="G116" s="117"/>
      <c r="H116" s="117"/>
      <c r="I116" s="117"/>
      <c r="J116" s="117"/>
      <c r="K116" s="117"/>
      <c r="L116" s="117"/>
      <c r="M116" s="117"/>
      <c r="N116" s="117"/>
      <c r="O116" s="117"/>
      <c r="P116" s="117"/>
      <c r="Q116" s="117"/>
      <c r="R116" s="117"/>
      <c r="S116" s="117"/>
      <c r="T116" s="117"/>
      <c r="U116" s="117"/>
      <c r="V116" s="117"/>
      <c r="W116" s="117"/>
      <c r="X116" s="117"/>
      <c r="Y116" s="117"/>
      <c r="Z116" s="117"/>
      <c r="AA116" s="117"/>
      <c r="AB116" s="117"/>
      <c r="AC116" s="117"/>
      <c r="AD116" s="117"/>
      <c r="AE116" s="117"/>
      <c r="AF116" s="117"/>
    </row>
    <row r="117" spans="2:32" ht="14.25">
      <c r="B117" s="372" t="str">
        <f>IF(TabEntrainement[[#This Row],[Seance]]="","",TabEntrainement[[#This Row],[Seance]])</f>
        <v/>
      </c>
      <c r="C117" s="117"/>
      <c r="D117" s="117"/>
      <c r="E117" s="117"/>
      <c r="F117" s="117"/>
      <c r="G117" s="117"/>
      <c r="H117" s="117"/>
      <c r="I117" s="117"/>
      <c r="J117" s="117"/>
      <c r="K117" s="117"/>
      <c r="L117" s="117"/>
      <c r="M117" s="117"/>
      <c r="N117" s="117"/>
      <c r="O117" s="117"/>
      <c r="P117" s="117"/>
      <c r="Q117" s="117"/>
      <c r="R117" s="117"/>
      <c r="S117" s="117"/>
      <c r="T117" s="117"/>
      <c r="U117" s="117"/>
      <c r="V117" s="117"/>
      <c r="W117" s="117"/>
      <c r="X117" s="117"/>
      <c r="Y117" s="117"/>
      <c r="Z117" s="117"/>
      <c r="AA117" s="117"/>
      <c r="AB117" s="117"/>
      <c r="AC117" s="117"/>
      <c r="AD117" s="117"/>
      <c r="AE117" s="117"/>
      <c r="AF117" s="117"/>
    </row>
    <row r="118" spans="2:32" ht="14.25">
      <c r="B118" s="372" t="str">
        <f>IF(TabEntrainement[[#This Row],[Seance]]="","",TabEntrainement[[#This Row],[Seance]])</f>
        <v/>
      </c>
      <c r="C118" s="117"/>
      <c r="D118" s="117"/>
      <c r="E118" s="117"/>
      <c r="F118" s="117"/>
      <c r="G118" s="117"/>
      <c r="H118" s="117"/>
      <c r="I118" s="117"/>
      <c r="J118" s="117"/>
      <c r="K118" s="117"/>
      <c r="L118" s="117"/>
      <c r="M118" s="117"/>
      <c r="N118" s="117"/>
      <c r="O118" s="117"/>
      <c r="P118" s="117"/>
      <c r="Q118" s="117"/>
      <c r="R118" s="117"/>
      <c r="S118" s="117"/>
      <c r="T118" s="117"/>
      <c r="U118" s="117"/>
      <c r="V118" s="117"/>
      <c r="W118" s="117"/>
      <c r="X118" s="117"/>
      <c r="Y118" s="117"/>
      <c r="Z118" s="117"/>
      <c r="AA118" s="117"/>
      <c r="AB118" s="117"/>
      <c r="AC118" s="117"/>
      <c r="AD118" s="117"/>
      <c r="AE118" s="117"/>
      <c r="AF118" s="117"/>
    </row>
    <row r="119" spans="2:32" ht="14.25">
      <c r="B119" s="372" t="str">
        <f>IF(TabEntrainement[[#This Row],[Seance]]="","",TabEntrainement[[#This Row],[Seance]])</f>
        <v/>
      </c>
      <c r="C119" s="117"/>
      <c r="D119" s="117"/>
      <c r="E119" s="117"/>
      <c r="F119" s="117"/>
      <c r="G119" s="117"/>
      <c r="H119" s="117"/>
      <c r="I119" s="117"/>
      <c r="J119" s="117"/>
      <c r="K119" s="117"/>
      <c r="L119" s="117"/>
      <c r="M119" s="117"/>
      <c r="N119" s="117"/>
      <c r="O119" s="117"/>
      <c r="P119" s="117"/>
      <c r="Q119" s="117"/>
      <c r="R119" s="117"/>
      <c r="S119" s="117"/>
      <c r="T119" s="117"/>
      <c r="U119" s="117"/>
      <c r="V119" s="117"/>
      <c r="W119" s="117"/>
      <c r="X119" s="117"/>
      <c r="Y119" s="117"/>
      <c r="Z119" s="117"/>
      <c r="AA119" s="117"/>
      <c r="AB119" s="117"/>
      <c r="AC119" s="117"/>
      <c r="AD119" s="117"/>
      <c r="AE119" s="117"/>
      <c r="AF119" s="117"/>
    </row>
    <row r="120" spans="2:32" ht="14.25">
      <c r="B120" s="372" t="str">
        <f>IF(TabEntrainement[[#This Row],[Seance]]="","",TabEntrainement[[#This Row],[Seance]])</f>
        <v/>
      </c>
      <c r="C120" s="117"/>
      <c r="D120" s="117"/>
      <c r="E120" s="117"/>
      <c r="F120" s="117"/>
      <c r="G120" s="117"/>
      <c r="H120" s="117"/>
      <c r="I120" s="117"/>
      <c r="J120" s="117"/>
      <c r="K120" s="117"/>
      <c r="L120" s="117"/>
      <c r="M120" s="117"/>
      <c r="N120" s="117"/>
      <c r="O120" s="117"/>
      <c r="P120" s="117"/>
      <c r="Q120" s="117"/>
      <c r="R120" s="117"/>
      <c r="S120" s="117"/>
      <c r="T120" s="117"/>
      <c r="U120" s="117"/>
      <c r="V120" s="117"/>
      <c r="W120" s="117"/>
      <c r="X120" s="117"/>
      <c r="Y120" s="117"/>
      <c r="Z120" s="117"/>
      <c r="AA120" s="117"/>
      <c r="AB120" s="117"/>
      <c r="AC120" s="117"/>
      <c r="AD120" s="117"/>
      <c r="AE120" s="117"/>
      <c r="AF120" s="117"/>
    </row>
    <row r="121" spans="2:32" ht="14.25">
      <c r="B121" s="372" t="str">
        <f>IF(TabEntrainement[[#This Row],[Seance]]="","",TabEntrainement[[#This Row],[Seance]])</f>
        <v/>
      </c>
      <c r="C121" s="117"/>
      <c r="D121" s="117"/>
      <c r="E121" s="117"/>
      <c r="F121" s="117"/>
      <c r="G121" s="117"/>
      <c r="H121" s="117"/>
      <c r="I121" s="117"/>
      <c r="J121" s="117"/>
      <c r="K121" s="117"/>
      <c r="L121" s="117"/>
      <c r="M121" s="117"/>
      <c r="N121" s="117"/>
      <c r="O121" s="117"/>
      <c r="P121" s="117"/>
      <c r="Q121" s="117"/>
      <c r="R121" s="117"/>
      <c r="S121" s="117"/>
      <c r="T121" s="117"/>
      <c r="U121" s="117"/>
      <c r="V121" s="117"/>
      <c r="W121" s="117"/>
      <c r="X121" s="117"/>
      <c r="Y121" s="117"/>
      <c r="Z121" s="117"/>
      <c r="AA121" s="117"/>
      <c r="AB121" s="117"/>
      <c r="AC121" s="117"/>
      <c r="AD121" s="117"/>
      <c r="AE121" s="117"/>
      <c r="AF121" s="117"/>
    </row>
    <row r="122" spans="2:32" ht="14.25">
      <c r="B122" s="372" t="str">
        <f>IF(TabEntrainement[[#This Row],[Seance]]="","",TabEntrainement[[#This Row],[Seance]])</f>
        <v/>
      </c>
      <c r="C122" s="117"/>
      <c r="D122" s="117"/>
      <c r="E122" s="117"/>
      <c r="F122" s="117"/>
      <c r="G122" s="117"/>
      <c r="H122" s="117"/>
      <c r="I122" s="117"/>
      <c r="J122" s="117"/>
      <c r="K122" s="117"/>
      <c r="L122" s="117"/>
      <c r="M122" s="117"/>
      <c r="N122" s="117"/>
      <c r="O122" s="117"/>
      <c r="P122" s="117"/>
      <c r="Q122" s="117"/>
      <c r="R122" s="117"/>
      <c r="S122" s="117"/>
      <c r="T122" s="117"/>
      <c r="U122" s="117"/>
      <c r="V122" s="117"/>
      <c r="W122" s="117"/>
      <c r="X122" s="117"/>
      <c r="Y122" s="117"/>
      <c r="Z122" s="117"/>
      <c r="AA122" s="117"/>
      <c r="AB122" s="117"/>
      <c r="AC122" s="117"/>
      <c r="AD122" s="117"/>
      <c r="AE122" s="117"/>
      <c r="AF122" s="117"/>
    </row>
    <row r="123" spans="2:32" ht="14.25">
      <c r="B123" s="372" t="str">
        <f>IF(TabEntrainement[[#This Row],[Seance]]="","",TabEntrainement[[#This Row],[Seance]])</f>
        <v/>
      </c>
      <c r="C123" s="117"/>
      <c r="D123" s="117"/>
      <c r="E123" s="117"/>
      <c r="F123" s="117"/>
      <c r="G123" s="117"/>
      <c r="H123" s="117"/>
      <c r="I123" s="117"/>
      <c r="J123" s="117"/>
      <c r="K123" s="117"/>
      <c r="L123" s="117"/>
      <c r="M123" s="117"/>
      <c r="N123" s="117"/>
      <c r="O123" s="117"/>
      <c r="P123" s="117"/>
      <c r="Q123" s="117"/>
      <c r="R123" s="117"/>
      <c r="S123" s="117"/>
      <c r="T123" s="117"/>
      <c r="U123" s="117"/>
      <c r="V123" s="117"/>
      <c r="W123" s="117"/>
      <c r="X123" s="117"/>
      <c r="Y123" s="117"/>
      <c r="Z123" s="117"/>
      <c r="AA123" s="117"/>
      <c r="AB123" s="117"/>
      <c r="AC123" s="117"/>
      <c r="AD123" s="117"/>
      <c r="AE123" s="117"/>
      <c r="AF123" s="117"/>
    </row>
    <row r="124" spans="2:32" ht="14.25">
      <c r="B124" s="372" t="str">
        <f>IF(TabEntrainement[[#This Row],[Seance]]="","",TabEntrainement[[#This Row],[Seance]])</f>
        <v/>
      </c>
      <c r="C124" s="117"/>
      <c r="D124" s="117"/>
      <c r="E124" s="117"/>
      <c r="F124" s="117"/>
      <c r="G124" s="117"/>
      <c r="H124" s="117"/>
      <c r="I124" s="117"/>
      <c r="J124" s="117"/>
      <c r="K124" s="117"/>
      <c r="L124" s="117"/>
      <c r="M124" s="117"/>
      <c r="N124" s="117"/>
      <c r="O124" s="117"/>
      <c r="P124" s="117"/>
      <c r="Q124" s="117"/>
      <c r="R124" s="117"/>
      <c r="S124" s="117"/>
      <c r="T124" s="117"/>
      <c r="U124" s="117"/>
      <c r="V124" s="117"/>
      <c r="W124" s="117"/>
      <c r="X124" s="117"/>
      <c r="Y124" s="117"/>
      <c r="Z124" s="117"/>
      <c r="AA124" s="117"/>
      <c r="AB124" s="117"/>
      <c r="AC124" s="117"/>
      <c r="AD124" s="117"/>
      <c r="AE124" s="117"/>
      <c r="AF124" s="117"/>
    </row>
    <row r="125" spans="2:32" ht="14.25">
      <c r="B125" s="372" t="str">
        <f>IF(TabEntrainement[[#This Row],[Seance]]="","",TabEntrainement[[#This Row],[Seance]])</f>
        <v/>
      </c>
      <c r="C125" s="117"/>
      <c r="D125" s="117"/>
      <c r="E125" s="117"/>
      <c r="F125" s="117"/>
      <c r="G125" s="117"/>
      <c r="H125" s="117"/>
      <c r="I125" s="117"/>
      <c r="J125" s="117"/>
      <c r="K125" s="117"/>
      <c r="L125" s="117"/>
      <c r="M125" s="117"/>
      <c r="N125" s="117"/>
      <c r="O125" s="117"/>
      <c r="P125" s="117"/>
      <c r="Q125" s="117"/>
      <c r="R125" s="117"/>
      <c r="S125" s="117"/>
      <c r="T125" s="117"/>
      <c r="U125" s="117"/>
      <c r="V125" s="117"/>
      <c r="W125" s="117"/>
      <c r="X125" s="117"/>
      <c r="Y125" s="117"/>
      <c r="Z125" s="117"/>
      <c r="AA125" s="117"/>
      <c r="AB125" s="117"/>
      <c r="AC125" s="117"/>
      <c r="AD125" s="117"/>
      <c r="AE125" s="117"/>
      <c r="AF125" s="117"/>
    </row>
    <row r="126" spans="2:32" ht="14.25">
      <c r="B126" s="372" t="str">
        <f>IF(TabEntrainement[[#This Row],[Seance]]="","",TabEntrainement[[#This Row],[Seance]])</f>
        <v/>
      </c>
      <c r="C126" s="117"/>
      <c r="D126" s="117"/>
      <c r="E126" s="117"/>
      <c r="F126" s="117"/>
      <c r="G126" s="117"/>
      <c r="H126" s="117"/>
      <c r="I126" s="117"/>
      <c r="J126" s="117"/>
      <c r="K126" s="117"/>
      <c r="L126" s="117"/>
      <c r="M126" s="117"/>
      <c r="N126" s="117"/>
      <c r="O126" s="117"/>
      <c r="P126" s="117"/>
      <c r="Q126" s="117"/>
      <c r="R126" s="117"/>
      <c r="S126" s="117"/>
      <c r="T126" s="117"/>
      <c r="U126" s="117"/>
      <c r="V126" s="117"/>
      <c r="W126" s="117"/>
      <c r="X126" s="117"/>
      <c r="Y126" s="117"/>
      <c r="Z126" s="117"/>
      <c r="AA126" s="117"/>
      <c r="AB126" s="117"/>
      <c r="AC126" s="117"/>
      <c r="AD126" s="117"/>
      <c r="AE126" s="117"/>
      <c r="AF126" s="117"/>
    </row>
    <row r="127" spans="2:32" ht="14.25">
      <c r="B127" s="372" t="str">
        <f>IF(TabEntrainement[[#This Row],[Seance]]="","",TabEntrainement[[#This Row],[Seance]])</f>
        <v/>
      </c>
      <c r="C127" s="117"/>
      <c r="D127" s="117"/>
      <c r="E127" s="117"/>
      <c r="F127" s="117"/>
      <c r="G127" s="117"/>
      <c r="H127" s="117"/>
      <c r="I127" s="117"/>
      <c r="J127" s="117"/>
      <c r="K127" s="117"/>
      <c r="L127" s="117"/>
      <c r="M127" s="117"/>
      <c r="N127" s="117"/>
      <c r="O127" s="117"/>
      <c r="P127" s="117"/>
      <c r="Q127" s="117"/>
      <c r="R127" s="117"/>
      <c r="S127" s="117"/>
      <c r="T127" s="117"/>
      <c r="U127" s="117"/>
      <c r="V127" s="117"/>
      <c r="W127" s="117"/>
      <c r="X127" s="117"/>
      <c r="Y127" s="117"/>
      <c r="Z127" s="117"/>
      <c r="AA127" s="117"/>
      <c r="AB127" s="117"/>
      <c r="AC127" s="117"/>
      <c r="AD127" s="117"/>
      <c r="AE127" s="117"/>
      <c r="AF127" s="117"/>
    </row>
    <row r="128" spans="2:32" ht="14.25">
      <c r="B128" s="372" t="str">
        <f>IF(TabEntrainement[[#This Row],[Seance]]="","",TabEntrainement[[#This Row],[Seance]])</f>
        <v/>
      </c>
      <c r="C128" s="117"/>
      <c r="D128" s="117"/>
      <c r="E128" s="117"/>
      <c r="F128" s="117"/>
      <c r="G128" s="117"/>
      <c r="H128" s="117"/>
      <c r="I128" s="117"/>
      <c r="J128" s="117"/>
      <c r="K128" s="117"/>
      <c r="L128" s="117"/>
      <c r="M128" s="117"/>
      <c r="N128" s="117"/>
      <c r="O128" s="117"/>
      <c r="P128" s="117"/>
      <c r="Q128" s="117"/>
      <c r="R128" s="117"/>
      <c r="S128" s="117"/>
      <c r="T128" s="117"/>
      <c r="U128" s="117"/>
      <c r="V128" s="117"/>
      <c r="W128" s="117"/>
      <c r="X128" s="117"/>
      <c r="Y128" s="117"/>
      <c r="Z128" s="117"/>
      <c r="AA128" s="117"/>
      <c r="AB128" s="117"/>
      <c r="AC128" s="117"/>
      <c r="AD128" s="117"/>
      <c r="AE128" s="117"/>
      <c r="AF128" s="117"/>
    </row>
    <row r="129" spans="2:33" ht="14.25">
      <c r="B129" s="372" t="str">
        <f>IF(TabEntrainement[[#This Row],[Seance]]="","",TabEntrainement[[#This Row],[Seance]])</f>
        <v/>
      </c>
      <c r="C129" s="117"/>
      <c r="D129" s="117"/>
      <c r="E129" s="117"/>
      <c r="F129" s="117"/>
      <c r="G129" s="117"/>
      <c r="H129" s="117"/>
      <c r="I129" s="117"/>
      <c r="J129" s="117"/>
      <c r="K129" s="117"/>
      <c r="L129" s="117"/>
      <c r="M129" s="117"/>
      <c r="N129" s="117"/>
      <c r="O129" s="117"/>
      <c r="P129" s="117"/>
      <c r="Q129" s="117"/>
      <c r="R129" s="117"/>
      <c r="S129" s="117"/>
      <c r="T129" s="117"/>
      <c r="U129" s="117"/>
      <c r="V129" s="117"/>
      <c r="W129" s="117"/>
      <c r="X129" s="117"/>
      <c r="Y129" s="117"/>
      <c r="Z129" s="117"/>
      <c r="AA129" s="117"/>
      <c r="AB129" s="117"/>
      <c r="AC129" s="117"/>
      <c r="AD129" s="117"/>
      <c r="AE129" s="117"/>
      <c r="AF129" s="117"/>
    </row>
    <row r="130" spans="2:33" ht="14.25">
      <c r="B130" s="372" t="str">
        <f>IF(TabEntrainement[[#This Row],[Seance]]="","",TabEntrainement[[#This Row],[Seance]])</f>
        <v/>
      </c>
      <c r="C130" s="117"/>
      <c r="D130" s="117"/>
      <c r="E130" s="117"/>
      <c r="F130" s="117"/>
      <c r="G130" s="117"/>
      <c r="H130" s="117"/>
      <c r="I130" s="117"/>
      <c r="J130" s="117"/>
      <c r="K130" s="117"/>
      <c r="L130" s="117"/>
      <c r="M130" s="117"/>
      <c r="N130" s="117"/>
      <c r="O130" s="117"/>
      <c r="P130" s="117"/>
      <c r="Q130" s="117"/>
      <c r="R130" s="117"/>
      <c r="S130" s="117"/>
      <c r="T130" s="117"/>
      <c r="U130" s="117"/>
      <c r="V130" s="117"/>
      <c r="W130" s="117"/>
      <c r="X130" s="117"/>
      <c r="Y130" s="117"/>
      <c r="Z130" s="117"/>
      <c r="AA130" s="117"/>
      <c r="AB130" s="117"/>
      <c r="AC130" s="117"/>
      <c r="AD130" s="117"/>
      <c r="AE130" s="117"/>
      <c r="AF130" s="117"/>
    </row>
    <row r="131" spans="2:33" ht="14.25">
      <c r="B131" s="372" t="str">
        <f>IF(TabEntrainement[[#This Row],[Seance]]="","",TabEntrainement[[#This Row],[Seance]])</f>
        <v/>
      </c>
      <c r="C131" s="117"/>
      <c r="D131" s="117"/>
      <c r="E131" s="117"/>
      <c r="F131" s="117"/>
      <c r="G131" s="117"/>
      <c r="H131" s="117"/>
      <c r="I131" s="117"/>
      <c r="J131" s="117"/>
      <c r="K131" s="117"/>
      <c r="L131" s="117"/>
      <c r="M131" s="117"/>
      <c r="N131" s="117"/>
      <c r="O131" s="117"/>
      <c r="P131" s="117"/>
      <c r="Q131" s="117"/>
      <c r="R131" s="117"/>
      <c r="S131" s="117"/>
      <c r="T131" s="117"/>
      <c r="U131" s="117"/>
      <c r="V131" s="117"/>
      <c r="W131" s="117"/>
      <c r="X131" s="117"/>
      <c r="Y131" s="117"/>
      <c r="Z131" s="117"/>
      <c r="AA131" s="117"/>
      <c r="AB131" s="117"/>
      <c r="AC131" s="117"/>
      <c r="AD131" s="117"/>
      <c r="AE131" s="117"/>
      <c r="AF131" s="117"/>
    </row>
    <row r="132" spans="2:33" ht="14.25">
      <c r="B132" s="372" t="str">
        <f>IF(TabEntrainement[[#This Row],[Seance]]="","",TabEntrainement[[#This Row],[Seance]])</f>
        <v/>
      </c>
      <c r="C132" s="117"/>
      <c r="D132" s="117"/>
      <c r="E132" s="117"/>
      <c r="F132" s="117"/>
      <c r="G132" s="117"/>
      <c r="H132" s="117"/>
      <c r="I132" s="117"/>
      <c r="J132" s="117"/>
      <c r="K132" s="117"/>
      <c r="L132" s="117"/>
      <c r="M132" s="117"/>
      <c r="N132" s="117"/>
      <c r="O132" s="117"/>
      <c r="P132" s="117"/>
      <c r="Q132" s="117"/>
      <c r="R132" s="117"/>
      <c r="S132" s="117"/>
      <c r="T132" s="117"/>
      <c r="U132" s="117"/>
      <c r="V132" s="117"/>
      <c r="W132" s="117"/>
      <c r="X132" s="117"/>
      <c r="Y132" s="117"/>
      <c r="Z132" s="117"/>
      <c r="AA132" s="117"/>
      <c r="AB132" s="117"/>
      <c r="AC132" s="117"/>
      <c r="AD132" s="117"/>
      <c r="AE132" s="117"/>
      <c r="AF132" s="117"/>
    </row>
    <row r="133" spans="2:33" ht="14.25">
      <c r="B133" s="372" t="str">
        <f>IF(TabEntrainement[[#This Row],[Seance]]="","",TabEntrainement[[#This Row],[Seance]])</f>
        <v/>
      </c>
      <c r="C133" s="117"/>
      <c r="D133" s="117"/>
      <c r="E133" s="117"/>
      <c r="F133" s="117"/>
      <c r="G133" s="117"/>
      <c r="H133" s="117"/>
      <c r="I133" s="117"/>
      <c r="J133" s="117"/>
      <c r="K133" s="117"/>
      <c r="L133" s="117"/>
      <c r="M133" s="117"/>
      <c r="N133" s="117"/>
      <c r="O133" s="117"/>
      <c r="P133" s="117"/>
      <c r="Q133" s="117"/>
      <c r="R133" s="117"/>
      <c r="S133" s="117"/>
      <c r="T133" s="117"/>
      <c r="U133" s="117"/>
      <c r="V133" s="117"/>
      <c r="W133" s="117"/>
      <c r="X133" s="117"/>
      <c r="Y133" s="117"/>
      <c r="Z133" s="117"/>
      <c r="AA133" s="117"/>
      <c r="AB133" s="117"/>
      <c r="AC133" s="117"/>
      <c r="AD133" s="117"/>
      <c r="AE133" s="117"/>
      <c r="AF133" s="117"/>
    </row>
    <row r="134" spans="2:33" ht="14.25">
      <c r="B134" s="372" t="str">
        <f>IF(TabEntrainement[[#This Row],[Seance]]="","",TabEntrainement[[#This Row],[Seance]])</f>
        <v/>
      </c>
      <c r="C134" s="117"/>
      <c r="D134" s="117"/>
      <c r="E134" s="117"/>
      <c r="F134" s="117"/>
      <c r="G134" s="117"/>
      <c r="H134" s="117"/>
      <c r="I134" s="117"/>
      <c r="J134" s="117"/>
      <c r="K134" s="117"/>
      <c r="L134" s="117"/>
      <c r="M134" s="117"/>
      <c r="N134" s="117"/>
      <c r="O134" s="117"/>
      <c r="P134" s="117"/>
      <c r="Q134" s="117"/>
      <c r="R134" s="117"/>
      <c r="S134" s="117"/>
      <c r="T134" s="117"/>
      <c r="U134" s="117"/>
      <c r="V134" s="117"/>
      <c r="W134" s="117"/>
      <c r="X134" s="117"/>
      <c r="Y134" s="117"/>
      <c r="Z134" s="117"/>
      <c r="AA134" s="117"/>
      <c r="AB134" s="117"/>
      <c r="AC134" s="117"/>
      <c r="AD134" s="117"/>
      <c r="AE134" s="117"/>
      <c r="AF134" s="117"/>
    </row>
    <row r="135" spans="2:33" ht="14.25">
      <c r="B135" s="372" t="str">
        <f>IF(TabEntrainement[[#This Row],[Seance]]="","",TabEntrainement[[#This Row],[Seance]])</f>
        <v/>
      </c>
      <c r="C135" s="117"/>
      <c r="D135" s="117"/>
      <c r="E135" s="117"/>
      <c r="F135" s="117"/>
      <c r="G135" s="117"/>
      <c r="H135" s="117"/>
      <c r="I135" s="117"/>
      <c r="J135" s="117"/>
      <c r="K135" s="117"/>
      <c r="L135" s="117"/>
      <c r="M135" s="117"/>
      <c r="N135" s="117"/>
      <c r="O135" s="117"/>
      <c r="P135" s="117"/>
      <c r="Q135" s="117"/>
      <c r="R135" s="117"/>
      <c r="S135" s="117"/>
      <c r="T135" s="117"/>
      <c r="U135" s="117"/>
      <c r="V135" s="117"/>
      <c r="W135" s="117"/>
      <c r="X135" s="117"/>
      <c r="Y135" s="117"/>
      <c r="Z135" s="117"/>
      <c r="AA135" s="117"/>
      <c r="AB135" s="117"/>
      <c r="AC135" s="117"/>
      <c r="AD135" s="117"/>
      <c r="AE135" s="117"/>
      <c r="AF135" s="117"/>
    </row>
    <row r="136" spans="2:33" ht="14.25">
      <c r="B136" s="372" t="str">
        <f>IF(TabEntrainement[[#This Row],[Seance]]="","",TabEntrainement[[#This Row],[Seance]])</f>
        <v/>
      </c>
      <c r="C136" s="117"/>
      <c r="D136" s="117"/>
      <c r="E136" s="117"/>
      <c r="F136" s="117"/>
      <c r="G136" s="117"/>
      <c r="H136" s="117"/>
      <c r="I136" s="117"/>
      <c r="J136" s="117"/>
      <c r="K136" s="117"/>
      <c r="L136" s="117"/>
      <c r="M136" s="117"/>
      <c r="N136" s="117"/>
      <c r="O136" s="117"/>
      <c r="P136" s="117"/>
      <c r="Q136" s="117"/>
      <c r="R136" s="117"/>
      <c r="S136" s="117"/>
      <c r="T136" s="117"/>
      <c r="U136" s="117"/>
      <c r="V136" s="117"/>
      <c r="W136" s="117"/>
      <c r="X136" s="117"/>
      <c r="Y136" s="117"/>
      <c r="Z136" s="117"/>
      <c r="AA136" s="117"/>
      <c r="AB136" s="117"/>
      <c r="AC136" s="117"/>
      <c r="AD136" s="117"/>
      <c r="AE136" s="117"/>
      <c r="AF136" s="117"/>
    </row>
    <row r="137" spans="2:33" ht="14.25">
      <c r="B137" s="372" t="str">
        <f>IF(TabEntrainement[[#This Row],[Seance]]="","",TabEntrainement[[#This Row],[Seance]])</f>
        <v/>
      </c>
      <c r="C137" s="117"/>
      <c r="D137" s="117"/>
      <c r="E137" s="117"/>
      <c r="F137" s="117"/>
      <c r="G137" s="117"/>
      <c r="H137" s="117"/>
      <c r="I137" s="117"/>
      <c r="J137" s="117"/>
      <c r="K137" s="117"/>
      <c r="L137" s="117"/>
      <c r="M137" s="117"/>
      <c r="N137" s="117"/>
      <c r="O137" s="117"/>
      <c r="P137" s="117"/>
      <c r="Q137" s="117"/>
      <c r="R137" s="117"/>
      <c r="S137" s="117"/>
      <c r="T137" s="117"/>
      <c r="U137" s="117"/>
      <c r="V137" s="117"/>
      <c r="W137" s="117"/>
      <c r="X137" s="117"/>
      <c r="Y137" s="117"/>
      <c r="Z137" s="117"/>
      <c r="AA137" s="117"/>
      <c r="AB137" s="117"/>
      <c r="AC137" s="117"/>
      <c r="AD137" s="117"/>
      <c r="AE137" s="117"/>
      <c r="AF137" s="117"/>
    </row>
    <row r="138" spans="2:33" ht="13.5">
      <c r="B138" s="12"/>
      <c r="C138" s="395">
        <f>SUBTOTAL(109,TabVictoire[J1])</f>
        <v>2</v>
      </c>
      <c r="D138" s="395">
        <f>SUBTOTAL(109,TabVictoire[J2])</f>
        <v>1</v>
      </c>
      <c r="E138" s="395">
        <f>SUBTOTAL(109,TabVictoire[J3])</f>
        <v>2</v>
      </c>
      <c r="F138" s="395">
        <f>SUBTOTAL(109,TabVictoire[J4])</f>
        <v>1</v>
      </c>
      <c r="G138" s="395">
        <f>SUBTOTAL(109,TabVictoire[J5])</f>
        <v>0</v>
      </c>
      <c r="H138" s="395">
        <f>SUBTOTAL(109,TabVictoire[J6])</f>
        <v>0</v>
      </c>
      <c r="I138" s="395">
        <f>SUBTOTAL(109,TabVictoire[J7])</f>
        <v>2</v>
      </c>
      <c r="J138" s="395">
        <f>SUBTOTAL(109,TabVictoire[J8])</f>
        <v>3</v>
      </c>
      <c r="K138" s="395">
        <f>SUBTOTAL(109,TabVictoire[J9])</f>
        <v>2</v>
      </c>
      <c r="L138" s="395">
        <f>SUBTOTAL(109,TabVictoire[J10])</f>
        <v>1</v>
      </c>
      <c r="M138" s="395">
        <f>SUBTOTAL(109,TabVictoire[J11])</f>
        <v>2</v>
      </c>
      <c r="N138" s="395">
        <f>SUBTOTAL(109,TabVictoire[J12])</f>
        <v>1</v>
      </c>
      <c r="O138" s="395">
        <f>SUBTOTAL(109,TabVictoire[J13])</f>
        <v>2</v>
      </c>
      <c r="P138" s="395">
        <f>SUBTOTAL(109,TabVictoire[J14])</f>
        <v>1</v>
      </c>
      <c r="Q138" s="395">
        <f>SUBTOTAL(109,TabVictoire[J15])</f>
        <v>4</v>
      </c>
      <c r="R138" s="395">
        <f>SUBTOTAL(109,TabVictoire[J16])</f>
        <v>2</v>
      </c>
      <c r="S138" s="395">
        <f>SUBTOTAL(109,TabVictoire[J17])</f>
        <v>2</v>
      </c>
      <c r="T138" s="395">
        <f>SUBTOTAL(109,TabVictoire[J18])</f>
        <v>4</v>
      </c>
      <c r="U138" s="395">
        <f>SUBTOTAL(109,TabVictoire[J19])</f>
        <v>1</v>
      </c>
      <c r="V138" s="395">
        <f>SUBTOTAL(109,TabVictoire[J20])</f>
        <v>1</v>
      </c>
      <c r="W138" s="395">
        <f>SUBTOTAL(109,TabVictoire[J21])</f>
        <v>2</v>
      </c>
      <c r="X138" s="395">
        <f>SUBTOTAL(109,TabVictoire[J22])</f>
        <v>0</v>
      </c>
      <c r="Y138" s="395">
        <f>SUBTOTAL(109,TabVictoire[J23])</f>
        <v>0</v>
      </c>
      <c r="Z138" s="395">
        <f>SUBTOTAL(109,TabVictoire[J24])</f>
        <v>0</v>
      </c>
      <c r="AA138" s="395">
        <f>SUBTOTAL(109,TabVictoire[J25])</f>
        <v>0</v>
      </c>
      <c r="AB138" s="395">
        <f>SUBTOTAL(109,TabVictoire[J26])</f>
        <v>0</v>
      </c>
      <c r="AC138" s="395">
        <f>SUBTOTAL(109,TabVictoire[J27])</f>
        <v>0</v>
      </c>
      <c r="AD138" s="395">
        <f>SUBTOTAL(109,TabVictoire[J28])</f>
        <v>0</v>
      </c>
      <c r="AE138" s="395">
        <f>SUBTOTAL(109,TabVictoire[J29])</f>
        <v>0</v>
      </c>
      <c r="AF138" s="395">
        <f>SUBTOTAL(109,TabVictoire[J30])</f>
        <v>0</v>
      </c>
      <c r="AG138" s="13"/>
    </row>
    <row r="139" spans="2:33" ht="13.5">
      <c r="B139" s="31"/>
      <c r="C139" s="32"/>
      <c r="D139" s="32"/>
      <c r="E139" s="32"/>
      <c r="F139" s="32"/>
      <c r="G139" s="32"/>
      <c r="H139" s="32"/>
      <c r="I139" s="32"/>
      <c r="J139" s="32"/>
      <c r="K139" s="32"/>
      <c r="L139" s="32"/>
      <c r="M139" s="32"/>
      <c r="N139" s="32"/>
      <c r="O139" s="32"/>
      <c r="P139" s="32"/>
      <c r="Q139" s="32"/>
      <c r="R139" s="32"/>
      <c r="S139" s="32"/>
      <c r="T139" s="32"/>
      <c r="U139" s="32"/>
      <c r="V139" s="32"/>
      <c r="W139" s="32"/>
      <c r="X139" s="32"/>
      <c r="Y139" s="32"/>
      <c r="Z139" s="32"/>
      <c r="AA139" s="32"/>
      <c r="AB139" s="32"/>
      <c r="AC139" s="32"/>
      <c r="AD139" s="32"/>
      <c r="AE139" s="32"/>
      <c r="AF139" s="32"/>
      <c r="AG139" s="35"/>
    </row>
    <row r="140" spans="2:33" ht="13.5">
      <c r="B140" s="31"/>
      <c r="C140" s="32"/>
      <c r="D140" s="32"/>
      <c r="E140" s="32"/>
      <c r="F140" s="32"/>
      <c r="G140" s="32"/>
      <c r="H140" s="32"/>
      <c r="I140" s="32"/>
      <c r="J140" s="32"/>
      <c r="K140" s="32"/>
      <c r="L140" s="32"/>
      <c r="M140" s="32"/>
      <c r="N140" s="32"/>
      <c r="O140" s="32"/>
      <c r="P140" s="32"/>
      <c r="Q140" s="32"/>
      <c r="R140" s="32"/>
      <c r="S140" s="32"/>
      <c r="T140" s="32"/>
      <c r="U140" s="32"/>
      <c r="V140" s="32"/>
      <c r="W140" s="32"/>
      <c r="X140" s="32"/>
      <c r="Y140" s="32"/>
      <c r="Z140" s="32"/>
      <c r="AA140" s="32"/>
      <c r="AB140" s="32"/>
      <c r="AC140" s="32"/>
      <c r="AD140" s="32"/>
      <c r="AE140" s="32"/>
      <c r="AF140" s="32"/>
      <c r="AG140" s="35"/>
    </row>
    <row r="141" spans="2:33" ht="13.5">
      <c r="AG141" s="16"/>
    </row>
  </sheetData>
  <autoFilter ref="C4:AF4" xr:uid="{2BDB87EF-9978-7E4C-93B7-EA1A8A5248D0}"/>
  <dataValidations count="1">
    <dataValidation type="whole" operator="equal" allowBlank="1" showInputMessage="1" showErrorMessage="1" sqref="C7:AF137" xr:uid="{E2878BEE-A323-474C-A5C7-3EF755D8F469}">
      <formula1>1</formula1>
    </dataValidation>
  </dataValidations>
  <pageMargins left="0.7" right="0.7" top="0.75" bottom="0.75" header="0.3" footer="0.3"/>
  <drawing r:id="rId1"/>
  <legacyDrawing r:id="rId2"/>
  <mc:AlternateContent xmlns:mc="http://schemas.openxmlformats.org/markup-compatibility/2006">
    <mc:Choice Requires="x14">
      <controls>
        <mc:AlternateContent xmlns:mc="http://schemas.openxmlformats.org/markup-compatibility/2006">
          <mc:Choice Requires="x14">
            <control shapeId="7170" r:id="rId3" name="Button 2">
              <controlPr defaultSize="0" print="0" autoFill="0" autoPict="0" macro="[0]!CloseOnglet">
                <anchor moveWithCells="1" sizeWithCells="1">
                  <from>
                    <xdr:col>19</xdr:col>
                    <xdr:colOff>638175</xdr:colOff>
                    <xdr:row>1</xdr:row>
                    <xdr:rowOff>28575</xdr:rowOff>
                  </from>
                  <to>
                    <xdr:col>22</xdr:col>
                    <xdr:colOff>66675</xdr:colOff>
                    <xdr:row>1</xdr:row>
                    <xdr:rowOff>409575</xdr:rowOff>
                  </to>
                </anchor>
              </controlPr>
            </control>
          </mc:Choice>
        </mc:AlternateContent>
      </controls>
    </mc:Choice>
  </mc:AlternateContent>
  <tableParts count="1">
    <tablePart r:id="rId4"/>
  </tableParts>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Feuil3">
    <tabColor theme="6" tint="-0.249977111117893"/>
  </sheetPr>
  <dimension ref="B2:AJ153"/>
  <sheetViews>
    <sheetView showGridLines="0" topLeftCell="C1" workbookViewId="0">
      <pane ySplit="4" topLeftCell="A5" activePane="bottomLeft" state="frozen"/>
      <selection pane="bottomLeft" activeCell="C4" sqref="C4:AF4"/>
    </sheetView>
  </sheetViews>
  <sheetFormatPr baseColWidth="10" defaultRowHeight="12.75"/>
  <cols>
    <col min="1" max="1" width="3.140625" customWidth="1"/>
    <col min="2" max="2" width="11.140625" bestFit="1" customWidth="1"/>
    <col min="33" max="34" width="13" customWidth="1"/>
    <col min="35" max="35" width="21" customWidth="1"/>
  </cols>
  <sheetData>
    <row r="2" spans="2:32" ht="33" customHeight="1">
      <c r="B2" s="55" t="s">
        <v>77</v>
      </c>
      <c r="T2" s="28"/>
    </row>
    <row r="4" spans="2:32" ht="27.95" customHeight="1">
      <c r="C4" s="90" t="str">
        <f ca="1">INDIRECT("'BDD - Joueurs'!B2")</f>
        <v>ADDA Matteo</v>
      </c>
      <c r="D4" s="90" t="str">
        <f ca="1">INDIRECT("'BDD - Joueurs'!B3")</f>
        <v>ALFONSO Joao</v>
      </c>
      <c r="E4" s="90" t="str">
        <f ca="1">INDIRECT("'BDD - Joueurs'!B4")</f>
        <v>BERDAH Matis</v>
      </c>
      <c r="F4" s="90" t="str">
        <f ca="1">INDIRECT("'BDD - Joueurs'!B5")</f>
        <v>CAMARA Bandiougou</v>
      </c>
      <c r="G4" s="90" t="str">
        <f ca="1">INDIRECT("'BDD - Joueurs'!B6")</f>
        <v>CAMARA Moussa</v>
      </c>
      <c r="H4" s="90" t="str">
        <f ca="1">INDIRECT("'BDD - Joueurs'!B7")</f>
        <v>CARREAU Ethan</v>
      </c>
      <c r="I4" s="90" t="str">
        <f ca="1">INDIRECT("'BDD - Joueurs'!B8")</f>
        <v>CHEROD Alexis</v>
      </c>
      <c r="J4" s="90" t="str">
        <f ca="1">INDIRECT("'BDD - Joueurs'!B9")</f>
        <v>DJEHICHE Ramzi</v>
      </c>
      <c r="K4" s="90" t="str">
        <f ca="1">INDIRECT("'BDD - Joueurs'!B10")</f>
        <v>DOSIERE Baptiste</v>
      </c>
      <c r="L4" s="90" t="str">
        <f ca="1">INDIRECT("'BDD - Joueurs'!B11")</f>
        <v>DUQUENOY Thomas</v>
      </c>
      <c r="M4" s="90" t="str">
        <f ca="1">INDIRECT("'BDD - Joueurs'!B12")</f>
        <v>KIPRE Jordan</v>
      </c>
      <c r="N4" s="90" t="str">
        <f ca="1">INDIRECT("'BDD - Joueurs'!B13")</f>
        <v>KONATE Mamadou</v>
      </c>
      <c r="O4" s="90" t="str">
        <f ca="1">INDIRECT("'BDD - Joueurs'!B14")</f>
        <v>LECOUFFE Hugo</v>
      </c>
      <c r="P4" s="90" t="str">
        <f ca="1">INDIRECT("'BDD - Joueurs'!B15")</f>
        <v>LEFRANC Nathan</v>
      </c>
      <c r="Q4" s="90" t="str">
        <f ca="1">INDIRECT("'BDD - Joueurs'!B16")</f>
        <v>MASSOUSSI Elie</v>
      </c>
      <c r="R4" s="90" t="str">
        <f ca="1">INDIRECT("'BDD - Joueurs'!B17")</f>
        <v>NGOUABI Yoann</v>
      </c>
      <c r="S4" s="90" t="str">
        <f ca="1">INDIRECT("'BDD - Joueurs'!B18")</f>
        <v>PLANET Mathis</v>
      </c>
      <c r="T4" s="90" t="str">
        <f ca="1">INDIRECT("'BDD - Joueurs'!B19")</f>
        <v>PRONNIER Nicolas</v>
      </c>
      <c r="U4" s="90" t="str">
        <f ca="1">INDIRECT("'BDD - Joueurs'!B20")</f>
        <v>STIOUET Reda</v>
      </c>
      <c r="V4" s="90" t="str">
        <f ca="1">INDIRECT("'BDD - Joueurs'!B21")</f>
        <v>ZERDEB Said</v>
      </c>
      <c r="W4" s="90" t="str">
        <f ca="1">INDIRECT("'BDD - Joueurs'!B22")</f>
        <v>OSSENI Farouk</v>
      </c>
      <c r="X4" s="90">
        <f ca="1">INDIRECT("'BDD - Joueurs'!B23")</f>
        <v>0</v>
      </c>
      <c r="Y4" s="90">
        <f ca="1">INDIRECT("'BDD - Joueurs'!B24")</f>
        <v>0</v>
      </c>
      <c r="Z4" s="90">
        <f ca="1">INDIRECT("'BDD - Joueurs'!B25")</f>
        <v>0</v>
      </c>
      <c r="AA4" s="90">
        <f ca="1">INDIRECT("'BDD - Joueurs'!B26")</f>
        <v>0</v>
      </c>
      <c r="AB4" s="90">
        <f ca="1">INDIRECT("'BDD - Joueurs'!B27")</f>
        <v>0</v>
      </c>
      <c r="AC4" s="90">
        <f ca="1">INDIRECT("'BDD - Joueurs'!B28")</f>
        <v>0</v>
      </c>
      <c r="AD4" s="90">
        <f ca="1">INDIRECT("'BDD - Joueurs'!B29")</f>
        <v>0</v>
      </c>
      <c r="AE4" s="90">
        <f ca="1">INDIRECT("'BDD - Joueurs'!B30")</f>
        <v>0</v>
      </c>
      <c r="AF4" s="90">
        <f ca="1">INDIRECT("'BDD - Joueurs'!B31")</f>
        <v>0</v>
      </c>
    </row>
    <row r="18" spans="2:35" ht="14.25">
      <c r="B18" s="37" t="s">
        <v>75</v>
      </c>
      <c r="C18" s="23" t="s">
        <v>16</v>
      </c>
      <c r="D18" s="38" t="s">
        <v>4</v>
      </c>
      <c r="E18" s="23" t="s">
        <v>19</v>
      </c>
      <c r="F18" s="38" t="s">
        <v>20</v>
      </c>
      <c r="G18" s="23" t="s">
        <v>21</v>
      </c>
      <c r="H18" s="38" t="s">
        <v>22</v>
      </c>
      <c r="I18" s="23" t="s">
        <v>23</v>
      </c>
      <c r="J18" s="38" t="s">
        <v>24</v>
      </c>
      <c r="K18" s="23" t="s">
        <v>25</v>
      </c>
      <c r="L18" s="23" t="s">
        <v>26</v>
      </c>
      <c r="M18" s="23" t="s">
        <v>27</v>
      </c>
      <c r="N18" s="38" t="s">
        <v>28</v>
      </c>
      <c r="O18" s="39" t="s">
        <v>45</v>
      </c>
      <c r="P18" s="4" t="s">
        <v>46</v>
      </c>
      <c r="Q18" s="39" t="s">
        <v>47</v>
      </c>
      <c r="R18" s="4" t="s">
        <v>48</v>
      </c>
      <c r="S18" s="3" t="s">
        <v>49</v>
      </c>
      <c r="T18" s="4" t="s">
        <v>50</v>
      </c>
      <c r="U18" s="3" t="s">
        <v>51</v>
      </c>
      <c r="V18" s="4" t="s">
        <v>52</v>
      </c>
      <c r="W18" s="3" t="s">
        <v>53</v>
      </c>
      <c r="X18" s="4" t="s">
        <v>54</v>
      </c>
      <c r="Y18" s="3" t="s">
        <v>55</v>
      </c>
      <c r="Z18" s="4" t="s">
        <v>56</v>
      </c>
      <c r="AA18" s="3" t="s">
        <v>57</v>
      </c>
      <c r="AB18" s="4" t="s">
        <v>58</v>
      </c>
      <c r="AC18" s="3" t="s">
        <v>59</v>
      </c>
      <c r="AD18" s="4" t="s">
        <v>60</v>
      </c>
      <c r="AE18" s="3" t="s">
        <v>61</v>
      </c>
      <c r="AF18" s="4" t="s">
        <v>62</v>
      </c>
      <c r="AG18" s="47" t="s">
        <v>9</v>
      </c>
      <c r="AH18" s="47" t="s">
        <v>70</v>
      </c>
      <c r="AI18" s="17" t="s">
        <v>1</v>
      </c>
    </row>
    <row r="19" spans="2:35" ht="14.25">
      <c r="B19" s="14">
        <f>IF(INDEX(TabEntrainement[Seance],ROW()-18)&lt;&gt;0,INDEX(TabEntrainement[Seance],ROW()-18),"")</f>
        <v>43318</v>
      </c>
      <c r="C19" s="117"/>
      <c r="D19" s="117"/>
      <c r="E19" s="117"/>
      <c r="F19" s="117"/>
      <c r="G19" s="117"/>
      <c r="H19" s="117"/>
      <c r="I19" s="117"/>
      <c r="J19" s="117"/>
      <c r="K19" s="117"/>
      <c r="L19" s="117"/>
      <c r="M19" s="117"/>
      <c r="N19" s="117"/>
      <c r="O19" s="117"/>
      <c r="P19" s="117"/>
      <c r="Q19" s="117"/>
      <c r="R19" s="117"/>
      <c r="S19" s="117"/>
      <c r="T19" s="117"/>
      <c r="U19" s="117"/>
      <c r="V19" s="117"/>
      <c r="W19" s="117"/>
      <c r="X19" s="117"/>
      <c r="Y19" s="117"/>
      <c r="Z19" s="117"/>
      <c r="AA19" s="117"/>
      <c r="AB19" s="117"/>
      <c r="AC19" s="117"/>
      <c r="AD19" s="117"/>
      <c r="AE19" s="117"/>
      <c r="AF19" s="117"/>
      <c r="AG19" s="46" t="str">
        <f>IF(COUNTA(TabPlaisir[[#This Row],[J1]:[J30]])&lt;&gt;0,AVERAGE(TabPlaisir[[#This Row],[J1]:[J30]]),"")</f>
        <v/>
      </c>
      <c r="AH19" s="49" t="str">
        <f>TabPlaisir[[#This Row],[Moyenne]]</f>
        <v/>
      </c>
      <c r="AI19" s="48"/>
    </row>
    <row r="20" spans="2:35" ht="14.25">
      <c r="B20" s="93">
        <f>IF(INDEX(TabEntrainement[Seance],ROW()-18)&lt;&gt;0,INDEX(TabEntrainement[Seance],ROW()-18),"")</f>
        <v>43319</v>
      </c>
      <c r="C20" s="117"/>
      <c r="D20" s="117"/>
      <c r="E20" s="117"/>
      <c r="F20" s="117"/>
      <c r="G20" s="117"/>
      <c r="H20" s="117"/>
      <c r="I20" s="117"/>
      <c r="J20" s="117"/>
      <c r="K20" s="117"/>
      <c r="L20" s="117"/>
      <c r="M20" s="117"/>
      <c r="N20" s="117"/>
      <c r="O20" s="117"/>
      <c r="P20" s="117"/>
      <c r="Q20" s="117"/>
      <c r="R20" s="117"/>
      <c r="S20" s="117"/>
      <c r="T20" s="117"/>
      <c r="U20" s="117"/>
      <c r="V20" s="117"/>
      <c r="W20" s="117"/>
      <c r="X20" s="117"/>
      <c r="Y20" s="117"/>
      <c r="Z20" s="117"/>
      <c r="AA20" s="117"/>
      <c r="AB20" s="117"/>
      <c r="AC20" s="117"/>
      <c r="AD20" s="117"/>
      <c r="AE20" s="117"/>
      <c r="AF20" s="117"/>
      <c r="AG20" s="46" t="str">
        <f>IF(COUNTA(TabPlaisir[[#This Row],[J1]:[J30]])&lt;&gt;0,AVERAGE(TabPlaisir[[#This Row],[J1]:[J30]]),"")</f>
        <v/>
      </c>
      <c r="AH20" s="49" t="str">
        <f>TabPlaisir[[#This Row],[Moyenne]]</f>
        <v/>
      </c>
      <c r="AI20" s="48"/>
    </row>
    <row r="21" spans="2:35" ht="14.25">
      <c r="B21" s="14">
        <f>IF(INDEX(TabEntrainement[Seance],ROW()-18)&lt;&gt;0,INDEX(TabEntrainement[Seance],ROW()-18),"")</f>
        <v>43321</v>
      </c>
      <c r="C21" s="117"/>
      <c r="D21" s="117"/>
      <c r="E21" s="117"/>
      <c r="F21" s="117"/>
      <c r="G21" s="117"/>
      <c r="H21" s="117"/>
      <c r="I21" s="117"/>
      <c r="J21" s="117"/>
      <c r="K21" s="117"/>
      <c r="L21" s="117"/>
      <c r="M21" s="117"/>
      <c r="N21" s="117"/>
      <c r="O21" s="117"/>
      <c r="P21" s="117"/>
      <c r="Q21" s="117"/>
      <c r="R21" s="117"/>
      <c r="S21" s="117"/>
      <c r="T21" s="117"/>
      <c r="U21" s="117"/>
      <c r="V21" s="117"/>
      <c r="W21" s="117"/>
      <c r="X21" s="117"/>
      <c r="Y21" s="117"/>
      <c r="Z21" s="117"/>
      <c r="AA21" s="117"/>
      <c r="AB21" s="117"/>
      <c r="AC21" s="117"/>
      <c r="AD21" s="117"/>
      <c r="AE21" s="117"/>
      <c r="AF21" s="117"/>
      <c r="AG21" s="46" t="str">
        <f>IF(COUNTA(TabPlaisir[[#This Row],[J1]:[J30]])&lt;&gt;0,AVERAGE(TabPlaisir[[#This Row],[J1]:[J30]]),"")</f>
        <v/>
      </c>
      <c r="AH21" s="49" t="str">
        <f>TabPlaisir[[#This Row],[Moyenne]]</f>
        <v/>
      </c>
      <c r="AI21" s="48"/>
    </row>
    <row r="22" spans="2:35" ht="14.25">
      <c r="B22" s="14">
        <f>IF(INDEX(TabEntrainement[Seance],ROW()-18)&lt;&gt;0,INDEX(TabEntrainement[Seance],ROW()-18),"")</f>
        <v>43322</v>
      </c>
      <c r="C22" s="117"/>
      <c r="D22" s="117"/>
      <c r="E22" s="117"/>
      <c r="F22" s="117"/>
      <c r="G22" s="117"/>
      <c r="H22" s="117"/>
      <c r="I22" s="117"/>
      <c r="J22" s="117"/>
      <c r="K22" s="117"/>
      <c r="L22" s="117"/>
      <c r="M22" s="117"/>
      <c r="N22" s="117"/>
      <c r="O22" s="117"/>
      <c r="P22" s="117"/>
      <c r="Q22" s="117"/>
      <c r="R22" s="117"/>
      <c r="S22" s="117"/>
      <c r="T22" s="117"/>
      <c r="U22" s="117"/>
      <c r="V22" s="117"/>
      <c r="W22" s="117"/>
      <c r="X22" s="117"/>
      <c r="Y22" s="117"/>
      <c r="Z22" s="117"/>
      <c r="AA22" s="117"/>
      <c r="AB22" s="117"/>
      <c r="AC22" s="117"/>
      <c r="AD22" s="117"/>
      <c r="AE22" s="117"/>
      <c r="AF22" s="117"/>
      <c r="AG22" s="46" t="str">
        <f>IF(COUNTA(TabPlaisir[[#This Row],[J1]:[J30]])&lt;&gt;0,AVERAGE(TabPlaisir[[#This Row],[J1]:[J30]]),"")</f>
        <v/>
      </c>
      <c r="AH22" s="49" t="str">
        <f>TabPlaisir[[#This Row],[Moyenne]]</f>
        <v/>
      </c>
      <c r="AI22" s="48"/>
    </row>
    <row r="23" spans="2:35" ht="14.25">
      <c r="B23" s="14">
        <f>IF(INDEX(TabEntrainement[Seance],ROW()-18)&lt;&gt;0,INDEX(TabEntrainement[Seance],ROW()-18),"")</f>
        <v>43325</v>
      </c>
      <c r="C23" s="117"/>
      <c r="D23" s="117"/>
      <c r="E23" s="117"/>
      <c r="F23" s="117"/>
      <c r="G23" s="117"/>
      <c r="H23" s="117"/>
      <c r="I23" s="117"/>
      <c r="J23" s="117"/>
      <c r="K23" s="117"/>
      <c r="L23" s="117"/>
      <c r="M23" s="117"/>
      <c r="N23" s="117"/>
      <c r="O23" s="117"/>
      <c r="P23" s="117"/>
      <c r="Q23" s="117"/>
      <c r="R23" s="117"/>
      <c r="S23" s="117"/>
      <c r="T23" s="117"/>
      <c r="U23" s="117"/>
      <c r="V23" s="117"/>
      <c r="W23" s="117"/>
      <c r="X23" s="117"/>
      <c r="Y23" s="117"/>
      <c r="Z23" s="117"/>
      <c r="AA23" s="117"/>
      <c r="AB23" s="117"/>
      <c r="AC23" s="117"/>
      <c r="AD23" s="117"/>
      <c r="AE23" s="117"/>
      <c r="AF23" s="117"/>
      <c r="AG23" s="46" t="str">
        <f>IF(COUNTA(TabPlaisir[[#This Row],[J1]:[J30]])&lt;&gt;0,AVERAGE(TabPlaisir[[#This Row],[J1]:[J30]]),"")</f>
        <v/>
      </c>
      <c r="AH23" s="49" t="str">
        <f>TabPlaisir[[#This Row],[Moyenne]]</f>
        <v/>
      </c>
      <c r="AI23" s="48"/>
    </row>
    <row r="24" spans="2:35" ht="14.25">
      <c r="B24" s="14">
        <f>IF(INDEX(TabEntrainement[Seance],ROW()-18)&lt;&gt;0,INDEX(TabEntrainement[Seance],ROW()-18),"")</f>
        <v>43326</v>
      </c>
      <c r="C24" s="117"/>
      <c r="D24" s="117"/>
      <c r="E24" s="117"/>
      <c r="F24" s="117"/>
      <c r="G24" s="117"/>
      <c r="H24" s="117"/>
      <c r="I24" s="117"/>
      <c r="J24" s="117"/>
      <c r="K24" s="117"/>
      <c r="L24" s="117"/>
      <c r="M24" s="117"/>
      <c r="N24" s="117"/>
      <c r="O24" s="117"/>
      <c r="P24" s="117"/>
      <c r="Q24" s="117"/>
      <c r="R24" s="117"/>
      <c r="S24" s="117"/>
      <c r="T24" s="117"/>
      <c r="U24" s="117"/>
      <c r="V24" s="117"/>
      <c r="W24" s="117"/>
      <c r="X24" s="117"/>
      <c r="Y24" s="117"/>
      <c r="Z24" s="117"/>
      <c r="AA24" s="117"/>
      <c r="AB24" s="117"/>
      <c r="AC24" s="117"/>
      <c r="AD24" s="117"/>
      <c r="AE24" s="117"/>
      <c r="AF24" s="117"/>
      <c r="AG24" s="46" t="str">
        <f>IF(COUNTA(TabPlaisir[[#This Row],[J1]:[J30]])&lt;&gt;0,AVERAGE(TabPlaisir[[#This Row],[J1]:[J30]]),"")</f>
        <v/>
      </c>
      <c r="AH24" s="49" t="str">
        <f>TabPlaisir[[#This Row],[Moyenne]]</f>
        <v/>
      </c>
      <c r="AI24" s="48"/>
    </row>
    <row r="25" spans="2:35" ht="14.25">
      <c r="B25" s="14">
        <f>IF(INDEX(TabEntrainement[Seance],ROW()-18)&lt;&gt;0,INDEX(TabEntrainement[Seance],ROW()-18),"")</f>
        <v>43327</v>
      </c>
      <c r="C25" s="117"/>
      <c r="D25" s="117"/>
      <c r="E25" s="117"/>
      <c r="F25" s="117"/>
      <c r="G25" s="117"/>
      <c r="H25" s="117"/>
      <c r="I25" s="117"/>
      <c r="J25" s="117"/>
      <c r="K25" s="117"/>
      <c r="L25" s="117"/>
      <c r="M25" s="117"/>
      <c r="N25" s="117"/>
      <c r="O25" s="117"/>
      <c r="P25" s="117"/>
      <c r="Q25" s="117"/>
      <c r="R25" s="117"/>
      <c r="S25" s="117"/>
      <c r="T25" s="117"/>
      <c r="U25" s="117"/>
      <c r="V25" s="117"/>
      <c r="W25" s="117"/>
      <c r="X25" s="117"/>
      <c r="Y25" s="117"/>
      <c r="Z25" s="117"/>
      <c r="AA25" s="117"/>
      <c r="AB25" s="117"/>
      <c r="AC25" s="117"/>
      <c r="AD25" s="117"/>
      <c r="AE25" s="117"/>
      <c r="AF25" s="117"/>
      <c r="AG25" s="46" t="str">
        <f>IF(COUNTA(TabPlaisir[[#This Row],[J1]:[J30]])&lt;&gt;0,AVERAGE(TabPlaisir[[#This Row],[J1]:[J30]]),"")</f>
        <v/>
      </c>
      <c r="AH25" s="49" t="str">
        <f>TabPlaisir[[#This Row],[Moyenne]]</f>
        <v/>
      </c>
      <c r="AI25" s="48"/>
    </row>
    <row r="26" spans="2:35" ht="14.25">
      <c r="B26" s="14">
        <f>IF(INDEX(TabEntrainement[Seance],ROW()-18)&lt;&gt;0,INDEX(TabEntrainement[Seance],ROW()-18),"")</f>
        <v>43328</v>
      </c>
      <c r="C26" s="117"/>
      <c r="D26" s="117"/>
      <c r="E26" s="117"/>
      <c r="F26" s="117"/>
      <c r="G26" s="117"/>
      <c r="H26" s="117"/>
      <c r="I26" s="117"/>
      <c r="J26" s="117"/>
      <c r="K26" s="117"/>
      <c r="L26" s="117"/>
      <c r="M26" s="117"/>
      <c r="N26" s="117"/>
      <c r="O26" s="117"/>
      <c r="P26" s="117"/>
      <c r="Q26" s="117"/>
      <c r="R26" s="117"/>
      <c r="S26" s="117"/>
      <c r="T26" s="117"/>
      <c r="U26" s="117"/>
      <c r="V26" s="117"/>
      <c r="W26" s="117"/>
      <c r="X26" s="117"/>
      <c r="Y26" s="117"/>
      <c r="Z26" s="117"/>
      <c r="AA26" s="117"/>
      <c r="AB26" s="117"/>
      <c r="AC26" s="117"/>
      <c r="AD26" s="117"/>
      <c r="AE26" s="117"/>
      <c r="AF26" s="117"/>
      <c r="AG26" s="46" t="str">
        <f>IF(COUNTA(TabPlaisir[[#This Row],[J1]:[J30]])&lt;&gt;0,AVERAGE(TabPlaisir[[#This Row],[J1]:[J30]]),"")</f>
        <v/>
      </c>
      <c r="AH26" s="49" t="str">
        <f>TabPlaisir[[#This Row],[Moyenne]]</f>
        <v/>
      </c>
      <c r="AI26" s="48"/>
    </row>
    <row r="27" spans="2:35" ht="14.25">
      <c r="B27" s="14">
        <f>IF(INDEX(TabEntrainement[Seance],ROW()-18)&lt;&gt;0,INDEX(TabEntrainement[Seance],ROW()-18),"")</f>
        <v>43329</v>
      </c>
      <c r="C27" s="117"/>
      <c r="D27" s="117"/>
      <c r="E27" s="117"/>
      <c r="F27" s="117"/>
      <c r="G27" s="117"/>
      <c r="H27" s="117"/>
      <c r="I27" s="117"/>
      <c r="J27" s="117"/>
      <c r="K27" s="117"/>
      <c r="L27" s="117"/>
      <c r="M27" s="117"/>
      <c r="N27" s="117"/>
      <c r="O27" s="117"/>
      <c r="P27" s="117"/>
      <c r="Q27" s="117"/>
      <c r="R27" s="117"/>
      <c r="S27" s="117"/>
      <c r="T27" s="117"/>
      <c r="U27" s="117"/>
      <c r="V27" s="117"/>
      <c r="W27" s="117"/>
      <c r="X27" s="117"/>
      <c r="Y27" s="117"/>
      <c r="Z27" s="117"/>
      <c r="AA27" s="117"/>
      <c r="AB27" s="117"/>
      <c r="AC27" s="117"/>
      <c r="AD27" s="117"/>
      <c r="AE27" s="117"/>
      <c r="AF27" s="117"/>
      <c r="AG27" s="46" t="str">
        <f>IF(COUNTA(TabPlaisir[[#This Row],[J1]:[J30]])&lt;&gt;0,AVERAGE(TabPlaisir[[#This Row],[J1]:[J30]]),"")</f>
        <v/>
      </c>
      <c r="AH27" s="49" t="str">
        <f>TabPlaisir[[#This Row],[Moyenne]]</f>
        <v/>
      </c>
      <c r="AI27" s="48"/>
    </row>
    <row r="28" spans="2:35" ht="14.25">
      <c r="B28" s="14">
        <f>IF(INDEX(TabEntrainement[Seance],ROW()-18)&lt;&gt;0,INDEX(TabEntrainement[Seance],ROW()-18),"")</f>
        <v>43330</v>
      </c>
      <c r="C28" s="117"/>
      <c r="D28" s="117"/>
      <c r="E28" s="117"/>
      <c r="F28" s="117"/>
      <c r="G28" s="117"/>
      <c r="H28" s="117"/>
      <c r="I28" s="117"/>
      <c r="J28" s="117"/>
      <c r="K28" s="117"/>
      <c r="L28" s="117"/>
      <c r="M28" s="117"/>
      <c r="N28" s="117"/>
      <c r="O28" s="117"/>
      <c r="P28" s="117"/>
      <c r="Q28" s="117"/>
      <c r="R28" s="117"/>
      <c r="S28" s="117"/>
      <c r="T28" s="117"/>
      <c r="U28" s="117"/>
      <c r="V28" s="117"/>
      <c r="W28" s="117"/>
      <c r="X28" s="117"/>
      <c r="Y28" s="117"/>
      <c r="Z28" s="117"/>
      <c r="AA28" s="117"/>
      <c r="AB28" s="117"/>
      <c r="AC28" s="117"/>
      <c r="AD28" s="117"/>
      <c r="AE28" s="117"/>
      <c r="AF28" s="117"/>
      <c r="AG28" s="46" t="str">
        <f>IF(COUNTA(TabPlaisir[[#This Row],[J1]:[J30]])&lt;&gt;0,AVERAGE(TabPlaisir[[#This Row],[J1]:[J30]]),"")</f>
        <v/>
      </c>
      <c r="AH28" s="49" t="str">
        <f>TabPlaisir[[#This Row],[Moyenne]]</f>
        <v/>
      </c>
      <c r="AI28" s="48"/>
    </row>
    <row r="29" spans="2:35" ht="14.25">
      <c r="B29" s="14">
        <f>IF(INDEX(TabEntrainement[Seance],ROW()-18)&lt;&gt;0,INDEX(TabEntrainement[Seance],ROW()-18),"")</f>
        <v>43332</v>
      </c>
      <c r="C29" s="117"/>
      <c r="D29" s="117"/>
      <c r="E29" s="117"/>
      <c r="F29" s="117"/>
      <c r="G29" s="117"/>
      <c r="H29" s="117"/>
      <c r="I29" s="117"/>
      <c r="J29" s="117"/>
      <c r="K29" s="117"/>
      <c r="L29" s="117"/>
      <c r="M29" s="117"/>
      <c r="N29" s="117"/>
      <c r="O29" s="117"/>
      <c r="P29" s="117"/>
      <c r="Q29" s="117"/>
      <c r="R29" s="117"/>
      <c r="S29" s="117"/>
      <c r="T29" s="117"/>
      <c r="U29" s="117"/>
      <c r="V29" s="117"/>
      <c r="W29" s="117"/>
      <c r="X29" s="117"/>
      <c r="Y29" s="117"/>
      <c r="Z29" s="117"/>
      <c r="AA29" s="117"/>
      <c r="AB29" s="117"/>
      <c r="AC29" s="117"/>
      <c r="AD29" s="117"/>
      <c r="AE29" s="117"/>
      <c r="AF29" s="117"/>
      <c r="AG29" s="46" t="str">
        <f>IF(COUNTA(TabPlaisir[[#This Row],[J1]:[J30]])&lt;&gt;0,AVERAGE(TabPlaisir[[#This Row],[J1]:[J30]]),"")</f>
        <v/>
      </c>
      <c r="AH29" s="49" t="str">
        <f>TabPlaisir[[#This Row],[Moyenne]]</f>
        <v/>
      </c>
      <c r="AI29" s="48"/>
    </row>
    <row r="30" spans="2:35" ht="14.25">
      <c r="B30" s="14">
        <f>IF(INDEX(TabEntrainement[Seance],ROW()-18)&lt;&gt;0,INDEX(TabEntrainement[Seance],ROW()-18),"")</f>
        <v>43333</v>
      </c>
      <c r="C30" s="117"/>
      <c r="D30" s="117"/>
      <c r="E30" s="117"/>
      <c r="F30" s="117"/>
      <c r="G30" s="117"/>
      <c r="H30" s="117"/>
      <c r="I30" s="117"/>
      <c r="J30" s="117"/>
      <c r="K30" s="117"/>
      <c r="L30" s="117"/>
      <c r="M30" s="117"/>
      <c r="N30" s="117"/>
      <c r="O30" s="117"/>
      <c r="P30" s="117"/>
      <c r="Q30" s="117"/>
      <c r="R30" s="117"/>
      <c r="S30" s="117"/>
      <c r="T30" s="117"/>
      <c r="U30" s="117"/>
      <c r="V30" s="117"/>
      <c r="W30" s="117"/>
      <c r="X30" s="117"/>
      <c r="Y30" s="117"/>
      <c r="Z30" s="117"/>
      <c r="AA30" s="117"/>
      <c r="AB30" s="117"/>
      <c r="AC30" s="117"/>
      <c r="AD30" s="117"/>
      <c r="AE30" s="117"/>
      <c r="AF30" s="117"/>
      <c r="AG30" s="46" t="str">
        <f>IF(COUNTA(TabPlaisir[[#This Row],[J1]:[J30]])&lt;&gt;0,AVERAGE(TabPlaisir[[#This Row],[J1]:[J30]]),"")</f>
        <v/>
      </c>
      <c r="AH30" s="49" t="str">
        <f>TabPlaisir[[#This Row],[Moyenne]]</f>
        <v/>
      </c>
      <c r="AI30" s="48"/>
    </row>
    <row r="31" spans="2:35" ht="14.25">
      <c r="B31" s="14">
        <f>IF(INDEX(TabEntrainement[Seance],ROW()-18)&lt;&gt;0,INDEX(TabEntrainement[Seance],ROW()-18),"")</f>
        <v>43335</v>
      </c>
      <c r="C31" s="117"/>
      <c r="D31" s="117"/>
      <c r="E31" s="117"/>
      <c r="F31" s="117"/>
      <c r="G31" s="117"/>
      <c r="H31" s="117"/>
      <c r="I31" s="117"/>
      <c r="J31" s="117"/>
      <c r="K31" s="117"/>
      <c r="L31" s="117"/>
      <c r="M31" s="117"/>
      <c r="N31" s="117"/>
      <c r="O31" s="117"/>
      <c r="P31" s="117"/>
      <c r="Q31" s="117"/>
      <c r="R31" s="117"/>
      <c r="S31" s="117"/>
      <c r="T31" s="117"/>
      <c r="U31" s="117"/>
      <c r="V31" s="117"/>
      <c r="W31" s="117"/>
      <c r="X31" s="117"/>
      <c r="Y31" s="117"/>
      <c r="Z31" s="117"/>
      <c r="AA31" s="117"/>
      <c r="AB31" s="117"/>
      <c r="AC31" s="117"/>
      <c r="AD31" s="117"/>
      <c r="AE31" s="117"/>
      <c r="AF31" s="117"/>
      <c r="AG31" s="46" t="str">
        <f>IF(COUNTA(TabPlaisir[[#This Row],[J1]:[J30]])&lt;&gt;0,AVERAGE(TabPlaisir[[#This Row],[J1]:[J30]]),"")</f>
        <v/>
      </c>
      <c r="AH31" s="49" t="str">
        <f>TabPlaisir[[#This Row],[Moyenne]]</f>
        <v/>
      </c>
      <c r="AI31" s="48"/>
    </row>
    <row r="32" spans="2:35" ht="14.25">
      <c r="B32" s="14">
        <f>IF(INDEX(TabEntrainement[Seance],ROW()-18)&lt;&gt;0,INDEX(TabEntrainement[Seance],ROW()-18),"")</f>
        <v>43336</v>
      </c>
      <c r="C32" s="117"/>
      <c r="D32" s="117"/>
      <c r="E32" s="117"/>
      <c r="F32" s="117"/>
      <c r="G32" s="117"/>
      <c r="H32" s="117"/>
      <c r="I32" s="117"/>
      <c r="J32" s="117"/>
      <c r="K32" s="117"/>
      <c r="L32" s="117"/>
      <c r="M32" s="117"/>
      <c r="N32" s="117"/>
      <c r="O32" s="117"/>
      <c r="P32" s="117"/>
      <c r="Q32" s="117"/>
      <c r="R32" s="117"/>
      <c r="S32" s="117"/>
      <c r="T32" s="117"/>
      <c r="U32" s="117"/>
      <c r="V32" s="117"/>
      <c r="W32" s="117"/>
      <c r="X32" s="117"/>
      <c r="Y32" s="117"/>
      <c r="Z32" s="117"/>
      <c r="AA32" s="117"/>
      <c r="AB32" s="117"/>
      <c r="AC32" s="117"/>
      <c r="AD32" s="117"/>
      <c r="AE32" s="117"/>
      <c r="AF32" s="117"/>
      <c r="AG32" s="46" t="str">
        <f>IF(COUNTA(TabPlaisir[[#This Row],[J1]:[J30]])&lt;&gt;0,AVERAGE(TabPlaisir[[#This Row],[J1]:[J30]]),"")</f>
        <v/>
      </c>
      <c r="AH32" s="49" t="str">
        <f>TabPlaisir[[#This Row],[Moyenne]]</f>
        <v/>
      </c>
      <c r="AI32" s="48"/>
    </row>
    <row r="33" spans="2:35" ht="14.25">
      <c r="B33" s="14">
        <f>IF(INDEX(TabEntrainement[Seance],ROW()-18)&lt;&gt;0,INDEX(TabEntrainement[Seance],ROW()-18),"")</f>
        <v>43339</v>
      </c>
      <c r="C33" s="117"/>
      <c r="D33" s="117"/>
      <c r="E33" s="117"/>
      <c r="F33" s="117"/>
      <c r="G33" s="117"/>
      <c r="H33" s="117"/>
      <c r="I33" s="117"/>
      <c r="J33" s="117"/>
      <c r="K33" s="117"/>
      <c r="L33" s="117"/>
      <c r="M33" s="117"/>
      <c r="N33" s="117"/>
      <c r="O33" s="117"/>
      <c r="P33" s="117"/>
      <c r="Q33" s="117"/>
      <c r="R33" s="117"/>
      <c r="S33" s="117"/>
      <c r="T33" s="117"/>
      <c r="U33" s="117"/>
      <c r="V33" s="117"/>
      <c r="W33" s="117"/>
      <c r="X33" s="117"/>
      <c r="Y33" s="117"/>
      <c r="Z33" s="117"/>
      <c r="AA33" s="117"/>
      <c r="AB33" s="117"/>
      <c r="AC33" s="117"/>
      <c r="AD33" s="117"/>
      <c r="AE33" s="117"/>
      <c r="AF33" s="117"/>
      <c r="AG33" s="46" t="str">
        <f>IF(COUNTA(TabPlaisir[[#This Row],[J1]:[J30]])&lt;&gt;0,AVERAGE(TabPlaisir[[#This Row],[J1]:[J30]]),"")</f>
        <v/>
      </c>
      <c r="AH33" s="49" t="str">
        <f>TabPlaisir[[#This Row],[Moyenne]]</f>
        <v/>
      </c>
      <c r="AI33" s="48"/>
    </row>
    <row r="34" spans="2:35" ht="14.25">
      <c r="B34" s="14">
        <f>IF(INDEX(TabEntrainement[Seance],ROW()-18)&lt;&gt;0,INDEX(TabEntrainement[Seance],ROW()-18),"")</f>
        <v>43340</v>
      </c>
      <c r="C34" s="117"/>
      <c r="D34" s="117"/>
      <c r="E34" s="117"/>
      <c r="F34" s="117"/>
      <c r="G34" s="117"/>
      <c r="H34" s="117"/>
      <c r="I34" s="117"/>
      <c r="J34" s="117"/>
      <c r="K34" s="117"/>
      <c r="L34" s="117"/>
      <c r="M34" s="117"/>
      <c r="N34" s="117"/>
      <c r="O34" s="117"/>
      <c r="P34" s="117"/>
      <c r="Q34" s="117"/>
      <c r="R34" s="117"/>
      <c r="S34" s="117"/>
      <c r="T34" s="117"/>
      <c r="U34" s="117"/>
      <c r="V34" s="117"/>
      <c r="W34" s="117"/>
      <c r="X34" s="117"/>
      <c r="Y34" s="117"/>
      <c r="Z34" s="117"/>
      <c r="AA34" s="117"/>
      <c r="AB34" s="117"/>
      <c r="AC34" s="117"/>
      <c r="AD34" s="117"/>
      <c r="AE34" s="117"/>
      <c r="AF34" s="117"/>
      <c r="AG34" s="46" t="str">
        <f>IF(COUNTA(TabPlaisir[[#This Row],[J1]:[J30]])&lt;&gt;0,AVERAGE(TabPlaisir[[#This Row],[J1]:[J30]]),"")</f>
        <v/>
      </c>
      <c r="AH34" s="49" t="str">
        <f>TabPlaisir[[#This Row],[Moyenne]]</f>
        <v/>
      </c>
      <c r="AI34" s="48"/>
    </row>
    <row r="35" spans="2:35" ht="14.25">
      <c r="B35" s="14">
        <f>IF(INDEX(TabEntrainement[Seance],ROW()-18)&lt;&gt;0,INDEX(TabEntrainement[Seance],ROW()-18),"")</f>
        <v>43342</v>
      </c>
      <c r="C35" s="117"/>
      <c r="D35" s="117"/>
      <c r="E35" s="117"/>
      <c r="F35" s="117"/>
      <c r="G35" s="117"/>
      <c r="H35" s="117"/>
      <c r="I35" s="117"/>
      <c r="J35" s="117"/>
      <c r="K35" s="117"/>
      <c r="L35" s="117"/>
      <c r="M35" s="117"/>
      <c r="N35" s="117"/>
      <c r="O35" s="117"/>
      <c r="P35" s="117"/>
      <c r="Q35" s="117"/>
      <c r="R35" s="117"/>
      <c r="S35" s="117"/>
      <c r="T35" s="117"/>
      <c r="U35" s="117"/>
      <c r="V35" s="117"/>
      <c r="W35" s="117"/>
      <c r="X35" s="117"/>
      <c r="Y35" s="117"/>
      <c r="Z35" s="117"/>
      <c r="AA35" s="117"/>
      <c r="AB35" s="117"/>
      <c r="AC35" s="117"/>
      <c r="AD35" s="117"/>
      <c r="AE35" s="117"/>
      <c r="AF35" s="117"/>
      <c r="AG35" s="46" t="str">
        <f>IF(COUNTA(TabPlaisir[[#This Row],[J1]:[J30]])&lt;&gt;0,AVERAGE(TabPlaisir[[#This Row],[J1]:[J30]]),"")</f>
        <v/>
      </c>
      <c r="AH35" s="49" t="str">
        <f>TabPlaisir[[#This Row],[Moyenne]]</f>
        <v/>
      </c>
      <c r="AI35" s="48"/>
    </row>
    <row r="36" spans="2:35" ht="14.25">
      <c r="B36" s="14">
        <f>IF(INDEX(TabEntrainement[Seance],ROW()-18)&lt;&gt;0,INDEX(TabEntrainement[Seance],ROW()-18),"")</f>
        <v>43343</v>
      </c>
      <c r="C36" s="117"/>
      <c r="D36" s="117"/>
      <c r="E36" s="117"/>
      <c r="F36" s="117"/>
      <c r="G36" s="117"/>
      <c r="H36" s="117"/>
      <c r="I36" s="117"/>
      <c r="J36" s="117"/>
      <c r="K36" s="117"/>
      <c r="L36" s="117"/>
      <c r="M36" s="117"/>
      <c r="N36" s="117"/>
      <c r="O36" s="117"/>
      <c r="P36" s="117"/>
      <c r="Q36" s="117"/>
      <c r="R36" s="117"/>
      <c r="S36" s="117"/>
      <c r="T36" s="117"/>
      <c r="U36" s="117"/>
      <c r="V36" s="117"/>
      <c r="W36" s="117"/>
      <c r="X36" s="117"/>
      <c r="Y36" s="117"/>
      <c r="Z36" s="117"/>
      <c r="AA36" s="117"/>
      <c r="AB36" s="117"/>
      <c r="AC36" s="117"/>
      <c r="AD36" s="117"/>
      <c r="AE36" s="117"/>
      <c r="AF36" s="117"/>
      <c r="AG36" s="46" t="str">
        <f>IF(COUNTA(TabPlaisir[[#This Row],[J1]:[J30]])&lt;&gt;0,AVERAGE(TabPlaisir[[#This Row],[J1]:[J30]]),"")</f>
        <v/>
      </c>
      <c r="AH36" s="49" t="str">
        <f>TabPlaisir[[#This Row],[Moyenne]]</f>
        <v/>
      </c>
      <c r="AI36" s="48"/>
    </row>
    <row r="37" spans="2:35" ht="14.25">
      <c r="B37" s="14">
        <f>IF(INDEX(TabEntrainement[Seance],ROW()-18)&lt;&gt;0,INDEX(TabEntrainement[Seance],ROW()-18),"")</f>
        <v>43347</v>
      </c>
      <c r="C37" s="117"/>
      <c r="D37" s="117"/>
      <c r="E37" s="117"/>
      <c r="F37" s="117"/>
      <c r="G37" s="117"/>
      <c r="H37" s="117"/>
      <c r="I37" s="117"/>
      <c r="J37" s="117"/>
      <c r="K37" s="117"/>
      <c r="L37" s="117"/>
      <c r="M37" s="117"/>
      <c r="N37" s="117"/>
      <c r="O37" s="117"/>
      <c r="P37" s="117"/>
      <c r="Q37" s="117"/>
      <c r="R37" s="117"/>
      <c r="S37" s="117"/>
      <c r="T37" s="117"/>
      <c r="U37" s="117"/>
      <c r="V37" s="117"/>
      <c r="W37" s="117"/>
      <c r="X37" s="117"/>
      <c r="Y37" s="117"/>
      <c r="Z37" s="117"/>
      <c r="AA37" s="117"/>
      <c r="AB37" s="117"/>
      <c r="AC37" s="117"/>
      <c r="AD37" s="117"/>
      <c r="AE37" s="117"/>
      <c r="AF37" s="117"/>
      <c r="AG37" s="46" t="str">
        <f>IF(COUNTA(TabPlaisir[[#This Row],[J1]:[J30]])&lt;&gt;0,AVERAGE(TabPlaisir[[#This Row],[J1]:[J30]]),"")</f>
        <v/>
      </c>
      <c r="AH37" s="49" t="str">
        <f>TabPlaisir[[#This Row],[Moyenne]]</f>
        <v/>
      </c>
      <c r="AI37" s="48"/>
    </row>
    <row r="38" spans="2:35" ht="14.25">
      <c r="B38" s="14">
        <f>IF(INDEX(TabEntrainement[Seance],ROW()-18)&lt;&gt;0,INDEX(TabEntrainement[Seance],ROW()-18),"")</f>
        <v>43349</v>
      </c>
      <c r="C38" s="117"/>
      <c r="D38" s="117"/>
      <c r="E38" s="117"/>
      <c r="F38" s="117"/>
      <c r="G38" s="117"/>
      <c r="H38" s="117"/>
      <c r="I38" s="117"/>
      <c r="J38" s="117"/>
      <c r="K38" s="117"/>
      <c r="L38" s="117"/>
      <c r="M38" s="117"/>
      <c r="N38" s="117"/>
      <c r="O38" s="117"/>
      <c r="P38" s="117"/>
      <c r="Q38" s="117"/>
      <c r="R38" s="117"/>
      <c r="S38" s="117"/>
      <c r="T38" s="117"/>
      <c r="U38" s="117"/>
      <c r="V38" s="117"/>
      <c r="W38" s="117"/>
      <c r="X38" s="117"/>
      <c r="Y38" s="117"/>
      <c r="Z38" s="117"/>
      <c r="AA38" s="117"/>
      <c r="AB38" s="117"/>
      <c r="AC38" s="117"/>
      <c r="AD38" s="117"/>
      <c r="AE38" s="117"/>
      <c r="AF38" s="117"/>
      <c r="AG38" s="46" t="str">
        <f>IF(COUNTA(TabPlaisir[[#This Row],[J1]:[J30]])&lt;&gt;0,AVERAGE(TabPlaisir[[#This Row],[J1]:[J30]]),"")</f>
        <v/>
      </c>
      <c r="AH38" s="49" t="str">
        <f>TabPlaisir[[#This Row],[Moyenne]]</f>
        <v/>
      </c>
      <c r="AI38" s="48"/>
    </row>
    <row r="39" spans="2:35" ht="14.25">
      <c r="B39" s="14">
        <f>IF(INDEX(TabEntrainement[Seance],ROW()-18)&lt;&gt;0,INDEX(TabEntrainement[Seance],ROW()-18),"")</f>
        <v>43350</v>
      </c>
      <c r="C39" s="117"/>
      <c r="D39" s="117"/>
      <c r="E39" s="117"/>
      <c r="F39" s="117"/>
      <c r="G39" s="117"/>
      <c r="H39" s="117"/>
      <c r="I39" s="117"/>
      <c r="J39" s="117"/>
      <c r="K39" s="117"/>
      <c r="L39" s="117"/>
      <c r="M39" s="117"/>
      <c r="N39" s="117"/>
      <c r="O39" s="117"/>
      <c r="P39" s="117"/>
      <c r="Q39" s="117"/>
      <c r="R39" s="117"/>
      <c r="S39" s="117"/>
      <c r="T39" s="117"/>
      <c r="U39" s="117"/>
      <c r="V39" s="117"/>
      <c r="W39" s="117"/>
      <c r="X39" s="117"/>
      <c r="Y39" s="117"/>
      <c r="Z39" s="117"/>
      <c r="AA39" s="117"/>
      <c r="AB39" s="117"/>
      <c r="AC39" s="117"/>
      <c r="AD39" s="117"/>
      <c r="AE39" s="117"/>
      <c r="AF39" s="117"/>
      <c r="AG39" s="46" t="str">
        <f>IF(COUNTA(TabPlaisir[[#This Row],[J1]:[J30]])&lt;&gt;0,AVERAGE(TabPlaisir[[#This Row],[J1]:[J30]]),"")</f>
        <v/>
      </c>
      <c r="AH39" s="49" t="str">
        <f>TabPlaisir[[#This Row],[Moyenne]]</f>
        <v/>
      </c>
      <c r="AI39" s="48"/>
    </row>
    <row r="40" spans="2:35" ht="14.25">
      <c r="B40" s="14">
        <f>IF(INDEX(TabEntrainement[Seance],ROW()-18)&lt;&gt;0,INDEX(TabEntrainement[Seance],ROW()-18),"")</f>
        <v>43354</v>
      </c>
      <c r="C40" s="117"/>
      <c r="D40" s="117"/>
      <c r="E40" s="117"/>
      <c r="F40" s="117"/>
      <c r="G40" s="117"/>
      <c r="H40" s="117"/>
      <c r="I40" s="117"/>
      <c r="J40" s="117"/>
      <c r="K40" s="117"/>
      <c r="L40" s="117"/>
      <c r="M40" s="117"/>
      <c r="N40" s="117"/>
      <c r="O40" s="117"/>
      <c r="P40" s="117"/>
      <c r="Q40" s="117"/>
      <c r="R40" s="117"/>
      <c r="S40" s="117"/>
      <c r="T40" s="117"/>
      <c r="U40" s="117"/>
      <c r="V40" s="117"/>
      <c r="W40" s="117"/>
      <c r="X40" s="117"/>
      <c r="Y40" s="117"/>
      <c r="Z40" s="117"/>
      <c r="AA40" s="117"/>
      <c r="AB40" s="117"/>
      <c r="AC40" s="117"/>
      <c r="AD40" s="117"/>
      <c r="AE40" s="117"/>
      <c r="AF40" s="117"/>
      <c r="AG40" s="46" t="str">
        <f>IF(COUNTA(TabPlaisir[[#This Row],[J1]:[J30]])&lt;&gt;0,AVERAGE(TabPlaisir[[#This Row],[J1]:[J30]]),"")</f>
        <v/>
      </c>
      <c r="AH40" s="49" t="str">
        <f>TabPlaisir[[#This Row],[Moyenne]]</f>
        <v/>
      </c>
      <c r="AI40" s="48"/>
    </row>
    <row r="41" spans="2:35" ht="14.25">
      <c r="B41" s="14">
        <f>IF(INDEX(TabEntrainement[Seance],ROW()-18)&lt;&gt;0,INDEX(TabEntrainement[Seance],ROW()-18),"")</f>
        <v>43357</v>
      </c>
      <c r="C41" s="117"/>
      <c r="D41" s="117"/>
      <c r="E41" s="117"/>
      <c r="F41" s="117"/>
      <c r="G41" s="117"/>
      <c r="H41" s="117"/>
      <c r="I41" s="117"/>
      <c r="J41" s="117"/>
      <c r="K41" s="117"/>
      <c r="L41" s="117"/>
      <c r="M41" s="117"/>
      <c r="N41" s="117"/>
      <c r="O41" s="117"/>
      <c r="P41" s="117"/>
      <c r="Q41" s="117"/>
      <c r="R41" s="117"/>
      <c r="S41" s="117"/>
      <c r="T41" s="117"/>
      <c r="U41" s="117"/>
      <c r="V41" s="117"/>
      <c r="W41" s="117"/>
      <c r="X41" s="117"/>
      <c r="Y41" s="117"/>
      <c r="Z41" s="117"/>
      <c r="AA41" s="117"/>
      <c r="AB41" s="117"/>
      <c r="AC41" s="117"/>
      <c r="AD41" s="117"/>
      <c r="AE41" s="117"/>
      <c r="AF41" s="117"/>
      <c r="AG41" s="46" t="str">
        <f>IF(COUNTA(TabPlaisir[[#This Row],[J1]:[J30]])&lt;&gt;0,AVERAGE(TabPlaisir[[#This Row],[J1]:[J30]]),"")</f>
        <v/>
      </c>
      <c r="AH41" s="49" t="str">
        <f>TabPlaisir[[#This Row],[Moyenne]]</f>
        <v/>
      </c>
      <c r="AI41" s="48"/>
    </row>
    <row r="42" spans="2:35" ht="14.25">
      <c r="B42" s="14">
        <f>IF(INDEX(TabEntrainement[Seance],ROW()-18)&lt;&gt;0,INDEX(TabEntrainement[Seance],ROW()-18),"")</f>
        <v>43358</v>
      </c>
      <c r="C42" s="117"/>
      <c r="D42" s="117"/>
      <c r="E42" s="117"/>
      <c r="F42" s="117"/>
      <c r="G42" s="117"/>
      <c r="H42" s="117"/>
      <c r="I42" s="117"/>
      <c r="J42" s="117"/>
      <c r="K42" s="117"/>
      <c r="L42" s="117"/>
      <c r="M42" s="117"/>
      <c r="N42" s="117"/>
      <c r="O42" s="117"/>
      <c r="P42" s="117"/>
      <c r="Q42" s="117"/>
      <c r="R42" s="117"/>
      <c r="S42" s="117"/>
      <c r="T42" s="117"/>
      <c r="U42" s="117"/>
      <c r="V42" s="117"/>
      <c r="W42" s="117"/>
      <c r="X42" s="117"/>
      <c r="Y42" s="117"/>
      <c r="Z42" s="117"/>
      <c r="AA42" s="117"/>
      <c r="AB42" s="117"/>
      <c r="AC42" s="117"/>
      <c r="AD42" s="117"/>
      <c r="AE42" s="117"/>
      <c r="AF42" s="117"/>
      <c r="AG42" s="46" t="str">
        <f>IF(COUNTA(TabPlaisir[[#This Row],[J1]:[J30]])&lt;&gt;0,AVERAGE(TabPlaisir[[#This Row],[J1]:[J30]]),"")</f>
        <v/>
      </c>
      <c r="AH42" s="49" t="str">
        <f>TabPlaisir[[#This Row],[Moyenne]]</f>
        <v/>
      </c>
      <c r="AI42" s="48"/>
    </row>
    <row r="43" spans="2:35" ht="14.25">
      <c r="B43" s="14" t="str">
        <f>IF(INDEX(TabEntrainement[Seance],ROW()-18)&lt;&gt;0,INDEX(TabEntrainement[Seance],ROW()-18),"")</f>
        <v/>
      </c>
      <c r="C43" s="117"/>
      <c r="D43" s="117"/>
      <c r="E43" s="117"/>
      <c r="F43" s="117"/>
      <c r="G43" s="117"/>
      <c r="H43" s="117"/>
      <c r="I43" s="117"/>
      <c r="J43" s="117"/>
      <c r="K43" s="117"/>
      <c r="L43" s="117"/>
      <c r="M43" s="117"/>
      <c r="N43" s="117"/>
      <c r="O43" s="117"/>
      <c r="P43" s="117"/>
      <c r="Q43" s="117"/>
      <c r="R43" s="117"/>
      <c r="S43" s="117"/>
      <c r="T43" s="117"/>
      <c r="U43" s="117"/>
      <c r="V43" s="117"/>
      <c r="W43" s="117"/>
      <c r="X43" s="117"/>
      <c r="Y43" s="117"/>
      <c r="Z43" s="117"/>
      <c r="AA43" s="117"/>
      <c r="AB43" s="117"/>
      <c r="AC43" s="117"/>
      <c r="AD43" s="117"/>
      <c r="AE43" s="117"/>
      <c r="AF43" s="117"/>
      <c r="AG43" s="46" t="str">
        <f>IF(COUNTA(TabPlaisir[[#This Row],[J1]:[J30]])&lt;&gt;0,AVERAGE(TabPlaisir[[#This Row],[J1]:[J30]]),"")</f>
        <v/>
      </c>
      <c r="AH43" s="49" t="str">
        <f>TabPlaisir[[#This Row],[Moyenne]]</f>
        <v/>
      </c>
      <c r="AI43" s="48"/>
    </row>
    <row r="44" spans="2:35" ht="14.25">
      <c r="B44" s="14" t="str">
        <f>IF(INDEX(TabEntrainement[Seance],ROW()-18)&lt;&gt;0,INDEX(TabEntrainement[Seance],ROW()-18),"")</f>
        <v/>
      </c>
      <c r="C44" s="117"/>
      <c r="D44" s="117"/>
      <c r="E44" s="117"/>
      <c r="F44" s="117"/>
      <c r="G44" s="117"/>
      <c r="H44" s="117"/>
      <c r="I44" s="117"/>
      <c r="J44" s="117"/>
      <c r="K44" s="117"/>
      <c r="L44" s="117"/>
      <c r="M44" s="117"/>
      <c r="N44" s="117"/>
      <c r="O44" s="117"/>
      <c r="P44" s="117"/>
      <c r="Q44" s="117"/>
      <c r="R44" s="117"/>
      <c r="S44" s="117"/>
      <c r="T44" s="117"/>
      <c r="U44" s="117"/>
      <c r="V44" s="117"/>
      <c r="W44" s="117"/>
      <c r="X44" s="117"/>
      <c r="Y44" s="117"/>
      <c r="Z44" s="117"/>
      <c r="AA44" s="117"/>
      <c r="AB44" s="117"/>
      <c r="AC44" s="117"/>
      <c r="AD44" s="117"/>
      <c r="AE44" s="117"/>
      <c r="AF44" s="117"/>
      <c r="AG44" s="46" t="str">
        <f>IF(COUNTA(TabPlaisir[[#This Row],[J1]:[J30]])&lt;&gt;0,AVERAGE(TabPlaisir[[#This Row],[J1]:[J30]]),"")</f>
        <v/>
      </c>
      <c r="AH44" s="49" t="str">
        <f>TabPlaisir[[#This Row],[Moyenne]]</f>
        <v/>
      </c>
      <c r="AI44" s="48"/>
    </row>
    <row r="45" spans="2:35" ht="14.25">
      <c r="B45" s="14" t="str">
        <f>IF(INDEX(TabEntrainement[Seance],ROW()-18)&lt;&gt;0,INDEX(TabEntrainement[Seance],ROW()-18),"")</f>
        <v/>
      </c>
      <c r="C45" s="117"/>
      <c r="D45" s="117"/>
      <c r="E45" s="117"/>
      <c r="F45" s="117"/>
      <c r="G45" s="117"/>
      <c r="H45" s="117"/>
      <c r="I45" s="117"/>
      <c r="J45" s="117"/>
      <c r="K45" s="117"/>
      <c r="L45" s="117"/>
      <c r="M45" s="117"/>
      <c r="N45" s="117"/>
      <c r="O45" s="117"/>
      <c r="P45" s="117"/>
      <c r="Q45" s="117"/>
      <c r="R45" s="117"/>
      <c r="S45" s="117"/>
      <c r="T45" s="117"/>
      <c r="U45" s="117"/>
      <c r="V45" s="117"/>
      <c r="W45" s="117"/>
      <c r="X45" s="117"/>
      <c r="Y45" s="117"/>
      <c r="Z45" s="117"/>
      <c r="AA45" s="117"/>
      <c r="AB45" s="117"/>
      <c r="AC45" s="117"/>
      <c r="AD45" s="117"/>
      <c r="AE45" s="117"/>
      <c r="AF45" s="117"/>
      <c r="AG45" s="46" t="str">
        <f>IF(COUNTA(TabPlaisir[[#This Row],[J1]:[J30]])&lt;&gt;0,AVERAGE(TabPlaisir[[#This Row],[J1]:[J30]]),"")</f>
        <v/>
      </c>
      <c r="AH45" s="49" t="str">
        <f>TabPlaisir[[#This Row],[Moyenne]]</f>
        <v/>
      </c>
      <c r="AI45" s="48"/>
    </row>
    <row r="46" spans="2:35" ht="14.25">
      <c r="B46" s="14" t="str">
        <f>IF(INDEX(TabEntrainement[Seance],ROW()-18)&lt;&gt;0,INDEX(TabEntrainement[Seance],ROW()-18),"")</f>
        <v/>
      </c>
      <c r="C46" s="117"/>
      <c r="D46" s="117"/>
      <c r="E46" s="117"/>
      <c r="F46" s="117"/>
      <c r="G46" s="117"/>
      <c r="H46" s="117"/>
      <c r="I46" s="117"/>
      <c r="J46" s="117"/>
      <c r="K46" s="117"/>
      <c r="L46" s="117"/>
      <c r="M46" s="117"/>
      <c r="N46" s="117"/>
      <c r="O46" s="117"/>
      <c r="P46" s="117"/>
      <c r="Q46" s="117"/>
      <c r="R46" s="117"/>
      <c r="S46" s="117"/>
      <c r="T46" s="117"/>
      <c r="U46" s="117"/>
      <c r="V46" s="117"/>
      <c r="W46" s="117"/>
      <c r="X46" s="117"/>
      <c r="Y46" s="117"/>
      <c r="Z46" s="117"/>
      <c r="AA46" s="117"/>
      <c r="AB46" s="117"/>
      <c r="AC46" s="117"/>
      <c r="AD46" s="117"/>
      <c r="AE46" s="117"/>
      <c r="AF46" s="117"/>
      <c r="AG46" s="46" t="str">
        <f>IF(COUNTA(TabPlaisir[[#This Row],[J1]:[J30]])&lt;&gt;0,AVERAGE(TabPlaisir[[#This Row],[J1]:[J30]]),"")</f>
        <v/>
      </c>
      <c r="AH46" s="49" t="str">
        <f>TabPlaisir[[#This Row],[Moyenne]]</f>
        <v/>
      </c>
      <c r="AI46" s="48"/>
    </row>
    <row r="47" spans="2:35" ht="14.25">
      <c r="B47" s="14" t="str">
        <f>IF(INDEX(TabEntrainement[Seance],ROW()-18)&lt;&gt;0,INDEX(TabEntrainement[Seance],ROW()-18),"")</f>
        <v/>
      </c>
      <c r="C47" s="117"/>
      <c r="D47" s="117"/>
      <c r="E47" s="117"/>
      <c r="F47" s="117"/>
      <c r="G47" s="117"/>
      <c r="H47" s="117"/>
      <c r="I47" s="117"/>
      <c r="J47" s="117"/>
      <c r="K47" s="117"/>
      <c r="L47" s="117"/>
      <c r="M47" s="117"/>
      <c r="N47" s="117"/>
      <c r="O47" s="117"/>
      <c r="P47" s="117"/>
      <c r="Q47" s="117"/>
      <c r="R47" s="117"/>
      <c r="S47" s="117"/>
      <c r="T47" s="117"/>
      <c r="U47" s="117"/>
      <c r="V47" s="117"/>
      <c r="W47" s="117"/>
      <c r="X47" s="117"/>
      <c r="Y47" s="117"/>
      <c r="Z47" s="117"/>
      <c r="AA47" s="117"/>
      <c r="AB47" s="117"/>
      <c r="AC47" s="117"/>
      <c r="AD47" s="117"/>
      <c r="AE47" s="117"/>
      <c r="AF47" s="117"/>
      <c r="AG47" s="46" t="str">
        <f>IF(COUNTA(TabPlaisir[[#This Row],[J1]:[J30]])&lt;&gt;0,AVERAGE(TabPlaisir[[#This Row],[J1]:[J30]]),"")</f>
        <v/>
      </c>
      <c r="AH47" s="49" t="str">
        <f>TabPlaisir[[#This Row],[Moyenne]]</f>
        <v/>
      </c>
      <c r="AI47" s="48"/>
    </row>
    <row r="48" spans="2:35" ht="14.25">
      <c r="B48" s="14" t="str">
        <f>IF(INDEX(TabEntrainement[Seance],ROW()-18)&lt;&gt;0,INDEX(TabEntrainement[Seance],ROW()-18),"")</f>
        <v/>
      </c>
      <c r="C48" s="117"/>
      <c r="D48" s="117"/>
      <c r="E48" s="117"/>
      <c r="F48" s="117"/>
      <c r="G48" s="117"/>
      <c r="H48" s="117"/>
      <c r="I48" s="117"/>
      <c r="J48" s="117"/>
      <c r="K48" s="117"/>
      <c r="L48" s="117"/>
      <c r="M48" s="117"/>
      <c r="N48" s="117"/>
      <c r="O48" s="117"/>
      <c r="P48" s="117"/>
      <c r="Q48" s="117"/>
      <c r="R48" s="117"/>
      <c r="S48" s="117"/>
      <c r="T48" s="117"/>
      <c r="U48" s="117"/>
      <c r="V48" s="117"/>
      <c r="W48" s="117"/>
      <c r="X48" s="117"/>
      <c r="Y48" s="117"/>
      <c r="Z48" s="117"/>
      <c r="AA48" s="117"/>
      <c r="AB48" s="117"/>
      <c r="AC48" s="117"/>
      <c r="AD48" s="117"/>
      <c r="AE48" s="117"/>
      <c r="AF48" s="117"/>
      <c r="AG48" s="46" t="str">
        <f>IF(COUNTA(TabPlaisir[[#This Row],[J1]:[J30]])&lt;&gt;0,AVERAGE(TabPlaisir[[#This Row],[J1]:[J30]]),"")</f>
        <v/>
      </c>
      <c r="AH48" s="49" t="str">
        <f>TabPlaisir[[#This Row],[Moyenne]]</f>
        <v/>
      </c>
      <c r="AI48" s="48"/>
    </row>
    <row r="49" spans="2:35" ht="14.25">
      <c r="B49" s="14" t="str">
        <f>IF(INDEX(TabEntrainement[Seance],ROW()-18)&lt;&gt;0,INDEX(TabEntrainement[Seance],ROW()-18),"")</f>
        <v/>
      </c>
      <c r="C49" s="117"/>
      <c r="D49" s="117"/>
      <c r="E49" s="117"/>
      <c r="F49" s="117"/>
      <c r="G49" s="117"/>
      <c r="H49" s="117"/>
      <c r="I49" s="117"/>
      <c r="J49" s="117"/>
      <c r="K49" s="117"/>
      <c r="L49" s="117"/>
      <c r="M49" s="117"/>
      <c r="N49" s="117"/>
      <c r="O49" s="117"/>
      <c r="P49" s="117"/>
      <c r="Q49" s="117"/>
      <c r="R49" s="117"/>
      <c r="S49" s="117"/>
      <c r="T49" s="117"/>
      <c r="U49" s="117"/>
      <c r="V49" s="117"/>
      <c r="W49" s="117"/>
      <c r="X49" s="117"/>
      <c r="Y49" s="117"/>
      <c r="Z49" s="117"/>
      <c r="AA49" s="117"/>
      <c r="AB49" s="117"/>
      <c r="AC49" s="117"/>
      <c r="AD49" s="117"/>
      <c r="AE49" s="117"/>
      <c r="AF49" s="117"/>
      <c r="AG49" s="46" t="str">
        <f>IF(COUNTA(TabPlaisir[[#This Row],[J1]:[J30]])&lt;&gt;0,AVERAGE(TabPlaisir[[#This Row],[J1]:[J30]]),"")</f>
        <v/>
      </c>
      <c r="AH49" s="49" t="str">
        <f>TabPlaisir[[#This Row],[Moyenne]]</f>
        <v/>
      </c>
      <c r="AI49" s="48"/>
    </row>
    <row r="50" spans="2:35" ht="14.25">
      <c r="B50" s="14" t="str">
        <f>IF(INDEX(TabEntrainement[Seance],ROW()-18)&lt;&gt;0,INDEX(TabEntrainement[Seance],ROW()-18),"")</f>
        <v/>
      </c>
      <c r="C50" s="117"/>
      <c r="D50" s="117"/>
      <c r="E50" s="117"/>
      <c r="F50" s="117"/>
      <c r="G50" s="117"/>
      <c r="H50" s="117"/>
      <c r="I50" s="117"/>
      <c r="J50" s="117"/>
      <c r="K50" s="117"/>
      <c r="L50" s="117"/>
      <c r="M50" s="117"/>
      <c r="N50" s="117"/>
      <c r="O50" s="117"/>
      <c r="P50" s="117"/>
      <c r="Q50" s="117"/>
      <c r="R50" s="117"/>
      <c r="S50" s="117"/>
      <c r="T50" s="117"/>
      <c r="U50" s="117"/>
      <c r="V50" s="117"/>
      <c r="W50" s="117"/>
      <c r="X50" s="117"/>
      <c r="Y50" s="117"/>
      <c r="Z50" s="117"/>
      <c r="AA50" s="117"/>
      <c r="AB50" s="117"/>
      <c r="AC50" s="117"/>
      <c r="AD50" s="117"/>
      <c r="AE50" s="117"/>
      <c r="AF50" s="117"/>
      <c r="AG50" s="46" t="str">
        <f>IF(COUNTA(TabPlaisir[[#This Row],[J1]:[J30]])&lt;&gt;0,AVERAGE(TabPlaisir[[#This Row],[J1]:[J30]]),"")</f>
        <v/>
      </c>
      <c r="AH50" s="49" t="str">
        <f>TabPlaisir[[#This Row],[Moyenne]]</f>
        <v/>
      </c>
      <c r="AI50" s="48"/>
    </row>
    <row r="51" spans="2:35" ht="14.25">
      <c r="B51" s="14" t="str">
        <f>IF(INDEX(TabEntrainement[Seance],ROW()-18)&lt;&gt;0,INDEX(TabEntrainement[Seance],ROW()-18),"")</f>
        <v/>
      </c>
      <c r="C51" s="117"/>
      <c r="D51" s="117"/>
      <c r="E51" s="117"/>
      <c r="F51" s="117"/>
      <c r="G51" s="117"/>
      <c r="H51" s="117"/>
      <c r="I51" s="117"/>
      <c r="J51" s="117"/>
      <c r="K51" s="117"/>
      <c r="L51" s="117"/>
      <c r="M51" s="117"/>
      <c r="N51" s="117"/>
      <c r="O51" s="117"/>
      <c r="P51" s="117"/>
      <c r="Q51" s="117"/>
      <c r="R51" s="117"/>
      <c r="S51" s="117"/>
      <c r="T51" s="117"/>
      <c r="U51" s="117"/>
      <c r="V51" s="117"/>
      <c r="W51" s="117"/>
      <c r="X51" s="117"/>
      <c r="Y51" s="117"/>
      <c r="Z51" s="117"/>
      <c r="AA51" s="117"/>
      <c r="AB51" s="117"/>
      <c r="AC51" s="117"/>
      <c r="AD51" s="117"/>
      <c r="AE51" s="117"/>
      <c r="AF51" s="117"/>
      <c r="AG51" s="46" t="str">
        <f>IF(COUNTA(TabPlaisir[[#This Row],[J1]:[J30]])&lt;&gt;0,AVERAGE(TabPlaisir[[#This Row],[J1]:[J30]]),"")</f>
        <v/>
      </c>
      <c r="AH51" s="49" t="str">
        <f>TabPlaisir[[#This Row],[Moyenne]]</f>
        <v/>
      </c>
      <c r="AI51" s="48"/>
    </row>
    <row r="52" spans="2:35" ht="14.25">
      <c r="B52" s="14" t="str">
        <f>IF(INDEX(TabEntrainement[Seance],ROW()-18)&lt;&gt;0,INDEX(TabEntrainement[Seance],ROW()-18),"")</f>
        <v/>
      </c>
      <c r="C52" s="117"/>
      <c r="D52" s="117"/>
      <c r="E52" s="117"/>
      <c r="F52" s="117"/>
      <c r="G52" s="117"/>
      <c r="H52" s="117"/>
      <c r="I52" s="117"/>
      <c r="J52" s="117"/>
      <c r="K52" s="117"/>
      <c r="L52" s="117"/>
      <c r="M52" s="117"/>
      <c r="N52" s="117"/>
      <c r="O52" s="117"/>
      <c r="P52" s="117"/>
      <c r="Q52" s="117"/>
      <c r="R52" s="117"/>
      <c r="S52" s="117"/>
      <c r="T52" s="117"/>
      <c r="U52" s="117"/>
      <c r="V52" s="117"/>
      <c r="W52" s="117"/>
      <c r="X52" s="117"/>
      <c r="Y52" s="117"/>
      <c r="Z52" s="117"/>
      <c r="AA52" s="117"/>
      <c r="AB52" s="117"/>
      <c r="AC52" s="117"/>
      <c r="AD52" s="117"/>
      <c r="AE52" s="117"/>
      <c r="AF52" s="117"/>
      <c r="AG52" s="46" t="str">
        <f>IF(COUNTA(TabPlaisir[[#This Row],[J1]:[J30]])&lt;&gt;0,AVERAGE(TabPlaisir[[#This Row],[J1]:[J30]]),"")</f>
        <v/>
      </c>
      <c r="AH52" s="49" t="str">
        <f>TabPlaisir[[#This Row],[Moyenne]]</f>
        <v/>
      </c>
      <c r="AI52" s="48"/>
    </row>
    <row r="53" spans="2:35" ht="14.25">
      <c r="B53" s="14" t="str">
        <f>IF(INDEX(TabEntrainement[Seance],ROW()-18)&lt;&gt;0,INDEX(TabEntrainement[Seance],ROW()-18),"")</f>
        <v/>
      </c>
      <c r="C53" s="117"/>
      <c r="D53" s="117"/>
      <c r="E53" s="117"/>
      <c r="F53" s="117"/>
      <c r="G53" s="117"/>
      <c r="H53" s="117"/>
      <c r="I53" s="117"/>
      <c r="J53" s="117"/>
      <c r="K53" s="117"/>
      <c r="L53" s="117"/>
      <c r="M53" s="117"/>
      <c r="N53" s="117"/>
      <c r="O53" s="117"/>
      <c r="P53" s="117"/>
      <c r="Q53" s="117"/>
      <c r="R53" s="117"/>
      <c r="S53" s="117"/>
      <c r="T53" s="117"/>
      <c r="U53" s="117"/>
      <c r="V53" s="117"/>
      <c r="W53" s="117"/>
      <c r="X53" s="117"/>
      <c r="Y53" s="117"/>
      <c r="Z53" s="117"/>
      <c r="AA53" s="117"/>
      <c r="AB53" s="117"/>
      <c r="AC53" s="117"/>
      <c r="AD53" s="117"/>
      <c r="AE53" s="117"/>
      <c r="AF53" s="117"/>
      <c r="AG53" s="46" t="str">
        <f>IF(COUNTA(TabPlaisir[[#This Row],[J1]:[J30]])&lt;&gt;0,AVERAGE(TabPlaisir[[#This Row],[J1]:[J30]]),"")</f>
        <v/>
      </c>
      <c r="AH53" s="49" t="str">
        <f>TabPlaisir[[#This Row],[Moyenne]]</f>
        <v/>
      </c>
      <c r="AI53" s="48"/>
    </row>
    <row r="54" spans="2:35" ht="14.25">
      <c r="B54" s="14" t="str">
        <f>IF(INDEX(TabEntrainement[Seance],ROW()-18)&lt;&gt;0,INDEX(TabEntrainement[Seance],ROW()-18),"")</f>
        <v/>
      </c>
      <c r="C54" s="117"/>
      <c r="D54" s="117"/>
      <c r="E54" s="117"/>
      <c r="F54" s="117"/>
      <c r="G54" s="117"/>
      <c r="H54" s="117"/>
      <c r="I54" s="117"/>
      <c r="J54" s="117"/>
      <c r="K54" s="117"/>
      <c r="L54" s="117"/>
      <c r="M54" s="117"/>
      <c r="N54" s="117"/>
      <c r="O54" s="117"/>
      <c r="P54" s="117"/>
      <c r="Q54" s="117"/>
      <c r="R54" s="117"/>
      <c r="S54" s="117"/>
      <c r="T54" s="117"/>
      <c r="U54" s="117"/>
      <c r="V54" s="117"/>
      <c r="W54" s="117"/>
      <c r="X54" s="117"/>
      <c r="Y54" s="117"/>
      <c r="Z54" s="117"/>
      <c r="AA54" s="117"/>
      <c r="AB54" s="117"/>
      <c r="AC54" s="117"/>
      <c r="AD54" s="117"/>
      <c r="AE54" s="117"/>
      <c r="AF54" s="117"/>
      <c r="AG54" s="46" t="str">
        <f>IF(COUNTA(TabPlaisir[[#This Row],[J1]:[J30]])&lt;&gt;0,AVERAGE(TabPlaisir[[#This Row],[J1]:[J30]]),"")</f>
        <v/>
      </c>
      <c r="AH54" s="49" t="str">
        <f>TabPlaisir[[#This Row],[Moyenne]]</f>
        <v/>
      </c>
      <c r="AI54" s="48"/>
    </row>
    <row r="55" spans="2:35" ht="14.25">
      <c r="B55" s="14" t="str">
        <f>IF(INDEX(TabEntrainement[Seance],ROW()-18)&lt;&gt;0,INDEX(TabEntrainement[Seance],ROW()-18),"")</f>
        <v/>
      </c>
      <c r="C55" s="117"/>
      <c r="D55" s="117"/>
      <c r="E55" s="117"/>
      <c r="F55" s="117"/>
      <c r="G55" s="117"/>
      <c r="H55" s="117"/>
      <c r="I55" s="117"/>
      <c r="J55" s="117"/>
      <c r="K55" s="117"/>
      <c r="L55" s="117"/>
      <c r="M55" s="117"/>
      <c r="N55" s="117"/>
      <c r="O55" s="117"/>
      <c r="P55" s="117"/>
      <c r="Q55" s="117"/>
      <c r="R55" s="117"/>
      <c r="S55" s="117"/>
      <c r="T55" s="117"/>
      <c r="U55" s="117"/>
      <c r="V55" s="117"/>
      <c r="W55" s="117"/>
      <c r="X55" s="117"/>
      <c r="Y55" s="117"/>
      <c r="Z55" s="117"/>
      <c r="AA55" s="117"/>
      <c r="AB55" s="117"/>
      <c r="AC55" s="117"/>
      <c r="AD55" s="117"/>
      <c r="AE55" s="117"/>
      <c r="AF55" s="117"/>
      <c r="AG55" s="46" t="str">
        <f>IF(COUNTA(TabPlaisir[[#This Row],[J1]:[J30]])&lt;&gt;0,AVERAGE(TabPlaisir[[#This Row],[J1]:[J30]]),"")</f>
        <v/>
      </c>
      <c r="AH55" s="49" t="str">
        <f>TabPlaisir[[#This Row],[Moyenne]]</f>
        <v/>
      </c>
      <c r="AI55" s="48"/>
    </row>
    <row r="56" spans="2:35" ht="14.25">
      <c r="B56" s="14" t="str">
        <f>IF(INDEX(TabEntrainement[Seance],ROW()-18)&lt;&gt;0,INDEX(TabEntrainement[Seance],ROW()-18),"")</f>
        <v/>
      </c>
      <c r="C56" s="117"/>
      <c r="D56" s="117"/>
      <c r="E56" s="117"/>
      <c r="F56" s="117"/>
      <c r="G56" s="117"/>
      <c r="H56" s="117"/>
      <c r="I56" s="117"/>
      <c r="J56" s="117"/>
      <c r="K56" s="117"/>
      <c r="L56" s="117"/>
      <c r="M56" s="117"/>
      <c r="N56" s="117"/>
      <c r="O56" s="117"/>
      <c r="P56" s="117"/>
      <c r="Q56" s="117"/>
      <c r="R56" s="117"/>
      <c r="S56" s="117"/>
      <c r="T56" s="117"/>
      <c r="U56" s="117"/>
      <c r="V56" s="117"/>
      <c r="W56" s="117"/>
      <c r="X56" s="117"/>
      <c r="Y56" s="117"/>
      <c r="Z56" s="117"/>
      <c r="AA56" s="117"/>
      <c r="AB56" s="117"/>
      <c r="AC56" s="117"/>
      <c r="AD56" s="117"/>
      <c r="AE56" s="117"/>
      <c r="AF56" s="117"/>
      <c r="AG56" s="46" t="str">
        <f>IF(COUNTA(TabPlaisir[[#This Row],[J1]:[J30]])&lt;&gt;0,AVERAGE(TabPlaisir[[#This Row],[J1]:[J30]]),"")</f>
        <v/>
      </c>
      <c r="AH56" s="49" t="str">
        <f>TabPlaisir[[#This Row],[Moyenne]]</f>
        <v/>
      </c>
      <c r="AI56" s="48"/>
    </row>
    <row r="57" spans="2:35" ht="14.25">
      <c r="B57" s="14" t="str">
        <f>IF(INDEX(TabEntrainement[Seance],ROW()-18)&lt;&gt;0,INDEX(TabEntrainement[Seance],ROW()-18),"")</f>
        <v/>
      </c>
      <c r="C57" s="117"/>
      <c r="D57" s="117"/>
      <c r="E57" s="117"/>
      <c r="F57" s="117"/>
      <c r="G57" s="117"/>
      <c r="H57" s="117"/>
      <c r="I57" s="117"/>
      <c r="J57" s="117"/>
      <c r="K57" s="117"/>
      <c r="L57" s="117"/>
      <c r="M57" s="117"/>
      <c r="N57" s="117"/>
      <c r="O57" s="117"/>
      <c r="P57" s="117"/>
      <c r="Q57" s="117"/>
      <c r="R57" s="117"/>
      <c r="S57" s="117"/>
      <c r="T57" s="117"/>
      <c r="U57" s="117"/>
      <c r="V57" s="117"/>
      <c r="W57" s="117"/>
      <c r="X57" s="117"/>
      <c r="Y57" s="117"/>
      <c r="Z57" s="117"/>
      <c r="AA57" s="117"/>
      <c r="AB57" s="117"/>
      <c r="AC57" s="117"/>
      <c r="AD57" s="117"/>
      <c r="AE57" s="117"/>
      <c r="AF57" s="117"/>
      <c r="AG57" s="46" t="str">
        <f>IF(COUNTA(TabPlaisir[[#This Row],[J1]:[J30]])&lt;&gt;0,AVERAGE(TabPlaisir[[#This Row],[J1]:[J30]]),"")</f>
        <v/>
      </c>
      <c r="AH57" s="49" t="str">
        <f>TabPlaisir[[#This Row],[Moyenne]]</f>
        <v/>
      </c>
      <c r="AI57" s="48"/>
    </row>
    <row r="58" spans="2:35" ht="14.25">
      <c r="B58" s="14" t="str">
        <f>IF(INDEX(TabEntrainement[Seance],ROW()-18)&lt;&gt;0,INDEX(TabEntrainement[Seance],ROW()-18),"")</f>
        <v/>
      </c>
      <c r="C58" s="117"/>
      <c r="D58" s="117"/>
      <c r="E58" s="117"/>
      <c r="F58" s="117"/>
      <c r="G58" s="117"/>
      <c r="H58" s="117"/>
      <c r="I58" s="117"/>
      <c r="J58" s="117"/>
      <c r="K58" s="117"/>
      <c r="L58" s="117"/>
      <c r="M58" s="117"/>
      <c r="N58" s="117"/>
      <c r="O58" s="117"/>
      <c r="P58" s="117"/>
      <c r="Q58" s="117"/>
      <c r="R58" s="117"/>
      <c r="S58" s="117"/>
      <c r="T58" s="117"/>
      <c r="U58" s="117"/>
      <c r="V58" s="117"/>
      <c r="W58" s="117"/>
      <c r="X58" s="117"/>
      <c r="Y58" s="117"/>
      <c r="Z58" s="117"/>
      <c r="AA58" s="117"/>
      <c r="AB58" s="117"/>
      <c r="AC58" s="117"/>
      <c r="AD58" s="117"/>
      <c r="AE58" s="117"/>
      <c r="AF58" s="117"/>
      <c r="AG58" s="46" t="str">
        <f>IF(COUNTA(TabPlaisir[[#This Row],[J1]:[J30]])&lt;&gt;0,AVERAGE(TabPlaisir[[#This Row],[J1]:[J30]]),"")</f>
        <v/>
      </c>
      <c r="AH58" s="49" t="str">
        <f>TabPlaisir[[#This Row],[Moyenne]]</f>
        <v/>
      </c>
      <c r="AI58" s="48"/>
    </row>
    <row r="59" spans="2:35" ht="14.25">
      <c r="B59" s="14" t="str">
        <f>IF(INDEX(TabEntrainement[Seance],ROW()-18)&lt;&gt;0,INDEX(TabEntrainement[Seance],ROW()-18),"")</f>
        <v/>
      </c>
      <c r="C59" s="117"/>
      <c r="D59" s="117"/>
      <c r="E59" s="117"/>
      <c r="F59" s="117"/>
      <c r="G59" s="117"/>
      <c r="H59" s="117"/>
      <c r="I59" s="117"/>
      <c r="J59" s="117"/>
      <c r="K59" s="117"/>
      <c r="L59" s="117"/>
      <c r="M59" s="117"/>
      <c r="N59" s="117"/>
      <c r="O59" s="117"/>
      <c r="P59" s="117"/>
      <c r="Q59" s="117"/>
      <c r="R59" s="117"/>
      <c r="S59" s="117"/>
      <c r="T59" s="117"/>
      <c r="U59" s="117"/>
      <c r="V59" s="117"/>
      <c r="W59" s="117"/>
      <c r="X59" s="117"/>
      <c r="Y59" s="117"/>
      <c r="Z59" s="117"/>
      <c r="AA59" s="117"/>
      <c r="AB59" s="117"/>
      <c r="AC59" s="117"/>
      <c r="AD59" s="117"/>
      <c r="AE59" s="117"/>
      <c r="AF59" s="117"/>
      <c r="AG59" s="46" t="str">
        <f>IF(COUNTA(TabPlaisir[[#This Row],[J1]:[J30]])&lt;&gt;0,AVERAGE(TabPlaisir[[#This Row],[J1]:[J30]]),"")</f>
        <v/>
      </c>
      <c r="AH59" s="49" t="str">
        <f>TabPlaisir[[#This Row],[Moyenne]]</f>
        <v/>
      </c>
      <c r="AI59" s="48"/>
    </row>
    <row r="60" spans="2:35" ht="14.25">
      <c r="B60" s="14" t="str">
        <f>IF(INDEX(TabEntrainement[Seance],ROW()-18)&lt;&gt;0,INDEX(TabEntrainement[Seance],ROW()-18),"")</f>
        <v/>
      </c>
      <c r="C60" s="117"/>
      <c r="D60" s="117"/>
      <c r="E60" s="117"/>
      <c r="F60" s="117"/>
      <c r="G60" s="117"/>
      <c r="H60" s="117"/>
      <c r="I60" s="117"/>
      <c r="J60" s="117"/>
      <c r="K60" s="117"/>
      <c r="L60" s="117"/>
      <c r="M60" s="117"/>
      <c r="N60" s="117"/>
      <c r="O60" s="117"/>
      <c r="P60" s="117"/>
      <c r="Q60" s="117"/>
      <c r="R60" s="117"/>
      <c r="S60" s="117"/>
      <c r="T60" s="117"/>
      <c r="U60" s="117"/>
      <c r="V60" s="117"/>
      <c r="W60" s="117"/>
      <c r="X60" s="117"/>
      <c r="Y60" s="117"/>
      <c r="Z60" s="117"/>
      <c r="AA60" s="117"/>
      <c r="AB60" s="117"/>
      <c r="AC60" s="117"/>
      <c r="AD60" s="117"/>
      <c r="AE60" s="117"/>
      <c r="AF60" s="117"/>
      <c r="AG60" s="46" t="str">
        <f>IF(COUNTA(TabPlaisir[[#This Row],[J1]:[J30]])&lt;&gt;0,AVERAGE(TabPlaisir[[#This Row],[J1]:[J30]]),"")</f>
        <v/>
      </c>
      <c r="AH60" s="49" t="str">
        <f>TabPlaisir[[#This Row],[Moyenne]]</f>
        <v/>
      </c>
      <c r="AI60" s="48"/>
    </row>
    <row r="61" spans="2:35" ht="14.25">
      <c r="B61" s="14" t="str">
        <f>IF(INDEX(TabEntrainement[Seance],ROW()-18)&lt;&gt;0,INDEX(TabEntrainement[Seance],ROW()-18),"")</f>
        <v/>
      </c>
      <c r="C61" s="117"/>
      <c r="D61" s="117"/>
      <c r="E61" s="117"/>
      <c r="F61" s="117"/>
      <c r="G61" s="117"/>
      <c r="H61" s="117"/>
      <c r="I61" s="117"/>
      <c r="J61" s="117"/>
      <c r="K61" s="117"/>
      <c r="L61" s="117"/>
      <c r="M61" s="117"/>
      <c r="N61" s="117"/>
      <c r="O61" s="117"/>
      <c r="P61" s="117"/>
      <c r="Q61" s="117"/>
      <c r="R61" s="117"/>
      <c r="S61" s="117"/>
      <c r="T61" s="117"/>
      <c r="U61" s="117"/>
      <c r="V61" s="117"/>
      <c r="W61" s="117"/>
      <c r="X61" s="117"/>
      <c r="Y61" s="117"/>
      <c r="Z61" s="117"/>
      <c r="AA61" s="117"/>
      <c r="AB61" s="117"/>
      <c r="AC61" s="117"/>
      <c r="AD61" s="117"/>
      <c r="AE61" s="117"/>
      <c r="AF61" s="117"/>
      <c r="AG61" s="46" t="str">
        <f>IF(COUNTA(TabPlaisir[[#This Row],[J1]:[J30]])&lt;&gt;0,AVERAGE(TabPlaisir[[#This Row],[J1]:[J30]]),"")</f>
        <v/>
      </c>
      <c r="AH61" s="49" t="str">
        <f>TabPlaisir[[#This Row],[Moyenne]]</f>
        <v/>
      </c>
      <c r="AI61" s="48"/>
    </row>
    <row r="62" spans="2:35" ht="14.25">
      <c r="B62" s="14" t="str">
        <f>IF(INDEX(TabEntrainement[Seance],ROW()-18)&lt;&gt;0,INDEX(TabEntrainement[Seance],ROW()-18),"")</f>
        <v/>
      </c>
      <c r="C62" s="117"/>
      <c r="D62" s="117"/>
      <c r="E62" s="117"/>
      <c r="F62" s="117"/>
      <c r="G62" s="117"/>
      <c r="H62" s="117"/>
      <c r="I62" s="117"/>
      <c r="J62" s="117"/>
      <c r="K62" s="117"/>
      <c r="L62" s="117"/>
      <c r="M62" s="117"/>
      <c r="N62" s="117"/>
      <c r="O62" s="117"/>
      <c r="P62" s="117"/>
      <c r="Q62" s="117"/>
      <c r="R62" s="117"/>
      <c r="S62" s="117"/>
      <c r="T62" s="117"/>
      <c r="U62" s="117"/>
      <c r="V62" s="117"/>
      <c r="W62" s="117"/>
      <c r="X62" s="117"/>
      <c r="Y62" s="117"/>
      <c r="Z62" s="117"/>
      <c r="AA62" s="117"/>
      <c r="AB62" s="117"/>
      <c r="AC62" s="117"/>
      <c r="AD62" s="117"/>
      <c r="AE62" s="117"/>
      <c r="AF62" s="117"/>
      <c r="AG62" s="46" t="str">
        <f>IF(COUNTA(TabPlaisir[[#This Row],[J1]:[J30]])&lt;&gt;0,AVERAGE(TabPlaisir[[#This Row],[J1]:[J30]]),"")</f>
        <v/>
      </c>
      <c r="AH62" s="49" t="str">
        <f>TabPlaisir[[#This Row],[Moyenne]]</f>
        <v/>
      </c>
      <c r="AI62" s="48"/>
    </row>
    <row r="63" spans="2:35" ht="14.25">
      <c r="B63" s="14" t="str">
        <f>IF(INDEX(TabEntrainement[Seance],ROW()-18)&lt;&gt;0,INDEX(TabEntrainement[Seance],ROW()-18),"")</f>
        <v/>
      </c>
      <c r="C63" s="117"/>
      <c r="D63" s="117"/>
      <c r="E63" s="117"/>
      <c r="F63" s="117"/>
      <c r="G63" s="117"/>
      <c r="H63" s="117"/>
      <c r="I63" s="117"/>
      <c r="J63" s="117"/>
      <c r="K63" s="117"/>
      <c r="L63" s="117"/>
      <c r="M63" s="117"/>
      <c r="N63" s="117"/>
      <c r="O63" s="117"/>
      <c r="P63" s="117"/>
      <c r="Q63" s="117"/>
      <c r="R63" s="117"/>
      <c r="S63" s="117"/>
      <c r="T63" s="117"/>
      <c r="U63" s="117"/>
      <c r="V63" s="117"/>
      <c r="W63" s="117"/>
      <c r="X63" s="117"/>
      <c r="Y63" s="117"/>
      <c r="Z63" s="117"/>
      <c r="AA63" s="117"/>
      <c r="AB63" s="117"/>
      <c r="AC63" s="117"/>
      <c r="AD63" s="117"/>
      <c r="AE63" s="117"/>
      <c r="AF63" s="117"/>
      <c r="AG63" s="46" t="str">
        <f>IF(COUNTA(TabPlaisir[[#This Row],[J1]:[J30]])&lt;&gt;0,AVERAGE(TabPlaisir[[#This Row],[J1]:[J30]]),"")</f>
        <v/>
      </c>
      <c r="AH63" s="49" t="str">
        <f>TabPlaisir[[#This Row],[Moyenne]]</f>
        <v/>
      </c>
      <c r="AI63" s="48"/>
    </row>
    <row r="64" spans="2:35" ht="14.25">
      <c r="B64" s="14" t="str">
        <f>IF(INDEX(TabEntrainement[Seance],ROW()-18)&lt;&gt;0,INDEX(TabEntrainement[Seance],ROW()-18),"")</f>
        <v/>
      </c>
      <c r="C64" s="117"/>
      <c r="D64" s="117"/>
      <c r="E64" s="117"/>
      <c r="F64" s="117"/>
      <c r="G64" s="117"/>
      <c r="H64" s="117"/>
      <c r="I64" s="117"/>
      <c r="J64" s="117"/>
      <c r="K64" s="117"/>
      <c r="L64" s="117"/>
      <c r="M64" s="117"/>
      <c r="N64" s="117"/>
      <c r="O64" s="117"/>
      <c r="P64" s="117"/>
      <c r="Q64" s="117"/>
      <c r="R64" s="117"/>
      <c r="S64" s="117"/>
      <c r="T64" s="117"/>
      <c r="U64" s="117"/>
      <c r="V64" s="117"/>
      <c r="W64" s="117"/>
      <c r="X64" s="117"/>
      <c r="Y64" s="117"/>
      <c r="Z64" s="117"/>
      <c r="AA64" s="117"/>
      <c r="AB64" s="117"/>
      <c r="AC64" s="117"/>
      <c r="AD64" s="117"/>
      <c r="AE64" s="117"/>
      <c r="AF64" s="117"/>
      <c r="AG64" s="46" t="str">
        <f>IF(COUNTA(TabPlaisir[[#This Row],[J1]:[J30]])&lt;&gt;0,AVERAGE(TabPlaisir[[#This Row],[J1]:[J30]]),"")</f>
        <v/>
      </c>
      <c r="AH64" s="49" t="str">
        <f>TabPlaisir[[#This Row],[Moyenne]]</f>
        <v/>
      </c>
      <c r="AI64" s="48"/>
    </row>
    <row r="65" spans="2:35" ht="14.25">
      <c r="B65" s="14" t="str">
        <f>IF(INDEX(TabEntrainement[Seance],ROW()-18)&lt;&gt;0,INDEX(TabEntrainement[Seance],ROW()-18),"")</f>
        <v/>
      </c>
      <c r="C65" s="117"/>
      <c r="D65" s="117"/>
      <c r="E65" s="117"/>
      <c r="F65" s="117"/>
      <c r="G65" s="117"/>
      <c r="H65" s="117"/>
      <c r="I65" s="117"/>
      <c r="J65" s="117"/>
      <c r="K65" s="117"/>
      <c r="L65" s="117"/>
      <c r="M65" s="117"/>
      <c r="N65" s="117"/>
      <c r="O65" s="117"/>
      <c r="P65" s="117"/>
      <c r="Q65" s="117"/>
      <c r="R65" s="117"/>
      <c r="S65" s="117"/>
      <c r="T65" s="117"/>
      <c r="U65" s="117"/>
      <c r="V65" s="117"/>
      <c r="W65" s="117"/>
      <c r="X65" s="117"/>
      <c r="Y65" s="117"/>
      <c r="Z65" s="117"/>
      <c r="AA65" s="117"/>
      <c r="AB65" s="117"/>
      <c r="AC65" s="117"/>
      <c r="AD65" s="117"/>
      <c r="AE65" s="117"/>
      <c r="AF65" s="117"/>
      <c r="AG65" s="46" t="str">
        <f>IF(COUNTA(TabPlaisir[[#This Row],[J1]:[J30]])&lt;&gt;0,AVERAGE(TabPlaisir[[#This Row],[J1]:[J30]]),"")</f>
        <v/>
      </c>
      <c r="AH65" s="49" t="str">
        <f>TabPlaisir[[#This Row],[Moyenne]]</f>
        <v/>
      </c>
      <c r="AI65" s="48"/>
    </row>
    <row r="66" spans="2:35" ht="14.25">
      <c r="B66" s="14" t="str">
        <f>IF(INDEX(TabEntrainement[Seance],ROW()-18)&lt;&gt;0,INDEX(TabEntrainement[Seance],ROW()-18),"")</f>
        <v/>
      </c>
      <c r="C66" s="117"/>
      <c r="D66" s="117"/>
      <c r="E66" s="117"/>
      <c r="F66" s="117"/>
      <c r="G66" s="117"/>
      <c r="H66" s="117"/>
      <c r="I66" s="117"/>
      <c r="J66" s="117"/>
      <c r="K66" s="117"/>
      <c r="L66" s="117"/>
      <c r="M66" s="117"/>
      <c r="N66" s="117"/>
      <c r="O66" s="117"/>
      <c r="P66" s="117"/>
      <c r="Q66" s="117"/>
      <c r="R66" s="117"/>
      <c r="S66" s="117"/>
      <c r="T66" s="117"/>
      <c r="U66" s="117"/>
      <c r="V66" s="117"/>
      <c r="W66" s="117"/>
      <c r="X66" s="117"/>
      <c r="Y66" s="117"/>
      <c r="Z66" s="117"/>
      <c r="AA66" s="117"/>
      <c r="AB66" s="117"/>
      <c r="AC66" s="117"/>
      <c r="AD66" s="117"/>
      <c r="AE66" s="117"/>
      <c r="AF66" s="117"/>
      <c r="AG66" s="46" t="str">
        <f>IF(COUNTA(TabPlaisir[[#This Row],[J1]:[J30]])&lt;&gt;0,AVERAGE(TabPlaisir[[#This Row],[J1]:[J30]]),"")</f>
        <v/>
      </c>
      <c r="AH66" s="49" t="str">
        <f>TabPlaisir[[#This Row],[Moyenne]]</f>
        <v/>
      </c>
      <c r="AI66" s="48"/>
    </row>
    <row r="67" spans="2:35" ht="14.25">
      <c r="B67" s="14" t="str">
        <f>IF(INDEX(TabEntrainement[Seance],ROW()-18)&lt;&gt;0,INDEX(TabEntrainement[Seance],ROW()-18),"")</f>
        <v/>
      </c>
      <c r="C67" s="117"/>
      <c r="D67" s="117"/>
      <c r="E67" s="117"/>
      <c r="F67" s="117"/>
      <c r="G67" s="117"/>
      <c r="H67" s="117"/>
      <c r="I67" s="117"/>
      <c r="J67" s="117"/>
      <c r="K67" s="117"/>
      <c r="L67" s="117"/>
      <c r="M67" s="117"/>
      <c r="N67" s="117"/>
      <c r="O67" s="117"/>
      <c r="P67" s="117"/>
      <c r="Q67" s="117"/>
      <c r="R67" s="117"/>
      <c r="S67" s="117"/>
      <c r="T67" s="117"/>
      <c r="U67" s="117"/>
      <c r="V67" s="117"/>
      <c r="W67" s="117"/>
      <c r="X67" s="117"/>
      <c r="Y67" s="117"/>
      <c r="Z67" s="117"/>
      <c r="AA67" s="117"/>
      <c r="AB67" s="117"/>
      <c r="AC67" s="117"/>
      <c r="AD67" s="117"/>
      <c r="AE67" s="117"/>
      <c r="AF67" s="117"/>
      <c r="AG67" s="46" t="str">
        <f>IF(COUNTA(TabPlaisir[[#This Row],[J1]:[J30]])&lt;&gt;0,AVERAGE(TabPlaisir[[#This Row],[J1]:[J30]]),"")</f>
        <v/>
      </c>
      <c r="AH67" s="49" t="str">
        <f>TabPlaisir[[#This Row],[Moyenne]]</f>
        <v/>
      </c>
      <c r="AI67" s="48"/>
    </row>
    <row r="68" spans="2:35" ht="14.25">
      <c r="B68" s="14" t="str">
        <f>IF(INDEX(TabEntrainement[Seance],ROW()-18)&lt;&gt;0,INDEX(TabEntrainement[Seance],ROW()-18),"")</f>
        <v/>
      </c>
      <c r="C68" s="117"/>
      <c r="D68" s="117"/>
      <c r="E68" s="117"/>
      <c r="F68" s="117"/>
      <c r="G68" s="117"/>
      <c r="H68" s="117"/>
      <c r="I68" s="117"/>
      <c r="J68" s="117"/>
      <c r="K68" s="117"/>
      <c r="L68" s="117"/>
      <c r="M68" s="117"/>
      <c r="N68" s="117"/>
      <c r="O68" s="117"/>
      <c r="P68" s="117"/>
      <c r="Q68" s="117"/>
      <c r="R68" s="117"/>
      <c r="S68" s="117"/>
      <c r="T68" s="117"/>
      <c r="U68" s="117"/>
      <c r="V68" s="117"/>
      <c r="W68" s="117"/>
      <c r="X68" s="117"/>
      <c r="Y68" s="117"/>
      <c r="Z68" s="117"/>
      <c r="AA68" s="117"/>
      <c r="AB68" s="117"/>
      <c r="AC68" s="117"/>
      <c r="AD68" s="117"/>
      <c r="AE68" s="117"/>
      <c r="AF68" s="117"/>
      <c r="AG68" s="46" t="str">
        <f>IF(COUNTA(TabPlaisir[[#This Row],[J1]:[J30]])&lt;&gt;0,AVERAGE(TabPlaisir[[#This Row],[J1]:[J30]]),"")</f>
        <v/>
      </c>
      <c r="AH68" s="49" t="str">
        <f>TabPlaisir[[#This Row],[Moyenne]]</f>
        <v/>
      </c>
      <c r="AI68" s="48"/>
    </row>
    <row r="69" spans="2:35" ht="14.25">
      <c r="B69" s="14" t="str">
        <f>IF(INDEX(TabEntrainement[Seance],ROW()-18)&lt;&gt;0,INDEX(TabEntrainement[Seance],ROW()-18),"")</f>
        <v/>
      </c>
      <c r="C69" s="117"/>
      <c r="D69" s="117"/>
      <c r="E69" s="117"/>
      <c r="F69" s="117"/>
      <c r="G69" s="117"/>
      <c r="H69" s="117"/>
      <c r="I69" s="117"/>
      <c r="J69" s="117"/>
      <c r="K69" s="117"/>
      <c r="L69" s="117"/>
      <c r="M69" s="117"/>
      <c r="N69" s="117"/>
      <c r="O69" s="117"/>
      <c r="P69" s="117"/>
      <c r="Q69" s="117"/>
      <c r="R69" s="117"/>
      <c r="S69" s="117"/>
      <c r="T69" s="117"/>
      <c r="U69" s="117"/>
      <c r="V69" s="117"/>
      <c r="W69" s="117"/>
      <c r="X69" s="117"/>
      <c r="Y69" s="117"/>
      <c r="Z69" s="117"/>
      <c r="AA69" s="117"/>
      <c r="AB69" s="117"/>
      <c r="AC69" s="117"/>
      <c r="AD69" s="117"/>
      <c r="AE69" s="117"/>
      <c r="AF69" s="117"/>
      <c r="AG69" s="46" t="str">
        <f>IF(COUNTA(TabPlaisir[[#This Row],[J1]:[J30]])&lt;&gt;0,AVERAGE(TabPlaisir[[#This Row],[J1]:[J30]]),"")</f>
        <v/>
      </c>
      <c r="AH69" s="49" t="str">
        <f>TabPlaisir[[#This Row],[Moyenne]]</f>
        <v/>
      </c>
      <c r="AI69" s="48"/>
    </row>
    <row r="70" spans="2:35" ht="14.25">
      <c r="B70" s="14" t="str">
        <f>IF(INDEX(TabEntrainement[Seance],ROW()-18)&lt;&gt;0,INDEX(TabEntrainement[Seance],ROW()-18),"")</f>
        <v/>
      </c>
      <c r="C70" s="117"/>
      <c r="D70" s="117"/>
      <c r="E70" s="117"/>
      <c r="F70" s="117"/>
      <c r="G70" s="117"/>
      <c r="H70" s="117"/>
      <c r="I70" s="117"/>
      <c r="J70" s="117"/>
      <c r="K70" s="117"/>
      <c r="L70" s="117"/>
      <c r="M70" s="117"/>
      <c r="N70" s="117"/>
      <c r="O70" s="117"/>
      <c r="P70" s="117"/>
      <c r="Q70" s="117"/>
      <c r="R70" s="117"/>
      <c r="S70" s="117"/>
      <c r="T70" s="117"/>
      <c r="U70" s="117"/>
      <c r="V70" s="117"/>
      <c r="W70" s="117"/>
      <c r="X70" s="117"/>
      <c r="Y70" s="117"/>
      <c r="Z70" s="117"/>
      <c r="AA70" s="117"/>
      <c r="AB70" s="117"/>
      <c r="AC70" s="117"/>
      <c r="AD70" s="117"/>
      <c r="AE70" s="117"/>
      <c r="AF70" s="117"/>
      <c r="AG70" s="46" t="str">
        <f>IF(COUNTA(TabPlaisir[[#This Row],[J1]:[J30]])&lt;&gt;0,AVERAGE(TabPlaisir[[#This Row],[J1]:[J30]]),"")</f>
        <v/>
      </c>
      <c r="AH70" s="49" t="str">
        <f>TabPlaisir[[#This Row],[Moyenne]]</f>
        <v/>
      </c>
      <c r="AI70" s="48"/>
    </row>
    <row r="71" spans="2:35" ht="14.25">
      <c r="B71" s="14" t="str">
        <f>IF(INDEX(TabEntrainement[Seance],ROW()-18)&lt;&gt;0,INDEX(TabEntrainement[Seance],ROW()-18),"")</f>
        <v/>
      </c>
      <c r="C71" s="117"/>
      <c r="D71" s="117"/>
      <c r="E71" s="117"/>
      <c r="F71" s="117"/>
      <c r="G71" s="117"/>
      <c r="H71" s="117"/>
      <c r="I71" s="117"/>
      <c r="J71" s="117"/>
      <c r="K71" s="117"/>
      <c r="L71" s="117"/>
      <c r="M71" s="117"/>
      <c r="N71" s="117"/>
      <c r="O71" s="117"/>
      <c r="P71" s="117"/>
      <c r="Q71" s="117"/>
      <c r="R71" s="117"/>
      <c r="S71" s="117"/>
      <c r="T71" s="117"/>
      <c r="U71" s="117"/>
      <c r="V71" s="117"/>
      <c r="W71" s="117"/>
      <c r="X71" s="117"/>
      <c r="Y71" s="117"/>
      <c r="Z71" s="117"/>
      <c r="AA71" s="117"/>
      <c r="AB71" s="117"/>
      <c r="AC71" s="117"/>
      <c r="AD71" s="117"/>
      <c r="AE71" s="117"/>
      <c r="AF71" s="117"/>
      <c r="AG71" s="46" t="str">
        <f>IF(COUNTA(TabPlaisir[[#This Row],[J1]:[J30]])&lt;&gt;0,AVERAGE(TabPlaisir[[#This Row],[J1]:[J30]]),"")</f>
        <v/>
      </c>
      <c r="AH71" s="49" t="str">
        <f>TabPlaisir[[#This Row],[Moyenne]]</f>
        <v/>
      </c>
      <c r="AI71" s="48"/>
    </row>
    <row r="72" spans="2:35" ht="14.25">
      <c r="B72" s="14" t="str">
        <f>IF(INDEX(TabEntrainement[Seance],ROW()-18)&lt;&gt;0,INDEX(TabEntrainement[Seance],ROW()-18),"")</f>
        <v/>
      </c>
      <c r="C72" s="117"/>
      <c r="D72" s="117"/>
      <c r="E72" s="117"/>
      <c r="F72" s="117"/>
      <c r="G72" s="117"/>
      <c r="H72" s="117"/>
      <c r="I72" s="117"/>
      <c r="J72" s="117"/>
      <c r="K72" s="117"/>
      <c r="L72" s="117"/>
      <c r="M72" s="117"/>
      <c r="N72" s="117"/>
      <c r="O72" s="117"/>
      <c r="P72" s="117"/>
      <c r="Q72" s="117"/>
      <c r="R72" s="117"/>
      <c r="S72" s="117"/>
      <c r="T72" s="117"/>
      <c r="U72" s="117"/>
      <c r="V72" s="117"/>
      <c r="W72" s="117"/>
      <c r="X72" s="117"/>
      <c r="Y72" s="117"/>
      <c r="Z72" s="117"/>
      <c r="AA72" s="117"/>
      <c r="AB72" s="117"/>
      <c r="AC72" s="117"/>
      <c r="AD72" s="117"/>
      <c r="AE72" s="117"/>
      <c r="AF72" s="117"/>
      <c r="AG72" s="46" t="str">
        <f>IF(COUNTA(TabPlaisir[[#This Row],[J1]:[J30]])&lt;&gt;0,AVERAGE(TabPlaisir[[#This Row],[J1]:[J30]]),"")</f>
        <v/>
      </c>
      <c r="AH72" s="49" t="str">
        <f>TabPlaisir[[#This Row],[Moyenne]]</f>
        <v/>
      </c>
      <c r="AI72" s="48"/>
    </row>
    <row r="73" spans="2:35" ht="14.25">
      <c r="B73" s="14" t="str">
        <f>IF(INDEX(TabEntrainement[Seance],ROW()-18)&lt;&gt;0,INDEX(TabEntrainement[Seance],ROW()-18),"")</f>
        <v/>
      </c>
      <c r="C73" s="117"/>
      <c r="D73" s="117"/>
      <c r="E73" s="117"/>
      <c r="F73" s="117"/>
      <c r="G73" s="117"/>
      <c r="H73" s="117"/>
      <c r="I73" s="117"/>
      <c r="J73" s="117"/>
      <c r="K73" s="117"/>
      <c r="L73" s="117"/>
      <c r="M73" s="117"/>
      <c r="N73" s="117"/>
      <c r="O73" s="117"/>
      <c r="P73" s="117"/>
      <c r="Q73" s="117"/>
      <c r="R73" s="117"/>
      <c r="S73" s="117"/>
      <c r="T73" s="117"/>
      <c r="U73" s="117"/>
      <c r="V73" s="117"/>
      <c r="W73" s="117"/>
      <c r="X73" s="117"/>
      <c r="Y73" s="117"/>
      <c r="Z73" s="117"/>
      <c r="AA73" s="117"/>
      <c r="AB73" s="117"/>
      <c r="AC73" s="117"/>
      <c r="AD73" s="117"/>
      <c r="AE73" s="117"/>
      <c r="AF73" s="117"/>
      <c r="AG73" s="46" t="str">
        <f>IF(COUNTA(TabPlaisir[[#This Row],[J1]:[J30]])&lt;&gt;0,AVERAGE(TabPlaisir[[#This Row],[J1]:[J30]]),"")</f>
        <v/>
      </c>
      <c r="AH73" s="49" t="str">
        <f>TabPlaisir[[#This Row],[Moyenne]]</f>
        <v/>
      </c>
      <c r="AI73" s="48"/>
    </row>
    <row r="74" spans="2:35" ht="14.25">
      <c r="B74" s="14" t="str">
        <f>IF(INDEX(TabEntrainement[Seance],ROW()-18)&lt;&gt;0,INDEX(TabEntrainement[Seance],ROW()-18),"")</f>
        <v/>
      </c>
      <c r="C74" s="117"/>
      <c r="D74" s="117"/>
      <c r="E74" s="117"/>
      <c r="F74" s="117"/>
      <c r="G74" s="117"/>
      <c r="H74" s="117"/>
      <c r="I74" s="117"/>
      <c r="J74" s="117"/>
      <c r="K74" s="117"/>
      <c r="L74" s="117"/>
      <c r="M74" s="117"/>
      <c r="N74" s="117"/>
      <c r="O74" s="117"/>
      <c r="P74" s="117"/>
      <c r="Q74" s="117"/>
      <c r="R74" s="117"/>
      <c r="S74" s="117"/>
      <c r="T74" s="117"/>
      <c r="U74" s="117"/>
      <c r="V74" s="117"/>
      <c r="W74" s="117"/>
      <c r="X74" s="117"/>
      <c r="Y74" s="117"/>
      <c r="Z74" s="117"/>
      <c r="AA74" s="117"/>
      <c r="AB74" s="117"/>
      <c r="AC74" s="117"/>
      <c r="AD74" s="117"/>
      <c r="AE74" s="117"/>
      <c r="AF74" s="117"/>
      <c r="AG74" s="46" t="str">
        <f>IF(COUNTA(TabPlaisir[[#This Row],[J1]:[J30]])&lt;&gt;0,AVERAGE(TabPlaisir[[#This Row],[J1]:[J30]]),"")</f>
        <v/>
      </c>
      <c r="AH74" s="49" t="str">
        <f>TabPlaisir[[#This Row],[Moyenne]]</f>
        <v/>
      </c>
      <c r="AI74" s="48"/>
    </row>
    <row r="75" spans="2:35" ht="14.25">
      <c r="B75" s="14" t="str">
        <f>IF(INDEX(TabEntrainement[Seance],ROW()-18)&lt;&gt;0,INDEX(TabEntrainement[Seance],ROW()-18),"")</f>
        <v/>
      </c>
      <c r="C75" s="117"/>
      <c r="D75" s="117"/>
      <c r="E75" s="117"/>
      <c r="F75" s="117"/>
      <c r="G75" s="117"/>
      <c r="H75" s="117"/>
      <c r="I75" s="117"/>
      <c r="J75" s="117"/>
      <c r="K75" s="117"/>
      <c r="L75" s="117"/>
      <c r="M75" s="117"/>
      <c r="N75" s="117"/>
      <c r="O75" s="117"/>
      <c r="P75" s="117"/>
      <c r="Q75" s="117"/>
      <c r="R75" s="117"/>
      <c r="S75" s="117"/>
      <c r="T75" s="117"/>
      <c r="U75" s="117"/>
      <c r="V75" s="117"/>
      <c r="W75" s="117"/>
      <c r="X75" s="117"/>
      <c r="Y75" s="117"/>
      <c r="Z75" s="117"/>
      <c r="AA75" s="117"/>
      <c r="AB75" s="117"/>
      <c r="AC75" s="117"/>
      <c r="AD75" s="117"/>
      <c r="AE75" s="117"/>
      <c r="AF75" s="117"/>
      <c r="AG75" s="46" t="str">
        <f>IF(COUNTA(TabPlaisir[[#This Row],[J1]:[J30]])&lt;&gt;0,AVERAGE(TabPlaisir[[#This Row],[J1]:[J30]]),"")</f>
        <v/>
      </c>
      <c r="AH75" s="49" t="str">
        <f>TabPlaisir[[#This Row],[Moyenne]]</f>
        <v/>
      </c>
      <c r="AI75" s="48"/>
    </row>
    <row r="76" spans="2:35" ht="14.25">
      <c r="B76" s="14" t="str">
        <f>IF(INDEX(TabEntrainement[Seance],ROW()-18)&lt;&gt;0,INDEX(TabEntrainement[Seance],ROW()-18),"")</f>
        <v/>
      </c>
      <c r="C76" s="117"/>
      <c r="D76" s="117"/>
      <c r="E76" s="117"/>
      <c r="F76" s="117"/>
      <c r="G76" s="117"/>
      <c r="H76" s="117"/>
      <c r="I76" s="117"/>
      <c r="J76" s="117"/>
      <c r="K76" s="117"/>
      <c r="L76" s="117"/>
      <c r="M76" s="117"/>
      <c r="N76" s="117"/>
      <c r="O76" s="117"/>
      <c r="P76" s="117"/>
      <c r="Q76" s="117"/>
      <c r="R76" s="117"/>
      <c r="S76" s="117"/>
      <c r="T76" s="117"/>
      <c r="U76" s="117"/>
      <c r="V76" s="117"/>
      <c r="W76" s="117"/>
      <c r="X76" s="117"/>
      <c r="Y76" s="117"/>
      <c r="Z76" s="117"/>
      <c r="AA76" s="117"/>
      <c r="AB76" s="117"/>
      <c r="AC76" s="117"/>
      <c r="AD76" s="117"/>
      <c r="AE76" s="117"/>
      <c r="AF76" s="117"/>
      <c r="AG76" s="46" t="str">
        <f>IF(COUNTA(TabPlaisir[[#This Row],[J1]:[J30]])&lt;&gt;0,AVERAGE(TabPlaisir[[#This Row],[J1]:[J30]]),"")</f>
        <v/>
      </c>
      <c r="AH76" s="49" t="str">
        <f>TabPlaisir[[#This Row],[Moyenne]]</f>
        <v/>
      </c>
      <c r="AI76" s="48"/>
    </row>
    <row r="77" spans="2:35" ht="14.25">
      <c r="B77" s="14" t="str">
        <f>IF(INDEX(TabEntrainement[Seance],ROW()-18)&lt;&gt;0,INDEX(TabEntrainement[Seance],ROW()-18),"")</f>
        <v/>
      </c>
      <c r="C77" s="117"/>
      <c r="D77" s="117"/>
      <c r="E77" s="117"/>
      <c r="F77" s="117"/>
      <c r="G77" s="117"/>
      <c r="H77" s="117"/>
      <c r="I77" s="117"/>
      <c r="J77" s="117"/>
      <c r="K77" s="117"/>
      <c r="L77" s="117"/>
      <c r="M77" s="117"/>
      <c r="N77" s="117"/>
      <c r="O77" s="117"/>
      <c r="P77" s="117"/>
      <c r="Q77" s="117"/>
      <c r="R77" s="117"/>
      <c r="S77" s="117"/>
      <c r="T77" s="117"/>
      <c r="U77" s="117"/>
      <c r="V77" s="117"/>
      <c r="W77" s="117"/>
      <c r="X77" s="117"/>
      <c r="Y77" s="117"/>
      <c r="Z77" s="117"/>
      <c r="AA77" s="117"/>
      <c r="AB77" s="117"/>
      <c r="AC77" s="117"/>
      <c r="AD77" s="117"/>
      <c r="AE77" s="117"/>
      <c r="AF77" s="117"/>
      <c r="AG77" s="46" t="str">
        <f>IF(COUNTA(TabPlaisir[[#This Row],[J1]:[J30]])&lt;&gt;0,AVERAGE(TabPlaisir[[#This Row],[J1]:[J30]]),"")</f>
        <v/>
      </c>
      <c r="AH77" s="49" t="str">
        <f>TabPlaisir[[#This Row],[Moyenne]]</f>
        <v/>
      </c>
      <c r="AI77" s="48"/>
    </row>
    <row r="78" spans="2:35" ht="14.25">
      <c r="B78" s="14" t="str">
        <f>IF(INDEX(TabEntrainement[Seance],ROW()-18)&lt;&gt;0,INDEX(TabEntrainement[Seance],ROW()-18),"")</f>
        <v/>
      </c>
      <c r="C78" s="117"/>
      <c r="D78" s="117"/>
      <c r="E78" s="117"/>
      <c r="F78" s="117"/>
      <c r="G78" s="117"/>
      <c r="H78" s="117"/>
      <c r="I78" s="117"/>
      <c r="J78" s="117"/>
      <c r="K78" s="117"/>
      <c r="L78" s="117"/>
      <c r="M78" s="117"/>
      <c r="N78" s="117"/>
      <c r="O78" s="117"/>
      <c r="P78" s="117"/>
      <c r="Q78" s="117"/>
      <c r="R78" s="117"/>
      <c r="S78" s="117"/>
      <c r="T78" s="117"/>
      <c r="U78" s="117"/>
      <c r="V78" s="117"/>
      <c r="W78" s="117"/>
      <c r="X78" s="117"/>
      <c r="Y78" s="117"/>
      <c r="Z78" s="117"/>
      <c r="AA78" s="117"/>
      <c r="AB78" s="117"/>
      <c r="AC78" s="117"/>
      <c r="AD78" s="117"/>
      <c r="AE78" s="117"/>
      <c r="AF78" s="117"/>
      <c r="AG78" s="46" t="str">
        <f>IF(COUNTA(TabPlaisir[[#This Row],[J1]:[J30]])&lt;&gt;0,AVERAGE(TabPlaisir[[#This Row],[J1]:[J30]]),"")</f>
        <v/>
      </c>
      <c r="AH78" s="49" t="str">
        <f>TabPlaisir[[#This Row],[Moyenne]]</f>
        <v/>
      </c>
      <c r="AI78" s="48"/>
    </row>
    <row r="79" spans="2:35" ht="14.25">
      <c r="B79" s="14" t="str">
        <f>IF(INDEX(TabEntrainement[Seance],ROW()-18)&lt;&gt;0,INDEX(TabEntrainement[Seance],ROW()-18),"")</f>
        <v/>
      </c>
      <c r="C79" s="117"/>
      <c r="D79" s="117"/>
      <c r="E79" s="117"/>
      <c r="F79" s="117"/>
      <c r="G79" s="117"/>
      <c r="H79" s="117"/>
      <c r="I79" s="117"/>
      <c r="J79" s="117"/>
      <c r="K79" s="117"/>
      <c r="L79" s="117"/>
      <c r="M79" s="117"/>
      <c r="N79" s="117"/>
      <c r="O79" s="117"/>
      <c r="P79" s="117"/>
      <c r="Q79" s="117"/>
      <c r="R79" s="117"/>
      <c r="S79" s="117"/>
      <c r="T79" s="117"/>
      <c r="U79" s="117"/>
      <c r="V79" s="117"/>
      <c r="W79" s="117"/>
      <c r="X79" s="117"/>
      <c r="Y79" s="117"/>
      <c r="Z79" s="117"/>
      <c r="AA79" s="117"/>
      <c r="AB79" s="117"/>
      <c r="AC79" s="117"/>
      <c r="AD79" s="117"/>
      <c r="AE79" s="117"/>
      <c r="AF79" s="117"/>
      <c r="AG79" s="46" t="str">
        <f>IF(COUNTA(TabPlaisir[[#This Row],[J1]:[J30]])&lt;&gt;0,AVERAGE(TabPlaisir[[#This Row],[J1]:[J30]]),"")</f>
        <v/>
      </c>
      <c r="AH79" s="49" t="str">
        <f>TabPlaisir[[#This Row],[Moyenne]]</f>
        <v/>
      </c>
      <c r="AI79" s="48"/>
    </row>
    <row r="80" spans="2:35" ht="14.25">
      <c r="B80" s="14" t="str">
        <f>IF(INDEX(TabEntrainement[Seance],ROW()-18)&lt;&gt;0,INDEX(TabEntrainement[Seance],ROW()-18),"")</f>
        <v/>
      </c>
      <c r="C80" s="117"/>
      <c r="D80" s="117"/>
      <c r="E80" s="117"/>
      <c r="F80" s="117"/>
      <c r="G80" s="117"/>
      <c r="H80" s="117"/>
      <c r="I80" s="117"/>
      <c r="J80" s="117"/>
      <c r="K80" s="117"/>
      <c r="L80" s="117"/>
      <c r="M80" s="117"/>
      <c r="N80" s="117"/>
      <c r="O80" s="117"/>
      <c r="P80" s="117"/>
      <c r="Q80" s="117"/>
      <c r="R80" s="117"/>
      <c r="S80" s="117"/>
      <c r="T80" s="117"/>
      <c r="U80" s="117"/>
      <c r="V80" s="117"/>
      <c r="W80" s="117"/>
      <c r="X80" s="117"/>
      <c r="Y80" s="117"/>
      <c r="Z80" s="117"/>
      <c r="AA80" s="117"/>
      <c r="AB80" s="117"/>
      <c r="AC80" s="117"/>
      <c r="AD80" s="117"/>
      <c r="AE80" s="117"/>
      <c r="AF80" s="117"/>
      <c r="AG80" s="46" t="str">
        <f>IF(COUNTA(TabPlaisir[[#This Row],[J1]:[J30]])&lt;&gt;0,AVERAGE(TabPlaisir[[#This Row],[J1]:[J30]]),"")</f>
        <v/>
      </c>
      <c r="AH80" s="49" t="str">
        <f>TabPlaisir[[#This Row],[Moyenne]]</f>
        <v/>
      </c>
      <c r="AI80" s="48"/>
    </row>
    <row r="81" spans="2:35" ht="14.25">
      <c r="B81" s="14" t="str">
        <f>IF(INDEX(TabEntrainement[Seance],ROW()-18)&lt;&gt;0,INDEX(TabEntrainement[Seance],ROW()-18),"")</f>
        <v/>
      </c>
      <c r="C81" s="117"/>
      <c r="D81" s="117"/>
      <c r="E81" s="117"/>
      <c r="F81" s="117"/>
      <c r="G81" s="117"/>
      <c r="H81" s="117"/>
      <c r="I81" s="117"/>
      <c r="J81" s="117"/>
      <c r="K81" s="117"/>
      <c r="L81" s="117"/>
      <c r="M81" s="117"/>
      <c r="N81" s="117"/>
      <c r="O81" s="117"/>
      <c r="P81" s="117"/>
      <c r="Q81" s="117"/>
      <c r="R81" s="117"/>
      <c r="S81" s="117"/>
      <c r="T81" s="117"/>
      <c r="U81" s="117"/>
      <c r="V81" s="117"/>
      <c r="W81" s="117"/>
      <c r="X81" s="117"/>
      <c r="Y81" s="117"/>
      <c r="Z81" s="117"/>
      <c r="AA81" s="117"/>
      <c r="AB81" s="117"/>
      <c r="AC81" s="117"/>
      <c r="AD81" s="117"/>
      <c r="AE81" s="117"/>
      <c r="AF81" s="117"/>
      <c r="AG81" s="46" t="str">
        <f>IF(COUNTA(TabPlaisir[[#This Row],[J1]:[J30]])&lt;&gt;0,AVERAGE(TabPlaisir[[#This Row],[J1]:[J30]]),"")</f>
        <v/>
      </c>
      <c r="AH81" s="49" t="str">
        <f>TabPlaisir[[#This Row],[Moyenne]]</f>
        <v/>
      </c>
      <c r="AI81" s="48"/>
    </row>
    <row r="82" spans="2:35" ht="14.25">
      <c r="B82" s="14" t="str">
        <f>IF(INDEX(TabEntrainement[Seance],ROW()-18)&lt;&gt;0,INDEX(TabEntrainement[Seance],ROW()-18),"")</f>
        <v/>
      </c>
      <c r="C82" s="117"/>
      <c r="D82" s="117"/>
      <c r="E82" s="117"/>
      <c r="F82" s="117"/>
      <c r="G82" s="117"/>
      <c r="H82" s="117"/>
      <c r="I82" s="117"/>
      <c r="J82" s="117"/>
      <c r="K82" s="117"/>
      <c r="L82" s="117"/>
      <c r="M82" s="117"/>
      <c r="N82" s="117"/>
      <c r="O82" s="117"/>
      <c r="P82" s="117"/>
      <c r="Q82" s="117"/>
      <c r="R82" s="117"/>
      <c r="S82" s="117"/>
      <c r="T82" s="117"/>
      <c r="U82" s="117"/>
      <c r="V82" s="117"/>
      <c r="W82" s="117"/>
      <c r="X82" s="117"/>
      <c r="Y82" s="117"/>
      <c r="Z82" s="117"/>
      <c r="AA82" s="117"/>
      <c r="AB82" s="117"/>
      <c r="AC82" s="117"/>
      <c r="AD82" s="117"/>
      <c r="AE82" s="117"/>
      <c r="AF82" s="117"/>
      <c r="AG82" s="46" t="str">
        <f>IF(COUNTA(TabPlaisir[[#This Row],[J1]:[J30]])&lt;&gt;0,AVERAGE(TabPlaisir[[#This Row],[J1]:[J30]]),"")</f>
        <v/>
      </c>
      <c r="AH82" s="49" t="str">
        <f>TabPlaisir[[#This Row],[Moyenne]]</f>
        <v/>
      </c>
      <c r="AI82" s="48"/>
    </row>
    <row r="83" spans="2:35" ht="14.25">
      <c r="B83" s="14" t="str">
        <f>IF(INDEX(TabEntrainement[Seance],ROW()-18)&lt;&gt;0,INDEX(TabEntrainement[Seance],ROW()-18),"")</f>
        <v/>
      </c>
      <c r="C83" s="117"/>
      <c r="D83" s="117"/>
      <c r="E83" s="117"/>
      <c r="F83" s="117"/>
      <c r="G83" s="117"/>
      <c r="H83" s="117"/>
      <c r="I83" s="117"/>
      <c r="J83" s="117"/>
      <c r="K83" s="117"/>
      <c r="L83" s="117"/>
      <c r="M83" s="117"/>
      <c r="N83" s="117"/>
      <c r="O83" s="117"/>
      <c r="P83" s="117"/>
      <c r="Q83" s="117"/>
      <c r="R83" s="117"/>
      <c r="S83" s="117"/>
      <c r="T83" s="117"/>
      <c r="U83" s="117"/>
      <c r="V83" s="117"/>
      <c r="W83" s="117"/>
      <c r="X83" s="117"/>
      <c r="Y83" s="117"/>
      <c r="Z83" s="117"/>
      <c r="AA83" s="117"/>
      <c r="AB83" s="117"/>
      <c r="AC83" s="117"/>
      <c r="AD83" s="117"/>
      <c r="AE83" s="117"/>
      <c r="AF83" s="117"/>
      <c r="AG83" s="46" t="str">
        <f>IF(COUNTA(TabPlaisir[[#This Row],[J1]:[J30]])&lt;&gt;0,AVERAGE(TabPlaisir[[#This Row],[J1]:[J30]]),"")</f>
        <v/>
      </c>
      <c r="AH83" s="49" t="str">
        <f>TabPlaisir[[#This Row],[Moyenne]]</f>
        <v/>
      </c>
      <c r="AI83" s="48"/>
    </row>
    <row r="84" spans="2:35" ht="14.25">
      <c r="B84" s="14" t="str">
        <f>IF(INDEX(TabEntrainement[Seance],ROW()-18)&lt;&gt;0,INDEX(TabEntrainement[Seance],ROW()-18),"")</f>
        <v/>
      </c>
      <c r="C84" s="117"/>
      <c r="D84" s="117"/>
      <c r="E84" s="117"/>
      <c r="F84" s="117"/>
      <c r="G84" s="117"/>
      <c r="H84" s="117"/>
      <c r="I84" s="117"/>
      <c r="J84" s="117"/>
      <c r="K84" s="117"/>
      <c r="L84" s="117"/>
      <c r="M84" s="117"/>
      <c r="N84" s="117"/>
      <c r="O84" s="117"/>
      <c r="P84" s="117"/>
      <c r="Q84" s="117"/>
      <c r="R84" s="117"/>
      <c r="S84" s="117"/>
      <c r="T84" s="117"/>
      <c r="U84" s="117"/>
      <c r="V84" s="117"/>
      <c r="W84" s="117"/>
      <c r="X84" s="117"/>
      <c r="Y84" s="117"/>
      <c r="Z84" s="117"/>
      <c r="AA84" s="117"/>
      <c r="AB84" s="117"/>
      <c r="AC84" s="117"/>
      <c r="AD84" s="117"/>
      <c r="AE84" s="117"/>
      <c r="AF84" s="117"/>
      <c r="AG84" s="46" t="str">
        <f>IF(COUNTA(TabPlaisir[[#This Row],[J1]:[J30]])&lt;&gt;0,AVERAGE(TabPlaisir[[#This Row],[J1]:[J30]]),"")</f>
        <v/>
      </c>
      <c r="AH84" s="49" t="str">
        <f>TabPlaisir[[#This Row],[Moyenne]]</f>
        <v/>
      </c>
      <c r="AI84" s="48"/>
    </row>
    <row r="85" spans="2:35" ht="14.25">
      <c r="B85" s="14" t="str">
        <f>IF(INDEX(TabEntrainement[Seance],ROW()-18)&lt;&gt;0,INDEX(TabEntrainement[Seance],ROW()-18),"")</f>
        <v/>
      </c>
      <c r="C85" s="117"/>
      <c r="D85" s="117"/>
      <c r="E85" s="117"/>
      <c r="F85" s="117"/>
      <c r="G85" s="117"/>
      <c r="H85" s="117"/>
      <c r="I85" s="117"/>
      <c r="J85" s="117"/>
      <c r="K85" s="117"/>
      <c r="L85" s="117"/>
      <c r="M85" s="117"/>
      <c r="N85" s="117"/>
      <c r="O85" s="117"/>
      <c r="P85" s="117"/>
      <c r="Q85" s="117"/>
      <c r="R85" s="117"/>
      <c r="S85" s="117"/>
      <c r="T85" s="117"/>
      <c r="U85" s="117"/>
      <c r="V85" s="117"/>
      <c r="W85" s="117"/>
      <c r="X85" s="117"/>
      <c r="Y85" s="117"/>
      <c r="Z85" s="117"/>
      <c r="AA85" s="117"/>
      <c r="AB85" s="117"/>
      <c r="AC85" s="117"/>
      <c r="AD85" s="117"/>
      <c r="AE85" s="117"/>
      <c r="AF85" s="117"/>
      <c r="AG85" s="46" t="str">
        <f>IF(COUNTA(TabPlaisir[[#This Row],[J1]:[J30]])&lt;&gt;0,AVERAGE(TabPlaisir[[#This Row],[J1]:[J30]]),"")</f>
        <v/>
      </c>
      <c r="AH85" s="49" t="str">
        <f>TabPlaisir[[#This Row],[Moyenne]]</f>
        <v/>
      </c>
      <c r="AI85" s="48"/>
    </row>
    <row r="86" spans="2:35" ht="14.25">
      <c r="B86" s="14" t="str">
        <f>IF(INDEX(TabEntrainement[Seance],ROW()-18)&lt;&gt;0,INDEX(TabEntrainement[Seance],ROW()-18),"")</f>
        <v/>
      </c>
      <c r="C86" s="117"/>
      <c r="D86" s="117"/>
      <c r="E86" s="117"/>
      <c r="F86" s="117"/>
      <c r="G86" s="117"/>
      <c r="H86" s="117"/>
      <c r="I86" s="117"/>
      <c r="J86" s="117"/>
      <c r="K86" s="117"/>
      <c r="L86" s="117"/>
      <c r="M86" s="117"/>
      <c r="N86" s="117"/>
      <c r="O86" s="117"/>
      <c r="P86" s="117"/>
      <c r="Q86" s="117"/>
      <c r="R86" s="117"/>
      <c r="S86" s="117"/>
      <c r="T86" s="117"/>
      <c r="U86" s="117"/>
      <c r="V86" s="117"/>
      <c r="W86" s="117"/>
      <c r="X86" s="117"/>
      <c r="Y86" s="117"/>
      <c r="Z86" s="117"/>
      <c r="AA86" s="117"/>
      <c r="AB86" s="117"/>
      <c r="AC86" s="117"/>
      <c r="AD86" s="117"/>
      <c r="AE86" s="117"/>
      <c r="AF86" s="117"/>
      <c r="AG86" s="46" t="str">
        <f>IF(COUNTA(TabPlaisir[[#This Row],[J1]:[J30]])&lt;&gt;0,AVERAGE(TabPlaisir[[#This Row],[J1]:[J30]]),"")</f>
        <v/>
      </c>
      <c r="AH86" s="49" t="str">
        <f>TabPlaisir[[#This Row],[Moyenne]]</f>
        <v/>
      </c>
      <c r="AI86" s="48"/>
    </row>
    <row r="87" spans="2:35" ht="14.25">
      <c r="B87" s="14" t="str">
        <f>IF(INDEX(TabEntrainement[Seance],ROW()-18)&lt;&gt;0,INDEX(TabEntrainement[Seance],ROW()-18),"")</f>
        <v/>
      </c>
      <c r="C87" s="117"/>
      <c r="D87" s="117"/>
      <c r="E87" s="117"/>
      <c r="F87" s="117"/>
      <c r="G87" s="117"/>
      <c r="H87" s="117"/>
      <c r="I87" s="117"/>
      <c r="J87" s="117"/>
      <c r="K87" s="117"/>
      <c r="L87" s="117"/>
      <c r="M87" s="117"/>
      <c r="N87" s="117"/>
      <c r="O87" s="117"/>
      <c r="P87" s="117"/>
      <c r="Q87" s="117"/>
      <c r="R87" s="117"/>
      <c r="S87" s="117"/>
      <c r="T87" s="117"/>
      <c r="U87" s="117"/>
      <c r="V87" s="117"/>
      <c r="W87" s="117"/>
      <c r="X87" s="117"/>
      <c r="Y87" s="117"/>
      <c r="Z87" s="117"/>
      <c r="AA87" s="117"/>
      <c r="AB87" s="117"/>
      <c r="AC87" s="117"/>
      <c r="AD87" s="117"/>
      <c r="AE87" s="117"/>
      <c r="AF87" s="117"/>
      <c r="AG87" s="46" t="str">
        <f>IF(COUNTA(TabPlaisir[[#This Row],[J1]:[J30]])&lt;&gt;0,AVERAGE(TabPlaisir[[#This Row],[J1]:[J30]]),"")</f>
        <v/>
      </c>
      <c r="AH87" s="49" t="str">
        <f>TabPlaisir[[#This Row],[Moyenne]]</f>
        <v/>
      </c>
      <c r="AI87" s="48"/>
    </row>
    <row r="88" spans="2:35" ht="14.25">
      <c r="B88" s="14" t="str">
        <f>IF(INDEX(TabEntrainement[Seance],ROW()-18)&lt;&gt;0,INDEX(TabEntrainement[Seance],ROW()-18),"")</f>
        <v/>
      </c>
      <c r="C88" s="117"/>
      <c r="D88" s="117"/>
      <c r="E88" s="117"/>
      <c r="F88" s="117"/>
      <c r="G88" s="117"/>
      <c r="H88" s="117"/>
      <c r="I88" s="117"/>
      <c r="J88" s="117"/>
      <c r="K88" s="117"/>
      <c r="L88" s="117"/>
      <c r="M88" s="117"/>
      <c r="N88" s="117"/>
      <c r="O88" s="117"/>
      <c r="P88" s="117"/>
      <c r="Q88" s="117"/>
      <c r="R88" s="117"/>
      <c r="S88" s="117"/>
      <c r="T88" s="117"/>
      <c r="U88" s="117"/>
      <c r="V88" s="117"/>
      <c r="W88" s="117"/>
      <c r="X88" s="117"/>
      <c r="Y88" s="117"/>
      <c r="Z88" s="117"/>
      <c r="AA88" s="117"/>
      <c r="AB88" s="117"/>
      <c r="AC88" s="117"/>
      <c r="AD88" s="117"/>
      <c r="AE88" s="117"/>
      <c r="AF88" s="117"/>
      <c r="AG88" s="46" t="str">
        <f>IF(COUNTA(TabPlaisir[[#This Row],[J1]:[J30]])&lt;&gt;0,AVERAGE(TabPlaisir[[#This Row],[J1]:[J30]]),"")</f>
        <v/>
      </c>
      <c r="AH88" s="49" t="str">
        <f>TabPlaisir[[#This Row],[Moyenne]]</f>
        <v/>
      </c>
      <c r="AI88" s="48"/>
    </row>
    <row r="89" spans="2:35" ht="14.25">
      <c r="B89" s="14" t="str">
        <f>IF(INDEX(TabEntrainement[Seance],ROW()-18)&lt;&gt;0,INDEX(TabEntrainement[Seance],ROW()-18),"")</f>
        <v/>
      </c>
      <c r="C89" s="117"/>
      <c r="D89" s="117"/>
      <c r="E89" s="117"/>
      <c r="F89" s="117"/>
      <c r="G89" s="117"/>
      <c r="H89" s="117"/>
      <c r="I89" s="117"/>
      <c r="J89" s="117"/>
      <c r="K89" s="117"/>
      <c r="L89" s="117"/>
      <c r="M89" s="117"/>
      <c r="N89" s="117"/>
      <c r="O89" s="117"/>
      <c r="P89" s="117"/>
      <c r="Q89" s="117"/>
      <c r="R89" s="117"/>
      <c r="S89" s="117"/>
      <c r="T89" s="117"/>
      <c r="U89" s="117"/>
      <c r="V89" s="117"/>
      <c r="W89" s="117"/>
      <c r="X89" s="117"/>
      <c r="Y89" s="117"/>
      <c r="Z89" s="117"/>
      <c r="AA89" s="117"/>
      <c r="AB89" s="117"/>
      <c r="AC89" s="117"/>
      <c r="AD89" s="117"/>
      <c r="AE89" s="117"/>
      <c r="AF89" s="117"/>
      <c r="AG89" s="46" t="str">
        <f>IF(COUNTA(TabPlaisir[[#This Row],[J1]:[J30]])&lt;&gt;0,AVERAGE(TabPlaisir[[#This Row],[J1]:[J30]]),"")</f>
        <v/>
      </c>
      <c r="AH89" s="49" t="str">
        <f>TabPlaisir[[#This Row],[Moyenne]]</f>
        <v/>
      </c>
      <c r="AI89" s="48"/>
    </row>
    <row r="90" spans="2:35" ht="14.25">
      <c r="B90" s="14" t="str">
        <f>IF(INDEX(TabEntrainement[Seance],ROW()-18)&lt;&gt;0,INDEX(TabEntrainement[Seance],ROW()-18),"")</f>
        <v/>
      </c>
      <c r="C90" s="117"/>
      <c r="D90" s="117"/>
      <c r="E90" s="117"/>
      <c r="F90" s="117"/>
      <c r="G90" s="117"/>
      <c r="H90" s="117"/>
      <c r="I90" s="117"/>
      <c r="J90" s="117"/>
      <c r="K90" s="117"/>
      <c r="L90" s="117"/>
      <c r="M90" s="117"/>
      <c r="N90" s="117"/>
      <c r="O90" s="117"/>
      <c r="P90" s="117"/>
      <c r="Q90" s="117"/>
      <c r="R90" s="117"/>
      <c r="S90" s="117"/>
      <c r="T90" s="117"/>
      <c r="U90" s="117"/>
      <c r="V90" s="117"/>
      <c r="W90" s="117"/>
      <c r="X90" s="117"/>
      <c r="Y90" s="117"/>
      <c r="Z90" s="117"/>
      <c r="AA90" s="117"/>
      <c r="AB90" s="117"/>
      <c r="AC90" s="117"/>
      <c r="AD90" s="117"/>
      <c r="AE90" s="117"/>
      <c r="AF90" s="117"/>
      <c r="AG90" s="46" t="str">
        <f>IF(COUNTA(TabPlaisir[[#This Row],[J1]:[J30]])&lt;&gt;0,AVERAGE(TabPlaisir[[#This Row],[J1]:[J30]]),"")</f>
        <v/>
      </c>
      <c r="AH90" s="49" t="str">
        <f>TabPlaisir[[#This Row],[Moyenne]]</f>
        <v/>
      </c>
      <c r="AI90" s="48"/>
    </row>
    <row r="91" spans="2:35" ht="14.25">
      <c r="B91" s="14" t="str">
        <f>IF(INDEX(TabEntrainement[Seance],ROW()-18)&lt;&gt;0,INDEX(TabEntrainement[Seance],ROW()-18),"")</f>
        <v/>
      </c>
      <c r="C91" s="117"/>
      <c r="D91" s="117"/>
      <c r="E91" s="117"/>
      <c r="F91" s="117"/>
      <c r="G91" s="117"/>
      <c r="H91" s="117"/>
      <c r="I91" s="117"/>
      <c r="J91" s="117"/>
      <c r="K91" s="117"/>
      <c r="L91" s="117"/>
      <c r="M91" s="117"/>
      <c r="N91" s="117"/>
      <c r="O91" s="117"/>
      <c r="P91" s="117"/>
      <c r="Q91" s="117"/>
      <c r="R91" s="117"/>
      <c r="S91" s="117"/>
      <c r="T91" s="117"/>
      <c r="U91" s="117"/>
      <c r="V91" s="117"/>
      <c r="W91" s="117"/>
      <c r="X91" s="117"/>
      <c r="Y91" s="117"/>
      <c r="Z91" s="117"/>
      <c r="AA91" s="117"/>
      <c r="AB91" s="117"/>
      <c r="AC91" s="117"/>
      <c r="AD91" s="117"/>
      <c r="AE91" s="117"/>
      <c r="AF91" s="117"/>
      <c r="AG91" s="46" t="str">
        <f>IF(COUNTA(TabPlaisir[[#This Row],[J1]:[J30]])&lt;&gt;0,AVERAGE(TabPlaisir[[#This Row],[J1]:[J30]]),"")</f>
        <v/>
      </c>
      <c r="AH91" s="49" t="str">
        <f>TabPlaisir[[#This Row],[Moyenne]]</f>
        <v/>
      </c>
      <c r="AI91" s="48"/>
    </row>
    <row r="92" spans="2:35" ht="14.25">
      <c r="B92" s="14" t="str">
        <f>IF(INDEX(TabEntrainement[Seance],ROW()-18)&lt;&gt;0,INDEX(TabEntrainement[Seance],ROW()-18),"")</f>
        <v/>
      </c>
      <c r="C92" s="117"/>
      <c r="D92" s="117"/>
      <c r="E92" s="117"/>
      <c r="F92" s="117"/>
      <c r="G92" s="117"/>
      <c r="H92" s="117"/>
      <c r="I92" s="117"/>
      <c r="J92" s="117"/>
      <c r="K92" s="117"/>
      <c r="L92" s="117"/>
      <c r="M92" s="117"/>
      <c r="N92" s="117"/>
      <c r="O92" s="117"/>
      <c r="P92" s="117"/>
      <c r="Q92" s="117"/>
      <c r="R92" s="117"/>
      <c r="S92" s="117"/>
      <c r="T92" s="117"/>
      <c r="U92" s="117"/>
      <c r="V92" s="117"/>
      <c r="W92" s="117"/>
      <c r="X92" s="117"/>
      <c r="Y92" s="117"/>
      <c r="Z92" s="117"/>
      <c r="AA92" s="117"/>
      <c r="AB92" s="117"/>
      <c r="AC92" s="117"/>
      <c r="AD92" s="117"/>
      <c r="AE92" s="117"/>
      <c r="AF92" s="117"/>
      <c r="AG92" s="46" t="str">
        <f>IF(COUNTA(TabPlaisir[[#This Row],[J1]:[J30]])&lt;&gt;0,AVERAGE(TabPlaisir[[#This Row],[J1]:[J30]]),"")</f>
        <v/>
      </c>
      <c r="AH92" s="49" t="str">
        <f>TabPlaisir[[#This Row],[Moyenne]]</f>
        <v/>
      </c>
      <c r="AI92" s="48"/>
    </row>
    <row r="93" spans="2:35" ht="14.25">
      <c r="B93" s="14" t="str">
        <f>IF(INDEX(TabEntrainement[Seance],ROW()-18)&lt;&gt;0,INDEX(TabEntrainement[Seance],ROW()-18),"")</f>
        <v/>
      </c>
      <c r="C93" s="117"/>
      <c r="D93" s="117"/>
      <c r="E93" s="117"/>
      <c r="F93" s="117"/>
      <c r="G93" s="117"/>
      <c r="H93" s="117"/>
      <c r="I93" s="117"/>
      <c r="J93" s="117"/>
      <c r="K93" s="117"/>
      <c r="L93" s="117"/>
      <c r="M93" s="117"/>
      <c r="N93" s="117"/>
      <c r="O93" s="117"/>
      <c r="P93" s="117"/>
      <c r="Q93" s="117"/>
      <c r="R93" s="117"/>
      <c r="S93" s="117"/>
      <c r="T93" s="117"/>
      <c r="U93" s="117"/>
      <c r="V93" s="117"/>
      <c r="W93" s="117"/>
      <c r="X93" s="117"/>
      <c r="Y93" s="117"/>
      <c r="Z93" s="117"/>
      <c r="AA93" s="117"/>
      <c r="AB93" s="117"/>
      <c r="AC93" s="117"/>
      <c r="AD93" s="117"/>
      <c r="AE93" s="117"/>
      <c r="AF93" s="117"/>
      <c r="AG93" s="46" t="str">
        <f>IF(COUNTA(TabPlaisir[[#This Row],[J1]:[J30]])&lt;&gt;0,AVERAGE(TabPlaisir[[#This Row],[J1]:[J30]]),"")</f>
        <v/>
      </c>
      <c r="AH93" s="49" t="str">
        <f>TabPlaisir[[#This Row],[Moyenne]]</f>
        <v/>
      </c>
      <c r="AI93" s="48"/>
    </row>
    <row r="94" spans="2:35" ht="14.25">
      <c r="B94" s="14" t="str">
        <f>IF(INDEX(TabEntrainement[Seance],ROW()-18)&lt;&gt;0,INDEX(TabEntrainement[Seance],ROW()-18),"")</f>
        <v/>
      </c>
      <c r="C94" s="117"/>
      <c r="D94" s="117"/>
      <c r="E94" s="117"/>
      <c r="F94" s="117"/>
      <c r="G94" s="117"/>
      <c r="H94" s="117"/>
      <c r="I94" s="117"/>
      <c r="J94" s="117"/>
      <c r="K94" s="117"/>
      <c r="L94" s="117"/>
      <c r="M94" s="117"/>
      <c r="N94" s="117"/>
      <c r="O94" s="117"/>
      <c r="P94" s="117"/>
      <c r="Q94" s="117"/>
      <c r="R94" s="117"/>
      <c r="S94" s="117"/>
      <c r="T94" s="117"/>
      <c r="U94" s="117"/>
      <c r="V94" s="117"/>
      <c r="W94" s="117"/>
      <c r="X94" s="117"/>
      <c r="Y94" s="117"/>
      <c r="Z94" s="117"/>
      <c r="AA94" s="117"/>
      <c r="AB94" s="117"/>
      <c r="AC94" s="117"/>
      <c r="AD94" s="117"/>
      <c r="AE94" s="117"/>
      <c r="AF94" s="117"/>
      <c r="AG94" s="46" t="str">
        <f>IF(COUNTA(TabPlaisir[[#This Row],[J1]:[J30]])&lt;&gt;0,AVERAGE(TabPlaisir[[#This Row],[J1]:[J30]]),"")</f>
        <v/>
      </c>
      <c r="AH94" s="49" t="str">
        <f>TabPlaisir[[#This Row],[Moyenne]]</f>
        <v/>
      </c>
      <c r="AI94" s="48"/>
    </row>
    <row r="95" spans="2:35" ht="14.25">
      <c r="B95" s="14" t="str">
        <f>IF(INDEX(TabEntrainement[Seance],ROW()-18)&lt;&gt;0,INDEX(TabEntrainement[Seance],ROW()-18),"")</f>
        <v/>
      </c>
      <c r="C95" s="117"/>
      <c r="D95" s="117"/>
      <c r="E95" s="117"/>
      <c r="F95" s="117"/>
      <c r="G95" s="117"/>
      <c r="H95" s="117"/>
      <c r="I95" s="117"/>
      <c r="J95" s="117"/>
      <c r="K95" s="117"/>
      <c r="L95" s="117"/>
      <c r="M95" s="117"/>
      <c r="N95" s="117"/>
      <c r="O95" s="117"/>
      <c r="P95" s="117"/>
      <c r="Q95" s="117"/>
      <c r="R95" s="117"/>
      <c r="S95" s="117"/>
      <c r="T95" s="117"/>
      <c r="U95" s="117"/>
      <c r="V95" s="117"/>
      <c r="W95" s="117"/>
      <c r="X95" s="117"/>
      <c r="Y95" s="117"/>
      <c r="Z95" s="117"/>
      <c r="AA95" s="117"/>
      <c r="AB95" s="117"/>
      <c r="AC95" s="117"/>
      <c r="AD95" s="117"/>
      <c r="AE95" s="117"/>
      <c r="AF95" s="117"/>
      <c r="AG95" s="46" t="str">
        <f>IF(COUNTA(TabPlaisir[[#This Row],[J1]:[J30]])&lt;&gt;0,AVERAGE(TabPlaisir[[#This Row],[J1]:[J30]]),"")</f>
        <v/>
      </c>
      <c r="AH95" s="49" t="str">
        <f>TabPlaisir[[#This Row],[Moyenne]]</f>
        <v/>
      </c>
      <c r="AI95" s="48"/>
    </row>
    <row r="96" spans="2:35" ht="14.25">
      <c r="B96" s="14" t="str">
        <f>IF(INDEX(TabEntrainement[Seance],ROW()-18)&lt;&gt;0,INDEX(TabEntrainement[Seance],ROW()-18),"")</f>
        <v/>
      </c>
      <c r="C96" s="117"/>
      <c r="D96" s="117"/>
      <c r="E96" s="117"/>
      <c r="F96" s="117"/>
      <c r="G96" s="117"/>
      <c r="H96" s="117"/>
      <c r="I96" s="117"/>
      <c r="J96" s="117"/>
      <c r="K96" s="117"/>
      <c r="L96" s="117"/>
      <c r="M96" s="117"/>
      <c r="N96" s="117"/>
      <c r="O96" s="117"/>
      <c r="P96" s="117"/>
      <c r="Q96" s="117"/>
      <c r="R96" s="117"/>
      <c r="S96" s="117"/>
      <c r="T96" s="117"/>
      <c r="U96" s="117"/>
      <c r="V96" s="117"/>
      <c r="W96" s="117"/>
      <c r="X96" s="117"/>
      <c r="Y96" s="117"/>
      <c r="Z96" s="117"/>
      <c r="AA96" s="117"/>
      <c r="AB96" s="117"/>
      <c r="AC96" s="117"/>
      <c r="AD96" s="117"/>
      <c r="AE96" s="117"/>
      <c r="AF96" s="117"/>
      <c r="AG96" s="46" t="str">
        <f>IF(COUNTA(TabPlaisir[[#This Row],[J1]:[J30]])&lt;&gt;0,AVERAGE(TabPlaisir[[#This Row],[J1]:[J30]]),"")</f>
        <v/>
      </c>
      <c r="AH96" s="49" t="str">
        <f>TabPlaisir[[#This Row],[Moyenne]]</f>
        <v/>
      </c>
      <c r="AI96" s="48"/>
    </row>
    <row r="97" spans="2:35" ht="14.25">
      <c r="B97" s="14" t="str">
        <f>IF(INDEX(TabEntrainement[Seance],ROW()-18)&lt;&gt;0,INDEX(TabEntrainement[Seance],ROW()-18),"")</f>
        <v/>
      </c>
      <c r="C97" s="117"/>
      <c r="D97" s="117"/>
      <c r="E97" s="117"/>
      <c r="F97" s="117"/>
      <c r="G97" s="117"/>
      <c r="H97" s="117"/>
      <c r="I97" s="117"/>
      <c r="J97" s="117"/>
      <c r="K97" s="117"/>
      <c r="L97" s="117"/>
      <c r="M97" s="117"/>
      <c r="N97" s="117"/>
      <c r="O97" s="117"/>
      <c r="P97" s="117"/>
      <c r="Q97" s="117"/>
      <c r="R97" s="117"/>
      <c r="S97" s="117"/>
      <c r="T97" s="117"/>
      <c r="U97" s="117"/>
      <c r="V97" s="117"/>
      <c r="W97" s="117"/>
      <c r="X97" s="117"/>
      <c r="Y97" s="117"/>
      <c r="Z97" s="117"/>
      <c r="AA97" s="117"/>
      <c r="AB97" s="117"/>
      <c r="AC97" s="117"/>
      <c r="AD97" s="117"/>
      <c r="AE97" s="117"/>
      <c r="AF97" s="117"/>
      <c r="AG97" s="46" t="str">
        <f>IF(COUNTA(TabPlaisir[[#This Row],[J1]:[J30]])&lt;&gt;0,AVERAGE(TabPlaisir[[#This Row],[J1]:[J30]]),"")</f>
        <v/>
      </c>
      <c r="AH97" s="49" t="str">
        <f>TabPlaisir[[#This Row],[Moyenne]]</f>
        <v/>
      </c>
      <c r="AI97" s="48"/>
    </row>
    <row r="98" spans="2:35" ht="14.25">
      <c r="B98" s="14" t="str">
        <f>IF(INDEX(TabEntrainement[Seance],ROW()-18)&lt;&gt;0,INDEX(TabEntrainement[Seance],ROW()-18),"")</f>
        <v/>
      </c>
      <c r="C98" s="117"/>
      <c r="D98" s="117"/>
      <c r="E98" s="117"/>
      <c r="F98" s="117"/>
      <c r="G98" s="117"/>
      <c r="H98" s="117"/>
      <c r="I98" s="117"/>
      <c r="J98" s="117"/>
      <c r="K98" s="117"/>
      <c r="L98" s="117"/>
      <c r="M98" s="117"/>
      <c r="N98" s="117"/>
      <c r="O98" s="117"/>
      <c r="P98" s="117"/>
      <c r="Q98" s="117"/>
      <c r="R98" s="117"/>
      <c r="S98" s="117"/>
      <c r="T98" s="117"/>
      <c r="U98" s="117"/>
      <c r="V98" s="117"/>
      <c r="W98" s="117"/>
      <c r="X98" s="117"/>
      <c r="Y98" s="117"/>
      <c r="Z98" s="117"/>
      <c r="AA98" s="117"/>
      <c r="AB98" s="117"/>
      <c r="AC98" s="117"/>
      <c r="AD98" s="117"/>
      <c r="AE98" s="117"/>
      <c r="AF98" s="117"/>
      <c r="AG98" s="46" t="str">
        <f>IF(COUNTA(TabPlaisir[[#This Row],[J1]:[J30]])&lt;&gt;0,AVERAGE(TabPlaisir[[#This Row],[J1]:[J30]]),"")</f>
        <v/>
      </c>
      <c r="AH98" s="49" t="str">
        <f>TabPlaisir[[#This Row],[Moyenne]]</f>
        <v/>
      </c>
      <c r="AI98" s="48"/>
    </row>
    <row r="99" spans="2:35" ht="14.25">
      <c r="B99" s="14" t="str">
        <f>IF(INDEX(TabEntrainement[Seance],ROW()-18)&lt;&gt;0,INDEX(TabEntrainement[Seance],ROW()-18),"")</f>
        <v/>
      </c>
      <c r="C99" s="117"/>
      <c r="D99" s="117"/>
      <c r="E99" s="117"/>
      <c r="F99" s="117"/>
      <c r="G99" s="117"/>
      <c r="H99" s="117"/>
      <c r="I99" s="117"/>
      <c r="J99" s="117"/>
      <c r="K99" s="117"/>
      <c r="L99" s="117"/>
      <c r="M99" s="117"/>
      <c r="N99" s="117"/>
      <c r="O99" s="117"/>
      <c r="P99" s="117"/>
      <c r="Q99" s="117"/>
      <c r="R99" s="117"/>
      <c r="S99" s="117"/>
      <c r="T99" s="117"/>
      <c r="U99" s="117"/>
      <c r="V99" s="117"/>
      <c r="W99" s="117"/>
      <c r="X99" s="117"/>
      <c r="Y99" s="117"/>
      <c r="Z99" s="117"/>
      <c r="AA99" s="117"/>
      <c r="AB99" s="117"/>
      <c r="AC99" s="117"/>
      <c r="AD99" s="117"/>
      <c r="AE99" s="117"/>
      <c r="AF99" s="117"/>
      <c r="AG99" s="46" t="str">
        <f>IF(COUNTA(TabPlaisir[[#This Row],[J1]:[J30]])&lt;&gt;0,AVERAGE(TabPlaisir[[#This Row],[J1]:[J30]]),"")</f>
        <v/>
      </c>
      <c r="AH99" s="49" t="str">
        <f>TabPlaisir[[#This Row],[Moyenne]]</f>
        <v/>
      </c>
      <c r="AI99" s="48"/>
    </row>
    <row r="100" spans="2:35" ht="14.25">
      <c r="B100" s="14" t="str">
        <f>IF(INDEX(TabEntrainement[Seance],ROW()-18)&lt;&gt;0,INDEX(TabEntrainement[Seance],ROW()-18),"")</f>
        <v/>
      </c>
      <c r="C100" s="117"/>
      <c r="D100" s="117"/>
      <c r="E100" s="117"/>
      <c r="F100" s="117"/>
      <c r="G100" s="117"/>
      <c r="H100" s="117"/>
      <c r="I100" s="117"/>
      <c r="J100" s="117"/>
      <c r="K100" s="117"/>
      <c r="L100" s="117"/>
      <c r="M100" s="117"/>
      <c r="N100" s="117"/>
      <c r="O100" s="117"/>
      <c r="P100" s="117"/>
      <c r="Q100" s="117"/>
      <c r="R100" s="117"/>
      <c r="S100" s="117"/>
      <c r="T100" s="117"/>
      <c r="U100" s="117"/>
      <c r="V100" s="117"/>
      <c r="W100" s="117"/>
      <c r="X100" s="117"/>
      <c r="Y100" s="117"/>
      <c r="Z100" s="117"/>
      <c r="AA100" s="117"/>
      <c r="AB100" s="117"/>
      <c r="AC100" s="117"/>
      <c r="AD100" s="117"/>
      <c r="AE100" s="117"/>
      <c r="AF100" s="117"/>
      <c r="AG100" s="46" t="str">
        <f>IF(COUNTA(TabPlaisir[[#This Row],[J1]:[J30]])&lt;&gt;0,AVERAGE(TabPlaisir[[#This Row],[J1]:[J30]]),"")</f>
        <v/>
      </c>
      <c r="AH100" s="49" t="str">
        <f>TabPlaisir[[#This Row],[Moyenne]]</f>
        <v/>
      </c>
      <c r="AI100" s="48"/>
    </row>
    <row r="101" spans="2:35" ht="14.25">
      <c r="B101" s="14" t="str">
        <f>IF(INDEX(TabEntrainement[Seance],ROW()-18)&lt;&gt;0,INDEX(TabEntrainement[Seance],ROW()-18),"")</f>
        <v/>
      </c>
      <c r="C101" s="117"/>
      <c r="D101" s="117"/>
      <c r="E101" s="117"/>
      <c r="F101" s="117"/>
      <c r="G101" s="117"/>
      <c r="H101" s="117"/>
      <c r="I101" s="117"/>
      <c r="J101" s="117"/>
      <c r="K101" s="117"/>
      <c r="L101" s="117"/>
      <c r="M101" s="117"/>
      <c r="N101" s="117"/>
      <c r="O101" s="117"/>
      <c r="P101" s="117"/>
      <c r="Q101" s="117"/>
      <c r="R101" s="117"/>
      <c r="S101" s="117"/>
      <c r="T101" s="117"/>
      <c r="U101" s="117"/>
      <c r="V101" s="117"/>
      <c r="W101" s="117"/>
      <c r="X101" s="117"/>
      <c r="Y101" s="117"/>
      <c r="Z101" s="117"/>
      <c r="AA101" s="117"/>
      <c r="AB101" s="117"/>
      <c r="AC101" s="117"/>
      <c r="AD101" s="117"/>
      <c r="AE101" s="117"/>
      <c r="AF101" s="117"/>
      <c r="AG101" s="46" t="str">
        <f>IF(COUNTA(TabPlaisir[[#This Row],[J1]:[J30]])&lt;&gt;0,AVERAGE(TabPlaisir[[#This Row],[J1]:[J30]]),"")</f>
        <v/>
      </c>
      <c r="AH101" s="49" t="str">
        <f>TabPlaisir[[#This Row],[Moyenne]]</f>
        <v/>
      </c>
      <c r="AI101" s="48"/>
    </row>
    <row r="102" spans="2:35" ht="14.25">
      <c r="B102" s="14" t="str">
        <f>IF(INDEX(TabEntrainement[Seance],ROW()-18)&lt;&gt;0,INDEX(TabEntrainement[Seance],ROW()-18),"")</f>
        <v/>
      </c>
      <c r="C102" s="117"/>
      <c r="D102" s="117"/>
      <c r="E102" s="117"/>
      <c r="F102" s="117"/>
      <c r="G102" s="117"/>
      <c r="H102" s="117"/>
      <c r="I102" s="117"/>
      <c r="J102" s="117"/>
      <c r="K102" s="117"/>
      <c r="L102" s="117"/>
      <c r="M102" s="117"/>
      <c r="N102" s="117"/>
      <c r="O102" s="117"/>
      <c r="P102" s="117"/>
      <c r="Q102" s="117"/>
      <c r="R102" s="117"/>
      <c r="S102" s="117"/>
      <c r="T102" s="117"/>
      <c r="U102" s="117"/>
      <c r="V102" s="117"/>
      <c r="W102" s="117"/>
      <c r="X102" s="117"/>
      <c r="Y102" s="117"/>
      <c r="Z102" s="117"/>
      <c r="AA102" s="117"/>
      <c r="AB102" s="117"/>
      <c r="AC102" s="117"/>
      <c r="AD102" s="117"/>
      <c r="AE102" s="117"/>
      <c r="AF102" s="117"/>
      <c r="AG102" s="46" t="str">
        <f>IF(COUNTA(TabPlaisir[[#This Row],[J1]:[J30]])&lt;&gt;0,AVERAGE(TabPlaisir[[#This Row],[J1]:[J30]]),"")</f>
        <v/>
      </c>
      <c r="AH102" s="49" t="str">
        <f>TabPlaisir[[#This Row],[Moyenne]]</f>
        <v/>
      </c>
      <c r="AI102" s="48"/>
    </row>
    <row r="103" spans="2:35" ht="14.25">
      <c r="B103" s="14" t="str">
        <f>IF(INDEX(TabEntrainement[Seance],ROW()-18)&lt;&gt;0,INDEX(TabEntrainement[Seance],ROW()-18),"")</f>
        <v/>
      </c>
      <c r="C103" s="117"/>
      <c r="D103" s="117"/>
      <c r="E103" s="117"/>
      <c r="F103" s="117"/>
      <c r="G103" s="117"/>
      <c r="H103" s="117"/>
      <c r="I103" s="117"/>
      <c r="J103" s="117"/>
      <c r="K103" s="117"/>
      <c r="L103" s="117"/>
      <c r="M103" s="117"/>
      <c r="N103" s="117"/>
      <c r="O103" s="117"/>
      <c r="P103" s="117"/>
      <c r="Q103" s="117"/>
      <c r="R103" s="117"/>
      <c r="S103" s="117"/>
      <c r="T103" s="117"/>
      <c r="U103" s="117"/>
      <c r="V103" s="117"/>
      <c r="W103" s="117"/>
      <c r="X103" s="117"/>
      <c r="Y103" s="117"/>
      <c r="Z103" s="117"/>
      <c r="AA103" s="117"/>
      <c r="AB103" s="117"/>
      <c r="AC103" s="117"/>
      <c r="AD103" s="117"/>
      <c r="AE103" s="117"/>
      <c r="AF103" s="117"/>
      <c r="AG103" s="46" t="str">
        <f>IF(COUNTA(TabPlaisir[[#This Row],[J1]:[J30]])&lt;&gt;0,AVERAGE(TabPlaisir[[#This Row],[J1]:[J30]]),"")</f>
        <v/>
      </c>
      <c r="AH103" s="49" t="str">
        <f>TabPlaisir[[#This Row],[Moyenne]]</f>
        <v/>
      </c>
      <c r="AI103" s="48"/>
    </row>
    <row r="104" spans="2:35" ht="14.25">
      <c r="B104" s="14" t="str">
        <f>IF(INDEX(TabEntrainement[Seance],ROW()-18)&lt;&gt;0,INDEX(TabEntrainement[Seance],ROW()-18),"")</f>
        <v/>
      </c>
      <c r="C104" s="117"/>
      <c r="D104" s="117"/>
      <c r="E104" s="117"/>
      <c r="F104" s="117"/>
      <c r="G104" s="117"/>
      <c r="H104" s="117"/>
      <c r="I104" s="117"/>
      <c r="J104" s="117"/>
      <c r="K104" s="117"/>
      <c r="L104" s="117"/>
      <c r="M104" s="117"/>
      <c r="N104" s="117"/>
      <c r="O104" s="117"/>
      <c r="P104" s="117"/>
      <c r="Q104" s="117"/>
      <c r="R104" s="117"/>
      <c r="S104" s="117"/>
      <c r="T104" s="117"/>
      <c r="U104" s="117"/>
      <c r="V104" s="117"/>
      <c r="W104" s="117"/>
      <c r="X104" s="117"/>
      <c r="Y104" s="117"/>
      <c r="Z104" s="117"/>
      <c r="AA104" s="117"/>
      <c r="AB104" s="117"/>
      <c r="AC104" s="117"/>
      <c r="AD104" s="117"/>
      <c r="AE104" s="117"/>
      <c r="AF104" s="117"/>
      <c r="AG104" s="46" t="str">
        <f>IF(COUNTA(TabPlaisir[[#This Row],[J1]:[J30]])&lt;&gt;0,AVERAGE(TabPlaisir[[#This Row],[J1]:[J30]]),"")</f>
        <v/>
      </c>
      <c r="AH104" s="49" t="str">
        <f>TabPlaisir[[#This Row],[Moyenne]]</f>
        <v/>
      </c>
      <c r="AI104" s="48"/>
    </row>
    <row r="105" spans="2:35" ht="14.25">
      <c r="B105" s="14" t="str">
        <f>IF(INDEX(TabEntrainement[Seance],ROW()-18)&lt;&gt;0,INDEX(TabEntrainement[Seance],ROW()-18),"")</f>
        <v/>
      </c>
      <c r="C105" s="117"/>
      <c r="D105" s="117"/>
      <c r="E105" s="117"/>
      <c r="F105" s="117"/>
      <c r="G105" s="117"/>
      <c r="H105" s="117"/>
      <c r="I105" s="117"/>
      <c r="J105" s="117"/>
      <c r="K105" s="117"/>
      <c r="L105" s="117"/>
      <c r="M105" s="117"/>
      <c r="N105" s="117"/>
      <c r="O105" s="117"/>
      <c r="P105" s="117"/>
      <c r="Q105" s="117"/>
      <c r="R105" s="117"/>
      <c r="S105" s="117"/>
      <c r="T105" s="117"/>
      <c r="U105" s="117"/>
      <c r="V105" s="117"/>
      <c r="W105" s="117"/>
      <c r="X105" s="117"/>
      <c r="Y105" s="117"/>
      <c r="Z105" s="117"/>
      <c r="AA105" s="117"/>
      <c r="AB105" s="117"/>
      <c r="AC105" s="117"/>
      <c r="AD105" s="117"/>
      <c r="AE105" s="117"/>
      <c r="AF105" s="117"/>
      <c r="AG105" s="46" t="str">
        <f>IF(COUNTA(TabPlaisir[[#This Row],[J1]:[J30]])&lt;&gt;0,AVERAGE(TabPlaisir[[#This Row],[J1]:[J30]]),"")</f>
        <v/>
      </c>
      <c r="AH105" s="49" t="str">
        <f>TabPlaisir[[#This Row],[Moyenne]]</f>
        <v/>
      </c>
      <c r="AI105" s="48"/>
    </row>
    <row r="106" spans="2:35" ht="14.25">
      <c r="B106" s="14" t="str">
        <f>IF(INDEX(TabEntrainement[Seance],ROW()-18)&lt;&gt;0,INDEX(TabEntrainement[Seance],ROW()-18),"")</f>
        <v/>
      </c>
      <c r="C106" s="117"/>
      <c r="D106" s="117"/>
      <c r="E106" s="117"/>
      <c r="F106" s="117"/>
      <c r="G106" s="117"/>
      <c r="H106" s="117"/>
      <c r="I106" s="117"/>
      <c r="J106" s="117"/>
      <c r="K106" s="117"/>
      <c r="L106" s="117"/>
      <c r="M106" s="117"/>
      <c r="N106" s="117"/>
      <c r="O106" s="117"/>
      <c r="P106" s="117"/>
      <c r="Q106" s="117"/>
      <c r="R106" s="117"/>
      <c r="S106" s="117"/>
      <c r="T106" s="117"/>
      <c r="U106" s="117"/>
      <c r="V106" s="117"/>
      <c r="W106" s="117"/>
      <c r="X106" s="117"/>
      <c r="Y106" s="117"/>
      <c r="Z106" s="117"/>
      <c r="AA106" s="117"/>
      <c r="AB106" s="117"/>
      <c r="AC106" s="117"/>
      <c r="AD106" s="117"/>
      <c r="AE106" s="117"/>
      <c r="AF106" s="117"/>
      <c r="AG106" s="46" t="str">
        <f>IF(COUNTA(TabPlaisir[[#This Row],[J1]:[J30]])&lt;&gt;0,AVERAGE(TabPlaisir[[#This Row],[J1]:[J30]]),"")</f>
        <v/>
      </c>
      <c r="AH106" s="49" t="str">
        <f>TabPlaisir[[#This Row],[Moyenne]]</f>
        <v/>
      </c>
      <c r="AI106" s="48"/>
    </row>
    <row r="107" spans="2:35" ht="14.25">
      <c r="B107" s="14" t="str">
        <f>IF(INDEX(TabEntrainement[Seance],ROW()-18)&lt;&gt;0,INDEX(TabEntrainement[Seance],ROW()-18),"")</f>
        <v/>
      </c>
      <c r="C107" s="117"/>
      <c r="D107" s="117"/>
      <c r="E107" s="117"/>
      <c r="F107" s="117"/>
      <c r="G107" s="117"/>
      <c r="H107" s="117"/>
      <c r="I107" s="117"/>
      <c r="J107" s="117"/>
      <c r="K107" s="117"/>
      <c r="L107" s="117"/>
      <c r="M107" s="117"/>
      <c r="N107" s="117"/>
      <c r="O107" s="117"/>
      <c r="P107" s="117"/>
      <c r="Q107" s="117"/>
      <c r="R107" s="117"/>
      <c r="S107" s="117"/>
      <c r="T107" s="117"/>
      <c r="U107" s="117"/>
      <c r="V107" s="117"/>
      <c r="W107" s="117"/>
      <c r="X107" s="117"/>
      <c r="Y107" s="117"/>
      <c r="Z107" s="117"/>
      <c r="AA107" s="117"/>
      <c r="AB107" s="117"/>
      <c r="AC107" s="117"/>
      <c r="AD107" s="117"/>
      <c r="AE107" s="117"/>
      <c r="AF107" s="117"/>
      <c r="AG107" s="46" t="str">
        <f>IF(COUNTA(TabPlaisir[[#This Row],[J1]:[J30]])&lt;&gt;0,AVERAGE(TabPlaisir[[#This Row],[J1]:[J30]]),"")</f>
        <v/>
      </c>
      <c r="AH107" s="49" t="str">
        <f>TabPlaisir[[#This Row],[Moyenne]]</f>
        <v/>
      </c>
      <c r="AI107" s="48"/>
    </row>
    <row r="108" spans="2:35" ht="14.25">
      <c r="B108" s="14" t="str">
        <f>IF(INDEX(TabEntrainement[Seance],ROW()-18)&lt;&gt;0,INDEX(TabEntrainement[Seance],ROW()-18),"")</f>
        <v/>
      </c>
      <c r="C108" s="117"/>
      <c r="D108" s="117"/>
      <c r="E108" s="117"/>
      <c r="F108" s="117"/>
      <c r="G108" s="117"/>
      <c r="H108" s="117"/>
      <c r="I108" s="117"/>
      <c r="J108" s="117"/>
      <c r="K108" s="117"/>
      <c r="L108" s="117"/>
      <c r="M108" s="117"/>
      <c r="N108" s="117"/>
      <c r="O108" s="117"/>
      <c r="P108" s="117"/>
      <c r="Q108" s="117"/>
      <c r="R108" s="117"/>
      <c r="S108" s="117"/>
      <c r="T108" s="117"/>
      <c r="U108" s="117"/>
      <c r="V108" s="117"/>
      <c r="W108" s="117"/>
      <c r="X108" s="117"/>
      <c r="Y108" s="117"/>
      <c r="Z108" s="117"/>
      <c r="AA108" s="117"/>
      <c r="AB108" s="117"/>
      <c r="AC108" s="117"/>
      <c r="AD108" s="117"/>
      <c r="AE108" s="117"/>
      <c r="AF108" s="117"/>
      <c r="AG108" s="46" t="str">
        <f>IF(COUNTA(TabPlaisir[[#This Row],[J1]:[J30]])&lt;&gt;0,AVERAGE(TabPlaisir[[#This Row],[J1]:[J30]]),"")</f>
        <v/>
      </c>
      <c r="AH108" s="49" t="str">
        <f>TabPlaisir[[#This Row],[Moyenne]]</f>
        <v/>
      </c>
      <c r="AI108" s="48"/>
    </row>
    <row r="109" spans="2:35" ht="14.25">
      <c r="B109" s="14" t="str">
        <f>IF(INDEX(TabEntrainement[Seance],ROW()-18)&lt;&gt;0,INDEX(TabEntrainement[Seance],ROW()-18),"")</f>
        <v/>
      </c>
      <c r="C109" s="117"/>
      <c r="D109" s="117"/>
      <c r="E109" s="117"/>
      <c r="F109" s="117"/>
      <c r="G109" s="117"/>
      <c r="H109" s="117"/>
      <c r="I109" s="117"/>
      <c r="J109" s="117"/>
      <c r="K109" s="117"/>
      <c r="L109" s="117"/>
      <c r="M109" s="117"/>
      <c r="N109" s="117"/>
      <c r="O109" s="117"/>
      <c r="P109" s="117"/>
      <c r="Q109" s="117"/>
      <c r="R109" s="117"/>
      <c r="S109" s="117"/>
      <c r="T109" s="117"/>
      <c r="U109" s="117"/>
      <c r="V109" s="117"/>
      <c r="W109" s="117"/>
      <c r="X109" s="117"/>
      <c r="Y109" s="117"/>
      <c r="Z109" s="117"/>
      <c r="AA109" s="117"/>
      <c r="AB109" s="117"/>
      <c r="AC109" s="117"/>
      <c r="AD109" s="117"/>
      <c r="AE109" s="117"/>
      <c r="AF109" s="117"/>
      <c r="AG109" s="46" t="str">
        <f>IF(COUNTA(TabPlaisir[[#This Row],[J1]:[J30]])&lt;&gt;0,AVERAGE(TabPlaisir[[#This Row],[J1]:[J30]]),"")</f>
        <v/>
      </c>
      <c r="AH109" s="49" t="str">
        <f>TabPlaisir[[#This Row],[Moyenne]]</f>
        <v/>
      </c>
      <c r="AI109" s="48"/>
    </row>
    <row r="110" spans="2:35" ht="14.25">
      <c r="B110" s="14" t="str">
        <f>IF(INDEX(TabEntrainement[Seance],ROW()-18)&lt;&gt;0,INDEX(TabEntrainement[Seance],ROW()-18),"")</f>
        <v/>
      </c>
      <c r="C110" s="117"/>
      <c r="D110" s="117"/>
      <c r="E110" s="117"/>
      <c r="F110" s="117"/>
      <c r="G110" s="117"/>
      <c r="H110" s="117"/>
      <c r="I110" s="117"/>
      <c r="J110" s="117"/>
      <c r="K110" s="117"/>
      <c r="L110" s="117"/>
      <c r="M110" s="117"/>
      <c r="N110" s="117"/>
      <c r="O110" s="117"/>
      <c r="P110" s="117"/>
      <c r="Q110" s="117"/>
      <c r="R110" s="117"/>
      <c r="S110" s="117"/>
      <c r="T110" s="117"/>
      <c r="U110" s="117"/>
      <c r="V110" s="117"/>
      <c r="W110" s="117"/>
      <c r="X110" s="117"/>
      <c r="Y110" s="117"/>
      <c r="Z110" s="117"/>
      <c r="AA110" s="117"/>
      <c r="AB110" s="117"/>
      <c r="AC110" s="117"/>
      <c r="AD110" s="117"/>
      <c r="AE110" s="117"/>
      <c r="AF110" s="117"/>
      <c r="AG110" s="46" t="str">
        <f>IF(COUNTA(TabPlaisir[[#This Row],[J1]:[J30]])&lt;&gt;0,AVERAGE(TabPlaisir[[#This Row],[J1]:[J30]]),"")</f>
        <v/>
      </c>
      <c r="AH110" s="49" t="str">
        <f>TabPlaisir[[#This Row],[Moyenne]]</f>
        <v/>
      </c>
      <c r="AI110" s="48"/>
    </row>
    <row r="111" spans="2:35" ht="14.25">
      <c r="B111" s="14" t="str">
        <f>IF(INDEX(TabEntrainement[Seance],ROW()-18)&lt;&gt;0,INDEX(TabEntrainement[Seance],ROW()-18),"")</f>
        <v/>
      </c>
      <c r="C111" s="117"/>
      <c r="D111" s="117"/>
      <c r="E111" s="117"/>
      <c r="F111" s="117"/>
      <c r="G111" s="117"/>
      <c r="H111" s="117"/>
      <c r="I111" s="117"/>
      <c r="J111" s="117"/>
      <c r="K111" s="117"/>
      <c r="L111" s="117"/>
      <c r="M111" s="117"/>
      <c r="N111" s="117"/>
      <c r="O111" s="117"/>
      <c r="P111" s="117"/>
      <c r="Q111" s="117"/>
      <c r="R111" s="117"/>
      <c r="S111" s="117"/>
      <c r="T111" s="117"/>
      <c r="U111" s="117"/>
      <c r="V111" s="117"/>
      <c r="W111" s="117"/>
      <c r="X111" s="117"/>
      <c r="Y111" s="117"/>
      <c r="Z111" s="117"/>
      <c r="AA111" s="117"/>
      <c r="AB111" s="117"/>
      <c r="AC111" s="117"/>
      <c r="AD111" s="117"/>
      <c r="AE111" s="117"/>
      <c r="AF111" s="117"/>
      <c r="AG111" s="46" t="str">
        <f>IF(COUNTA(TabPlaisir[[#This Row],[J1]:[J30]])&lt;&gt;0,AVERAGE(TabPlaisir[[#This Row],[J1]:[J30]]),"")</f>
        <v/>
      </c>
      <c r="AH111" s="49" t="str">
        <f>TabPlaisir[[#This Row],[Moyenne]]</f>
        <v/>
      </c>
      <c r="AI111" s="48"/>
    </row>
    <row r="112" spans="2:35" ht="14.25">
      <c r="B112" s="14" t="str">
        <f>IF(INDEX(TabEntrainement[Seance],ROW()-18)&lt;&gt;0,INDEX(TabEntrainement[Seance],ROW()-18),"")</f>
        <v/>
      </c>
      <c r="C112" s="117"/>
      <c r="D112" s="117"/>
      <c r="E112" s="117"/>
      <c r="F112" s="117"/>
      <c r="G112" s="117"/>
      <c r="H112" s="117"/>
      <c r="I112" s="117"/>
      <c r="J112" s="117"/>
      <c r="K112" s="117"/>
      <c r="L112" s="117"/>
      <c r="M112" s="117"/>
      <c r="N112" s="117"/>
      <c r="O112" s="117"/>
      <c r="P112" s="117"/>
      <c r="Q112" s="117"/>
      <c r="R112" s="117"/>
      <c r="S112" s="117"/>
      <c r="T112" s="117"/>
      <c r="U112" s="117"/>
      <c r="V112" s="117"/>
      <c r="W112" s="117"/>
      <c r="X112" s="117"/>
      <c r="Y112" s="117"/>
      <c r="Z112" s="117"/>
      <c r="AA112" s="117"/>
      <c r="AB112" s="117"/>
      <c r="AC112" s="117"/>
      <c r="AD112" s="117"/>
      <c r="AE112" s="117"/>
      <c r="AF112" s="117"/>
      <c r="AG112" s="46" t="str">
        <f>IF(COUNTA(TabPlaisir[[#This Row],[J1]:[J30]])&lt;&gt;0,AVERAGE(TabPlaisir[[#This Row],[J1]:[J30]]),"")</f>
        <v/>
      </c>
      <c r="AH112" s="49" t="str">
        <f>TabPlaisir[[#This Row],[Moyenne]]</f>
        <v/>
      </c>
      <c r="AI112" s="48"/>
    </row>
    <row r="113" spans="2:35" ht="14.25">
      <c r="B113" s="14" t="str">
        <f>IF(INDEX(TabEntrainement[Seance],ROW()-18)&lt;&gt;0,INDEX(TabEntrainement[Seance],ROW()-18),"")</f>
        <v/>
      </c>
      <c r="C113" s="117"/>
      <c r="D113" s="117"/>
      <c r="E113" s="117"/>
      <c r="F113" s="117"/>
      <c r="G113" s="117"/>
      <c r="H113" s="117"/>
      <c r="I113" s="117"/>
      <c r="J113" s="117"/>
      <c r="K113" s="117"/>
      <c r="L113" s="117"/>
      <c r="M113" s="117"/>
      <c r="N113" s="117"/>
      <c r="O113" s="117"/>
      <c r="P113" s="117"/>
      <c r="Q113" s="117"/>
      <c r="R113" s="117"/>
      <c r="S113" s="117"/>
      <c r="T113" s="117"/>
      <c r="U113" s="117"/>
      <c r="V113" s="117"/>
      <c r="W113" s="117"/>
      <c r="X113" s="117"/>
      <c r="Y113" s="117"/>
      <c r="Z113" s="117"/>
      <c r="AA113" s="117"/>
      <c r="AB113" s="117"/>
      <c r="AC113" s="117"/>
      <c r="AD113" s="117"/>
      <c r="AE113" s="117"/>
      <c r="AF113" s="117"/>
      <c r="AG113" s="46" t="str">
        <f>IF(COUNTA(TabPlaisir[[#This Row],[J1]:[J30]])&lt;&gt;0,AVERAGE(TabPlaisir[[#This Row],[J1]:[J30]]),"")</f>
        <v/>
      </c>
      <c r="AH113" s="49" t="str">
        <f>TabPlaisir[[#This Row],[Moyenne]]</f>
        <v/>
      </c>
      <c r="AI113" s="48"/>
    </row>
    <row r="114" spans="2:35" ht="14.25">
      <c r="B114" s="14" t="str">
        <f>IF(INDEX(TabEntrainement[Seance],ROW()-18)&lt;&gt;0,INDEX(TabEntrainement[Seance],ROW()-18),"")</f>
        <v/>
      </c>
      <c r="C114" s="117"/>
      <c r="D114" s="117"/>
      <c r="E114" s="117"/>
      <c r="F114" s="117"/>
      <c r="G114" s="117"/>
      <c r="H114" s="117"/>
      <c r="I114" s="117"/>
      <c r="J114" s="117"/>
      <c r="K114" s="117"/>
      <c r="L114" s="117"/>
      <c r="M114" s="117"/>
      <c r="N114" s="117"/>
      <c r="O114" s="117"/>
      <c r="P114" s="117"/>
      <c r="Q114" s="117"/>
      <c r="R114" s="117"/>
      <c r="S114" s="117"/>
      <c r="T114" s="117"/>
      <c r="U114" s="117"/>
      <c r="V114" s="117"/>
      <c r="W114" s="117"/>
      <c r="X114" s="117"/>
      <c r="Y114" s="117"/>
      <c r="Z114" s="117"/>
      <c r="AA114" s="117"/>
      <c r="AB114" s="117"/>
      <c r="AC114" s="117"/>
      <c r="AD114" s="117"/>
      <c r="AE114" s="117"/>
      <c r="AF114" s="117"/>
      <c r="AG114" s="46" t="str">
        <f>IF(COUNTA(TabPlaisir[[#This Row],[J1]:[J30]])&lt;&gt;0,AVERAGE(TabPlaisir[[#This Row],[J1]:[J30]]),"")</f>
        <v/>
      </c>
      <c r="AH114" s="49" t="str">
        <f>TabPlaisir[[#This Row],[Moyenne]]</f>
        <v/>
      </c>
      <c r="AI114" s="48"/>
    </row>
    <row r="115" spans="2:35" ht="14.25">
      <c r="B115" s="14" t="str">
        <f>IF(INDEX(TabEntrainement[Seance],ROW()-18)&lt;&gt;0,INDEX(TabEntrainement[Seance],ROW()-18),"")</f>
        <v/>
      </c>
      <c r="C115" s="117"/>
      <c r="D115" s="117"/>
      <c r="E115" s="117"/>
      <c r="F115" s="117"/>
      <c r="G115" s="117"/>
      <c r="H115" s="117"/>
      <c r="I115" s="117"/>
      <c r="J115" s="117"/>
      <c r="K115" s="117"/>
      <c r="L115" s="117"/>
      <c r="M115" s="117"/>
      <c r="N115" s="117"/>
      <c r="O115" s="117"/>
      <c r="P115" s="117"/>
      <c r="Q115" s="117"/>
      <c r="R115" s="117"/>
      <c r="S115" s="117"/>
      <c r="T115" s="117"/>
      <c r="U115" s="117"/>
      <c r="V115" s="117"/>
      <c r="W115" s="117"/>
      <c r="X115" s="117"/>
      <c r="Y115" s="117"/>
      <c r="Z115" s="117"/>
      <c r="AA115" s="117"/>
      <c r="AB115" s="117"/>
      <c r="AC115" s="117"/>
      <c r="AD115" s="117"/>
      <c r="AE115" s="117"/>
      <c r="AF115" s="117"/>
      <c r="AG115" s="46" t="str">
        <f>IF(COUNTA(TabPlaisir[[#This Row],[J1]:[J30]])&lt;&gt;0,AVERAGE(TabPlaisir[[#This Row],[J1]:[J30]]),"")</f>
        <v/>
      </c>
      <c r="AH115" s="49" t="str">
        <f>TabPlaisir[[#This Row],[Moyenne]]</f>
        <v/>
      </c>
      <c r="AI115" s="48"/>
    </row>
    <row r="116" spans="2:35" ht="14.25">
      <c r="B116" s="14" t="str">
        <f>IF(INDEX(TabEntrainement[Seance],ROW()-18)&lt;&gt;0,INDEX(TabEntrainement[Seance],ROW()-18),"")</f>
        <v/>
      </c>
      <c r="C116" s="117"/>
      <c r="D116" s="117"/>
      <c r="E116" s="117"/>
      <c r="F116" s="117"/>
      <c r="G116" s="117"/>
      <c r="H116" s="117"/>
      <c r="I116" s="117"/>
      <c r="J116" s="117"/>
      <c r="K116" s="117"/>
      <c r="L116" s="117"/>
      <c r="M116" s="117"/>
      <c r="N116" s="117"/>
      <c r="O116" s="117"/>
      <c r="P116" s="117"/>
      <c r="Q116" s="117"/>
      <c r="R116" s="117"/>
      <c r="S116" s="117"/>
      <c r="T116" s="117"/>
      <c r="U116" s="117"/>
      <c r="V116" s="117"/>
      <c r="W116" s="117"/>
      <c r="X116" s="117"/>
      <c r="Y116" s="117"/>
      <c r="Z116" s="117"/>
      <c r="AA116" s="117"/>
      <c r="AB116" s="117"/>
      <c r="AC116" s="117"/>
      <c r="AD116" s="117"/>
      <c r="AE116" s="117"/>
      <c r="AF116" s="117"/>
      <c r="AG116" s="46" t="str">
        <f>IF(COUNTA(TabPlaisir[[#This Row],[J1]:[J30]])&lt;&gt;0,AVERAGE(TabPlaisir[[#This Row],[J1]:[J30]]),"")</f>
        <v/>
      </c>
      <c r="AH116" s="49" t="str">
        <f>TabPlaisir[[#This Row],[Moyenne]]</f>
        <v/>
      </c>
      <c r="AI116" s="48"/>
    </row>
    <row r="117" spans="2:35" ht="14.25">
      <c r="B117" s="14" t="str">
        <f>IF(INDEX(TabEntrainement[Seance],ROW()-18)&lt;&gt;0,INDEX(TabEntrainement[Seance],ROW()-18),"")</f>
        <v/>
      </c>
      <c r="C117" s="117"/>
      <c r="D117" s="117"/>
      <c r="E117" s="117"/>
      <c r="F117" s="117"/>
      <c r="G117" s="117"/>
      <c r="H117" s="117"/>
      <c r="I117" s="117"/>
      <c r="J117" s="117"/>
      <c r="K117" s="117"/>
      <c r="L117" s="117"/>
      <c r="M117" s="117"/>
      <c r="N117" s="117"/>
      <c r="O117" s="117"/>
      <c r="P117" s="117"/>
      <c r="Q117" s="117"/>
      <c r="R117" s="117"/>
      <c r="S117" s="117"/>
      <c r="T117" s="117"/>
      <c r="U117" s="117"/>
      <c r="V117" s="117"/>
      <c r="W117" s="117"/>
      <c r="X117" s="117"/>
      <c r="Y117" s="117"/>
      <c r="Z117" s="117"/>
      <c r="AA117" s="117"/>
      <c r="AB117" s="117"/>
      <c r="AC117" s="117"/>
      <c r="AD117" s="117"/>
      <c r="AE117" s="117"/>
      <c r="AF117" s="117"/>
      <c r="AG117" s="46" t="str">
        <f>IF(COUNTA(TabPlaisir[[#This Row],[J1]:[J30]])&lt;&gt;0,AVERAGE(TabPlaisir[[#This Row],[J1]:[J30]]),"")</f>
        <v/>
      </c>
      <c r="AH117" s="49" t="str">
        <f>TabPlaisir[[#This Row],[Moyenne]]</f>
        <v/>
      </c>
      <c r="AI117" s="48"/>
    </row>
    <row r="118" spans="2:35" ht="14.25">
      <c r="B118" s="14" t="str">
        <f>IF(INDEX(TabEntrainement[Seance],ROW()-18)&lt;&gt;0,INDEX(TabEntrainement[Seance],ROW()-18),"")</f>
        <v/>
      </c>
      <c r="C118" s="117"/>
      <c r="D118" s="117"/>
      <c r="E118" s="117"/>
      <c r="F118" s="117"/>
      <c r="G118" s="117"/>
      <c r="H118" s="117"/>
      <c r="I118" s="117"/>
      <c r="J118" s="117"/>
      <c r="K118" s="117"/>
      <c r="L118" s="117"/>
      <c r="M118" s="117"/>
      <c r="N118" s="117"/>
      <c r="O118" s="117"/>
      <c r="P118" s="117"/>
      <c r="Q118" s="117"/>
      <c r="R118" s="117"/>
      <c r="S118" s="117"/>
      <c r="T118" s="117"/>
      <c r="U118" s="117"/>
      <c r="V118" s="117"/>
      <c r="W118" s="117"/>
      <c r="X118" s="117"/>
      <c r="Y118" s="117"/>
      <c r="Z118" s="117"/>
      <c r="AA118" s="117"/>
      <c r="AB118" s="117"/>
      <c r="AC118" s="117"/>
      <c r="AD118" s="117"/>
      <c r="AE118" s="117"/>
      <c r="AF118" s="117"/>
      <c r="AG118" s="46" t="str">
        <f>IF(COUNTA(TabPlaisir[[#This Row],[J1]:[J30]])&lt;&gt;0,AVERAGE(TabPlaisir[[#This Row],[J1]:[J30]]),"")</f>
        <v/>
      </c>
      <c r="AH118" s="49" t="str">
        <f>TabPlaisir[[#This Row],[Moyenne]]</f>
        <v/>
      </c>
      <c r="AI118" s="48"/>
    </row>
    <row r="119" spans="2:35" ht="14.25">
      <c r="B119" s="14" t="str">
        <f>IF(INDEX(TabEntrainement[Seance],ROW()-18)&lt;&gt;0,INDEX(TabEntrainement[Seance],ROW()-18),"")</f>
        <v/>
      </c>
      <c r="C119" s="117"/>
      <c r="D119" s="117"/>
      <c r="E119" s="117"/>
      <c r="F119" s="117"/>
      <c r="G119" s="117"/>
      <c r="H119" s="117"/>
      <c r="I119" s="117"/>
      <c r="J119" s="117"/>
      <c r="K119" s="117"/>
      <c r="L119" s="117"/>
      <c r="M119" s="117"/>
      <c r="N119" s="117"/>
      <c r="O119" s="117"/>
      <c r="P119" s="117"/>
      <c r="Q119" s="117"/>
      <c r="R119" s="117"/>
      <c r="S119" s="117"/>
      <c r="T119" s="117"/>
      <c r="U119" s="117"/>
      <c r="V119" s="117"/>
      <c r="W119" s="117"/>
      <c r="X119" s="117"/>
      <c r="Y119" s="117"/>
      <c r="Z119" s="117"/>
      <c r="AA119" s="117"/>
      <c r="AB119" s="117"/>
      <c r="AC119" s="117"/>
      <c r="AD119" s="117"/>
      <c r="AE119" s="117"/>
      <c r="AF119" s="117"/>
      <c r="AG119" s="46" t="str">
        <f>IF(COUNTA(TabPlaisir[[#This Row],[J1]:[J30]])&lt;&gt;0,AVERAGE(TabPlaisir[[#This Row],[J1]:[J30]]),"")</f>
        <v/>
      </c>
      <c r="AH119" s="49" t="str">
        <f>TabPlaisir[[#This Row],[Moyenne]]</f>
        <v/>
      </c>
      <c r="AI119" s="48"/>
    </row>
    <row r="120" spans="2:35" ht="14.25">
      <c r="B120" s="14" t="str">
        <f>IF(INDEX(TabEntrainement[Seance],ROW()-18)&lt;&gt;0,INDEX(TabEntrainement[Seance],ROW()-18),"")</f>
        <v/>
      </c>
      <c r="C120" s="117"/>
      <c r="D120" s="117"/>
      <c r="E120" s="117"/>
      <c r="F120" s="117"/>
      <c r="G120" s="117"/>
      <c r="H120" s="117"/>
      <c r="I120" s="117"/>
      <c r="J120" s="117"/>
      <c r="K120" s="117"/>
      <c r="L120" s="117"/>
      <c r="M120" s="117"/>
      <c r="N120" s="117"/>
      <c r="O120" s="117"/>
      <c r="P120" s="117"/>
      <c r="Q120" s="117"/>
      <c r="R120" s="117"/>
      <c r="S120" s="117"/>
      <c r="T120" s="117"/>
      <c r="U120" s="117"/>
      <c r="V120" s="117"/>
      <c r="W120" s="117"/>
      <c r="X120" s="117"/>
      <c r="Y120" s="117"/>
      <c r="Z120" s="117"/>
      <c r="AA120" s="117"/>
      <c r="AB120" s="117"/>
      <c r="AC120" s="117"/>
      <c r="AD120" s="117"/>
      <c r="AE120" s="117"/>
      <c r="AF120" s="117"/>
      <c r="AG120" s="46" t="str">
        <f>IF(COUNTA(TabPlaisir[[#This Row],[J1]:[J30]])&lt;&gt;0,AVERAGE(TabPlaisir[[#This Row],[J1]:[J30]]),"")</f>
        <v/>
      </c>
      <c r="AH120" s="49" t="str">
        <f>TabPlaisir[[#This Row],[Moyenne]]</f>
        <v/>
      </c>
      <c r="AI120" s="48"/>
    </row>
    <row r="121" spans="2:35" ht="14.25">
      <c r="B121" s="14" t="str">
        <f>IF(INDEX(TabEntrainement[Seance],ROW()-18)&lt;&gt;0,INDEX(TabEntrainement[Seance],ROW()-18),"")</f>
        <v/>
      </c>
      <c r="C121" s="117"/>
      <c r="D121" s="117"/>
      <c r="E121" s="117"/>
      <c r="F121" s="117"/>
      <c r="G121" s="117"/>
      <c r="H121" s="117"/>
      <c r="I121" s="117"/>
      <c r="J121" s="117"/>
      <c r="K121" s="117"/>
      <c r="L121" s="117"/>
      <c r="M121" s="117"/>
      <c r="N121" s="117"/>
      <c r="O121" s="117"/>
      <c r="P121" s="117"/>
      <c r="Q121" s="117"/>
      <c r="R121" s="117"/>
      <c r="S121" s="117"/>
      <c r="T121" s="117"/>
      <c r="U121" s="117"/>
      <c r="V121" s="117"/>
      <c r="W121" s="117"/>
      <c r="X121" s="117"/>
      <c r="Y121" s="117"/>
      <c r="Z121" s="117"/>
      <c r="AA121" s="117"/>
      <c r="AB121" s="117"/>
      <c r="AC121" s="117"/>
      <c r="AD121" s="117"/>
      <c r="AE121" s="117"/>
      <c r="AF121" s="117"/>
      <c r="AG121" s="46" t="str">
        <f>IF(COUNTA(TabPlaisir[[#This Row],[J1]:[J30]])&lt;&gt;0,AVERAGE(TabPlaisir[[#This Row],[J1]:[J30]]),"")</f>
        <v/>
      </c>
      <c r="AH121" s="49" t="str">
        <f>TabPlaisir[[#This Row],[Moyenne]]</f>
        <v/>
      </c>
      <c r="AI121" s="48"/>
    </row>
    <row r="122" spans="2:35" ht="14.25">
      <c r="B122" s="14" t="str">
        <f>IF(INDEX(TabEntrainement[Seance],ROW()-18)&lt;&gt;0,INDEX(TabEntrainement[Seance],ROW()-18),"")</f>
        <v/>
      </c>
      <c r="C122" s="117"/>
      <c r="D122" s="117"/>
      <c r="E122" s="117"/>
      <c r="F122" s="117"/>
      <c r="G122" s="117"/>
      <c r="H122" s="117"/>
      <c r="I122" s="117"/>
      <c r="J122" s="117"/>
      <c r="K122" s="117"/>
      <c r="L122" s="117"/>
      <c r="M122" s="117"/>
      <c r="N122" s="117"/>
      <c r="O122" s="117"/>
      <c r="P122" s="117"/>
      <c r="Q122" s="117"/>
      <c r="R122" s="117"/>
      <c r="S122" s="117"/>
      <c r="T122" s="117"/>
      <c r="U122" s="117"/>
      <c r="V122" s="117"/>
      <c r="W122" s="117"/>
      <c r="X122" s="117"/>
      <c r="Y122" s="117"/>
      <c r="Z122" s="117"/>
      <c r="AA122" s="117"/>
      <c r="AB122" s="117"/>
      <c r="AC122" s="117"/>
      <c r="AD122" s="117"/>
      <c r="AE122" s="117"/>
      <c r="AF122" s="117"/>
      <c r="AG122" s="46" t="str">
        <f>IF(COUNTA(TabPlaisir[[#This Row],[J1]:[J30]])&lt;&gt;0,AVERAGE(TabPlaisir[[#This Row],[J1]:[J30]]),"")</f>
        <v/>
      </c>
      <c r="AH122" s="49" t="str">
        <f>TabPlaisir[[#This Row],[Moyenne]]</f>
        <v/>
      </c>
      <c r="AI122" s="48"/>
    </row>
    <row r="123" spans="2:35" ht="14.25">
      <c r="B123" s="14" t="str">
        <f>IF(INDEX(TabEntrainement[Seance],ROW()-18)&lt;&gt;0,INDEX(TabEntrainement[Seance],ROW()-18),"")</f>
        <v/>
      </c>
      <c r="C123" s="117"/>
      <c r="D123" s="117"/>
      <c r="E123" s="117"/>
      <c r="F123" s="117"/>
      <c r="G123" s="117"/>
      <c r="H123" s="117"/>
      <c r="I123" s="117"/>
      <c r="J123" s="117"/>
      <c r="K123" s="117"/>
      <c r="L123" s="117"/>
      <c r="M123" s="117"/>
      <c r="N123" s="117"/>
      <c r="O123" s="117"/>
      <c r="P123" s="117"/>
      <c r="Q123" s="117"/>
      <c r="R123" s="117"/>
      <c r="S123" s="117"/>
      <c r="T123" s="117"/>
      <c r="U123" s="117"/>
      <c r="V123" s="117"/>
      <c r="W123" s="117"/>
      <c r="X123" s="117"/>
      <c r="Y123" s="117"/>
      <c r="Z123" s="117"/>
      <c r="AA123" s="117"/>
      <c r="AB123" s="117"/>
      <c r="AC123" s="117"/>
      <c r="AD123" s="117"/>
      <c r="AE123" s="117"/>
      <c r="AF123" s="117"/>
      <c r="AG123" s="46" t="str">
        <f>IF(COUNTA(TabPlaisir[[#This Row],[J1]:[J30]])&lt;&gt;0,AVERAGE(TabPlaisir[[#This Row],[J1]:[J30]]),"")</f>
        <v/>
      </c>
      <c r="AH123" s="49" t="str">
        <f>TabPlaisir[[#This Row],[Moyenne]]</f>
        <v/>
      </c>
      <c r="AI123" s="48"/>
    </row>
    <row r="124" spans="2:35" ht="14.25">
      <c r="B124" s="14" t="str">
        <f>IF(INDEX(TabEntrainement[Seance],ROW()-18)&lt;&gt;0,INDEX(TabEntrainement[Seance],ROW()-18),"")</f>
        <v/>
      </c>
      <c r="C124" s="117"/>
      <c r="D124" s="117"/>
      <c r="E124" s="117"/>
      <c r="F124" s="117"/>
      <c r="G124" s="117"/>
      <c r="H124" s="117"/>
      <c r="I124" s="117"/>
      <c r="J124" s="117"/>
      <c r="K124" s="117"/>
      <c r="L124" s="117"/>
      <c r="M124" s="117"/>
      <c r="N124" s="117"/>
      <c r="O124" s="117"/>
      <c r="P124" s="117"/>
      <c r="Q124" s="117"/>
      <c r="R124" s="117"/>
      <c r="S124" s="117"/>
      <c r="T124" s="117"/>
      <c r="U124" s="117"/>
      <c r="V124" s="117"/>
      <c r="W124" s="117"/>
      <c r="X124" s="117"/>
      <c r="Y124" s="117"/>
      <c r="Z124" s="117"/>
      <c r="AA124" s="117"/>
      <c r="AB124" s="117"/>
      <c r="AC124" s="117"/>
      <c r="AD124" s="117"/>
      <c r="AE124" s="117"/>
      <c r="AF124" s="117"/>
      <c r="AG124" s="46" t="str">
        <f>IF(COUNTA(TabPlaisir[[#This Row],[J1]:[J30]])&lt;&gt;0,AVERAGE(TabPlaisir[[#This Row],[J1]:[J30]]),"")</f>
        <v/>
      </c>
      <c r="AH124" s="49" t="str">
        <f>TabPlaisir[[#This Row],[Moyenne]]</f>
        <v/>
      </c>
      <c r="AI124" s="48"/>
    </row>
    <row r="125" spans="2:35" ht="14.25">
      <c r="B125" s="14" t="str">
        <f>IF(INDEX(TabEntrainement[Seance],ROW()-18)&lt;&gt;0,INDEX(TabEntrainement[Seance],ROW()-18),"")</f>
        <v/>
      </c>
      <c r="C125" s="117"/>
      <c r="D125" s="117"/>
      <c r="E125" s="117"/>
      <c r="F125" s="117"/>
      <c r="G125" s="117"/>
      <c r="H125" s="117"/>
      <c r="I125" s="117"/>
      <c r="J125" s="117"/>
      <c r="K125" s="117"/>
      <c r="L125" s="117"/>
      <c r="M125" s="117"/>
      <c r="N125" s="117"/>
      <c r="O125" s="117"/>
      <c r="P125" s="117"/>
      <c r="Q125" s="117"/>
      <c r="R125" s="117"/>
      <c r="S125" s="117"/>
      <c r="T125" s="117"/>
      <c r="U125" s="117"/>
      <c r="V125" s="117"/>
      <c r="W125" s="117"/>
      <c r="X125" s="117"/>
      <c r="Y125" s="117"/>
      <c r="Z125" s="117"/>
      <c r="AA125" s="117"/>
      <c r="AB125" s="117"/>
      <c r="AC125" s="117"/>
      <c r="AD125" s="117"/>
      <c r="AE125" s="117"/>
      <c r="AF125" s="117"/>
      <c r="AG125" s="46" t="str">
        <f>IF(COUNTA(TabPlaisir[[#This Row],[J1]:[J30]])&lt;&gt;0,AVERAGE(TabPlaisir[[#This Row],[J1]:[J30]]),"")</f>
        <v/>
      </c>
      <c r="AH125" s="49" t="str">
        <f>TabPlaisir[[#This Row],[Moyenne]]</f>
        <v/>
      </c>
      <c r="AI125" s="48"/>
    </row>
    <row r="126" spans="2:35" ht="14.25">
      <c r="B126" s="14" t="str">
        <f>IF(INDEX(TabEntrainement[Seance],ROW()-18)&lt;&gt;0,INDEX(TabEntrainement[Seance],ROW()-18),"")</f>
        <v/>
      </c>
      <c r="C126" s="117"/>
      <c r="D126" s="117"/>
      <c r="E126" s="117"/>
      <c r="F126" s="117"/>
      <c r="G126" s="117"/>
      <c r="H126" s="117"/>
      <c r="I126" s="117"/>
      <c r="J126" s="117"/>
      <c r="K126" s="117"/>
      <c r="L126" s="117"/>
      <c r="M126" s="117"/>
      <c r="N126" s="117"/>
      <c r="O126" s="117"/>
      <c r="P126" s="117"/>
      <c r="Q126" s="117"/>
      <c r="R126" s="117"/>
      <c r="S126" s="117"/>
      <c r="T126" s="117"/>
      <c r="U126" s="117"/>
      <c r="V126" s="117"/>
      <c r="W126" s="117"/>
      <c r="X126" s="117"/>
      <c r="Y126" s="117"/>
      <c r="Z126" s="117"/>
      <c r="AA126" s="117"/>
      <c r="AB126" s="117"/>
      <c r="AC126" s="117"/>
      <c r="AD126" s="117"/>
      <c r="AE126" s="117"/>
      <c r="AF126" s="117"/>
      <c r="AG126" s="46" t="str">
        <f>IF(COUNTA(TabPlaisir[[#This Row],[J1]:[J30]])&lt;&gt;0,AVERAGE(TabPlaisir[[#This Row],[J1]:[J30]]),"")</f>
        <v/>
      </c>
      <c r="AH126" s="49" t="str">
        <f>TabPlaisir[[#This Row],[Moyenne]]</f>
        <v/>
      </c>
      <c r="AI126" s="48"/>
    </row>
    <row r="127" spans="2:35" ht="14.25">
      <c r="B127" s="14" t="str">
        <f>IF(INDEX(TabEntrainement[Seance],ROW()-18)&lt;&gt;0,INDEX(TabEntrainement[Seance],ROW()-18),"")</f>
        <v/>
      </c>
      <c r="C127" s="117"/>
      <c r="D127" s="117"/>
      <c r="E127" s="117"/>
      <c r="F127" s="117"/>
      <c r="G127" s="117"/>
      <c r="H127" s="117"/>
      <c r="I127" s="117"/>
      <c r="J127" s="117"/>
      <c r="K127" s="117"/>
      <c r="L127" s="117"/>
      <c r="M127" s="117"/>
      <c r="N127" s="117"/>
      <c r="O127" s="117"/>
      <c r="P127" s="117"/>
      <c r="Q127" s="117"/>
      <c r="R127" s="117"/>
      <c r="S127" s="117"/>
      <c r="T127" s="117"/>
      <c r="U127" s="117"/>
      <c r="V127" s="117"/>
      <c r="W127" s="117"/>
      <c r="X127" s="117"/>
      <c r="Y127" s="117"/>
      <c r="Z127" s="117"/>
      <c r="AA127" s="117"/>
      <c r="AB127" s="117"/>
      <c r="AC127" s="117"/>
      <c r="AD127" s="117"/>
      <c r="AE127" s="117"/>
      <c r="AF127" s="117"/>
      <c r="AG127" s="46" t="str">
        <f>IF(COUNTA(TabPlaisir[[#This Row],[J1]:[J30]])&lt;&gt;0,AVERAGE(TabPlaisir[[#This Row],[J1]:[J30]]),"")</f>
        <v/>
      </c>
      <c r="AH127" s="49" t="str">
        <f>TabPlaisir[[#This Row],[Moyenne]]</f>
        <v/>
      </c>
      <c r="AI127" s="48"/>
    </row>
    <row r="128" spans="2:35" ht="14.25">
      <c r="B128" s="14" t="str">
        <f>IF(INDEX(TabEntrainement[Seance],ROW()-18)&lt;&gt;0,INDEX(TabEntrainement[Seance],ROW()-18),"")</f>
        <v/>
      </c>
      <c r="C128" s="117"/>
      <c r="D128" s="117"/>
      <c r="E128" s="117"/>
      <c r="F128" s="117"/>
      <c r="G128" s="117"/>
      <c r="H128" s="117"/>
      <c r="I128" s="117"/>
      <c r="J128" s="117"/>
      <c r="K128" s="117"/>
      <c r="L128" s="117"/>
      <c r="M128" s="117"/>
      <c r="N128" s="117"/>
      <c r="O128" s="117"/>
      <c r="P128" s="117"/>
      <c r="Q128" s="117"/>
      <c r="R128" s="117"/>
      <c r="S128" s="117"/>
      <c r="T128" s="117"/>
      <c r="U128" s="117"/>
      <c r="V128" s="117"/>
      <c r="W128" s="117"/>
      <c r="X128" s="117"/>
      <c r="Y128" s="117"/>
      <c r="Z128" s="117"/>
      <c r="AA128" s="117"/>
      <c r="AB128" s="117"/>
      <c r="AC128" s="117"/>
      <c r="AD128" s="117"/>
      <c r="AE128" s="117"/>
      <c r="AF128" s="117"/>
      <c r="AG128" s="46" t="str">
        <f>IF(COUNTA(TabPlaisir[[#This Row],[J1]:[J30]])&lt;&gt;0,AVERAGE(TabPlaisir[[#This Row],[J1]:[J30]]),"")</f>
        <v/>
      </c>
      <c r="AH128" s="49" t="str">
        <f>TabPlaisir[[#This Row],[Moyenne]]</f>
        <v/>
      </c>
      <c r="AI128" s="48"/>
    </row>
    <row r="129" spans="2:35" ht="14.25">
      <c r="B129" s="14" t="str">
        <f>IF(INDEX(TabEntrainement[Seance],ROW()-18)&lt;&gt;0,INDEX(TabEntrainement[Seance],ROW()-18),"")</f>
        <v/>
      </c>
      <c r="C129" s="117"/>
      <c r="D129" s="117"/>
      <c r="E129" s="117"/>
      <c r="F129" s="117"/>
      <c r="G129" s="117"/>
      <c r="H129" s="117"/>
      <c r="I129" s="117"/>
      <c r="J129" s="117"/>
      <c r="K129" s="117"/>
      <c r="L129" s="117"/>
      <c r="M129" s="117"/>
      <c r="N129" s="117"/>
      <c r="O129" s="117"/>
      <c r="P129" s="117"/>
      <c r="Q129" s="117"/>
      <c r="R129" s="117"/>
      <c r="S129" s="117"/>
      <c r="T129" s="117"/>
      <c r="U129" s="117"/>
      <c r="V129" s="117"/>
      <c r="W129" s="117"/>
      <c r="X129" s="117"/>
      <c r="Y129" s="117"/>
      <c r="Z129" s="117"/>
      <c r="AA129" s="117"/>
      <c r="AB129" s="117"/>
      <c r="AC129" s="117"/>
      <c r="AD129" s="117"/>
      <c r="AE129" s="117"/>
      <c r="AF129" s="117"/>
      <c r="AG129" s="46" t="str">
        <f>IF(COUNTA(TabPlaisir[[#This Row],[J1]:[J30]])&lt;&gt;0,AVERAGE(TabPlaisir[[#This Row],[J1]:[J30]]),"")</f>
        <v/>
      </c>
      <c r="AH129" s="49" t="str">
        <f>TabPlaisir[[#This Row],[Moyenne]]</f>
        <v/>
      </c>
      <c r="AI129" s="48"/>
    </row>
    <row r="130" spans="2:35" ht="14.25">
      <c r="B130" s="14" t="str">
        <f>IF(INDEX(TabEntrainement[Seance],ROW()-18)&lt;&gt;0,INDEX(TabEntrainement[Seance],ROW()-18),"")</f>
        <v/>
      </c>
      <c r="C130" s="117"/>
      <c r="D130" s="117"/>
      <c r="E130" s="117"/>
      <c r="F130" s="117"/>
      <c r="G130" s="117"/>
      <c r="H130" s="117"/>
      <c r="I130" s="117"/>
      <c r="J130" s="117"/>
      <c r="K130" s="117"/>
      <c r="L130" s="117"/>
      <c r="M130" s="117"/>
      <c r="N130" s="117"/>
      <c r="O130" s="117"/>
      <c r="P130" s="117"/>
      <c r="Q130" s="117"/>
      <c r="R130" s="117"/>
      <c r="S130" s="117"/>
      <c r="T130" s="117"/>
      <c r="U130" s="117"/>
      <c r="V130" s="117"/>
      <c r="W130" s="117"/>
      <c r="X130" s="117"/>
      <c r="Y130" s="117"/>
      <c r="Z130" s="117"/>
      <c r="AA130" s="117"/>
      <c r="AB130" s="117"/>
      <c r="AC130" s="117"/>
      <c r="AD130" s="117"/>
      <c r="AE130" s="117"/>
      <c r="AF130" s="117"/>
      <c r="AG130" s="46" t="str">
        <f>IF(COUNTA(TabPlaisir[[#This Row],[J1]:[J30]])&lt;&gt;0,AVERAGE(TabPlaisir[[#This Row],[J1]:[J30]]),"")</f>
        <v/>
      </c>
      <c r="AH130" s="49" t="str">
        <f>TabPlaisir[[#This Row],[Moyenne]]</f>
        <v/>
      </c>
      <c r="AI130" s="48"/>
    </row>
    <row r="131" spans="2:35" ht="14.25">
      <c r="B131" s="14" t="str">
        <f>IF(INDEX(TabEntrainement[Seance],ROW()-18)&lt;&gt;0,INDEX(TabEntrainement[Seance],ROW()-18),"")</f>
        <v/>
      </c>
      <c r="C131" s="117"/>
      <c r="D131" s="117"/>
      <c r="E131" s="117"/>
      <c r="F131" s="117"/>
      <c r="G131" s="117"/>
      <c r="H131" s="117"/>
      <c r="I131" s="117"/>
      <c r="J131" s="117"/>
      <c r="K131" s="117"/>
      <c r="L131" s="117"/>
      <c r="M131" s="117"/>
      <c r="N131" s="117"/>
      <c r="O131" s="117"/>
      <c r="P131" s="117"/>
      <c r="Q131" s="117"/>
      <c r="R131" s="117"/>
      <c r="S131" s="117"/>
      <c r="T131" s="117"/>
      <c r="U131" s="117"/>
      <c r="V131" s="117"/>
      <c r="W131" s="117"/>
      <c r="X131" s="117"/>
      <c r="Y131" s="117"/>
      <c r="Z131" s="117"/>
      <c r="AA131" s="117"/>
      <c r="AB131" s="117"/>
      <c r="AC131" s="117"/>
      <c r="AD131" s="117"/>
      <c r="AE131" s="117"/>
      <c r="AF131" s="117"/>
      <c r="AG131" s="46" t="str">
        <f>IF(COUNTA(TabPlaisir[[#This Row],[J1]:[J30]])&lt;&gt;0,AVERAGE(TabPlaisir[[#This Row],[J1]:[J30]]),"")</f>
        <v/>
      </c>
      <c r="AH131" s="49" t="str">
        <f>TabPlaisir[[#This Row],[Moyenne]]</f>
        <v/>
      </c>
      <c r="AI131" s="48"/>
    </row>
    <row r="132" spans="2:35" ht="14.25">
      <c r="B132" s="14" t="str">
        <f>IF(INDEX(TabEntrainement[Seance],ROW()-18)&lt;&gt;0,INDEX(TabEntrainement[Seance],ROW()-18),"")</f>
        <v/>
      </c>
      <c r="C132" s="117"/>
      <c r="D132" s="117"/>
      <c r="E132" s="117"/>
      <c r="F132" s="117"/>
      <c r="G132" s="117"/>
      <c r="H132" s="117"/>
      <c r="I132" s="117"/>
      <c r="J132" s="117"/>
      <c r="K132" s="117"/>
      <c r="L132" s="117"/>
      <c r="M132" s="117"/>
      <c r="N132" s="117"/>
      <c r="O132" s="117"/>
      <c r="P132" s="117"/>
      <c r="Q132" s="117"/>
      <c r="R132" s="117"/>
      <c r="S132" s="117"/>
      <c r="T132" s="117"/>
      <c r="U132" s="117"/>
      <c r="V132" s="117"/>
      <c r="W132" s="117"/>
      <c r="X132" s="117"/>
      <c r="Y132" s="117"/>
      <c r="Z132" s="117"/>
      <c r="AA132" s="117"/>
      <c r="AB132" s="117"/>
      <c r="AC132" s="117"/>
      <c r="AD132" s="117"/>
      <c r="AE132" s="117"/>
      <c r="AF132" s="117"/>
      <c r="AG132" s="46" t="str">
        <f>IF(COUNTA(TabPlaisir[[#This Row],[J1]:[J30]])&lt;&gt;0,AVERAGE(TabPlaisir[[#This Row],[J1]:[J30]]),"")</f>
        <v/>
      </c>
      <c r="AH132" s="49" t="str">
        <f>TabPlaisir[[#This Row],[Moyenne]]</f>
        <v/>
      </c>
      <c r="AI132" s="48"/>
    </row>
    <row r="133" spans="2:35" ht="14.25">
      <c r="B133" s="14" t="str">
        <f>IF(INDEX(TabEntrainement[Seance],ROW()-18)&lt;&gt;0,INDEX(TabEntrainement[Seance],ROW()-18),"")</f>
        <v/>
      </c>
      <c r="C133" s="117"/>
      <c r="D133" s="117"/>
      <c r="E133" s="117"/>
      <c r="F133" s="117"/>
      <c r="G133" s="117"/>
      <c r="H133" s="117"/>
      <c r="I133" s="117"/>
      <c r="J133" s="117"/>
      <c r="K133" s="117"/>
      <c r="L133" s="117"/>
      <c r="M133" s="117"/>
      <c r="N133" s="117"/>
      <c r="O133" s="117"/>
      <c r="P133" s="117"/>
      <c r="Q133" s="117"/>
      <c r="R133" s="117"/>
      <c r="S133" s="117"/>
      <c r="T133" s="117"/>
      <c r="U133" s="117"/>
      <c r="V133" s="117"/>
      <c r="W133" s="117"/>
      <c r="X133" s="117"/>
      <c r="Y133" s="117"/>
      <c r="Z133" s="117"/>
      <c r="AA133" s="117"/>
      <c r="AB133" s="117"/>
      <c r="AC133" s="117"/>
      <c r="AD133" s="117"/>
      <c r="AE133" s="117"/>
      <c r="AF133" s="117"/>
      <c r="AG133" s="46" t="str">
        <f>IF(COUNTA(TabPlaisir[[#This Row],[J1]:[J30]])&lt;&gt;0,AVERAGE(TabPlaisir[[#This Row],[J1]:[J30]]),"")</f>
        <v/>
      </c>
      <c r="AH133" s="49" t="str">
        <f>TabPlaisir[[#This Row],[Moyenne]]</f>
        <v/>
      </c>
      <c r="AI133" s="48"/>
    </row>
    <row r="134" spans="2:35" ht="14.25">
      <c r="B134" s="14" t="str">
        <f>IF(INDEX(TabEntrainement[Seance],ROW()-18)&lt;&gt;0,INDEX(TabEntrainement[Seance],ROW()-18),"")</f>
        <v/>
      </c>
      <c r="C134" s="117"/>
      <c r="D134" s="117"/>
      <c r="E134" s="117"/>
      <c r="F134" s="117"/>
      <c r="G134" s="117"/>
      <c r="H134" s="117"/>
      <c r="I134" s="117"/>
      <c r="J134" s="117"/>
      <c r="K134" s="117"/>
      <c r="L134" s="117"/>
      <c r="M134" s="117"/>
      <c r="N134" s="117"/>
      <c r="O134" s="117"/>
      <c r="P134" s="117"/>
      <c r="Q134" s="117"/>
      <c r="R134" s="117"/>
      <c r="S134" s="117"/>
      <c r="T134" s="117"/>
      <c r="U134" s="117"/>
      <c r="V134" s="117"/>
      <c r="W134" s="117"/>
      <c r="X134" s="117"/>
      <c r="Y134" s="117"/>
      <c r="Z134" s="117"/>
      <c r="AA134" s="117"/>
      <c r="AB134" s="117"/>
      <c r="AC134" s="117"/>
      <c r="AD134" s="117"/>
      <c r="AE134" s="117"/>
      <c r="AF134" s="117"/>
      <c r="AG134" s="46" t="str">
        <f>IF(COUNTA(TabPlaisir[[#This Row],[J1]:[J30]])&lt;&gt;0,AVERAGE(TabPlaisir[[#This Row],[J1]:[J30]]),"")</f>
        <v/>
      </c>
      <c r="AH134" s="49" t="str">
        <f>TabPlaisir[[#This Row],[Moyenne]]</f>
        <v/>
      </c>
      <c r="AI134" s="48"/>
    </row>
    <row r="135" spans="2:35" ht="14.25">
      <c r="B135" s="14" t="str">
        <f>IF(INDEX(TabEntrainement[Seance],ROW()-18)&lt;&gt;0,INDEX(TabEntrainement[Seance],ROW()-18),"")</f>
        <v/>
      </c>
      <c r="C135" s="117"/>
      <c r="D135" s="117"/>
      <c r="E135" s="117"/>
      <c r="F135" s="117"/>
      <c r="G135" s="117"/>
      <c r="H135" s="117"/>
      <c r="I135" s="117"/>
      <c r="J135" s="117"/>
      <c r="K135" s="117"/>
      <c r="L135" s="117"/>
      <c r="M135" s="117"/>
      <c r="N135" s="117"/>
      <c r="O135" s="117"/>
      <c r="P135" s="117"/>
      <c r="Q135" s="117"/>
      <c r="R135" s="117"/>
      <c r="S135" s="117"/>
      <c r="T135" s="117"/>
      <c r="U135" s="117"/>
      <c r="V135" s="117"/>
      <c r="W135" s="117"/>
      <c r="X135" s="117"/>
      <c r="Y135" s="117"/>
      <c r="Z135" s="117"/>
      <c r="AA135" s="117"/>
      <c r="AB135" s="117"/>
      <c r="AC135" s="117"/>
      <c r="AD135" s="117"/>
      <c r="AE135" s="117"/>
      <c r="AF135" s="117"/>
      <c r="AG135" s="46" t="str">
        <f>IF(COUNTA(TabPlaisir[[#This Row],[J1]:[J30]])&lt;&gt;0,AVERAGE(TabPlaisir[[#This Row],[J1]:[J30]]),"")</f>
        <v/>
      </c>
      <c r="AH135" s="49" t="str">
        <f>TabPlaisir[[#This Row],[Moyenne]]</f>
        <v/>
      </c>
      <c r="AI135" s="48"/>
    </row>
    <row r="136" spans="2:35" ht="14.25">
      <c r="B136" s="14" t="str">
        <f>IF(INDEX(TabEntrainement[Seance],ROW()-18)&lt;&gt;0,INDEX(TabEntrainement[Seance],ROW()-18),"")</f>
        <v/>
      </c>
      <c r="C136" s="117"/>
      <c r="D136" s="117"/>
      <c r="E136" s="117"/>
      <c r="F136" s="117"/>
      <c r="G136" s="117"/>
      <c r="H136" s="117"/>
      <c r="I136" s="117"/>
      <c r="J136" s="117"/>
      <c r="K136" s="117"/>
      <c r="L136" s="117"/>
      <c r="M136" s="117"/>
      <c r="N136" s="117"/>
      <c r="O136" s="117"/>
      <c r="P136" s="117"/>
      <c r="Q136" s="117"/>
      <c r="R136" s="117"/>
      <c r="S136" s="117"/>
      <c r="T136" s="117"/>
      <c r="U136" s="117"/>
      <c r="V136" s="117"/>
      <c r="W136" s="117"/>
      <c r="X136" s="117"/>
      <c r="Y136" s="117"/>
      <c r="Z136" s="117"/>
      <c r="AA136" s="117"/>
      <c r="AB136" s="117"/>
      <c r="AC136" s="117"/>
      <c r="AD136" s="117"/>
      <c r="AE136" s="117"/>
      <c r="AF136" s="117"/>
      <c r="AG136" s="46" t="str">
        <f>IF(COUNTA(TabPlaisir[[#This Row],[J1]:[J30]])&lt;&gt;0,AVERAGE(TabPlaisir[[#This Row],[J1]:[J30]]),"")</f>
        <v/>
      </c>
      <c r="AH136" s="49" t="str">
        <f>TabPlaisir[[#This Row],[Moyenne]]</f>
        <v/>
      </c>
      <c r="AI136" s="48"/>
    </row>
    <row r="137" spans="2:35" ht="14.25">
      <c r="B137" s="14" t="str">
        <f>IF(INDEX(TabEntrainement[Seance],ROW()-18)&lt;&gt;0,INDEX(TabEntrainement[Seance],ROW()-18),"")</f>
        <v/>
      </c>
      <c r="C137" s="117"/>
      <c r="D137" s="117"/>
      <c r="E137" s="117"/>
      <c r="F137" s="117"/>
      <c r="G137" s="117"/>
      <c r="H137" s="117"/>
      <c r="I137" s="117"/>
      <c r="J137" s="117"/>
      <c r="K137" s="117"/>
      <c r="L137" s="117"/>
      <c r="M137" s="117"/>
      <c r="N137" s="117"/>
      <c r="O137" s="117"/>
      <c r="P137" s="117"/>
      <c r="Q137" s="117"/>
      <c r="R137" s="117"/>
      <c r="S137" s="117"/>
      <c r="T137" s="117"/>
      <c r="U137" s="117"/>
      <c r="V137" s="117"/>
      <c r="W137" s="117"/>
      <c r="X137" s="117"/>
      <c r="Y137" s="117"/>
      <c r="Z137" s="117"/>
      <c r="AA137" s="117"/>
      <c r="AB137" s="117"/>
      <c r="AC137" s="117"/>
      <c r="AD137" s="117"/>
      <c r="AE137" s="117"/>
      <c r="AF137" s="117"/>
      <c r="AG137" s="46" t="str">
        <f>IF(COUNTA(TabPlaisir[[#This Row],[J1]:[J30]])&lt;&gt;0,AVERAGE(TabPlaisir[[#This Row],[J1]:[J30]]),"")</f>
        <v/>
      </c>
      <c r="AH137" s="49" t="str">
        <f>TabPlaisir[[#This Row],[Moyenne]]</f>
        <v/>
      </c>
      <c r="AI137" s="48"/>
    </row>
    <row r="138" spans="2:35" ht="14.25">
      <c r="B138" s="14" t="str">
        <f>IF(INDEX(TabEntrainement[Seance],ROW()-18)&lt;&gt;0,INDEX(TabEntrainement[Seance],ROW()-18),"")</f>
        <v/>
      </c>
      <c r="C138" s="117"/>
      <c r="D138" s="117"/>
      <c r="E138" s="117"/>
      <c r="F138" s="117"/>
      <c r="G138" s="117"/>
      <c r="H138" s="117"/>
      <c r="I138" s="117"/>
      <c r="J138" s="117"/>
      <c r="K138" s="117"/>
      <c r="L138" s="117"/>
      <c r="M138" s="117"/>
      <c r="N138" s="117"/>
      <c r="O138" s="117"/>
      <c r="P138" s="117"/>
      <c r="Q138" s="117"/>
      <c r="R138" s="117"/>
      <c r="S138" s="117"/>
      <c r="T138" s="117"/>
      <c r="U138" s="117"/>
      <c r="V138" s="117"/>
      <c r="W138" s="117"/>
      <c r="X138" s="117"/>
      <c r="Y138" s="117"/>
      <c r="Z138" s="117"/>
      <c r="AA138" s="117"/>
      <c r="AB138" s="117"/>
      <c r="AC138" s="117"/>
      <c r="AD138" s="117"/>
      <c r="AE138" s="117"/>
      <c r="AF138" s="117"/>
      <c r="AG138" s="46" t="str">
        <f>IF(COUNTA(TabPlaisir[[#This Row],[J1]:[J30]])&lt;&gt;0,AVERAGE(TabPlaisir[[#This Row],[J1]:[J30]]),"")</f>
        <v/>
      </c>
      <c r="AH138" s="49" t="str">
        <f>TabPlaisir[[#This Row],[Moyenne]]</f>
        <v/>
      </c>
      <c r="AI138" s="48"/>
    </row>
    <row r="139" spans="2:35" ht="14.25">
      <c r="B139" s="14" t="str">
        <f>IF(INDEX(TabEntrainement[Seance],ROW()-18)&lt;&gt;0,INDEX(TabEntrainement[Seance],ROW()-18),"")</f>
        <v/>
      </c>
      <c r="C139" s="117"/>
      <c r="D139" s="117"/>
      <c r="E139" s="117"/>
      <c r="F139" s="117"/>
      <c r="G139" s="117"/>
      <c r="H139" s="117"/>
      <c r="I139" s="117"/>
      <c r="J139" s="117"/>
      <c r="K139" s="117"/>
      <c r="L139" s="117"/>
      <c r="M139" s="117"/>
      <c r="N139" s="117"/>
      <c r="O139" s="117"/>
      <c r="P139" s="117"/>
      <c r="Q139" s="117"/>
      <c r="R139" s="117"/>
      <c r="S139" s="117"/>
      <c r="T139" s="117"/>
      <c r="U139" s="117"/>
      <c r="V139" s="117"/>
      <c r="W139" s="117"/>
      <c r="X139" s="117"/>
      <c r="Y139" s="117"/>
      <c r="Z139" s="117"/>
      <c r="AA139" s="117"/>
      <c r="AB139" s="117"/>
      <c r="AC139" s="117"/>
      <c r="AD139" s="117"/>
      <c r="AE139" s="117"/>
      <c r="AF139" s="117"/>
      <c r="AG139" s="46" t="str">
        <f>IF(COUNTA(TabPlaisir[[#This Row],[J1]:[J30]])&lt;&gt;0,AVERAGE(TabPlaisir[[#This Row],[J1]:[J30]]),"")</f>
        <v/>
      </c>
      <c r="AH139" s="49" t="str">
        <f>TabPlaisir[[#This Row],[Moyenne]]</f>
        <v/>
      </c>
      <c r="AI139" s="48"/>
    </row>
    <row r="140" spans="2:35" ht="14.25">
      <c r="B140" s="14" t="str">
        <f>IF(INDEX(TabEntrainement[Seance],ROW()-18)&lt;&gt;0,INDEX(TabEntrainement[Seance],ROW()-18),"")</f>
        <v/>
      </c>
      <c r="C140" s="117"/>
      <c r="D140" s="117"/>
      <c r="E140" s="117"/>
      <c r="F140" s="117"/>
      <c r="G140" s="117"/>
      <c r="H140" s="117"/>
      <c r="I140" s="117"/>
      <c r="J140" s="117"/>
      <c r="K140" s="117"/>
      <c r="L140" s="117"/>
      <c r="M140" s="117"/>
      <c r="N140" s="117"/>
      <c r="O140" s="117"/>
      <c r="P140" s="117"/>
      <c r="Q140" s="117"/>
      <c r="R140" s="117"/>
      <c r="S140" s="117"/>
      <c r="T140" s="117"/>
      <c r="U140" s="117"/>
      <c r="V140" s="117"/>
      <c r="W140" s="117"/>
      <c r="X140" s="117"/>
      <c r="Y140" s="117"/>
      <c r="Z140" s="117"/>
      <c r="AA140" s="117"/>
      <c r="AB140" s="117"/>
      <c r="AC140" s="117"/>
      <c r="AD140" s="117"/>
      <c r="AE140" s="117"/>
      <c r="AF140" s="117"/>
      <c r="AG140" s="46" t="str">
        <f>IF(COUNTA(TabPlaisir[[#This Row],[J1]:[J30]])&lt;&gt;0,AVERAGE(TabPlaisir[[#This Row],[J1]:[J30]]),"")</f>
        <v/>
      </c>
      <c r="AH140" s="49" t="str">
        <f>TabPlaisir[[#This Row],[Moyenne]]</f>
        <v/>
      </c>
      <c r="AI140" s="48"/>
    </row>
    <row r="141" spans="2:35" ht="14.25">
      <c r="B141" s="14" t="str">
        <f>IF(INDEX(TabEntrainement[Seance],ROW()-18)&lt;&gt;0,INDEX(TabEntrainement[Seance],ROW()-18),"")</f>
        <v/>
      </c>
      <c r="C141" s="117"/>
      <c r="D141" s="117"/>
      <c r="E141" s="117"/>
      <c r="F141" s="117"/>
      <c r="G141" s="117"/>
      <c r="H141" s="117"/>
      <c r="I141" s="117"/>
      <c r="J141" s="117"/>
      <c r="K141" s="117"/>
      <c r="L141" s="117"/>
      <c r="M141" s="117"/>
      <c r="N141" s="117"/>
      <c r="O141" s="117"/>
      <c r="P141" s="117"/>
      <c r="Q141" s="117"/>
      <c r="R141" s="117"/>
      <c r="S141" s="117"/>
      <c r="T141" s="117"/>
      <c r="U141" s="117"/>
      <c r="V141" s="117"/>
      <c r="W141" s="117"/>
      <c r="X141" s="117"/>
      <c r="Y141" s="117"/>
      <c r="Z141" s="117"/>
      <c r="AA141" s="117"/>
      <c r="AB141" s="117"/>
      <c r="AC141" s="117"/>
      <c r="AD141" s="117"/>
      <c r="AE141" s="117"/>
      <c r="AF141" s="117"/>
      <c r="AG141" s="46" t="str">
        <f>IF(COUNTA(TabPlaisir[[#This Row],[J1]:[J30]])&lt;&gt;0,AVERAGE(TabPlaisir[[#This Row],[J1]:[J30]]),"")</f>
        <v/>
      </c>
      <c r="AH141" s="49" t="str">
        <f>TabPlaisir[[#This Row],[Moyenne]]</f>
        <v/>
      </c>
      <c r="AI141" s="48"/>
    </row>
    <row r="142" spans="2:35" ht="14.25">
      <c r="B142" s="14" t="str">
        <f>IF(INDEX(TabEntrainement[Seance],ROW()-18)&lt;&gt;0,INDEX(TabEntrainement[Seance],ROW()-18),"")</f>
        <v/>
      </c>
      <c r="C142" s="117"/>
      <c r="D142" s="117"/>
      <c r="E142" s="117"/>
      <c r="F142" s="117"/>
      <c r="G142" s="117"/>
      <c r="H142" s="117"/>
      <c r="I142" s="117"/>
      <c r="J142" s="117"/>
      <c r="K142" s="117"/>
      <c r="L142" s="117"/>
      <c r="M142" s="117"/>
      <c r="N142" s="117"/>
      <c r="O142" s="117"/>
      <c r="P142" s="117"/>
      <c r="Q142" s="117"/>
      <c r="R142" s="117"/>
      <c r="S142" s="117"/>
      <c r="T142" s="117"/>
      <c r="U142" s="117"/>
      <c r="V142" s="117"/>
      <c r="W142" s="117"/>
      <c r="X142" s="117"/>
      <c r="Y142" s="117"/>
      <c r="Z142" s="117"/>
      <c r="AA142" s="117"/>
      <c r="AB142" s="117"/>
      <c r="AC142" s="117"/>
      <c r="AD142" s="117"/>
      <c r="AE142" s="117"/>
      <c r="AF142" s="117"/>
      <c r="AG142" s="46" t="str">
        <f>IF(COUNTA(TabPlaisir[[#This Row],[J1]:[J30]])&lt;&gt;0,AVERAGE(TabPlaisir[[#This Row],[J1]:[J30]]),"")</f>
        <v/>
      </c>
      <c r="AH142" s="49" t="str">
        <f>TabPlaisir[[#This Row],[Moyenne]]</f>
        <v/>
      </c>
      <c r="AI142" s="48"/>
    </row>
    <row r="143" spans="2:35" ht="14.25">
      <c r="B143" s="14" t="str">
        <f>IF(INDEX(TabEntrainement[Seance],ROW()-18)&lt;&gt;0,INDEX(TabEntrainement[Seance],ROW()-18),"")</f>
        <v/>
      </c>
      <c r="C143" s="117"/>
      <c r="D143" s="117"/>
      <c r="E143" s="117"/>
      <c r="F143" s="117"/>
      <c r="G143" s="117"/>
      <c r="H143" s="117"/>
      <c r="I143" s="117"/>
      <c r="J143" s="117"/>
      <c r="K143" s="117"/>
      <c r="L143" s="117"/>
      <c r="M143" s="117"/>
      <c r="N143" s="117"/>
      <c r="O143" s="117"/>
      <c r="P143" s="117"/>
      <c r="Q143" s="117"/>
      <c r="R143" s="117"/>
      <c r="S143" s="117"/>
      <c r="T143" s="117"/>
      <c r="U143" s="117"/>
      <c r="V143" s="117"/>
      <c r="W143" s="117"/>
      <c r="X143" s="117"/>
      <c r="Y143" s="117"/>
      <c r="Z143" s="117"/>
      <c r="AA143" s="117"/>
      <c r="AB143" s="117"/>
      <c r="AC143" s="117"/>
      <c r="AD143" s="117"/>
      <c r="AE143" s="117"/>
      <c r="AF143" s="117"/>
      <c r="AG143" s="46" t="str">
        <f>IF(COUNTA(TabPlaisir[[#This Row],[J1]:[J30]])&lt;&gt;0,AVERAGE(TabPlaisir[[#This Row],[J1]:[J30]]),"")</f>
        <v/>
      </c>
      <c r="AH143" s="49" t="str">
        <f>TabPlaisir[[#This Row],[Moyenne]]</f>
        <v/>
      </c>
      <c r="AI143" s="48"/>
    </row>
    <row r="144" spans="2:35" ht="14.25">
      <c r="B144" s="14" t="str">
        <f>IF(INDEX(TabEntrainement[Seance],ROW()-18)&lt;&gt;0,INDEX(TabEntrainement[Seance],ROW()-18),"")</f>
        <v/>
      </c>
      <c r="C144" s="117"/>
      <c r="D144" s="117"/>
      <c r="E144" s="117"/>
      <c r="F144" s="117"/>
      <c r="G144" s="117"/>
      <c r="H144" s="117"/>
      <c r="I144" s="117"/>
      <c r="J144" s="117"/>
      <c r="K144" s="117"/>
      <c r="L144" s="117"/>
      <c r="M144" s="117"/>
      <c r="N144" s="117"/>
      <c r="O144" s="117"/>
      <c r="P144" s="117"/>
      <c r="Q144" s="117"/>
      <c r="R144" s="117"/>
      <c r="S144" s="117"/>
      <c r="T144" s="117"/>
      <c r="U144" s="117"/>
      <c r="V144" s="117"/>
      <c r="W144" s="117"/>
      <c r="X144" s="117"/>
      <c r="Y144" s="117"/>
      <c r="Z144" s="117"/>
      <c r="AA144" s="117"/>
      <c r="AB144" s="117"/>
      <c r="AC144" s="117"/>
      <c r="AD144" s="117"/>
      <c r="AE144" s="117"/>
      <c r="AF144" s="117"/>
      <c r="AG144" s="46" t="str">
        <f>IF(COUNTA(TabPlaisir[[#This Row],[J1]:[J30]])&lt;&gt;0,AVERAGE(TabPlaisir[[#This Row],[J1]:[J30]]),"")</f>
        <v/>
      </c>
      <c r="AH144" s="49" t="str">
        <f>TabPlaisir[[#This Row],[Moyenne]]</f>
        <v/>
      </c>
      <c r="AI144" s="48"/>
    </row>
    <row r="145" spans="2:36" ht="14.25">
      <c r="B145" s="14" t="str">
        <f>IF(INDEX(TabEntrainement[Seance],ROW()-18)&lt;&gt;0,INDEX(TabEntrainement[Seance],ROW()-18),"")</f>
        <v/>
      </c>
      <c r="C145" s="117"/>
      <c r="D145" s="117"/>
      <c r="E145" s="117"/>
      <c r="F145" s="117"/>
      <c r="G145" s="117"/>
      <c r="H145" s="117"/>
      <c r="I145" s="117"/>
      <c r="J145" s="117"/>
      <c r="K145" s="117"/>
      <c r="L145" s="117"/>
      <c r="M145" s="117"/>
      <c r="N145" s="117"/>
      <c r="O145" s="117"/>
      <c r="P145" s="117"/>
      <c r="Q145" s="117"/>
      <c r="R145" s="117"/>
      <c r="S145" s="117"/>
      <c r="T145" s="117"/>
      <c r="U145" s="117"/>
      <c r="V145" s="117"/>
      <c r="W145" s="117"/>
      <c r="X145" s="117"/>
      <c r="Y145" s="117"/>
      <c r="Z145" s="117"/>
      <c r="AA145" s="117"/>
      <c r="AB145" s="117"/>
      <c r="AC145" s="117"/>
      <c r="AD145" s="117"/>
      <c r="AE145" s="117"/>
      <c r="AF145" s="117"/>
      <c r="AG145" s="46" t="str">
        <f>IF(COUNTA(TabPlaisir[[#This Row],[J1]:[J30]])&lt;&gt;0,AVERAGE(TabPlaisir[[#This Row],[J1]:[J30]]),"")</f>
        <v/>
      </c>
      <c r="AH145" s="49" t="str">
        <f>TabPlaisir[[#This Row],[Moyenne]]</f>
        <v/>
      </c>
      <c r="AI145" s="48"/>
    </row>
    <row r="146" spans="2:36" ht="14.25">
      <c r="B146" s="14" t="str">
        <f>IF(INDEX(TabEntrainement[Seance],ROW()-18)&lt;&gt;0,INDEX(TabEntrainement[Seance],ROW()-18),"")</f>
        <v/>
      </c>
      <c r="C146" s="117"/>
      <c r="D146" s="117"/>
      <c r="E146" s="117"/>
      <c r="F146" s="117"/>
      <c r="G146" s="117"/>
      <c r="H146" s="117"/>
      <c r="I146" s="117"/>
      <c r="J146" s="117"/>
      <c r="K146" s="117"/>
      <c r="L146" s="117"/>
      <c r="M146" s="117"/>
      <c r="N146" s="117"/>
      <c r="O146" s="117"/>
      <c r="P146" s="117"/>
      <c r="Q146" s="117"/>
      <c r="R146" s="117"/>
      <c r="S146" s="117"/>
      <c r="T146" s="117"/>
      <c r="U146" s="117"/>
      <c r="V146" s="117"/>
      <c r="W146" s="117"/>
      <c r="X146" s="117"/>
      <c r="Y146" s="117"/>
      <c r="Z146" s="117"/>
      <c r="AA146" s="117"/>
      <c r="AB146" s="117"/>
      <c r="AC146" s="117"/>
      <c r="AD146" s="117"/>
      <c r="AE146" s="117"/>
      <c r="AF146" s="117"/>
      <c r="AG146" s="46" t="str">
        <f>IF(COUNTA(TabPlaisir[[#This Row],[J1]:[J30]])&lt;&gt;0,AVERAGE(TabPlaisir[[#This Row],[J1]:[J30]]),"")</f>
        <v/>
      </c>
      <c r="AH146" s="49" t="str">
        <f>TabPlaisir[[#This Row],[Moyenne]]</f>
        <v/>
      </c>
      <c r="AI146" s="48"/>
    </row>
    <row r="147" spans="2:36" ht="14.25">
      <c r="B147" s="14" t="str">
        <f>IF(INDEX(TabEntrainement[Seance],ROW()-18)&lt;&gt;0,INDEX(TabEntrainement[Seance],ROW()-18),"")</f>
        <v/>
      </c>
      <c r="C147" s="117"/>
      <c r="D147" s="117"/>
      <c r="E147" s="117"/>
      <c r="F147" s="117"/>
      <c r="G147" s="117"/>
      <c r="H147" s="117"/>
      <c r="I147" s="117"/>
      <c r="J147" s="117"/>
      <c r="K147" s="117"/>
      <c r="L147" s="117"/>
      <c r="M147" s="117"/>
      <c r="N147" s="117"/>
      <c r="O147" s="117"/>
      <c r="P147" s="117"/>
      <c r="Q147" s="117"/>
      <c r="R147" s="117"/>
      <c r="S147" s="117"/>
      <c r="T147" s="117"/>
      <c r="U147" s="117"/>
      <c r="V147" s="117"/>
      <c r="W147" s="117"/>
      <c r="X147" s="117"/>
      <c r="Y147" s="117"/>
      <c r="Z147" s="117"/>
      <c r="AA147" s="117"/>
      <c r="AB147" s="117"/>
      <c r="AC147" s="117"/>
      <c r="AD147" s="117"/>
      <c r="AE147" s="117"/>
      <c r="AF147" s="117"/>
      <c r="AG147" s="46" t="str">
        <f>IF(COUNTA(TabPlaisir[[#This Row],[J1]:[J30]])&lt;&gt;0,AVERAGE(TabPlaisir[[#This Row],[J1]:[J30]]),"")</f>
        <v/>
      </c>
      <c r="AH147" s="49" t="str">
        <f>TabPlaisir[[#This Row],[Moyenne]]</f>
        <v/>
      </c>
      <c r="AI147" s="48"/>
    </row>
    <row r="148" spans="2:36" ht="14.25">
      <c r="B148" s="14" t="str">
        <f>IF(INDEX(TabEntrainement[Seance],ROW()-18)&lt;&gt;0,INDEX(TabEntrainement[Seance],ROW()-18),"")</f>
        <v/>
      </c>
      <c r="C148" s="117"/>
      <c r="D148" s="117"/>
      <c r="E148" s="117"/>
      <c r="F148" s="117"/>
      <c r="G148" s="117"/>
      <c r="H148" s="117"/>
      <c r="I148" s="117"/>
      <c r="J148" s="117"/>
      <c r="K148" s="117"/>
      <c r="L148" s="117"/>
      <c r="M148" s="117"/>
      <c r="N148" s="117"/>
      <c r="O148" s="117"/>
      <c r="P148" s="117"/>
      <c r="Q148" s="117"/>
      <c r="R148" s="117"/>
      <c r="S148" s="117"/>
      <c r="T148" s="117"/>
      <c r="U148" s="117"/>
      <c r="V148" s="117"/>
      <c r="W148" s="117"/>
      <c r="X148" s="117"/>
      <c r="Y148" s="117"/>
      <c r="Z148" s="117"/>
      <c r="AA148" s="117"/>
      <c r="AB148" s="117"/>
      <c r="AC148" s="117"/>
      <c r="AD148" s="117"/>
      <c r="AE148" s="117"/>
      <c r="AF148" s="117"/>
      <c r="AG148" s="46" t="str">
        <f>IF(COUNTA(TabPlaisir[[#This Row],[J1]:[J30]])&lt;&gt;0,AVERAGE(TabPlaisir[[#This Row],[J1]:[J30]]),"")</f>
        <v/>
      </c>
      <c r="AH148" s="49" t="str">
        <f>TabPlaisir[[#This Row],[Moyenne]]</f>
        <v/>
      </c>
      <c r="AI148" s="48"/>
    </row>
    <row r="149" spans="2:36" ht="14.25">
      <c r="B149" s="14" t="str">
        <f>IF(INDEX(TabEntrainement[Seance],ROW()-18)&lt;&gt;0,INDEX(TabEntrainement[Seance],ROW()-18),"")</f>
        <v/>
      </c>
      <c r="C149" s="117"/>
      <c r="D149" s="117"/>
      <c r="E149" s="117"/>
      <c r="F149" s="117"/>
      <c r="G149" s="117"/>
      <c r="H149" s="117"/>
      <c r="I149" s="117"/>
      <c r="J149" s="117"/>
      <c r="K149" s="117"/>
      <c r="L149" s="117"/>
      <c r="M149" s="117"/>
      <c r="N149" s="117"/>
      <c r="O149" s="117"/>
      <c r="P149" s="117"/>
      <c r="Q149" s="117"/>
      <c r="R149" s="117"/>
      <c r="S149" s="117"/>
      <c r="T149" s="117"/>
      <c r="U149" s="117"/>
      <c r="V149" s="117"/>
      <c r="W149" s="117"/>
      <c r="X149" s="117"/>
      <c r="Y149" s="117"/>
      <c r="Z149" s="117"/>
      <c r="AA149" s="117"/>
      <c r="AB149" s="117"/>
      <c r="AC149" s="117"/>
      <c r="AD149" s="117"/>
      <c r="AE149" s="117"/>
      <c r="AF149" s="117"/>
      <c r="AG149" s="46" t="str">
        <f>IF(COUNTA(TabPlaisir[[#This Row],[J1]:[J30]])&lt;&gt;0,AVERAGE(TabPlaisir[[#This Row],[J1]:[J30]]),"")</f>
        <v/>
      </c>
      <c r="AH149" s="49" t="str">
        <f>TabPlaisir[[#This Row],[Moyenne]]</f>
        <v/>
      </c>
      <c r="AI149" s="48"/>
    </row>
    <row r="150" spans="2:36" ht="13.5">
      <c r="B150" s="12"/>
      <c r="C150" s="13" t="e">
        <f>SUBTOTAL(101,TabPlaisir[J1])</f>
        <v>#DIV/0!</v>
      </c>
      <c r="D150" s="13" t="e">
        <f>SUBTOTAL(101,TabPlaisir[J2])</f>
        <v>#DIV/0!</v>
      </c>
      <c r="E150" s="13" t="e">
        <f>SUBTOTAL(101,TabPlaisir[J3])</f>
        <v>#DIV/0!</v>
      </c>
      <c r="F150" s="13" t="e">
        <f>SUBTOTAL(101,TabPlaisir[J4])</f>
        <v>#DIV/0!</v>
      </c>
      <c r="G150" s="13" t="e">
        <f>SUBTOTAL(101,TabPlaisir[J5])</f>
        <v>#DIV/0!</v>
      </c>
      <c r="H150" s="13" t="e">
        <f>SUBTOTAL(101,TabPlaisir[J6])</f>
        <v>#DIV/0!</v>
      </c>
      <c r="I150" s="13" t="e">
        <f>SUBTOTAL(101,TabPlaisir[J7])</f>
        <v>#DIV/0!</v>
      </c>
      <c r="J150" s="13" t="e">
        <f>SUBTOTAL(101,TabPlaisir[J8])</f>
        <v>#DIV/0!</v>
      </c>
      <c r="K150" s="13" t="e">
        <f>SUBTOTAL(101,TabPlaisir[J9])</f>
        <v>#DIV/0!</v>
      </c>
      <c r="L150" s="13" t="e">
        <f>SUBTOTAL(101,TabPlaisir[J10])</f>
        <v>#DIV/0!</v>
      </c>
      <c r="M150" s="13" t="e">
        <f>SUBTOTAL(101,TabPlaisir[J11])</f>
        <v>#DIV/0!</v>
      </c>
      <c r="N150" s="13" t="e">
        <f>SUBTOTAL(101,TabPlaisir[J12])</f>
        <v>#DIV/0!</v>
      </c>
      <c r="O150" s="13" t="e">
        <f>SUBTOTAL(101,TabPlaisir[J13])</f>
        <v>#DIV/0!</v>
      </c>
      <c r="P150" s="13" t="e">
        <f>SUBTOTAL(101,TabPlaisir[J14])</f>
        <v>#DIV/0!</v>
      </c>
      <c r="Q150" s="13" t="e">
        <f>SUBTOTAL(101,TabPlaisir[J15])</f>
        <v>#DIV/0!</v>
      </c>
      <c r="R150" s="13" t="e">
        <f>SUBTOTAL(101,TabPlaisir[J16])</f>
        <v>#DIV/0!</v>
      </c>
      <c r="S150" s="13" t="e">
        <f>SUBTOTAL(101,TabPlaisir[J17])</f>
        <v>#DIV/0!</v>
      </c>
      <c r="T150" s="13" t="e">
        <f>SUBTOTAL(101,TabPlaisir[J18])</f>
        <v>#DIV/0!</v>
      </c>
      <c r="U150" s="13" t="e">
        <f>SUBTOTAL(101,TabPlaisir[J19])</f>
        <v>#DIV/0!</v>
      </c>
      <c r="V150" s="13" t="e">
        <f>SUBTOTAL(101,TabPlaisir[J20])</f>
        <v>#DIV/0!</v>
      </c>
      <c r="W150" s="13" t="e">
        <f>SUBTOTAL(101,TabPlaisir[J2])</f>
        <v>#DIV/0!</v>
      </c>
      <c r="X150" s="13" t="e">
        <f>SUBTOTAL(101,TabPlaisir[J3])</f>
        <v>#DIV/0!</v>
      </c>
      <c r="Y150" s="13" t="e">
        <f>SUBTOTAL(101,TabPlaisir[J4])</f>
        <v>#DIV/0!</v>
      </c>
      <c r="Z150" s="13" t="e">
        <f>SUBTOTAL(101,TabPlaisir[J5])</f>
        <v>#DIV/0!</v>
      </c>
      <c r="AA150" s="13" t="e">
        <f>SUBTOTAL(101,TabPlaisir[J6])</f>
        <v>#DIV/0!</v>
      </c>
      <c r="AB150" s="13" t="e">
        <f>SUBTOTAL(101,TabPlaisir[J7])</f>
        <v>#DIV/0!</v>
      </c>
      <c r="AC150" s="13" t="e">
        <f>SUBTOTAL(101,TabPlaisir[J8])</f>
        <v>#DIV/0!</v>
      </c>
      <c r="AD150" s="13" t="e">
        <f>SUBTOTAL(101,TabPlaisir[J9])</f>
        <v>#DIV/0!</v>
      </c>
      <c r="AE150" s="13" t="e">
        <f>SUBTOTAL(101,TabPlaisir[J10])</f>
        <v>#DIV/0!</v>
      </c>
      <c r="AF150" s="13" t="e">
        <f>SUBTOTAL(101,TabPlaisir[J11])</f>
        <v>#DIV/0!</v>
      </c>
      <c r="AG150" s="24"/>
      <c r="AH150" s="24"/>
      <c r="AI150" s="24"/>
    </row>
    <row r="151" spans="2:36" ht="14.25">
      <c r="B151" s="31"/>
      <c r="C151" s="32"/>
      <c r="D151" s="32"/>
      <c r="E151" s="32"/>
      <c r="F151" s="32"/>
      <c r="G151" s="32"/>
      <c r="H151" s="32"/>
      <c r="I151" s="32"/>
      <c r="J151" s="32"/>
      <c r="K151" s="32"/>
      <c r="L151" s="32"/>
      <c r="M151" s="32"/>
      <c r="N151" s="32"/>
      <c r="O151" s="32"/>
      <c r="P151" s="32"/>
      <c r="Q151" s="32"/>
      <c r="R151" s="32"/>
      <c r="S151" s="32"/>
      <c r="T151" s="32"/>
      <c r="U151" s="32"/>
      <c r="V151" s="32"/>
      <c r="W151" s="32"/>
      <c r="X151" s="32"/>
      <c r="Y151" s="32"/>
      <c r="Z151" s="32"/>
      <c r="AA151" s="32"/>
      <c r="AB151" s="32"/>
      <c r="AC151" s="32"/>
      <c r="AD151" s="32"/>
      <c r="AE151" s="32"/>
      <c r="AF151" s="32"/>
      <c r="AG151" s="32"/>
      <c r="AH151" s="33"/>
      <c r="AI151" s="34"/>
      <c r="AJ151" s="35"/>
    </row>
    <row r="152" spans="2:36" ht="14.25">
      <c r="B152" s="31"/>
      <c r="C152" s="32"/>
      <c r="D152" s="32"/>
      <c r="E152" s="32"/>
      <c r="F152" s="32"/>
      <c r="G152" s="32"/>
      <c r="H152" s="32"/>
      <c r="I152" s="32"/>
      <c r="J152" s="32"/>
      <c r="K152" s="32"/>
      <c r="L152" s="32"/>
      <c r="M152" s="32"/>
      <c r="N152" s="32"/>
      <c r="O152" s="32"/>
      <c r="P152" s="32"/>
      <c r="Q152" s="32"/>
      <c r="R152" s="32"/>
      <c r="S152" s="32"/>
      <c r="T152" s="32"/>
      <c r="U152" s="32"/>
      <c r="V152" s="32"/>
      <c r="W152" s="32"/>
      <c r="X152" s="32"/>
      <c r="Y152" s="32"/>
      <c r="Z152" s="32"/>
      <c r="AA152" s="32"/>
      <c r="AB152" s="32"/>
      <c r="AC152" s="32"/>
      <c r="AD152" s="32"/>
      <c r="AE152" s="32"/>
      <c r="AF152" s="32"/>
      <c r="AG152" s="32"/>
      <c r="AH152" s="33"/>
      <c r="AI152" s="34"/>
      <c r="AJ152" s="35"/>
    </row>
    <row r="153" spans="2:36" ht="14.25">
      <c r="AG153" s="13"/>
      <c r="AH153" s="33"/>
      <c r="AI153" s="24"/>
      <c r="AJ153" s="16"/>
    </row>
  </sheetData>
  <sheetProtection sort="0" autoFilter="0"/>
  <dataValidations count="1">
    <dataValidation type="whole" allowBlank="1" showInputMessage="1" showErrorMessage="1" sqref="C19:AF149" xr:uid="{00000000-0002-0000-0300-000000000000}">
      <formula1>0</formula1>
      <formula2>10</formula2>
    </dataValidation>
  </dataValidations>
  <pageMargins left="0.7" right="0.7" top="0.75" bottom="0.75" header="0.3" footer="0.3"/>
  <ignoredErrors>
    <ignoredError sqref="O19:R149" calculatedColumn="1"/>
  </ignoredErrors>
  <drawing r:id="rId1"/>
  <legacyDrawing r:id="rId2"/>
  <mc:AlternateContent xmlns:mc="http://schemas.openxmlformats.org/markup-compatibility/2006">
    <mc:Choice Requires="x14">
      <controls>
        <mc:AlternateContent xmlns:mc="http://schemas.openxmlformats.org/markup-compatibility/2006">
          <mc:Choice Requires="x14">
            <control shapeId="8193" r:id="rId3" name="Button 1">
              <controlPr defaultSize="0" print="0" autoFill="0" autoPict="0" macro="[0]!CloseOnglet">
                <anchor moveWithCells="1" sizeWithCells="1">
                  <from>
                    <xdr:col>19</xdr:col>
                    <xdr:colOff>676275</xdr:colOff>
                    <xdr:row>1</xdr:row>
                    <xdr:rowOff>28575</xdr:rowOff>
                  </from>
                  <to>
                    <xdr:col>22</xdr:col>
                    <xdr:colOff>104775</xdr:colOff>
                    <xdr:row>1</xdr:row>
                    <xdr:rowOff>409575</xdr:rowOff>
                  </to>
                </anchor>
              </controlPr>
            </control>
          </mc:Choice>
        </mc:AlternateContent>
      </controls>
    </mc:Choice>
  </mc:AlternateContent>
  <tableParts count="1">
    <tablePart r:id="rId4"/>
  </tableParts>
  <extLst>
    <ext xmlns:x14="http://schemas.microsoft.com/office/spreadsheetml/2009/9/main" uri="{78C0D931-6437-407d-A8EE-F0AAD7539E65}">
      <x14:conditionalFormattings>
        <x14:conditionalFormatting xmlns:xm="http://schemas.microsoft.com/office/excel/2006/main">
          <x14:cfRule type="dataBar" priority="1" id="{67F09B7E-3956-D846-A47D-04091887E1FA}">
            <x14:dataBar minLength="0" maxLength="100" gradient="0">
              <x14:cfvo type="num">
                <xm:f>Paramétres!$H$5</xm:f>
              </x14:cfvo>
              <x14:cfvo type="num">
                <xm:f>Paramétres!$H$14</xm:f>
              </x14:cfvo>
              <x14:fillColor theme="1" tint="0.249977111117893"/>
              <x14:negativeFillColor theme="0"/>
              <x14:axisColor rgb="FF000000"/>
            </x14:dataBar>
          </x14:cfRule>
          <xm:sqref>AH19:AH149</xm:sqref>
        </x14:conditionalFormatting>
      </x14:conditionalFormattings>
    </ext>
    <ext xmlns:x14="http://schemas.microsoft.com/office/spreadsheetml/2009/9/main" uri="{05C60535-1F16-4fd2-B633-F4F36F0B64E0}">
      <x14:sparklineGroups xmlns:xm="http://schemas.microsoft.com/office/excel/2006/main">
        <x14:sparklineGroup manualMax="0" manualMin="0" displayEmptyCellsAs="gap" markers="1" high="1" low="1" first="1" last="1" negative="1" xr2:uid="{00000000-0003-0000-0300-000003000000}">
          <x14:colorSeries theme="0" tint="-0.499984740745262"/>
          <x14:colorNegative theme="6"/>
          <x14:colorAxis rgb="FF000000"/>
          <x14:colorMarkers theme="7"/>
          <x14:colorFirst theme="7"/>
          <x14:colorLast theme="7"/>
          <x14:colorHigh theme="7"/>
          <x14:colorLow theme="7"/>
          <x14:sparklines>
            <x14:sparkline>
              <xm:f>Plaisir!C151:AF151</xm:f>
              <xm:sqref>AH151</xm:sqref>
            </x14:sparkline>
            <x14:sparkline>
              <xm:f>Plaisir!C152:AF152</xm:f>
              <xm:sqref>AH152</xm:sqref>
            </x14:sparkline>
          </x14:sparklines>
        </x14:sparklineGroup>
        <x14:sparklineGroup manualMax="0" manualMin="0" displayEmptyCellsAs="gap" xr2:uid="{00000000-0003-0000-0300-000004000000}">
          <x14:colorSeries theme="0" tint="-0.14999847407452621"/>
          <x14:colorNegative theme="5"/>
          <x14:colorAxis rgb="FF000000"/>
          <x14:colorMarkers theme="4" tint="-0.499984740745262"/>
          <x14:colorFirst theme="4" tint="0.39997558519241921"/>
          <x14:colorLast theme="4" tint="0.39997558519241921"/>
          <x14:colorHigh theme="4"/>
          <x14:colorLow theme="4"/>
          <x14:sparklines>
            <x14:sparkline>
              <xm:f>Plaisir!C19:AF19</xm:f>
              <xm:sqref>AI19</xm:sqref>
            </x14:sparkline>
            <x14:sparkline>
              <xm:f>Plaisir!C20:AF20</xm:f>
              <xm:sqref>AI20</xm:sqref>
            </x14:sparkline>
            <x14:sparkline>
              <xm:f>Plaisir!C21:AF21</xm:f>
              <xm:sqref>AI21</xm:sqref>
            </x14:sparkline>
            <x14:sparkline>
              <xm:f>Plaisir!C22:AF22</xm:f>
              <xm:sqref>AI22</xm:sqref>
            </x14:sparkline>
            <x14:sparkline>
              <xm:f>Plaisir!C23:AF23</xm:f>
              <xm:sqref>AI23</xm:sqref>
            </x14:sparkline>
            <x14:sparkline>
              <xm:f>Plaisir!C24:AF24</xm:f>
              <xm:sqref>AI24</xm:sqref>
            </x14:sparkline>
            <x14:sparkline>
              <xm:f>Plaisir!C25:AF25</xm:f>
              <xm:sqref>AI25</xm:sqref>
            </x14:sparkline>
            <x14:sparkline>
              <xm:f>Plaisir!C26:AF26</xm:f>
              <xm:sqref>AI26</xm:sqref>
            </x14:sparkline>
            <x14:sparkline>
              <xm:f>Plaisir!C27:AF27</xm:f>
              <xm:sqref>AI27</xm:sqref>
            </x14:sparkline>
            <x14:sparkline>
              <xm:f>Plaisir!C28:AF28</xm:f>
              <xm:sqref>AI28</xm:sqref>
            </x14:sparkline>
            <x14:sparkline>
              <xm:f>Plaisir!C29:AF29</xm:f>
              <xm:sqref>AI29</xm:sqref>
            </x14:sparkline>
            <x14:sparkline>
              <xm:f>Plaisir!C30:AF30</xm:f>
              <xm:sqref>AI30</xm:sqref>
            </x14:sparkline>
            <x14:sparkline>
              <xm:f>Plaisir!C31:AF31</xm:f>
              <xm:sqref>AI31</xm:sqref>
            </x14:sparkline>
            <x14:sparkline>
              <xm:f>Plaisir!C32:AF32</xm:f>
              <xm:sqref>AI32</xm:sqref>
            </x14:sparkline>
            <x14:sparkline>
              <xm:f>Plaisir!C33:AF33</xm:f>
              <xm:sqref>AI33</xm:sqref>
            </x14:sparkline>
            <x14:sparkline>
              <xm:f>Plaisir!C34:AF34</xm:f>
              <xm:sqref>AI34</xm:sqref>
            </x14:sparkline>
            <x14:sparkline>
              <xm:f>Plaisir!C35:AF35</xm:f>
              <xm:sqref>AI35</xm:sqref>
            </x14:sparkline>
            <x14:sparkline>
              <xm:f>Plaisir!C36:AF36</xm:f>
              <xm:sqref>AI36</xm:sqref>
            </x14:sparkline>
            <x14:sparkline>
              <xm:f>Plaisir!C37:AF37</xm:f>
              <xm:sqref>AI37</xm:sqref>
            </x14:sparkline>
            <x14:sparkline>
              <xm:f>Plaisir!C38:AF38</xm:f>
              <xm:sqref>AI38</xm:sqref>
            </x14:sparkline>
            <x14:sparkline>
              <xm:f>Plaisir!C39:AF39</xm:f>
              <xm:sqref>AI39</xm:sqref>
            </x14:sparkline>
            <x14:sparkline>
              <xm:f>Plaisir!C40:AF40</xm:f>
              <xm:sqref>AI40</xm:sqref>
            </x14:sparkline>
            <x14:sparkline>
              <xm:f>Plaisir!C41:AF41</xm:f>
              <xm:sqref>AI41</xm:sqref>
            </x14:sparkline>
            <x14:sparkline>
              <xm:f>Plaisir!C42:AF42</xm:f>
              <xm:sqref>AI42</xm:sqref>
            </x14:sparkline>
            <x14:sparkline>
              <xm:f>Plaisir!C43:AF43</xm:f>
              <xm:sqref>AI43</xm:sqref>
            </x14:sparkline>
            <x14:sparkline>
              <xm:f>Plaisir!C44:AF44</xm:f>
              <xm:sqref>AI44</xm:sqref>
            </x14:sparkline>
            <x14:sparkline>
              <xm:f>Plaisir!C45:AF45</xm:f>
              <xm:sqref>AI45</xm:sqref>
            </x14:sparkline>
            <x14:sparkline>
              <xm:f>Plaisir!C46:AF46</xm:f>
              <xm:sqref>AI46</xm:sqref>
            </x14:sparkline>
            <x14:sparkline>
              <xm:f>Plaisir!C47:AF47</xm:f>
              <xm:sqref>AI47</xm:sqref>
            </x14:sparkline>
            <x14:sparkline>
              <xm:f>Plaisir!C48:AF48</xm:f>
              <xm:sqref>AI48</xm:sqref>
            </x14:sparkline>
            <x14:sparkline>
              <xm:f>Plaisir!C49:AF49</xm:f>
              <xm:sqref>AI49</xm:sqref>
            </x14:sparkline>
            <x14:sparkline>
              <xm:f>Plaisir!C50:AF50</xm:f>
              <xm:sqref>AI50</xm:sqref>
            </x14:sparkline>
            <x14:sparkline>
              <xm:f>Plaisir!C51:AF51</xm:f>
              <xm:sqref>AI51</xm:sqref>
            </x14:sparkline>
            <x14:sparkline>
              <xm:f>Plaisir!C52:AF52</xm:f>
              <xm:sqref>AI52</xm:sqref>
            </x14:sparkline>
            <x14:sparkline>
              <xm:f>Plaisir!C53:AF53</xm:f>
              <xm:sqref>AI53</xm:sqref>
            </x14:sparkline>
            <x14:sparkline>
              <xm:f>Plaisir!C54:AF54</xm:f>
              <xm:sqref>AI54</xm:sqref>
            </x14:sparkline>
            <x14:sparkline>
              <xm:f>Plaisir!C55:AF55</xm:f>
              <xm:sqref>AI55</xm:sqref>
            </x14:sparkline>
            <x14:sparkline>
              <xm:f>Plaisir!C56:AF56</xm:f>
              <xm:sqref>AI56</xm:sqref>
            </x14:sparkline>
            <x14:sparkline>
              <xm:f>Plaisir!C57:AF57</xm:f>
              <xm:sqref>AI57</xm:sqref>
            </x14:sparkline>
            <x14:sparkline>
              <xm:f>Plaisir!C58:AF58</xm:f>
              <xm:sqref>AI58</xm:sqref>
            </x14:sparkline>
            <x14:sparkline>
              <xm:f>Plaisir!C59:AF59</xm:f>
              <xm:sqref>AI59</xm:sqref>
            </x14:sparkline>
            <x14:sparkline>
              <xm:f>Plaisir!C60:AF60</xm:f>
              <xm:sqref>AI60</xm:sqref>
            </x14:sparkline>
            <x14:sparkline>
              <xm:f>Plaisir!C61:AF61</xm:f>
              <xm:sqref>AI61</xm:sqref>
            </x14:sparkline>
            <x14:sparkline>
              <xm:f>Plaisir!C62:AF62</xm:f>
              <xm:sqref>AI62</xm:sqref>
            </x14:sparkline>
            <x14:sparkline>
              <xm:f>Plaisir!C63:AF63</xm:f>
              <xm:sqref>AI63</xm:sqref>
            </x14:sparkline>
            <x14:sparkline>
              <xm:f>Plaisir!C64:AF64</xm:f>
              <xm:sqref>AI64</xm:sqref>
            </x14:sparkline>
            <x14:sparkline>
              <xm:f>Plaisir!C65:AF65</xm:f>
              <xm:sqref>AI65</xm:sqref>
            </x14:sparkline>
            <x14:sparkline>
              <xm:f>Plaisir!C66:AF66</xm:f>
              <xm:sqref>AI66</xm:sqref>
            </x14:sparkline>
            <x14:sparkline>
              <xm:f>Plaisir!C67:AF67</xm:f>
              <xm:sqref>AI67</xm:sqref>
            </x14:sparkline>
            <x14:sparkline>
              <xm:f>Plaisir!C68:AF68</xm:f>
              <xm:sqref>AI68</xm:sqref>
            </x14:sparkline>
            <x14:sparkline>
              <xm:f>Plaisir!C69:AF69</xm:f>
              <xm:sqref>AI69</xm:sqref>
            </x14:sparkline>
            <x14:sparkline>
              <xm:f>Plaisir!C70:AF70</xm:f>
              <xm:sqref>AI70</xm:sqref>
            </x14:sparkline>
            <x14:sparkline>
              <xm:f>Plaisir!C71:AF71</xm:f>
              <xm:sqref>AI71</xm:sqref>
            </x14:sparkline>
            <x14:sparkline>
              <xm:f>Plaisir!C72:AF72</xm:f>
              <xm:sqref>AI72</xm:sqref>
            </x14:sparkline>
            <x14:sparkline>
              <xm:f>Plaisir!C73:AF73</xm:f>
              <xm:sqref>AI73</xm:sqref>
            </x14:sparkline>
            <x14:sparkline>
              <xm:f>Plaisir!C74:AF74</xm:f>
              <xm:sqref>AI74</xm:sqref>
            </x14:sparkline>
            <x14:sparkline>
              <xm:f>Plaisir!C75:AF75</xm:f>
              <xm:sqref>AI75</xm:sqref>
            </x14:sparkline>
            <x14:sparkline>
              <xm:f>Plaisir!C76:AF76</xm:f>
              <xm:sqref>AI76</xm:sqref>
            </x14:sparkline>
            <x14:sparkline>
              <xm:f>Plaisir!C77:AF77</xm:f>
              <xm:sqref>AI77</xm:sqref>
            </x14:sparkline>
            <x14:sparkline>
              <xm:f>Plaisir!C78:AF78</xm:f>
              <xm:sqref>AI78</xm:sqref>
            </x14:sparkline>
            <x14:sparkline>
              <xm:f>Plaisir!C79:AF79</xm:f>
              <xm:sqref>AI79</xm:sqref>
            </x14:sparkline>
            <x14:sparkline>
              <xm:f>Plaisir!C80:AF80</xm:f>
              <xm:sqref>AI80</xm:sqref>
            </x14:sparkline>
            <x14:sparkline>
              <xm:f>Plaisir!C81:AF81</xm:f>
              <xm:sqref>AI81</xm:sqref>
            </x14:sparkline>
            <x14:sparkline>
              <xm:f>Plaisir!C82:AF82</xm:f>
              <xm:sqref>AI82</xm:sqref>
            </x14:sparkline>
            <x14:sparkline>
              <xm:f>Plaisir!C83:AF83</xm:f>
              <xm:sqref>AI83</xm:sqref>
            </x14:sparkline>
            <x14:sparkline>
              <xm:f>Plaisir!C84:AF84</xm:f>
              <xm:sqref>AI84</xm:sqref>
            </x14:sparkline>
            <x14:sparkline>
              <xm:f>Plaisir!C85:AF85</xm:f>
              <xm:sqref>AI85</xm:sqref>
            </x14:sparkline>
            <x14:sparkline>
              <xm:f>Plaisir!C86:AF86</xm:f>
              <xm:sqref>AI86</xm:sqref>
            </x14:sparkline>
            <x14:sparkline>
              <xm:f>Plaisir!C87:AF87</xm:f>
              <xm:sqref>AI87</xm:sqref>
            </x14:sparkline>
            <x14:sparkline>
              <xm:f>Plaisir!C88:AF88</xm:f>
              <xm:sqref>AI88</xm:sqref>
            </x14:sparkline>
            <x14:sparkline>
              <xm:f>Plaisir!C89:AF89</xm:f>
              <xm:sqref>AI89</xm:sqref>
            </x14:sparkline>
            <x14:sparkline>
              <xm:f>Plaisir!C90:AF90</xm:f>
              <xm:sqref>AI90</xm:sqref>
            </x14:sparkline>
            <x14:sparkline>
              <xm:f>Plaisir!C91:AF91</xm:f>
              <xm:sqref>AI91</xm:sqref>
            </x14:sparkline>
            <x14:sparkline>
              <xm:f>Plaisir!C92:AF92</xm:f>
              <xm:sqref>AI92</xm:sqref>
            </x14:sparkline>
            <x14:sparkline>
              <xm:f>Plaisir!C93:AF93</xm:f>
              <xm:sqref>AI93</xm:sqref>
            </x14:sparkline>
            <x14:sparkline>
              <xm:f>Plaisir!C94:AF94</xm:f>
              <xm:sqref>AI94</xm:sqref>
            </x14:sparkline>
            <x14:sparkline>
              <xm:f>Plaisir!C95:AF95</xm:f>
              <xm:sqref>AI95</xm:sqref>
            </x14:sparkline>
            <x14:sparkline>
              <xm:f>Plaisir!C96:AF96</xm:f>
              <xm:sqref>AI96</xm:sqref>
            </x14:sparkline>
            <x14:sparkline>
              <xm:f>Plaisir!C97:AF97</xm:f>
              <xm:sqref>AI97</xm:sqref>
            </x14:sparkline>
            <x14:sparkline>
              <xm:f>Plaisir!C98:AF98</xm:f>
              <xm:sqref>AI98</xm:sqref>
            </x14:sparkline>
            <x14:sparkline>
              <xm:f>Plaisir!C99:AF99</xm:f>
              <xm:sqref>AI99</xm:sqref>
            </x14:sparkline>
            <x14:sparkline>
              <xm:f>Plaisir!C100:AF100</xm:f>
              <xm:sqref>AI100</xm:sqref>
            </x14:sparkline>
            <x14:sparkline>
              <xm:f>Plaisir!C101:AF101</xm:f>
              <xm:sqref>AI101</xm:sqref>
            </x14:sparkline>
            <x14:sparkline>
              <xm:f>Plaisir!C102:AF102</xm:f>
              <xm:sqref>AI102</xm:sqref>
            </x14:sparkline>
            <x14:sparkline>
              <xm:f>Plaisir!C103:AF103</xm:f>
              <xm:sqref>AI103</xm:sqref>
            </x14:sparkline>
            <x14:sparkline>
              <xm:f>Plaisir!C104:AF104</xm:f>
              <xm:sqref>AI104</xm:sqref>
            </x14:sparkline>
            <x14:sparkline>
              <xm:f>Plaisir!C105:AF105</xm:f>
              <xm:sqref>AI105</xm:sqref>
            </x14:sparkline>
            <x14:sparkline>
              <xm:f>Plaisir!C106:AF106</xm:f>
              <xm:sqref>AI106</xm:sqref>
            </x14:sparkline>
            <x14:sparkline>
              <xm:f>Plaisir!C107:AF107</xm:f>
              <xm:sqref>AI107</xm:sqref>
            </x14:sparkline>
            <x14:sparkline>
              <xm:f>Plaisir!C108:AF108</xm:f>
              <xm:sqref>AI108</xm:sqref>
            </x14:sparkline>
            <x14:sparkline>
              <xm:f>Plaisir!C109:AF109</xm:f>
              <xm:sqref>AI109</xm:sqref>
            </x14:sparkline>
            <x14:sparkline>
              <xm:f>Plaisir!C110:AF110</xm:f>
              <xm:sqref>AI110</xm:sqref>
            </x14:sparkline>
            <x14:sparkline>
              <xm:f>Plaisir!C111:AF111</xm:f>
              <xm:sqref>AI111</xm:sqref>
            </x14:sparkline>
            <x14:sparkline>
              <xm:f>Plaisir!C112:AF112</xm:f>
              <xm:sqref>AI112</xm:sqref>
            </x14:sparkline>
            <x14:sparkline>
              <xm:f>Plaisir!C113:AF113</xm:f>
              <xm:sqref>AI113</xm:sqref>
            </x14:sparkline>
            <x14:sparkline>
              <xm:f>Plaisir!C114:AF114</xm:f>
              <xm:sqref>AI114</xm:sqref>
            </x14:sparkline>
            <x14:sparkline>
              <xm:f>Plaisir!C115:AF115</xm:f>
              <xm:sqref>AI115</xm:sqref>
            </x14:sparkline>
            <x14:sparkline>
              <xm:f>Plaisir!C116:AF116</xm:f>
              <xm:sqref>AI116</xm:sqref>
            </x14:sparkline>
            <x14:sparkline>
              <xm:f>Plaisir!C117:AF117</xm:f>
              <xm:sqref>AI117</xm:sqref>
            </x14:sparkline>
            <x14:sparkline>
              <xm:f>Plaisir!C118:AF118</xm:f>
              <xm:sqref>AI118</xm:sqref>
            </x14:sparkline>
            <x14:sparkline>
              <xm:f>Plaisir!C119:AF119</xm:f>
              <xm:sqref>AI119</xm:sqref>
            </x14:sparkline>
            <x14:sparkline>
              <xm:f>Plaisir!C120:AF120</xm:f>
              <xm:sqref>AI120</xm:sqref>
            </x14:sparkline>
            <x14:sparkline>
              <xm:f>Plaisir!C121:AF121</xm:f>
              <xm:sqref>AI121</xm:sqref>
            </x14:sparkline>
            <x14:sparkline>
              <xm:f>Plaisir!C122:AF122</xm:f>
              <xm:sqref>AI122</xm:sqref>
            </x14:sparkline>
            <x14:sparkline>
              <xm:f>Plaisir!C123:AF123</xm:f>
              <xm:sqref>AI123</xm:sqref>
            </x14:sparkline>
            <x14:sparkline>
              <xm:f>Plaisir!C124:AF124</xm:f>
              <xm:sqref>AI124</xm:sqref>
            </x14:sparkline>
            <x14:sparkline>
              <xm:f>Plaisir!C125:AF125</xm:f>
              <xm:sqref>AI125</xm:sqref>
            </x14:sparkline>
            <x14:sparkline>
              <xm:f>Plaisir!C126:AF126</xm:f>
              <xm:sqref>AI126</xm:sqref>
            </x14:sparkline>
            <x14:sparkline>
              <xm:f>Plaisir!C127:AF127</xm:f>
              <xm:sqref>AI127</xm:sqref>
            </x14:sparkline>
            <x14:sparkline>
              <xm:f>Plaisir!C128:AF128</xm:f>
              <xm:sqref>AI128</xm:sqref>
            </x14:sparkline>
            <x14:sparkline>
              <xm:f>Plaisir!C129:AF129</xm:f>
              <xm:sqref>AI129</xm:sqref>
            </x14:sparkline>
            <x14:sparkline>
              <xm:f>Plaisir!C130:AF130</xm:f>
              <xm:sqref>AI130</xm:sqref>
            </x14:sparkline>
            <x14:sparkline>
              <xm:f>Plaisir!C131:AF131</xm:f>
              <xm:sqref>AI131</xm:sqref>
            </x14:sparkline>
            <x14:sparkline>
              <xm:f>Plaisir!C132:AF132</xm:f>
              <xm:sqref>AI132</xm:sqref>
            </x14:sparkline>
            <x14:sparkline>
              <xm:f>Plaisir!C133:AF133</xm:f>
              <xm:sqref>AI133</xm:sqref>
            </x14:sparkline>
            <x14:sparkline>
              <xm:f>Plaisir!C134:AF134</xm:f>
              <xm:sqref>AI134</xm:sqref>
            </x14:sparkline>
            <x14:sparkline>
              <xm:f>Plaisir!C135:AF135</xm:f>
              <xm:sqref>AI135</xm:sqref>
            </x14:sparkline>
            <x14:sparkline>
              <xm:f>Plaisir!C136:AF136</xm:f>
              <xm:sqref>AI136</xm:sqref>
            </x14:sparkline>
            <x14:sparkline>
              <xm:f>Plaisir!C137:AF137</xm:f>
              <xm:sqref>AI137</xm:sqref>
            </x14:sparkline>
            <x14:sparkline>
              <xm:f>Plaisir!C138:AF138</xm:f>
              <xm:sqref>AI138</xm:sqref>
            </x14:sparkline>
            <x14:sparkline>
              <xm:f>Plaisir!C139:AF139</xm:f>
              <xm:sqref>AI139</xm:sqref>
            </x14:sparkline>
            <x14:sparkline>
              <xm:f>Plaisir!C140:AF140</xm:f>
              <xm:sqref>AI140</xm:sqref>
            </x14:sparkline>
            <x14:sparkline>
              <xm:f>Plaisir!C141:AF141</xm:f>
              <xm:sqref>AI141</xm:sqref>
            </x14:sparkline>
            <x14:sparkline>
              <xm:f>Plaisir!C142:AF142</xm:f>
              <xm:sqref>AI142</xm:sqref>
            </x14:sparkline>
            <x14:sparkline>
              <xm:f>Plaisir!C143:AF143</xm:f>
              <xm:sqref>AI143</xm:sqref>
            </x14:sparkline>
            <x14:sparkline>
              <xm:f>Plaisir!C144:AF144</xm:f>
              <xm:sqref>AI144</xm:sqref>
            </x14:sparkline>
            <x14:sparkline>
              <xm:f>Plaisir!C145:AF145</xm:f>
              <xm:sqref>AI145</xm:sqref>
            </x14:sparkline>
            <x14:sparkline>
              <xm:f>Plaisir!C146:AF146</xm:f>
              <xm:sqref>AI146</xm:sqref>
            </x14:sparkline>
            <x14:sparkline>
              <xm:f>Plaisir!C147:AF147</xm:f>
              <xm:sqref>AI147</xm:sqref>
            </x14:sparkline>
            <x14:sparkline>
              <xm:f>Plaisir!C148:AF148</xm:f>
              <xm:sqref>AI148</xm:sqref>
            </x14:sparkline>
            <x14:sparkline>
              <xm:f>Plaisir!C149:AF149</xm:f>
              <xm:sqref>AI149</xm:sqref>
            </x14:sparkline>
          </x14:sparklines>
        </x14:sparklineGroup>
      </x14:sparklineGroups>
    </ext>
  </extLst>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Feuil4">
    <tabColor theme="4" tint="-0.249977111117893"/>
  </sheetPr>
  <dimension ref="B2:AJ153"/>
  <sheetViews>
    <sheetView showGridLines="0" workbookViewId="0">
      <pane ySplit="4" topLeftCell="A6" activePane="bottomLeft" state="frozen"/>
      <selection pane="bottomLeft" activeCell="C4" sqref="C4:AF4"/>
    </sheetView>
  </sheetViews>
  <sheetFormatPr baseColWidth="10" defaultRowHeight="12.75"/>
  <cols>
    <col min="1" max="1" width="3.140625" customWidth="1"/>
    <col min="2" max="2" width="11.140625" bestFit="1" customWidth="1"/>
    <col min="33" max="34" width="13" customWidth="1"/>
    <col min="35" max="35" width="21" customWidth="1"/>
  </cols>
  <sheetData>
    <row r="2" spans="2:32" ht="33" customHeight="1">
      <c r="B2" s="55" t="s">
        <v>78</v>
      </c>
      <c r="T2" s="28"/>
    </row>
    <row r="4" spans="2:32" ht="27.95" customHeight="1">
      <c r="C4" s="90" t="str">
        <f ca="1">INDIRECT("'BDD - Joueurs'!B2")</f>
        <v>ADDA Matteo</v>
      </c>
      <c r="D4" s="90" t="str">
        <f ca="1">INDIRECT("'BDD - Joueurs'!B3")</f>
        <v>ALFONSO Joao</v>
      </c>
      <c r="E4" s="90" t="str">
        <f ca="1">INDIRECT("'BDD - Joueurs'!B4")</f>
        <v>BERDAH Matis</v>
      </c>
      <c r="F4" s="90" t="str">
        <f ca="1">INDIRECT("'BDD - Joueurs'!B5")</f>
        <v>CAMARA Bandiougou</v>
      </c>
      <c r="G4" s="90" t="str">
        <f ca="1">INDIRECT("'BDD - Joueurs'!B6")</f>
        <v>CAMARA Moussa</v>
      </c>
      <c r="H4" s="90" t="str">
        <f ca="1">INDIRECT("'BDD - Joueurs'!B7")</f>
        <v>CARREAU Ethan</v>
      </c>
      <c r="I4" s="90" t="str">
        <f ca="1">INDIRECT("'BDD - Joueurs'!B8")</f>
        <v>CHEROD Alexis</v>
      </c>
      <c r="J4" s="90" t="str">
        <f ca="1">INDIRECT("'BDD - Joueurs'!B9")</f>
        <v>DJEHICHE Ramzi</v>
      </c>
      <c r="K4" s="90" t="str">
        <f ca="1">INDIRECT("'BDD - Joueurs'!B10")</f>
        <v>DOSIERE Baptiste</v>
      </c>
      <c r="L4" s="90" t="str">
        <f ca="1">INDIRECT("'BDD - Joueurs'!B11")</f>
        <v>DUQUENOY Thomas</v>
      </c>
      <c r="M4" s="90" t="str">
        <f ca="1">INDIRECT("'BDD - Joueurs'!B12")</f>
        <v>KIPRE Jordan</v>
      </c>
      <c r="N4" s="90" t="str">
        <f ca="1">INDIRECT("'BDD - Joueurs'!B13")</f>
        <v>KONATE Mamadou</v>
      </c>
      <c r="O4" s="90" t="str">
        <f ca="1">INDIRECT("'BDD - Joueurs'!B14")</f>
        <v>LECOUFFE Hugo</v>
      </c>
      <c r="P4" s="90" t="str">
        <f ca="1">INDIRECT("'BDD - Joueurs'!B15")</f>
        <v>LEFRANC Nathan</v>
      </c>
      <c r="Q4" s="90" t="str">
        <f ca="1">INDIRECT("'BDD - Joueurs'!B16")</f>
        <v>MASSOUSSI Elie</v>
      </c>
      <c r="R4" s="90" t="str">
        <f ca="1">INDIRECT("'BDD - Joueurs'!B17")</f>
        <v>NGOUABI Yoann</v>
      </c>
      <c r="S4" s="90" t="str">
        <f ca="1">INDIRECT("'BDD - Joueurs'!B18")</f>
        <v>PLANET Mathis</v>
      </c>
      <c r="T4" s="90" t="str">
        <f ca="1">INDIRECT("'BDD - Joueurs'!B19")</f>
        <v>PRONNIER Nicolas</v>
      </c>
      <c r="U4" s="90" t="str">
        <f ca="1">INDIRECT("'BDD - Joueurs'!B20")</f>
        <v>STIOUET Reda</v>
      </c>
      <c r="V4" s="90" t="str">
        <f ca="1">INDIRECT("'BDD - Joueurs'!B21")</f>
        <v>ZERDEB Said</v>
      </c>
      <c r="W4" s="90" t="str">
        <f ca="1">INDIRECT("'BDD - Joueurs'!B22")</f>
        <v>OSSENI Farouk</v>
      </c>
      <c r="X4" s="90">
        <f ca="1">INDIRECT("'BDD - Joueurs'!B23")</f>
        <v>0</v>
      </c>
      <c r="Y4" s="90">
        <f ca="1">INDIRECT("'BDD - Joueurs'!B24")</f>
        <v>0</v>
      </c>
      <c r="Z4" s="90">
        <f ca="1">INDIRECT("'BDD - Joueurs'!B25")</f>
        <v>0</v>
      </c>
      <c r="AA4" s="90">
        <f ca="1">INDIRECT("'BDD - Joueurs'!B26")</f>
        <v>0</v>
      </c>
      <c r="AB4" s="90">
        <f ca="1">INDIRECT("'BDD - Joueurs'!B27")</f>
        <v>0</v>
      </c>
      <c r="AC4" s="90">
        <f ca="1">INDIRECT("'BDD - Joueurs'!B28")</f>
        <v>0</v>
      </c>
      <c r="AD4" s="90">
        <f ca="1">INDIRECT("'BDD - Joueurs'!B29")</f>
        <v>0</v>
      </c>
      <c r="AE4" s="90">
        <f ca="1">INDIRECT("'BDD - Joueurs'!B30")</f>
        <v>0</v>
      </c>
      <c r="AF4" s="90">
        <f ca="1">INDIRECT("'BDD - Joueurs'!B31")</f>
        <v>0</v>
      </c>
    </row>
    <row r="18" spans="2:35" ht="14.25">
      <c r="B18" s="37" t="s">
        <v>75</v>
      </c>
      <c r="C18" s="23" t="s">
        <v>16</v>
      </c>
      <c r="D18" s="38" t="s">
        <v>4</v>
      </c>
      <c r="E18" s="23" t="s">
        <v>19</v>
      </c>
      <c r="F18" s="38" t="s">
        <v>20</v>
      </c>
      <c r="G18" s="23" t="s">
        <v>21</v>
      </c>
      <c r="H18" s="38" t="s">
        <v>22</v>
      </c>
      <c r="I18" s="23" t="s">
        <v>23</v>
      </c>
      <c r="J18" s="38" t="s">
        <v>24</v>
      </c>
      <c r="K18" s="23" t="s">
        <v>25</v>
      </c>
      <c r="L18" s="23" t="s">
        <v>26</v>
      </c>
      <c r="M18" s="23" t="s">
        <v>27</v>
      </c>
      <c r="N18" s="38" t="s">
        <v>28</v>
      </c>
      <c r="O18" s="39" t="s">
        <v>45</v>
      </c>
      <c r="P18" s="4" t="s">
        <v>46</v>
      </c>
      <c r="Q18" s="39" t="s">
        <v>47</v>
      </c>
      <c r="R18" s="4" t="s">
        <v>48</v>
      </c>
      <c r="S18" s="3" t="s">
        <v>49</v>
      </c>
      <c r="T18" s="4" t="s">
        <v>50</v>
      </c>
      <c r="U18" s="3" t="s">
        <v>51</v>
      </c>
      <c r="V18" s="4" t="s">
        <v>52</v>
      </c>
      <c r="W18" s="3" t="s">
        <v>53</v>
      </c>
      <c r="X18" s="4" t="s">
        <v>54</v>
      </c>
      <c r="Y18" s="3" t="s">
        <v>55</v>
      </c>
      <c r="Z18" s="4" t="s">
        <v>56</v>
      </c>
      <c r="AA18" s="3" t="s">
        <v>57</v>
      </c>
      <c r="AB18" s="4" t="s">
        <v>58</v>
      </c>
      <c r="AC18" s="3" t="s">
        <v>59</v>
      </c>
      <c r="AD18" s="4" t="s">
        <v>60</v>
      </c>
      <c r="AE18" s="3" t="s">
        <v>61</v>
      </c>
      <c r="AF18" s="4" t="s">
        <v>62</v>
      </c>
      <c r="AG18" s="47" t="s">
        <v>9</v>
      </c>
      <c r="AH18" s="47" t="s">
        <v>70</v>
      </c>
      <c r="AI18" s="17" t="s">
        <v>1</v>
      </c>
    </row>
    <row r="19" spans="2:35" ht="14.25">
      <c r="B19" s="14">
        <f>IF(INDEX(TabEntrainement[Seance],ROW()-18)&lt;&gt;0,INDEX(TabEntrainement[Seance],ROW()-18),"")</f>
        <v>43318</v>
      </c>
      <c r="C19" s="117"/>
      <c r="D19" s="117"/>
      <c r="E19" s="117"/>
      <c r="F19" s="117"/>
      <c r="G19" s="117"/>
      <c r="H19" s="117"/>
      <c r="I19" s="117"/>
      <c r="J19" s="117"/>
      <c r="K19" s="117"/>
      <c r="L19" s="117"/>
      <c r="M19" s="117"/>
      <c r="N19" s="117"/>
      <c r="O19" s="117"/>
      <c r="P19" s="117"/>
      <c r="Q19" s="117"/>
      <c r="R19" s="117"/>
      <c r="S19" s="117"/>
      <c r="T19" s="117"/>
      <c r="U19" s="117"/>
      <c r="V19" s="117"/>
      <c r="W19" s="117"/>
      <c r="X19" s="117"/>
      <c r="Y19" s="117"/>
      <c r="Z19" s="117"/>
      <c r="AA19" s="117"/>
      <c r="AB19" s="117"/>
      <c r="AC19" s="117"/>
      <c r="AD19" s="117"/>
      <c r="AE19" s="117"/>
      <c r="AF19" s="117"/>
      <c r="AG19" s="46" t="str">
        <f>IF(COUNTA(TabPerfo[[#This Row],[J1]:[J30]])&lt;&gt;0,AVERAGE(TabPerfo[[#This Row],[J1]:[J30]]),"")</f>
        <v/>
      </c>
      <c r="AH19" s="49" t="str">
        <f>TabPerfo[[#This Row],[Moyenne]]</f>
        <v/>
      </c>
      <c r="AI19" s="48"/>
    </row>
    <row r="20" spans="2:35" ht="14.25">
      <c r="B20" s="14">
        <f>IF(INDEX(TabEntrainement[Seance],ROW()-18)&lt;&gt;0,INDEX(TabEntrainement[Seance],ROW()-18),"")</f>
        <v>43319</v>
      </c>
      <c r="C20" s="117"/>
      <c r="D20" s="117"/>
      <c r="E20" s="117"/>
      <c r="F20" s="117"/>
      <c r="G20" s="117"/>
      <c r="H20" s="117"/>
      <c r="I20" s="117"/>
      <c r="J20" s="117"/>
      <c r="K20" s="117"/>
      <c r="L20" s="117"/>
      <c r="M20" s="117"/>
      <c r="N20" s="117"/>
      <c r="O20" s="117"/>
      <c r="P20" s="117"/>
      <c r="Q20" s="117"/>
      <c r="R20" s="117"/>
      <c r="S20" s="117"/>
      <c r="T20" s="117"/>
      <c r="U20" s="117"/>
      <c r="V20" s="117"/>
      <c r="W20" s="117"/>
      <c r="X20" s="117"/>
      <c r="Y20" s="117"/>
      <c r="Z20" s="117"/>
      <c r="AA20" s="117"/>
      <c r="AB20" s="117"/>
      <c r="AC20" s="117"/>
      <c r="AD20" s="117"/>
      <c r="AE20" s="117"/>
      <c r="AF20" s="117"/>
      <c r="AG20" s="46" t="str">
        <f>IF(COUNTA(TabPerfo[[#This Row],[J1]:[J30]])&lt;&gt;0,AVERAGE(TabPerfo[[#This Row],[J1]:[J30]]),"")</f>
        <v/>
      </c>
      <c r="AH20" s="49" t="str">
        <f>TabPerfo[[#This Row],[Moyenne]]</f>
        <v/>
      </c>
      <c r="AI20" s="48"/>
    </row>
    <row r="21" spans="2:35" ht="14.25">
      <c r="B21" s="14">
        <f>IF(INDEX(TabEntrainement[Seance],ROW()-18)&lt;&gt;0,INDEX(TabEntrainement[Seance],ROW()-18),"")</f>
        <v>43321</v>
      </c>
      <c r="C21" s="117"/>
      <c r="D21" s="117"/>
      <c r="E21" s="117"/>
      <c r="F21" s="117"/>
      <c r="G21" s="117"/>
      <c r="H21" s="117"/>
      <c r="I21" s="117"/>
      <c r="J21" s="117"/>
      <c r="K21" s="117"/>
      <c r="L21" s="117"/>
      <c r="M21" s="117"/>
      <c r="N21" s="117"/>
      <c r="O21" s="117"/>
      <c r="P21" s="117"/>
      <c r="Q21" s="117"/>
      <c r="R21" s="117"/>
      <c r="S21" s="117"/>
      <c r="T21" s="117"/>
      <c r="U21" s="117"/>
      <c r="V21" s="117"/>
      <c r="W21" s="117"/>
      <c r="X21" s="117"/>
      <c r="Y21" s="117"/>
      <c r="Z21" s="117"/>
      <c r="AA21" s="117"/>
      <c r="AB21" s="117"/>
      <c r="AC21" s="117"/>
      <c r="AD21" s="117"/>
      <c r="AE21" s="117"/>
      <c r="AF21" s="117"/>
      <c r="AG21" s="46" t="str">
        <f>IF(COUNTA(TabPerfo[[#This Row],[J1]:[J30]])&lt;&gt;0,AVERAGE(TabPerfo[[#This Row],[J1]:[J30]]),"")</f>
        <v/>
      </c>
      <c r="AH21" s="49" t="str">
        <f>TabPerfo[[#This Row],[Moyenne]]</f>
        <v/>
      </c>
      <c r="AI21" s="48"/>
    </row>
    <row r="22" spans="2:35" ht="14.25">
      <c r="B22" s="14">
        <f>IF(INDEX(TabEntrainement[Seance],ROW()-18)&lt;&gt;0,INDEX(TabEntrainement[Seance],ROW()-18),"")</f>
        <v>43322</v>
      </c>
      <c r="C22" s="117"/>
      <c r="D22" s="117"/>
      <c r="E22" s="117"/>
      <c r="F22" s="117"/>
      <c r="G22" s="117"/>
      <c r="H22" s="117"/>
      <c r="I22" s="117"/>
      <c r="J22" s="117"/>
      <c r="K22" s="117"/>
      <c r="L22" s="117"/>
      <c r="M22" s="117"/>
      <c r="N22" s="117"/>
      <c r="O22" s="117"/>
      <c r="P22" s="117"/>
      <c r="Q22" s="117"/>
      <c r="R22" s="117"/>
      <c r="S22" s="117"/>
      <c r="T22" s="117"/>
      <c r="U22" s="117"/>
      <c r="V22" s="117"/>
      <c r="W22" s="117"/>
      <c r="X22" s="117"/>
      <c r="Y22" s="117"/>
      <c r="Z22" s="117"/>
      <c r="AA22" s="117"/>
      <c r="AB22" s="117"/>
      <c r="AC22" s="117"/>
      <c r="AD22" s="117"/>
      <c r="AE22" s="117"/>
      <c r="AF22" s="117"/>
      <c r="AG22" s="46" t="str">
        <f>IF(COUNTA(TabPerfo[[#This Row],[J1]:[J30]])&lt;&gt;0,AVERAGE(TabPerfo[[#This Row],[J1]:[J30]]),"")</f>
        <v/>
      </c>
      <c r="AH22" s="49" t="str">
        <f>TabPerfo[[#This Row],[Moyenne]]</f>
        <v/>
      </c>
      <c r="AI22" s="48"/>
    </row>
    <row r="23" spans="2:35" ht="14.25">
      <c r="B23" s="14">
        <f>IF(INDEX(TabEntrainement[Seance],ROW()-18)&lt;&gt;0,INDEX(TabEntrainement[Seance],ROW()-18),"")</f>
        <v>43325</v>
      </c>
      <c r="C23" s="117"/>
      <c r="D23" s="117"/>
      <c r="E23" s="117"/>
      <c r="F23" s="117"/>
      <c r="G23" s="117"/>
      <c r="H23" s="117"/>
      <c r="I23" s="117"/>
      <c r="J23" s="117"/>
      <c r="K23" s="117"/>
      <c r="L23" s="117"/>
      <c r="M23" s="117"/>
      <c r="N23" s="117"/>
      <c r="O23" s="117"/>
      <c r="P23" s="117"/>
      <c r="Q23" s="117"/>
      <c r="R23" s="117"/>
      <c r="S23" s="117"/>
      <c r="T23" s="117"/>
      <c r="U23" s="117"/>
      <c r="V23" s="117"/>
      <c r="W23" s="117"/>
      <c r="X23" s="117"/>
      <c r="Y23" s="117"/>
      <c r="Z23" s="117"/>
      <c r="AA23" s="117"/>
      <c r="AB23" s="117"/>
      <c r="AC23" s="117"/>
      <c r="AD23" s="117"/>
      <c r="AE23" s="117"/>
      <c r="AF23" s="117"/>
      <c r="AG23" s="46" t="str">
        <f>IF(COUNTA(TabPerfo[[#This Row],[J1]:[J30]])&lt;&gt;0,AVERAGE(TabPerfo[[#This Row],[J1]:[J30]]),"")</f>
        <v/>
      </c>
      <c r="AH23" s="49" t="str">
        <f>TabPerfo[[#This Row],[Moyenne]]</f>
        <v/>
      </c>
      <c r="AI23" s="48"/>
    </row>
    <row r="24" spans="2:35" ht="14.25">
      <c r="B24" s="14">
        <f>IF(INDEX(TabEntrainement[Seance],ROW()-18)&lt;&gt;0,INDEX(TabEntrainement[Seance],ROW()-18),"")</f>
        <v>43326</v>
      </c>
      <c r="C24" s="117"/>
      <c r="D24" s="117"/>
      <c r="E24" s="117"/>
      <c r="F24" s="117"/>
      <c r="G24" s="117"/>
      <c r="H24" s="117"/>
      <c r="I24" s="117"/>
      <c r="J24" s="117"/>
      <c r="K24" s="117"/>
      <c r="L24" s="117"/>
      <c r="M24" s="117"/>
      <c r="N24" s="117"/>
      <c r="O24" s="117"/>
      <c r="P24" s="117"/>
      <c r="Q24" s="117"/>
      <c r="R24" s="117"/>
      <c r="S24" s="117"/>
      <c r="T24" s="117"/>
      <c r="U24" s="117"/>
      <c r="V24" s="117"/>
      <c r="W24" s="117"/>
      <c r="X24" s="117"/>
      <c r="Y24" s="117"/>
      <c r="Z24" s="117"/>
      <c r="AA24" s="117"/>
      <c r="AB24" s="117"/>
      <c r="AC24" s="117"/>
      <c r="AD24" s="117"/>
      <c r="AE24" s="117"/>
      <c r="AF24" s="117"/>
      <c r="AG24" s="46" t="str">
        <f>IF(COUNTA(TabPerfo[[#This Row],[J1]:[J30]])&lt;&gt;0,AVERAGE(TabPerfo[[#This Row],[J1]:[J30]]),"")</f>
        <v/>
      </c>
      <c r="AH24" s="49" t="str">
        <f>TabPerfo[[#This Row],[Moyenne]]</f>
        <v/>
      </c>
      <c r="AI24" s="48"/>
    </row>
    <row r="25" spans="2:35" ht="14.25">
      <c r="B25" s="14">
        <f>IF(INDEX(TabEntrainement[Seance],ROW()-18)&lt;&gt;0,INDEX(TabEntrainement[Seance],ROW()-18),"")</f>
        <v>43327</v>
      </c>
      <c r="C25" s="117"/>
      <c r="D25" s="117"/>
      <c r="E25" s="117"/>
      <c r="F25" s="117"/>
      <c r="G25" s="117"/>
      <c r="H25" s="117"/>
      <c r="I25" s="117"/>
      <c r="J25" s="117"/>
      <c r="K25" s="117"/>
      <c r="L25" s="117"/>
      <c r="M25" s="117"/>
      <c r="N25" s="117"/>
      <c r="O25" s="117"/>
      <c r="P25" s="117"/>
      <c r="Q25" s="117"/>
      <c r="R25" s="117"/>
      <c r="S25" s="117"/>
      <c r="T25" s="117"/>
      <c r="U25" s="117"/>
      <c r="V25" s="117"/>
      <c r="W25" s="117"/>
      <c r="X25" s="117"/>
      <c r="Y25" s="117"/>
      <c r="Z25" s="117"/>
      <c r="AA25" s="117"/>
      <c r="AB25" s="117"/>
      <c r="AC25" s="117"/>
      <c r="AD25" s="117"/>
      <c r="AE25" s="117"/>
      <c r="AF25" s="117"/>
      <c r="AG25" s="46" t="str">
        <f>IF(COUNTA(TabPerfo[[#This Row],[J1]:[J30]])&lt;&gt;0,AVERAGE(TabPerfo[[#This Row],[J1]:[J30]]),"")</f>
        <v/>
      </c>
      <c r="AH25" s="49" t="str">
        <f>TabPerfo[[#This Row],[Moyenne]]</f>
        <v/>
      </c>
      <c r="AI25" s="48"/>
    </row>
    <row r="26" spans="2:35" ht="14.25">
      <c r="B26" s="14">
        <f>IF(INDEX(TabEntrainement[Seance],ROW()-18)&lt;&gt;0,INDEX(TabEntrainement[Seance],ROW()-18),"")</f>
        <v>43328</v>
      </c>
      <c r="C26" s="117"/>
      <c r="D26" s="117"/>
      <c r="E26" s="117"/>
      <c r="F26" s="117"/>
      <c r="G26" s="117"/>
      <c r="H26" s="117"/>
      <c r="I26" s="117"/>
      <c r="J26" s="117"/>
      <c r="K26" s="117"/>
      <c r="L26" s="117"/>
      <c r="M26" s="117"/>
      <c r="N26" s="117"/>
      <c r="O26" s="117"/>
      <c r="P26" s="117"/>
      <c r="Q26" s="117"/>
      <c r="R26" s="117"/>
      <c r="S26" s="117"/>
      <c r="T26" s="117"/>
      <c r="U26" s="117"/>
      <c r="V26" s="117"/>
      <c r="W26" s="117"/>
      <c r="X26" s="117"/>
      <c r="Y26" s="117"/>
      <c r="Z26" s="117"/>
      <c r="AA26" s="117"/>
      <c r="AB26" s="117"/>
      <c r="AC26" s="117"/>
      <c r="AD26" s="117"/>
      <c r="AE26" s="117"/>
      <c r="AF26" s="117"/>
      <c r="AG26" s="46" t="str">
        <f>IF(COUNTA(TabPerfo[[#This Row],[J1]:[J30]])&lt;&gt;0,AVERAGE(TabPerfo[[#This Row],[J1]:[J30]]),"")</f>
        <v/>
      </c>
      <c r="AH26" s="49" t="str">
        <f>TabPerfo[[#This Row],[Moyenne]]</f>
        <v/>
      </c>
      <c r="AI26" s="48"/>
    </row>
    <row r="27" spans="2:35" ht="14.25">
      <c r="B27" s="14">
        <f>IF(INDEX(TabEntrainement[Seance],ROW()-18)&lt;&gt;0,INDEX(TabEntrainement[Seance],ROW()-18),"")</f>
        <v>43329</v>
      </c>
      <c r="C27" s="117"/>
      <c r="D27" s="117"/>
      <c r="E27" s="117"/>
      <c r="F27" s="117"/>
      <c r="G27" s="117"/>
      <c r="H27" s="117"/>
      <c r="I27" s="117"/>
      <c r="J27" s="117"/>
      <c r="K27" s="117"/>
      <c r="L27" s="117"/>
      <c r="M27" s="117"/>
      <c r="N27" s="117"/>
      <c r="O27" s="117"/>
      <c r="P27" s="117"/>
      <c r="Q27" s="117"/>
      <c r="R27" s="117"/>
      <c r="S27" s="117"/>
      <c r="T27" s="117"/>
      <c r="U27" s="117"/>
      <c r="V27" s="117"/>
      <c r="W27" s="117"/>
      <c r="X27" s="117"/>
      <c r="Y27" s="117"/>
      <c r="Z27" s="117"/>
      <c r="AA27" s="117"/>
      <c r="AB27" s="117"/>
      <c r="AC27" s="117"/>
      <c r="AD27" s="117"/>
      <c r="AE27" s="117"/>
      <c r="AF27" s="117"/>
      <c r="AG27" s="46" t="str">
        <f>IF(COUNTA(TabPerfo[[#This Row],[J1]:[J30]])&lt;&gt;0,AVERAGE(TabPerfo[[#This Row],[J1]:[J30]]),"")</f>
        <v/>
      </c>
      <c r="AH27" s="49" t="str">
        <f>TabPerfo[[#This Row],[Moyenne]]</f>
        <v/>
      </c>
      <c r="AI27" s="48"/>
    </row>
    <row r="28" spans="2:35" ht="14.25">
      <c r="B28" s="14">
        <f>IF(INDEX(TabEntrainement[Seance],ROW()-18)&lt;&gt;0,INDEX(TabEntrainement[Seance],ROW()-18),"")</f>
        <v>43330</v>
      </c>
      <c r="C28" s="117"/>
      <c r="D28" s="117"/>
      <c r="E28" s="117"/>
      <c r="F28" s="117"/>
      <c r="G28" s="117"/>
      <c r="H28" s="117"/>
      <c r="I28" s="117"/>
      <c r="J28" s="117"/>
      <c r="K28" s="117"/>
      <c r="L28" s="117"/>
      <c r="M28" s="117"/>
      <c r="N28" s="117"/>
      <c r="O28" s="117"/>
      <c r="P28" s="117"/>
      <c r="Q28" s="117"/>
      <c r="R28" s="117"/>
      <c r="S28" s="117"/>
      <c r="T28" s="117"/>
      <c r="U28" s="117"/>
      <c r="V28" s="117"/>
      <c r="W28" s="117"/>
      <c r="X28" s="117"/>
      <c r="Y28" s="117"/>
      <c r="Z28" s="117"/>
      <c r="AA28" s="117"/>
      <c r="AB28" s="117"/>
      <c r="AC28" s="117"/>
      <c r="AD28" s="117"/>
      <c r="AE28" s="117"/>
      <c r="AF28" s="117"/>
      <c r="AG28" s="46" t="str">
        <f>IF(COUNTA(TabPerfo[[#This Row],[J1]:[J30]])&lt;&gt;0,AVERAGE(TabPerfo[[#This Row],[J1]:[J30]]),"")</f>
        <v/>
      </c>
      <c r="AH28" s="49" t="str">
        <f>TabPerfo[[#This Row],[Moyenne]]</f>
        <v/>
      </c>
      <c r="AI28" s="48"/>
    </row>
    <row r="29" spans="2:35" ht="14.25">
      <c r="B29" s="14">
        <f>IF(INDEX(TabEntrainement[Seance],ROW()-18)&lt;&gt;0,INDEX(TabEntrainement[Seance],ROW()-18),"")</f>
        <v>43332</v>
      </c>
      <c r="C29" s="117"/>
      <c r="D29" s="117"/>
      <c r="E29" s="117"/>
      <c r="F29" s="117"/>
      <c r="G29" s="117"/>
      <c r="H29" s="117"/>
      <c r="I29" s="117"/>
      <c r="J29" s="117"/>
      <c r="K29" s="117"/>
      <c r="L29" s="117"/>
      <c r="M29" s="117"/>
      <c r="N29" s="117"/>
      <c r="O29" s="117"/>
      <c r="P29" s="117"/>
      <c r="Q29" s="117"/>
      <c r="R29" s="117"/>
      <c r="S29" s="117"/>
      <c r="T29" s="117"/>
      <c r="U29" s="117"/>
      <c r="V29" s="117"/>
      <c r="W29" s="117"/>
      <c r="X29" s="117"/>
      <c r="Y29" s="117"/>
      <c r="Z29" s="117"/>
      <c r="AA29" s="117"/>
      <c r="AB29" s="117"/>
      <c r="AC29" s="117"/>
      <c r="AD29" s="117"/>
      <c r="AE29" s="117"/>
      <c r="AF29" s="117"/>
      <c r="AG29" s="46" t="str">
        <f>IF(COUNTA(TabPerfo[[#This Row],[J1]:[J30]])&lt;&gt;0,AVERAGE(TabPerfo[[#This Row],[J1]:[J30]]),"")</f>
        <v/>
      </c>
      <c r="AH29" s="49" t="str">
        <f>TabPerfo[[#This Row],[Moyenne]]</f>
        <v/>
      </c>
      <c r="AI29" s="48"/>
    </row>
    <row r="30" spans="2:35" ht="14.25">
      <c r="B30" s="14">
        <f>IF(INDEX(TabEntrainement[Seance],ROW()-18)&lt;&gt;0,INDEX(TabEntrainement[Seance],ROW()-18),"")</f>
        <v>43333</v>
      </c>
      <c r="C30" s="117"/>
      <c r="D30" s="117"/>
      <c r="E30" s="117"/>
      <c r="F30" s="117"/>
      <c r="G30" s="117"/>
      <c r="H30" s="117"/>
      <c r="I30" s="117"/>
      <c r="J30" s="117"/>
      <c r="K30" s="117"/>
      <c r="L30" s="117"/>
      <c r="M30" s="117"/>
      <c r="N30" s="117"/>
      <c r="O30" s="117"/>
      <c r="P30" s="117"/>
      <c r="Q30" s="117"/>
      <c r="R30" s="117"/>
      <c r="S30" s="117"/>
      <c r="T30" s="117"/>
      <c r="U30" s="117"/>
      <c r="V30" s="117"/>
      <c r="W30" s="117"/>
      <c r="X30" s="117"/>
      <c r="Y30" s="117"/>
      <c r="Z30" s="117"/>
      <c r="AA30" s="117"/>
      <c r="AB30" s="117"/>
      <c r="AC30" s="117"/>
      <c r="AD30" s="117"/>
      <c r="AE30" s="117"/>
      <c r="AF30" s="117"/>
      <c r="AG30" s="46" t="str">
        <f>IF(COUNTA(TabPerfo[[#This Row],[J1]:[J30]])&lt;&gt;0,AVERAGE(TabPerfo[[#This Row],[J1]:[J30]]),"")</f>
        <v/>
      </c>
      <c r="AH30" s="49" t="str">
        <f>TabPerfo[[#This Row],[Moyenne]]</f>
        <v/>
      </c>
      <c r="AI30" s="48"/>
    </row>
    <row r="31" spans="2:35" ht="14.25">
      <c r="B31" s="14">
        <f>IF(INDEX(TabEntrainement[Seance],ROW()-18)&lt;&gt;0,INDEX(TabEntrainement[Seance],ROW()-18),"")</f>
        <v>43335</v>
      </c>
      <c r="C31" s="117"/>
      <c r="D31" s="117"/>
      <c r="E31" s="117"/>
      <c r="F31" s="117"/>
      <c r="G31" s="117"/>
      <c r="H31" s="117"/>
      <c r="I31" s="117"/>
      <c r="J31" s="117"/>
      <c r="K31" s="117"/>
      <c r="L31" s="117"/>
      <c r="M31" s="117"/>
      <c r="N31" s="117"/>
      <c r="O31" s="117"/>
      <c r="P31" s="117"/>
      <c r="Q31" s="117"/>
      <c r="R31" s="117"/>
      <c r="S31" s="117"/>
      <c r="T31" s="117"/>
      <c r="U31" s="117"/>
      <c r="V31" s="117"/>
      <c r="W31" s="117"/>
      <c r="X31" s="117"/>
      <c r="Y31" s="117"/>
      <c r="Z31" s="117"/>
      <c r="AA31" s="117"/>
      <c r="AB31" s="117"/>
      <c r="AC31" s="117"/>
      <c r="AD31" s="117"/>
      <c r="AE31" s="117"/>
      <c r="AF31" s="117"/>
      <c r="AG31" s="46" t="str">
        <f>IF(COUNTA(TabPerfo[[#This Row],[J1]:[J30]])&lt;&gt;0,AVERAGE(TabPerfo[[#This Row],[J1]:[J30]]),"")</f>
        <v/>
      </c>
      <c r="AH31" s="49" t="str">
        <f>TabPerfo[[#This Row],[Moyenne]]</f>
        <v/>
      </c>
      <c r="AI31" s="48"/>
    </row>
    <row r="32" spans="2:35" ht="14.25">
      <c r="B32" s="14">
        <f>IF(INDEX(TabEntrainement[Seance],ROW()-18)&lt;&gt;0,INDEX(TabEntrainement[Seance],ROW()-18),"")</f>
        <v>43336</v>
      </c>
      <c r="C32" s="117"/>
      <c r="D32" s="117"/>
      <c r="E32" s="117"/>
      <c r="F32" s="117"/>
      <c r="G32" s="117"/>
      <c r="H32" s="117"/>
      <c r="I32" s="117"/>
      <c r="J32" s="117"/>
      <c r="K32" s="117"/>
      <c r="L32" s="117"/>
      <c r="M32" s="117"/>
      <c r="N32" s="117"/>
      <c r="O32" s="117"/>
      <c r="P32" s="117"/>
      <c r="Q32" s="117"/>
      <c r="R32" s="117"/>
      <c r="S32" s="117"/>
      <c r="T32" s="117"/>
      <c r="U32" s="117"/>
      <c r="V32" s="117"/>
      <c r="W32" s="117"/>
      <c r="X32" s="117"/>
      <c r="Y32" s="117"/>
      <c r="Z32" s="117"/>
      <c r="AA32" s="117"/>
      <c r="AB32" s="117"/>
      <c r="AC32" s="117"/>
      <c r="AD32" s="117"/>
      <c r="AE32" s="117"/>
      <c r="AF32" s="117"/>
      <c r="AG32" s="46" t="str">
        <f>IF(COUNTA(TabPerfo[[#This Row],[J1]:[J30]])&lt;&gt;0,AVERAGE(TabPerfo[[#This Row],[J1]:[J30]]),"")</f>
        <v/>
      </c>
      <c r="AH32" s="49" t="str">
        <f>TabPerfo[[#This Row],[Moyenne]]</f>
        <v/>
      </c>
      <c r="AI32" s="48"/>
    </row>
    <row r="33" spans="2:35" ht="14.25">
      <c r="B33" s="14">
        <f>IF(INDEX(TabEntrainement[Seance],ROW()-18)&lt;&gt;0,INDEX(TabEntrainement[Seance],ROW()-18),"")</f>
        <v>43339</v>
      </c>
      <c r="C33" s="117"/>
      <c r="D33" s="117"/>
      <c r="E33" s="117"/>
      <c r="F33" s="117"/>
      <c r="G33" s="117"/>
      <c r="H33" s="117"/>
      <c r="I33" s="117"/>
      <c r="J33" s="117"/>
      <c r="K33" s="117"/>
      <c r="L33" s="117"/>
      <c r="M33" s="117"/>
      <c r="N33" s="117"/>
      <c r="O33" s="117"/>
      <c r="P33" s="117"/>
      <c r="Q33" s="117"/>
      <c r="R33" s="117"/>
      <c r="S33" s="117"/>
      <c r="T33" s="117"/>
      <c r="U33" s="117"/>
      <c r="V33" s="117"/>
      <c r="W33" s="117"/>
      <c r="X33" s="117"/>
      <c r="Y33" s="117"/>
      <c r="Z33" s="117"/>
      <c r="AA33" s="117"/>
      <c r="AB33" s="117"/>
      <c r="AC33" s="117"/>
      <c r="AD33" s="117"/>
      <c r="AE33" s="117"/>
      <c r="AF33" s="117"/>
      <c r="AG33" s="46" t="str">
        <f>IF(COUNTA(TabPerfo[[#This Row],[J1]:[J30]])&lt;&gt;0,AVERAGE(TabPerfo[[#This Row],[J1]:[J30]]),"")</f>
        <v/>
      </c>
      <c r="AH33" s="49" t="str">
        <f>TabPerfo[[#This Row],[Moyenne]]</f>
        <v/>
      </c>
      <c r="AI33" s="48"/>
    </row>
    <row r="34" spans="2:35" ht="14.25">
      <c r="B34" s="14">
        <f>IF(INDEX(TabEntrainement[Seance],ROW()-18)&lt;&gt;0,INDEX(TabEntrainement[Seance],ROW()-18),"")</f>
        <v>43340</v>
      </c>
      <c r="C34" s="117"/>
      <c r="D34" s="117"/>
      <c r="E34" s="117"/>
      <c r="F34" s="117"/>
      <c r="G34" s="117"/>
      <c r="H34" s="117"/>
      <c r="I34" s="117"/>
      <c r="J34" s="117"/>
      <c r="K34" s="117"/>
      <c r="L34" s="117"/>
      <c r="M34" s="117"/>
      <c r="N34" s="117"/>
      <c r="O34" s="117"/>
      <c r="P34" s="117"/>
      <c r="Q34" s="117"/>
      <c r="R34" s="117"/>
      <c r="S34" s="117"/>
      <c r="T34" s="117"/>
      <c r="U34" s="117"/>
      <c r="V34" s="117"/>
      <c r="W34" s="117"/>
      <c r="X34" s="117"/>
      <c r="Y34" s="117"/>
      <c r="Z34" s="117"/>
      <c r="AA34" s="117"/>
      <c r="AB34" s="117"/>
      <c r="AC34" s="117"/>
      <c r="AD34" s="117"/>
      <c r="AE34" s="117"/>
      <c r="AF34" s="117"/>
      <c r="AG34" s="46" t="str">
        <f>IF(COUNTA(TabPerfo[[#This Row],[J1]:[J30]])&lt;&gt;0,AVERAGE(TabPerfo[[#This Row],[J1]:[J30]]),"")</f>
        <v/>
      </c>
      <c r="AH34" s="49" t="str">
        <f>TabPerfo[[#This Row],[Moyenne]]</f>
        <v/>
      </c>
      <c r="AI34" s="48"/>
    </row>
    <row r="35" spans="2:35" ht="14.25">
      <c r="B35" s="14">
        <f>IF(INDEX(TabEntrainement[Seance],ROW()-18)&lt;&gt;0,INDEX(TabEntrainement[Seance],ROW()-18),"")</f>
        <v>43342</v>
      </c>
      <c r="C35" s="117"/>
      <c r="D35" s="117"/>
      <c r="E35" s="117"/>
      <c r="F35" s="117"/>
      <c r="G35" s="117"/>
      <c r="H35" s="117"/>
      <c r="I35" s="117"/>
      <c r="J35" s="117"/>
      <c r="K35" s="117"/>
      <c r="L35" s="117"/>
      <c r="M35" s="117"/>
      <c r="N35" s="117"/>
      <c r="O35" s="117"/>
      <c r="P35" s="117"/>
      <c r="Q35" s="117"/>
      <c r="R35" s="117"/>
      <c r="S35" s="117"/>
      <c r="T35" s="117"/>
      <c r="U35" s="117"/>
      <c r="V35" s="117"/>
      <c r="W35" s="117"/>
      <c r="X35" s="117"/>
      <c r="Y35" s="117"/>
      <c r="Z35" s="117"/>
      <c r="AA35" s="117"/>
      <c r="AB35" s="117"/>
      <c r="AC35" s="117"/>
      <c r="AD35" s="117"/>
      <c r="AE35" s="117"/>
      <c r="AF35" s="117"/>
      <c r="AG35" s="46" t="str">
        <f>IF(COUNTA(TabPerfo[[#This Row],[J1]:[J30]])&lt;&gt;0,AVERAGE(TabPerfo[[#This Row],[J1]:[J30]]),"")</f>
        <v/>
      </c>
      <c r="AH35" s="49" t="str">
        <f>TabPerfo[[#This Row],[Moyenne]]</f>
        <v/>
      </c>
      <c r="AI35" s="48"/>
    </row>
    <row r="36" spans="2:35" ht="14.25">
      <c r="B36" s="14">
        <f>IF(INDEX(TabEntrainement[Seance],ROW()-18)&lt;&gt;0,INDEX(TabEntrainement[Seance],ROW()-18),"")</f>
        <v>43343</v>
      </c>
      <c r="C36" s="117"/>
      <c r="D36" s="117"/>
      <c r="E36" s="117"/>
      <c r="F36" s="117"/>
      <c r="G36" s="117"/>
      <c r="H36" s="117"/>
      <c r="I36" s="117"/>
      <c r="J36" s="117"/>
      <c r="K36" s="117"/>
      <c r="L36" s="117"/>
      <c r="M36" s="117"/>
      <c r="N36" s="117"/>
      <c r="O36" s="117"/>
      <c r="P36" s="117"/>
      <c r="Q36" s="117"/>
      <c r="R36" s="117"/>
      <c r="S36" s="117"/>
      <c r="T36" s="117"/>
      <c r="U36" s="117"/>
      <c r="V36" s="117"/>
      <c r="W36" s="117"/>
      <c r="X36" s="117"/>
      <c r="Y36" s="117"/>
      <c r="Z36" s="117"/>
      <c r="AA36" s="117"/>
      <c r="AB36" s="117"/>
      <c r="AC36" s="117"/>
      <c r="AD36" s="117"/>
      <c r="AE36" s="117"/>
      <c r="AF36" s="117"/>
      <c r="AG36" s="46" t="str">
        <f>IF(COUNTA(TabPerfo[[#This Row],[J1]:[J30]])&lt;&gt;0,AVERAGE(TabPerfo[[#This Row],[J1]:[J30]]),"")</f>
        <v/>
      </c>
      <c r="AH36" s="49" t="str">
        <f>TabPerfo[[#This Row],[Moyenne]]</f>
        <v/>
      </c>
      <c r="AI36" s="48"/>
    </row>
    <row r="37" spans="2:35" ht="14.25">
      <c r="B37" s="14">
        <f>IF(INDEX(TabEntrainement[Seance],ROW()-18)&lt;&gt;0,INDEX(TabEntrainement[Seance],ROW()-18),"")</f>
        <v>43347</v>
      </c>
      <c r="C37" s="117"/>
      <c r="D37" s="117"/>
      <c r="E37" s="117"/>
      <c r="F37" s="117"/>
      <c r="G37" s="117"/>
      <c r="H37" s="117"/>
      <c r="I37" s="117"/>
      <c r="J37" s="117"/>
      <c r="K37" s="117"/>
      <c r="L37" s="117"/>
      <c r="M37" s="117"/>
      <c r="N37" s="117"/>
      <c r="O37" s="117"/>
      <c r="P37" s="117"/>
      <c r="Q37" s="117"/>
      <c r="R37" s="117"/>
      <c r="S37" s="117"/>
      <c r="T37" s="117"/>
      <c r="U37" s="117"/>
      <c r="V37" s="117"/>
      <c r="W37" s="117"/>
      <c r="X37" s="117"/>
      <c r="Y37" s="117"/>
      <c r="Z37" s="117"/>
      <c r="AA37" s="117"/>
      <c r="AB37" s="117"/>
      <c r="AC37" s="117"/>
      <c r="AD37" s="117"/>
      <c r="AE37" s="117"/>
      <c r="AF37" s="117"/>
      <c r="AG37" s="46" t="str">
        <f>IF(COUNTA(TabPerfo[[#This Row],[J1]:[J30]])&lt;&gt;0,AVERAGE(TabPerfo[[#This Row],[J1]:[J30]]),"")</f>
        <v/>
      </c>
      <c r="AH37" s="49" t="str">
        <f>TabPerfo[[#This Row],[Moyenne]]</f>
        <v/>
      </c>
      <c r="AI37" s="48"/>
    </row>
    <row r="38" spans="2:35" ht="14.25">
      <c r="B38" s="14">
        <f>IF(INDEX(TabEntrainement[Seance],ROW()-18)&lt;&gt;0,INDEX(TabEntrainement[Seance],ROW()-18),"")</f>
        <v>43349</v>
      </c>
      <c r="C38" s="117"/>
      <c r="D38" s="117"/>
      <c r="E38" s="117"/>
      <c r="F38" s="117"/>
      <c r="G38" s="117"/>
      <c r="H38" s="117"/>
      <c r="I38" s="117"/>
      <c r="J38" s="117"/>
      <c r="K38" s="117"/>
      <c r="L38" s="117"/>
      <c r="M38" s="117"/>
      <c r="N38" s="117"/>
      <c r="O38" s="117"/>
      <c r="P38" s="117"/>
      <c r="Q38" s="117"/>
      <c r="R38" s="117"/>
      <c r="S38" s="117"/>
      <c r="T38" s="117"/>
      <c r="U38" s="117"/>
      <c r="V38" s="117"/>
      <c r="W38" s="117"/>
      <c r="X38" s="117"/>
      <c r="Y38" s="117"/>
      <c r="Z38" s="117"/>
      <c r="AA38" s="117"/>
      <c r="AB38" s="117"/>
      <c r="AC38" s="117"/>
      <c r="AD38" s="117"/>
      <c r="AE38" s="117"/>
      <c r="AF38" s="117"/>
      <c r="AG38" s="46" t="str">
        <f>IF(COUNTA(TabPerfo[[#This Row],[J1]:[J30]])&lt;&gt;0,AVERAGE(TabPerfo[[#This Row],[J1]:[J30]]),"")</f>
        <v/>
      </c>
      <c r="AH38" s="49" t="str">
        <f>TabPerfo[[#This Row],[Moyenne]]</f>
        <v/>
      </c>
      <c r="AI38" s="48"/>
    </row>
    <row r="39" spans="2:35" ht="14.25">
      <c r="B39" s="14">
        <f>IF(INDEX(TabEntrainement[Seance],ROW()-18)&lt;&gt;0,INDEX(TabEntrainement[Seance],ROW()-18),"")</f>
        <v>43350</v>
      </c>
      <c r="C39" s="117"/>
      <c r="D39" s="117"/>
      <c r="E39" s="117"/>
      <c r="F39" s="117"/>
      <c r="G39" s="117"/>
      <c r="H39" s="117"/>
      <c r="I39" s="117"/>
      <c r="J39" s="117"/>
      <c r="K39" s="117"/>
      <c r="L39" s="117"/>
      <c r="M39" s="117"/>
      <c r="N39" s="117"/>
      <c r="O39" s="117"/>
      <c r="P39" s="117"/>
      <c r="Q39" s="117"/>
      <c r="R39" s="117"/>
      <c r="S39" s="117"/>
      <c r="T39" s="117"/>
      <c r="U39" s="117"/>
      <c r="V39" s="117"/>
      <c r="W39" s="117"/>
      <c r="X39" s="117"/>
      <c r="Y39" s="117"/>
      <c r="Z39" s="117"/>
      <c r="AA39" s="117"/>
      <c r="AB39" s="117"/>
      <c r="AC39" s="117"/>
      <c r="AD39" s="117"/>
      <c r="AE39" s="117"/>
      <c r="AF39" s="117"/>
      <c r="AG39" s="46" t="str">
        <f>IF(COUNTA(TabPerfo[[#This Row],[J1]:[J30]])&lt;&gt;0,AVERAGE(TabPerfo[[#This Row],[J1]:[J30]]),"")</f>
        <v/>
      </c>
      <c r="AH39" s="49" t="str">
        <f>TabPerfo[[#This Row],[Moyenne]]</f>
        <v/>
      </c>
      <c r="AI39" s="48"/>
    </row>
    <row r="40" spans="2:35" ht="14.25">
      <c r="B40" s="14">
        <f>IF(INDEX(TabEntrainement[Seance],ROW()-18)&lt;&gt;0,INDEX(TabEntrainement[Seance],ROW()-18),"")</f>
        <v>43354</v>
      </c>
      <c r="C40" s="117"/>
      <c r="D40" s="117"/>
      <c r="E40" s="117"/>
      <c r="F40" s="117"/>
      <c r="G40" s="117"/>
      <c r="H40" s="117"/>
      <c r="I40" s="117"/>
      <c r="J40" s="117"/>
      <c r="K40" s="117"/>
      <c r="L40" s="117"/>
      <c r="M40" s="117"/>
      <c r="N40" s="117"/>
      <c r="O40" s="117"/>
      <c r="P40" s="117"/>
      <c r="Q40" s="117"/>
      <c r="R40" s="117"/>
      <c r="S40" s="117"/>
      <c r="T40" s="117"/>
      <c r="U40" s="117"/>
      <c r="V40" s="117"/>
      <c r="W40" s="117"/>
      <c r="X40" s="117"/>
      <c r="Y40" s="117"/>
      <c r="Z40" s="117"/>
      <c r="AA40" s="117"/>
      <c r="AB40" s="117"/>
      <c r="AC40" s="117"/>
      <c r="AD40" s="117"/>
      <c r="AE40" s="117"/>
      <c r="AF40" s="117"/>
      <c r="AG40" s="46" t="str">
        <f>IF(COUNTA(TabPerfo[[#This Row],[J1]:[J30]])&lt;&gt;0,AVERAGE(TabPerfo[[#This Row],[J1]:[J30]]),"")</f>
        <v/>
      </c>
      <c r="AH40" s="49" t="str">
        <f>TabPerfo[[#This Row],[Moyenne]]</f>
        <v/>
      </c>
      <c r="AI40" s="48"/>
    </row>
    <row r="41" spans="2:35" ht="14.25">
      <c r="B41" s="14">
        <f>IF(INDEX(TabEntrainement[Seance],ROW()-18)&lt;&gt;0,INDEX(TabEntrainement[Seance],ROW()-18),"")</f>
        <v>43357</v>
      </c>
      <c r="C41" s="117"/>
      <c r="D41" s="117"/>
      <c r="E41" s="117"/>
      <c r="F41" s="117"/>
      <c r="G41" s="117"/>
      <c r="H41" s="117"/>
      <c r="I41" s="117"/>
      <c r="J41" s="117"/>
      <c r="K41" s="117"/>
      <c r="L41" s="117"/>
      <c r="M41" s="117"/>
      <c r="N41" s="117"/>
      <c r="O41" s="117"/>
      <c r="P41" s="117"/>
      <c r="Q41" s="117"/>
      <c r="R41" s="117"/>
      <c r="S41" s="117"/>
      <c r="T41" s="117"/>
      <c r="U41" s="117"/>
      <c r="V41" s="117"/>
      <c r="W41" s="117"/>
      <c r="X41" s="117"/>
      <c r="Y41" s="117"/>
      <c r="Z41" s="117"/>
      <c r="AA41" s="117"/>
      <c r="AB41" s="117"/>
      <c r="AC41" s="117"/>
      <c r="AD41" s="117"/>
      <c r="AE41" s="117"/>
      <c r="AF41" s="117"/>
      <c r="AG41" s="46" t="str">
        <f>IF(COUNTA(TabPerfo[[#This Row],[J1]:[J30]])&lt;&gt;0,AVERAGE(TabPerfo[[#This Row],[J1]:[J30]]),"")</f>
        <v/>
      </c>
      <c r="AH41" s="49" t="str">
        <f>TabPerfo[[#This Row],[Moyenne]]</f>
        <v/>
      </c>
      <c r="AI41" s="48"/>
    </row>
    <row r="42" spans="2:35" ht="14.25">
      <c r="B42" s="14">
        <f>IF(INDEX(TabEntrainement[Seance],ROW()-18)&lt;&gt;0,INDEX(TabEntrainement[Seance],ROW()-18),"")</f>
        <v>43358</v>
      </c>
      <c r="C42" s="117"/>
      <c r="D42" s="117"/>
      <c r="E42" s="117"/>
      <c r="F42" s="117"/>
      <c r="G42" s="117"/>
      <c r="H42" s="117"/>
      <c r="I42" s="117"/>
      <c r="J42" s="117"/>
      <c r="K42" s="117"/>
      <c r="L42" s="117"/>
      <c r="M42" s="117"/>
      <c r="N42" s="117"/>
      <c r="O42" s="117"/>
      <c r="P42" s="117"/>
      <c r="Q42" s="117"/>
      <c r="R42" s="117"/>
      <c r="S42" s="117"/>
      <c r="T42" s="117"/>
      <c r="U42" s="117"/>
      <c r="V42" s="117"/>
      <c r="W42" s="117"/>
      <c r="X42" s="117"/>
      <c r="Y42" s="117"/>
      <c r="Z42" s="117"/>
      <c r="AA42" s="117"/>
      <c r="AB42" s="117"/>
      <c r="AC42" s="117"/>
      <c r="AD42" s="117"/>
      <c r="AE42" s="117"/>
      <c r="AF42" s="117"/>
      <c r="AG42" s="46" t="str">
        <f>IF(COUNTA(TabPerfo[[#This Row],[J1]:[J30]])&lt;&gt;0,AVERAGE(TabPerfo[[#This Row],[J1]:[J30]]),"")</f>
        <v/>
      </c>
      <c r="AH42" s="49" t="str">
        <f>TabPerfo[[#This Row],[Moyenne]]</f>
        <v/>
      </c>
      <c r="AI42" s="48"/>
    </row>
    <row r="43" spans="2:35" ht="14.25">
      <c r="B43" s="14" t="str">
        <f>IF(INDEX(TabEntrainement[Seance],ROW()-18)&lt;&gt;0,INDEX(TabEntrainement[Seance],ROW()-18),"")</f>
        <v/>
      </c>
      <c r="C43" s="117"/>
      <c r="D43" s="117"/>
      <c r="E43" s="117"/>
      <c r="F43" s="117"/>
      <c r="G43" s="117"/>
      <c r="H43" s="117"/>
      <c r="I43" s="117"/>
      <c r="J43" s="117"/>
      <c r="K43" s="117"/>
      <c r="L43" s="117"/>
      <c r="M43" s="117"/>
      <c r="N43" s="117"/>
      <c r="O43" s="117"/>
      <c r="P43" s="117"/>
      <c r="Q43" s="117"/>
      <c r="R43" s="117"/>
      <c r="S43" s="117"/>
      <c r="T43" s="117"/>
      <c r="U43" s="117"/>
      <c r="V43" s="117"/>
      <c r="W43" s="117"/>
      <c r="X43" s="117"/>
      <c r="Y43" s="117"/>
      <c r="Z43" s="117"/>
      <c r="AA43" s="117"/>
      <c r="AB43" s="117"/>
      <c r="AC43" s="117"/>
      <c r="AD43" s="117"/>
      <c r="AE43" s="117"/>
      <c r="AF43" s="117"/>
      <c r="AG43" s="46" t="str">
        <f>IF(COUNTA(TabPerfo[[#This Row],[J1]:[J30]])&lt;&gt;0,AVERAGE(TabPerfo[[#This Row],[J1]:[J30]]),"")</f>
        <v/>
      </c>
      <c r="AH43" s="49" t="str">
        <f>TabPerfo[[#This Row],[Moyenne]]</f>
        <v/>
      </c>
      <c r="AI43" s="48"/>
    </row>
    <row r="44" spans="2:35" ht="14.25">
      <c r="B44" s="14" t="str">
        <f>IF(INDEX(TabEntrainement[Seance],ROW()-18)&lt;&gt;0,INDEX(TabEntrainement[Seance],ROW()-18),"")</f>
        <v/>
      </c>
      <c r="C44" s="117"/>
      <c r="D44" s="117"/>
      <c r="E44" s="117"/>
      <c r="F44" s="117"/>
      <c r="G44" s="117"/>
      <c r="H44" s="117"/>
      <c r="I44" s="117"/>
      <c r="J44" s="117"/>
      <c r="K44" s="117"/>
      <c r="L44" s="117"/>
      <c r="M44" s="117"/>
      <c r="N44" s="117"/>
      <c r="O44" s="117"/>
      <c r="P44" s="117"/>
      <c r="Q44" s="117"/>
      <c r="R44" s="117"/>
      <c r="S44" s="117"/>
      <c r="T44" s="117"/>
      <c r="U44" s="117"/>
      <c r="V44" s="117"/>
      <c r="W44" s="117"/>
      <c r="X44" s="117"/>
      <c r="Y44" s="117"/>
      <c r="Z44" s="117"/>
      <c r="AA44" s="117"/>
      <c r="AB44" s="117"/>
      <c r="AC44" s="117"/>
      <c r="AD44" s="117"/>
      <c r="AE44" s="117"/>
      <c r="AF44" s="117"/>
      <c r="AG44" s="46" t="str">
        <f>IF(COUNTA(TabPerfo[[#This Row],[J1]:[J30]])&lt;&gt;0,AVERAGE(TabPerfo[[#This Row],[J1]:[J30]]),"")</f>
        <v/>
      </c>
      <c r="AH44" s="49" t="str">
        <f>TabPerfo[[#This Row],[Moyenne]]</f>
        <v/>
      </c>
      <c r="AI44" s="48"/>
    </row>
    <row r="45" spans="2:35" ht="14.25">
      <c r="B45" s="14" t="str">
        <f>IF(INDEX(TabEntrainement[Seance],ROW()-18)&lt;&gt;0,INDEX(TabEntrainement[Seance],ROW()-18),"")</f>
        <v/>
      </c>
      <c r="C45" s="117"/>
      <c r="D45" s="117"/>
      <c r="E45" s="117"/>
      <c r="F45" s="117"/>
      <c r="G45" s="117"/>
      <c r="H45" s="117"/>
      <c r="I45" s="117"/>
      <c r="J45" s="117"/>
      <c r="K45" s="117"/>
      <c r="L45" s="117"/>
      <c r="M45" s="117"/>
      <c r="N45" s="117"/>
      <c r="O45" s="117"/>
      <c r="P45" s="117"/>
      <c r="Q45" s="117"/>
      <c r="R45" s="117"/>
      <c r="S45" s="117"/>
      <c r="T45" s="117"/>
      <c r="U45" s="117"/>
      <c r="V45" s="117"/>
      <c r="W45" s="117"/>
      <c r="X45" s="117"/>
      <c r="Y45" s="117"/>
      <c r="Z45" s="117"/>
      <c r="AA45" s="117"/>
      <c r="AB45" s="117"/>
      <c r="AC45" s="117"/>
      <c r="AD45" s="117"/>
      <c r="AE45" s="117"/>
      <c r="AF45" s="117"/>
      <c r="AG45" s="46" t="str">
        <f>IF(COUNTA(TabPerfo[[#This Row],[J1]:[J30]])&lt;&gt;0,AVERAGE(TabPerfo[[#This Row],[J1]:[J30]]),"")</f>
        <v/>
      </c>
      <c r="AH45" s="49" t="str">
        <f>TabPerfo[[#This Row],[Moyenne]]</f>
        <v/>
      </c>
      <c r="AI45" s="48"/>
    </row>
    <row r="46" spans="2:35" ht="14.25">
      <c r="B46" s="14" t="str">
        <f>IF(INDEX(TabEntrainement[Seance],ROW()-18)&lt;&gt;0,INDEX(TabEntrainement[Seance],ROW()-18),"")</f>
        <v/>
      </c>
      <c r="C46" s="117"/>
      <c r="D46" s="117"/>
      <c r="E46" s="117"/>
      <c r="F46" s="117"/>
      <c r="G46" s="117"/>
      <c r="H46" s="117"/>
      <c r="I46" s="117"/>
      <c r="J46" s="117"/>
      <c r="K46" s="117"/>
      <c r="L46" s="117"/>
      <c r="M46" s="117"/>
      <c r="N46" s="117"/>
      <c r="O46" s="117"/>
      <c r="P46" s="117"/>
      <c r="Q46" s="117"/>
      <c r="R46" s="117"/>
      <c r="S46" s="117"/>
      <c r="T46" s="117"/>
      <c r="U46" s="117"/>
      <c r="V46" s="117"/>
      <c r="W46" s="117"/>
      <c r="X46" s="117"/>
      <c r="Y46" s="117"/>
      <c r="Z46" s="117"/>
      <c r="AA46" s="117"/>
      <c r="AB46" s="117"/>
      <c r="AC46" s="117"/>
      <c r="AD46" s="117"/>
      <c r="AE46" s="117"/>
      <c r="AF46" s="117"/>
      <c r="AG46" s="46" t="str">
        <f>IF(COUNTA(TabPerfo[[#This Row],[J1]:[J30]])&lt;&gt;0,AVERAGE(TabPerfo[[#This Row],[J1]:[J30]]),"")</f>
        <v/>
      </c>
      <c r="AH46" s="49" t="str">
        <f>TabPerfo[[#This Row],[Moyenne]]</f>
        <v/>
      </c>
      <c r="AI46" s="48"/>
    </row>
    <row r="47" spans="2:35" ht="14.25">
      <c r="B47" s="14" t="str">
        <f>IF(INDEX(TabEntrainement[Seance],ROW()-18)&lt;&gt;0,INDEX(TabEntrainement[Seance],ROW()-18),"")</f>
        <v/>
      </c>
      <c r="C47" s="117"/>
      <c r="D47" s="117"/>
      <c r="E47" s="117"/>
      <c r="F47" s="117"/>
      <c r="G47" s="117"/>
      <c r="H47" s="117"/>
      <c r="I47" s="117"/>
      <c r="J47" s="117"/>
      <c r="K47" s="117"/>
      <c r="L47" s="117"/>
      <c r="M47" s="117"/>
      <c r="N47" s="117"/>
      <c r="O47" s="117"/>
      <c r="P47" s="117"/>
      <c r="Q47" s="117"/>
      <c r="R47" s="117"/>
      <c r="S47" s="117"/>
      <c r="T47" s="117"/>
      <c r="U47" s="117"/>
      <c r="V47" s="117"/>
      <c r="W47" s="117"/>
      <c r="X47" s="117"/>
      <c r="Y47" s="117"/>
      <c r="Z47" s="117"/>
      <c r="AA47" s="117"/>
      <c r="AB47" s="117"/>
      <c r="AC47" s="117"/>
      <c r="AD47" s="117"/>
      <c r="AE47" s="117"/>
      <c r="AF47" s="117"/>
      <c r="AG47" s="46" t="str">
        <f>IF(COUNTA(TabPerfo[[#This Row],[J1]:[J30]])&lt;&gt;0,AVERAGE(TabPerfo[[#This Row],[J1]:[J30]]),"")</f>
        <v/>
      </c>
      <c r="AH47" s="49" t="str">
        <f>TabPerfo[[#This Row],[Moyenne]]</f>
        <v/>
      </c>
      <c r="AI47" s="48"/>
    </row>
    <row r="48" spans="2:35" ht="14.25">
      <c r="B48" s="14" t="str">
        <f>IF(INDEX(TabEntrainement[Seance],ROW()-18)&lt;&gt;0,INDEX(TabEntrainement[Seance],ROW()-18),"")</f>
        <v/>
      </c>
      <c r="C48" s="117"/>
      <c r="D48" s="117"/>
      <c r="E48" s="117"/>
      <c r="F48" s="117"/>
      <c r="G48" s="117"/>
      <c r="H48" s="117"/>
      <c r="I48" s="117"/>
      <c r="J48" s="117"/>
      <c r="K48" s="117"/>
      <c r="L48" s="117"/>
      <c r="M48" s="117"/>
      <c r="N48" s="117"/>
      <c r="O48" s="117"/>
      <c r="P48" s="117"/>
      <c r="Q48" s="117"/>
      <c r="R48" s="117"/>
      <c r="S48" s="117"/>
      <c r="T48" s="117"/>
      <c r="U48" s="117"/>
      <c r="V48" s="117"/>
      <c r="W48" s="117"/>
      <c r="X48" s="117"/>
      <c r="Y48" s="117"/>
      <c r="Z48" s="117"/>
      <c r="AA48" s="117"/>
      <c r="AB48" s="117"/>
      <c r="AC48" s="117"/>
      <c r="AD48" s="117"/>
      <c r="AE48" s="117"/>
      <c r="AF48" s="117"/>
      <c r="AG48" s="46" t="str">
        <f>IF(COUNTA(TabPerfo[[#This Row],[J1]:[J30]])&lt;&gt;0,AVERAGE(TabPerfo[[#This Row],[J1]:[J30]]),"")</f>
        <v/>
      </c>
      <c r="AH48" s="49" t="str">
        <f>TabPerfo[[#This Row],[Moyenne]]</f>
        <v/>
      </c>
      <c r="AI48" s="48"/>
    </row>
    <row r="49" spans="2:35" ht="14.25">
      <c r="B49" s="14" t="str">
        <f>IF(INDEX(TabEntrainement[Seance],ROW()-18)&lt;&gt;0,INDEX(TabEntrainement[Seance],ROW()-18),"")</f>
        <v/>
      </c>
      <c r="C49" s="117"/>
      <c r="D49" s="117"/>
      <c r="E49" s="117"/>
      <c r="F49" s="117"/>
      <c r="G49" s="117"/>
      <c r="H49" s="117"/>
      <c r="I49" s="117"/>
      <c r="J49" s="117"/>
      <c r="K49" s="117"/>
      <c r="L49" s="117"/>
      <c r="M49" s="117"/>
      <c r="N49" s="117"/>
      <c r="O49" s="117"/>
      <c r="P49" s="117"/>
      <c r="Q49" s="117"/>
      <c r="R49" s="117"/>
      <c r="S49" s="117"/>
      <c r="T49" s="117"/>
      <c r="U49" s="117"/>
      <c r="V49" s="117"/>
      <c r="W49" s="117"/>
      <c r="X49" s="117"/>
      <c r="Y49" s="117"/>
      <c r="Z49" s="117"/>
      <c r="AA49" s="117"/>
      <c r="AB49" s="117"/>
      <c r="AC49" s="117"/>
      <c r="AD49" s="117"/>
      <c r="AE49" s="117"/>
      <c r="AF49" s="117"/>
      <c r="AG49" s="46" t="str">
        <f>IF(COUNTA(TabPerfo[[#This Row],[J1]:[J30]])&lt;&gt;0,AVERAGE(TabPerfo[[#This Row],[J1]:[J30]]),"")</f>
        <v/>
      </c>
      <c r="AH49" s="49" t="str">
        <f>TabPerfo[[#This Row],[Moyenne]]</f>
        <v/>
      </c>
      <c r="AI49" s="48"/>
    </row>
    <row r="50" spans="2:35" ht="14.25">
      <c r="B50" s="14" t="str">
        <f>IF(INDEX(TabEntrainement[Seance],ROW()-18)&lt;&gt;0,INDEX(TabEntrainement[Seance],ROW()-18),"")</f>
        <v/>
      </c>
      <c r="C50" s="117"/>
      <c r="D50" s="117"/>
      <c r="E50" s="117"/>
      <c r="F50" s="117"/>
      <c r="G50" s="117"/>
      <c r="H50" s="117"/>
      <c r="I50" s="117"/>
      <c r="J50" s="117"/>
      <c r="K50" s="117"/>
      <c r="L50" s="117"/>
      <c r="M50" s="117"/>
      <c r="N50" s="117"/>
      <c r="O50" s="117"/>
      <c r="P50" s="117"/>
      <c r="Q50" s="117"/>
      <c r="R50" s="117"/>
      <c r="S50" s="117"/>
      <c r="T50" s="117"/>
      <c r="U50" s="117"/>
      <c r="V50" s="117"/>
      <c r="W50" s="117"/>
      <c r="X50" s="117"/>
      <c r="Y50" s="117"/>
      <c r="Z50" s="117"/>
      <c r="AA50" s="117"/>
      <c r="AB50" s="117"/>
      <c r="AC50" s="117"/>
      <c r="AD50" s="117"/>
      <c r="AE50" s="117"/>
      <c r="AF50" s="117"/>
      <c r="AG50" s="46" t="str">
        <f>IF(COUNTA(TabPerfo[[#This Row],[J1]:[J30]])&lt;&gt;0,AVERAGE(TabPerfo[[#This Row],[J1]:[J30]]),"")</f>
        <v/>
      </c>
      <c r="AH50" s="49" t="str">
        <f>TabPerfo[[#This Row],[Moyenne]]</f>
        <v/>
      </c>
      <c r="AI50" s="48"/>
    </row>
    <row r="51" spans="2:35" ht="14.25">
      <c r="B51" s="14" t="str">
        <f>IF(INDEX(TabEntrainement[Seance],ROW()-18)&lt;&gt;0,INDEX(TabEntrainement[Seance],ROW()-18),"")</f>
        <v/>
      </c>
      <c r="C51" s="117"/>
      <c r="D51" s="117"/>
      <c r="E51" s="117"/>
      <c r="F51" s="117"/>
      <c r="G51" s="117"/>
      <c r="H51" s="117"/>
      <c r="I51" s="117"/>
      <c r="J51" s="117"/>
      <c r="K51" s="117"/>
      <c r="L51" s="117"/>
      <c r="M51" s="117"/>
      <c r="N51" s="117"/>
      <c r="O51" s="117"/>
      <c r="P51" s="117"/>
      <c r="Q51" s="117"/>
      <c r="R51" s="117"/>
      <c r="S51" s="117"/>
      <c r="T51" s="117"/>
      <c r="U51" s="117"/>
      <c r="V51" s="117"/>
      <c r="W51" s="117"/>
      <c r="X51" s="117"/>
      <c r="Y51" s="117"/>
      <c r="Z51" s="117"/>
      <c r="AA51" s="117"/>
      <c r="AB51" s="117"/>
      <c r="AC51" s="117"/>
      <c r="AD51" s="117"/>
      <c r="AE51" s="117"/>
      <c r="AF51" s="117"/>
      <c r="AG51" s="46" t="str">
        <f>IF(COUNTA(TabPerfo[[#This Row],[J1]:[J30]])&lt;&gt;0,AVERAGE(TabPerfo[[#This Row],[J1]:[J30]]),"")</f>
        <v/>
      </c>
      <c r="AH51" s="49" t="str">
        <f>TabPerfo[[#This Row],[Moyenne]]</f>
        <v/>
      </c>
      <c r="AI51" s="48"/>
    </row>
    <row r="52" spans="2:35" ht="14.25">
      <c r="B52" s="14" t="str">
        <f>IF(INDEX(TabEntrainement[Seance],ROW()-18)&lt;&gt;0,INDEX(TabEntrainement[Seance],ROW()-18),"")</f>
        <v/>
      </c>
      <c r="C52" s="117"/>
      <c r="D52" s="117"/>
      <c r="E52" s="117"/>
      <c r="F52" s="117"/>
      <c r="G52" s="117"/>
      <c r="H52" s="117"/>
      <c r="I52" s="117"/>
      <c r="J52" s="117"/>
      <c r="K52" s="117"/>
      <c r="L52" s="117"/>
      <c r="M52" s="117"/>
      <c r="N52" s="117"/>
      <c r="O52" s="117"/>
      <c r="P52" s="117"/>
      <c r="Q52" s="117"/>
      <c r="R52" s="117"/>
      <c r="S52" s="117"/>
      <c r="T52" s="117"/>
      <c r="U52" s="117"/>
      <c r="V52" s="117"/>
      <c r="W52" s="117"/>
      <c r="X52" s="117"/>
      <c r="Y52" s="117"/>
      <c r="Z52" s="117"/>
      <c r="AA52" s="117"/>
      <c r="AB52" s="117"/>
      <c r="AC52" s="117"/>
      <c r="AD52" s="117"/>
      <c r="AE52" s="117"/>
      <c r="AF52" s="117"/>
      <c r="AG52" s="46" t="str">
        <f>IF(COUNTA(TabPerfo[[#This Row],[J1]:[J30]])&lt;&gt;0,AVERAGE(TabPerfo[[#This Row],[J1]:[J30]]),"")</f>
        <v/>
      </c>
      <c r="AH52" s="49" t="str">
        <f>TabPerfo[[#This Row],[Moyenne]]</f>
        <v/>
      </c>
      <c r="AI52" s="48"/>
    </row>
    <row r="53" spans="2:35" ht="14.25">
      <c r="B53" s="14" t="str">
        <f>IF(INDEX(TabEntrainement[Seance],ROW()-18)&lt;&gt;0,INDEX(TabEntrainement[Seance],ROW()-18),"")</f>
        <v/>
      </c>
      <c r="C53" s="117"/>
      <c r="D53" s="117"/>
      <c r="E53" s="117"/>
      <c r="F53" s="117"/>
      <c r="G53" s="117"/>
      <c r="H53" s="117"/>
      <c r="I53" s="117"/>
      <c r="J53" s="117"/>
      <c r="K53" s="117"/>
      <c r="L53" s="117"/>
      <c r="M53" s="117"/>
      <c r="N53" s="117"/>
      <c r="O53" s="117"/>
      <c r="P53" s="117"/>
      <c r="Q53" s="117"/>
      <c r="R53" s="117"/>
      <c r="S53" s="117"/>
      <c r="T53" s="117"/>
      <c r="U53" s="117"/>
      <c r="V53" s="117"/>
      <c r="W53" s="117"/>
      <c r="X53" s="117"/>
      <c r="Y53" s="117"/>
      <c r="Z53" s="117"/>
      <c r="AA53" s="117"/>
      <c r="AB53" s="117"/>
      <c r="AC53" s="117"/>
      <c r="AD53" s="117"/>
      <c r="AE53" s="117"/>
      <c r="AF53" s="117"/>
      <c r="AG53" s="46" t="str">
        <f>IF(COUNTA(TabPerfo[[#This Row],[J1]:[J30]])&lt;&gt;0,AVERAGE(TabPerfo[[#This Row],[J1]:[J30]]),"")</f>
        <v/>
      </c>
      <c r="AH53" s="49" t="str">
        <f>TabPerfo[[#This Row],[Moyenne]]</f>
        <v/>
      </c>
      <c r="AI53" s="48"/>
    </row>
    <row r="54" spans="2:35" ht="14.25">
      <c r="B54" s="14" t="str">
        <f>IF(INDEX(TabEntrainement[Seance],ROW()-18)&lt;&gt;0,INDEX(TabEntrainement[Seance],ROW()-18),"")</f>
        <v/>
      </c>
      <c r="C54" s="117"/>
      <c r="D54" s="117"/>
      <c r="E54" s="117"/>
      <c r="F54" s="117"/>
      <c r="G54" s="117"/>
      <c r="H54" s="117"/>
      <c r="I54" s="117"/>
      <c r="J54" s="117"/>
      <c r="K54" s="117"/>
      <c r="L54" s="117"/>
      <c r="M54" s="117"/>
      <c r="N54" s="117"/>
      <c r="O54" s="117"/>
      <c r="P54" s="117"/>
      <c r="Q54" s="117"/>
      <c r="R54" s="117"/>
      <c r="S54" s="117"/>
      <c r="T54" s="117"/>
      <c r="U54" s="117"/>
      <c r="V54" s="117"/>
      <c r="W54" s="117"/>
      <c r="X54" s="117"/>
      <c r="Y54" s="117"/>
      <c r="Z54" s="117"/>
      <c r="AA54" s="117"/>
      <c r="AB54" s="117"/>
      <c r="AC54" s="117"/>
      <c r="AD54" s="117"/>
      <c r="AE54" s="117"/>
      <c r="AF54" s="117"/>
      <c r="AG54" s="46" t="str">
        <f>IF(COUNTA(TabPerfo[[#This Row],[J1]:[J30]])&lt;&gt;0,AVERAGE(TabPerfo[[#This Row],[J1]:[J30]]),"")</f>
        <v/>
      </c>
      <c r="AH54" s="49" t="str">
        <f>TabPerfo[[#This Row],[Moyenne]]</f>
        <v/>
      </c>
      <c r="AI54" s="48"/>
    </row>
    <row r="55" spans="2:35" ht="14.25">
      <c r="B55" s="14" t="str">
        <f>IF(INDEX(TabEntrainement[Seance],ROW()-18)&lt;&gt;0,INDEX(TabEntrainement[Seance],ROW()-18),"")</f>
        <v/>
      </c>
      <c r="C55" s="117"/>
      <c r="D55" s="117"/>
      <c r="E55" s="117"/>
      <c r="F55" s="117"/>
      <c r="G55" s="117"/>
      <c r="H55" s="117"/>
      <c r="I55" s="117"/>
      <c r="J55" s="117"/>
      <c r="K55" s="117"/>
      <c r="L55" s="117"/>
      <c r="M55" s="117"/>
      <c r="N55" s="117"/>
      <c r="O55" s="117"/>
      <c r="P55" s="117"/>
      <c r="Q55" s="117"/>
      <c r="R55" s="117"/>
      <c r="S55" s="117"/>
      <c r="T55" s="117"/>
      <c r="U55" s="117"/>
      <c r="V55" s="117"/>
      <c r="W55" s="117"/>
      <c r="X55" s="117"/>
      <c r="Y55" s="117"/>
      <c r="Z55" s="117"/>
      <c r="AA55" s="117"/>
      <c r="AB55" s="117"/>
      <c r="AC55" s="117"/>
      <c r="AD55" s="117"/>
      <c r="AE55" s="117"/>
      <c r="AF55" s="117"/>
      <c r="AG55" s="46" t="str">
        <f>IF(COUNTA(TabPerfo[[#This Row],[J1]:[J30]])&lt;&gt;0,AVERAGE(TabPerfo[[#This Row],[J1]:[J30]]),"")</f>
        <v/>
      </c>
      <c r="AH55" s="49" t="str">
        <f>TabPerfo[[#This Row],[Moyenne]]</f>
        <v/>
      </c>
      <c r="AI55" s="48"/>
    </row>
    <row r="56" spans="2:35" ht="14.25">
      <c r="B56" s="14" t="str">
        <f>IF(INDEX(TabEntrainement[Seance],ROW()-18)&lt;&gt;0,INDEX(TabEntrainement[Seance],ROW()-18),"")</f>
        <v/>
      </c>
      <c r="C56" s="117"/>
      <c r="D56" s="117"/>
      <c r="E56" s="117"/>
      <c r="F56" s="117"/>
      <c r="G56" s="117"/>
      <c r="H56" s="117"/>
      <c r="I56" s="117"/>
      <c r="J56" s="117"/>
      <c r="K56" s="117"/>
      <c r="L56" s="117"/>
      <c r="M56" s="117"/>
      <c r="N56" s="117"/>
      <c r="O56" s="117"/>
      <c r="P56" s="117"/>
      <c r="Q56" s="117"/>
      <c r="R56" s="117"/>
      <c r="S56" s="117"/>
      <c r="T56" s="117"/>
      <c r="U56" s="117"/>
      <c r="V56" s="117"/>
      <c r="W56" s="117"/>
      <c r="X56" s="117"/>
      <c r="Y56" s="117"/>
      <c r="Z56" s="117"/>
      <c r="AA56" s="117"/>
      <c r="AB56" s="117"/>
      <c r="AC56" s="117"/>
      <c r="AD56" s="117"/>
      <c r="AE56" s="117"/>
      <c r="AF56" s="117"/>
      <c r="AG56" s="46" t="str">
        <f>IF(COUNTA(TabPerfo[[#This Row],[J1]:[J30]])&lt;&gt;0,AVERAGE(TabPerfo[[#This Row],[J1]:[J30]]),"")</f>
        <v/>
      </c>
      <c r="AH56" s="49" t="str">
        <f>TabPerfo[[#This Row],[Moyenne]]</f>
        <v/>
      </c>
      <c r="AI56" s="48"/>
    </row>
    <row r="57" spans="2:35" ht="14.25">
      <c r="B57" s="14" t="str">
        <f>IF(INDEX(TabEntrainement[Seance],ROW()-18)&lt;&gt;0,INDEX(TabEntrainement[Seance],ROW()-18),"")</f>
        <v/>
      </c>
      <c r="C57" s="117"/>
      <c r="D57" s="117"/>
      <c r="E57" s="117"/>
      <c r="F57" s="117"/>
      <c r="G57" s="117"/>
      <c r="H57" s="117"/>
      <c r="I57" s="117"/>
      <c r="J57" s="117"/>
      <c r="K57" s="117"/>
      <c r="L57" s="117"/>
      <c r="M57" s="117"/>
      <c r="N57" s="117"/>
      <c r="O57" s="117"/>
      <c r="P57" s="117"/>
      <c r="Q57" s="117"/>
      <c r="R57" s="117"/>
      <c r="S57" s="117"/>
      <c r="T57" s="117"/>
      <c r="U57" s="117"/>
      <c r="V57" s="117"/>
      <c r="W57" s="117"/>
      <c r="X57" s="117"/>
      <c r="Y57" s="117"/>
      <c r="Z57" s="117"/>
      <c r="AA57" s="117"/>
      <c r="AB57" s="117"/>
      <c r="AC57" s="117"/>
      <c r="AD57" s="117"/>
      <c r="AE57" s="117"/>
      <c r="AF57" s="117"/>
      <c r="AG57" s="46" t="str">
        <f>IF(COUNTA(TabPerfo[[#This Row],[J1]:[J30]])&lt;&gt;0,AVERAGE(TabPerfo[[#This Row],[J1]:[J30]]),"")</f>
        <v/>
      </c>
      <c r="AH57" s="49" t="str">
        <f>TabPerfo[[#This Row],[Moyenne]]</f>
        <v/>
      </c>
      <c r="AI57" s="48"/>
    </row>
    <row r="58" spans="2:35" ht="14.25">
      <c r="B58" s="14" t="str">
        <f>IF(INDEX(TabEntrainement[Seance],ROW()-18)&lt;&gt;0,INDEX(TabEntrainement[Seance],ROW()-18),"")</f>
        <v/>
      </c>
      <c r="C58" s="117"/>
      <c r="D58" s="117"/>
      <c r="E58" s="117"/>
      <c r="F58" s="117"/>
      <c r="G58" s="117"/>
      <c r="H58" s="117"/>
      <c r="I58" s="117"/>
      <c r="J58" s="117"/>
      <c r="K58" s="117"/>
      <c r="L58" s="117"/>
      <c r="M58" s="117"/>
      <c r="N58" s="117"/>
      <c r="O58" s="117"/>
      <c r="P58" s="117"/>
      <c r="Q58" s="117"/>
      <c r="R58" s="117"/>
      <c r="S58" s="117"/>
      <c r="T58" s="117"/>
      <c r="U58" s="117"/>
      <c r="V58" s="117"/>
      <c r="W58" s="117"/>
      <c r="X58" s="117"/>
      <c r="Y58" s="117"/>
      <c r="Z58" s="117"/>
      <c r="AA58" s="117"/>
      <c r="AB58" s="117"/>
      <c r="AC58" s="117"/>
      <c r="AD58" s="117"/>
      <c r="AE58" s="117"/>
      <c r="AF58" s="117"/>
      <c r="AG58" s="46" t="str">
        <f>IF(COUNTA(TabPerfo[[#This Row],[J1]:[J30]])&lt;&gt;0,AVERAGE(TabPerfo[[#This Row],[J1]:[J30]]),"")</f>
        <v/>
      </c>
      <c r="AH58" s="49" t="str">
        <f>TabPerfo[[#This Row],[Moyenne]]</f>
        <v/>
      </c>
      <c r="AI58" s="48"/>
    </row>
    <row r="59" spans="2:35" ht="14.25">
      <c r="B59" s="14" t="str">
        <f>IF(INDEX(TabEntrainement[Seance],ROW()-18)&lt;&gt;0,INDEX(TabEntrainement[Seance],ROW()-18),"")</f>
        <v/>
      </c>
      <c r="C59" s="117"/>
      <c r="D59" s="117"/>
      <c r="E59" s="117"/>
      <c r="F59" s="117"/>
      <c r="G59" s="117"/>
      <c r="H59" s="117"/>
      <c r="I59" s="117"/>
      <c r="J59" s="117"/>
      <c r="K59" s="117"/>
      <c r="L59" s="117"/>
      <c r="M59" s="117"/>
      <c r="N59" s="117"/>
      <c r="O59" s="117"/>
      <c r="P59" s="117"/>
      <c r="Q59" s="117"/>
      <c r="R59" s="117"/>
      <c r="S59" s="117"/>
      <c r="T59" s="117"/>
      <c r="U59" s="117"/>
      <c r="V59" s="117"/>
      <c r="W59" s="117"/>
      <c r="X59" s="117"/>
      <c r="Y59" s="117"/>
      <c r="Z59" s="117"/>
      <c r="AA59" s="117"/>
      <c r="AB59" s="117"/>
      <c r="AC59" s="117"/>
      <c r="AD59" s="117"/>
      <c r="AE59" s="117"/>
      <c r="AF59" s="117"/>
      <c r="AG59" s="46" t="str">
        <f>IF(COUNTA(TabPerfo[[#This Row],[J1]:[J30]])&lt;&gt;0,AVERAGE(TabPerfo[[#This Row],[J1]:[J30]]),"")</f>
        <v/>
      </c>
      <c r="AH59" s="49" t="str">
        <f>TabPerfo[[#This Row],[Moyenne]]</f>
        <v/>
      </c>
      <c r="AI59" s="48"/>
    </row>
    <row r="60" spans="2:35" ht="14.25">
      <c r="B60" s="14" t="str">
        <f>IF(INDEX(TabEntrainement[Seance],ROW()-18)&lt;&gt;0,INDEX(TabEntrainement[Seance],ROW()-18),"")</f>
        <v/>
      </c>
      <c r="C60" s="117"/>
      <c r="D60" s="117"/>
      <c r="E60" s="117"/>
      <c r="F60" s="117"/>
      <c r="G60" s="117"/>
      <c r="H60" s="117"/>
      <c r="I60" s="117"/>
      <c r="J60" s="117"/>
      <c r="K60" s="117"/>
      <c r="L60" s="117"/>
      <c r="M60" s="117"/>
      <c r="N60" s="117"/>
      <c r="O60" s="117"/>
      <c r="P60" s="117"/>
      <c r="Q60" s="117"/>
      <c r="R60" s="117"/>
      <c r="S60" s="117"/>
      <c r="T60" s="117"/>
      <c r="U60" s="117"/>
      <c r="V60" s="117"/>
      <c r="W60" s="117"/>
      <c r="X60" s="117"/>
      <c r="Y60" s="117"/>
      <c r="Z60" s="117"/>
      <c r="AA60" s="117"/>
      <c r="AB60" s="117"/>
      <c r="AC60" s="117"/>
      <c r="AD60" s="117"/>
      <c r="AE60" s="117"/>
      <c r="AF60" s="117"/>
      <c r="AG60" s="46" t="str">
        <f>IF(COUNTA(TabPerfo[[#This Row],[J1]:[J30]])&lt;&gt;0,AVERAGE(TabPerfo[[#This Row],[J1]:[J30]]),"")</f>
        <v/>
      </c>
      <c r="AH60" s="49" t="str">
        <f>TabPerfo[[#This Row],[Moyenne]]</f>
        <v/>
      </c>
      <c r="AI60" s="48"/>
    </row>
    <row r="61" spans="2:35" ht="14.25">
      <c r="B61" s="14" t="str">
        <f>IF(INDEX(TabEntrainement[Seance],ROW()-18)&lt;&gt;0,INDEX(TabEntrainement[Seance],ROW()-18),"")</f>
        <v/>
      </c>
      <c r="C61" s="117"/>
      <c r="D61" s="117"/>
      <c r="E61" s="117"/>
      <c r="F61" s="117"/>
      <c r="G61" s="117"/>
      <c r="H61" s="117"/>
      <c r="I61" s="117"/>
      <c r="J61" s="117"/>
      <c r="K61" s="117"/>
      <c r="L61" s="117"/>
      <c r="M61" s="117"/>
      <c r="N61" s="117"/>
      <c r="O61" s="117"/>
      <c r="P61" s="117"/>
      <c r="Q61" s="117"/>
      <c r="R61" s="117"/>
      <c r="S61" s="117"/>
      <c r="T61" s="117"/>
      <c r="U61" s="117"/>
      <c r="V61" s="117"/>
      <c r="W61" s="117"/>
      <c r="X61" s="117"/>
      <c r="Y61" s="117"/>
      <c r="Z61" s="117"/>
      <c r="AA61" s="117"/>
      <c r="AB61" s="117"/>
      <c r="AC61" s="117"/>
      <c r="AD61" s="117"/>
      <c r="AE61" s="117"/>
      <c r="AF61" s="117"/>
      <c r="AG61" s="46" t="str">
        <f>IF(COUNTA(TabPerfo[[#This Row],[J1]:[J30]])&lt;&gt;0,AVERAGE(TabPerfo[[#This Row],[J1]:[J30]]),"")</f>
        <v/>
      </c>
      <c r="AH61" s="49" t="str">
        <f>TabPerfo[[#This Row],[Moyenne]]</f>
        <v/>
      </c>
      <c r="AI61" s="48"/>
    </row>
    <row r="62" spans="2:35" ht="14.25">
      <c r="B62" s="14" t="str">
        <f>IF(INDEX(TabEntrainement[Seance],ROW()-18)&lt;&gt;0,INDEX(TabEntrainement[Seance],ROW()-18),"")</f>
        <v/>
      </c>
      <c r="C62" s="117"/>
      <c r="D62" s="117"/>
      <c r="E62" s="117"/>
      <c r="F62" s="117"/>
      <c r="G62" s="117"/>
      <c r="H62" s="117"/>
      <c r="I62" s="117"/>
      <c r="J62" s="117"/>
      <c r="K62" s="117"/>
      <c r="L62" s="117"/>
      <c r="M62" s="117"/>
      <c r="N62" s="117"/>
      <c r="O62" s="117"/>
      <c r="P62" s="117"/>
      <c r="Q62" s="117"/>
      <c r="R62" s="117"/>
      <c r="S62" s="117"/>
      <c r="T62" s="117"/>
      <c r="U62" s="117"/>
      <c r="V62" s="117"/>
      <c r="W62" s="117"/>
      <c r="X62" s="117"/>
      <c r="Y62" s="117"/>
      <c r="Z62" s="117"/>
      <c r="AA62" s="117"/>
      <c r="AB62" s="117"/>
      <c r="AC62" s="117"/>
      <c r="AD62" s="117"/>
      <c r="AE62" s="117"/>
      <c r="AF62" s="117"/>
      <c r="AG62" s="46" t="str">
        <f>IF(COUNTA(TabPerfo[[#This Row],[J1]:[J30]])&lt;&gt;0,AVERAGE(TabPerfo[[#This Row],[J1]:[J30]]),"")</f>
        <v/>
      </c>
      <c r="AH62" s="49" t="str">
        <f>TabPerfo[[#This Row],[Moyenne]]</f>
        <v/>
      </c>
      <c r="AI62" s="48"/>
    </row>
    <row r="63" spans="2:35" ht="14.25">
      <c r="B63" s="14" t="str">
        <f>IF(INDEX(TabEntrainement[Seance],ROW()-18)&lt;&gt;0,INDEX(TabEntrainement[Seance],ROW()-18),"")</f>
        <v/>
      </c>
      <c r="C63" s="117"/>
      <c r="D63" s="117"/>
      <c r="E63" s="117"/>
      <c r="F63" s="117"/>
      <c r="G63" s="117"/>
      <c r="H63" s="117"/>
      <c r="I63" s="117"/>
      <c r="J63" s="117"/>
      <c r="K63" s="117"/>
      <c r="L63" s="117"/>
      <c r="M63" s="117"/>
      <c r="N63" s="117"/>
      <c r="O63" s="117"/>
      <c r="P63" s="117"/>
      <c r="Q63" s="117"/>
      <c r="R63" s="117"/>
      <c r="S63" s="117"/>
      <c r="T63" s="117"/>
      <c r="U63" s="117"/>
      <c r="V63" s="117"/>
      <c r="W63" s="117"/>
      <c r="X63" s="117"/>
      <c r="Y63" s="117"/>
      <c r="Z63" s="117"/>
      <c r="AA63" s="117"/>
      <c r="AB63" s="117"/>
      <c r="AC63" s="117"/>
      <c r="AD63" s="117"/>
      <c r="AE63" s="117"/>
      <c r="AF63" s="117"/>
      <c r="AG63" s="46" t="str">
        <f>IF(COUNTA(TabPerfo[[#This Row],[J1]:[J30]])&lt;&gt;0,AVERAGE(TabPerfo[[#This Row],[J1]:[J30]]),"")</f>
        <v/>
      </c>
      <c r="AH63" s="49" t="str">
        <f>TabPerfo[[#This Row],[Moyenne]]</f>
        <v/>
      </c>
      <c r="AI63" s="48"/>
    </row>
    <row r="64" spans="2:35" ht="14.25">
      <c r="B64" s="14" t="str">
        <f>IF(INDEX(TabEntrainement[Seance],ROW()-18)&lt;&gt;0,INDEX(TabEntrainement[Seance],ROW()-18),"")</f>
        <v/>
      </c>
      <c r="C64" s="117"/>
      <c r="D64" s="117"/>
      <c r="E64" s="117"/>
      <c r="F64" s="117"/>
      <c r="G64" s="117"/>
      <c r="H64" s="117"/>
      <c r="I64" s="117"/>
      <c r="J64" s="117"/>
      <c r="K64" s="117"/>
      <c r="L64" s="117"/>
      <c r="M64" s="117"/>
      <c r="N64" s="117"/>
      <c r="O64" s="117"/>
      <c r="P64" s="117"/>
      <c r="Q64" s="117"/>
      <c r="R64" s="117"/>
      <c r="S64" s="117"/>
      <c r="T64" s="117"/>
      <c r="U64" s="117"/>
      <c r="V64" s="117"/>
      <c r="W64" s="117"/>
      <c r="X64" s="117"/>
      <c r="Y64" s="117"/>
      <c r="Z64" s="117"/>
      <c r="AA64" s="117"/>
      <c r="AB64" s="117"/>
      <c r="AC64" s="117"/>
      <c r="AD64" s="117"/>
      <c r="AE64" s="117"/>
      <c r="AF64" s="117"/>
      <c r="AG64" s="46" t="str">
        <f>IF(COUNTA(TabPerfo[[#This Row],[J1]:[J30]])&lt;&gt;0,AVERAGE(TabPerfo[[#This Row],[J1]:[J30]]),"")</f>
        <v/>
      </c>
      <c r="AH64" s="49" t="str">
        <f>TabPerfo[[#This Row],[Moyenne]]</f>
        <v/>
      </c>
      <c r="AI64" s="48"/>
    </row>
    <row r="65" spans="2:35" ht="14.25">
      <c r="B65" s="14" t="str">
        <f>IF(INDEX(TabEntrainement[Seance],ROW()-18)&lt;&gt;0,INDEX(TabEntrainement[Seance],ROW()-18),"")</f>
        <v/>
      </c>
      <c r="C65" s="117"/>
      <c r="D65" s="117"/>
      <c r="E65" s="117"/>
      <c r="F65" s="117"/>
      <c r="G65" s="117"/>
      <c r="H65" s="117"/>
      <c r="I65" s="117"/>
      <c r="J65" s="117"/>
      <c r="K65" s="117"/>
      <c r="L65" s="117"/>
      <c r="M65" s="117"/>
      <c r="N65" s="117"/>
      <c r="O65" s="117"/>
      <c r="P65" s="117"/>
      <c r="Q65" s="117"/>
      <c r="R65" s="117"/>
      <c r="S65" s="117"/>
      <c r="T65" s="117"/>
      <c r="U65" s="117"/>
      <c r="V65" s="117"/>
      <c r="W65" s="117"/>
      <c r="X65" s="117"/>
      <c r="Y65" s="117"/>
      <c r="Z65" s="117"/>
      <c r="AA65" s="117"/>
      <c r="AB65" s="117"/>
      <c r="AC65" s="117"/>
      <c r="AD65" s="117"/>
      <c r="AE65" s="117"/>
      <c r="AF65" s="117"/>
      <c r="AG65" s="46" t="str">
        <f>IF(COUNTA(TabPerfo[[#This Row],[J1]:[J30]])&lt;&gt;0,AVERAGE(TabPerfo[[#This Row],[J1]:[J30]]),"")</f>
        <v/>
      </c>
      <c r="AH65" s="49" t="str">
        <f>TabPerfo[[#This Row],[Moyenne]]</f>
        <v/>
      </c>
      <c r="AI65" s="48"/>
    </row>
    <row r="66" spans="2:35" ht="14.25">
      <c r="B66" s="14" t="str">
        <f>IF(INDEX(TabEntrainement[Seance],ROW()-18)&lt;&gt;0,INDEX(TabEntrainement[Seance],ROW()-18),"")</f>
        <v/>
      </c>
      <c r="C66" s="117"/>
      <c r="D66" s="117"/>
      <c r="E66" s="117"/>
      <c r="F66" s="117"/>
      <c r="G66" s="117"/>
      <c r="H66" s="117"/>
      <c r="I66" s="117"/>
      <c r="J66" s="117"/>
      <c r="K66" s="117"/>
      <c r="L66" s="117"/>
      <c r="M66" s="117"/>
      <c r="N66" s="117"/>
      <c r="O66" s="117"/>
      <c r="P66" s="117"/>
      <c r="Q66" s="117"/>
      <c r="R66" s="117"/>
      <c r="S66" s="117"/>
      <c r="T66" s="117"/>
      <c r="U66" s="117"/>
      <c r="V66" s="117"/>
      <c r="W66" s="117"/>
      <c r="X66" s="117"/>
      <c r="Y66" s="117"/>
      <c r="Z66" s="117"/>
      <c r="AA66" s="117"/>
      <c r="AB66" s="117"/>
      <c r="AC66" s="117"/>
      <c r="AD66" s="117"/>
      <c r="AE66" s="117"/>
      <c r="AF66" s="117"/>
      <c r="AG66" s="46" t="str">
        <f>IF(COUNTA(TabPerfo[[#This Row],[J1]:[J30]])&lt;&gt;0,AVERAGE(TabPerfo[[#This Row],[J1]:[J30]]),"")</f>
        <v/>
      </c>
      <c r="AH66" s="49" t="str">
        <f>TabPerfo[[#This Row],[Moyenne]]</f>
        <v/>
      </c>
      <c r="AI66" s="48"/>
    </row>
    <row r="67" spans="2:35" ht="14.25">
      <c r="B67" s="14" t="str">
        <f>IF(INDEX(TabEntrainement[Seance],ROW()-18)&lt;&gt;0,INDEX(TabEntrainement[Seance],ROW()-18),"")</f>
        <v/>
      </c>
      <c r="C67" s="117"/>
      <c r="D67" s="117"/>
      <c r="E67" s="117"/>
      <c r="F67" s="117"/>
      <c r="G67" s="117"/>
      <c r="H67" s="117"/>
      <c r="I67" s="117"/>
      <c r="J67" s="117"/>
      <c r="K67" s="117"/>
      <c r="L67" s="117"/>
      <c r="M67" s="117"/>
      <c r="N67" s="117"/>
      <c r="O67" s="117"/>
      <c r="P67" s="117"/>
      <c r="Q67" s="117"/>
      <c r="R67" s="117"/>
      <c r="S67" s="117"/>
      <c r="T67" s="117"/>
      <c r="U67" s="117"/>
      <c r="V67" s="117"/>
      <c r="W67" s="117"/>
      <c r="X67" s="117"/>
      <c r="Y67" s="117"/>
      <c r="Z67" s="117"/>
      <c r="AA67" s="117"/>
      <c r="AB67" s="117"/>
      <c r="AC67" s="117"/>
      <c r="AD67" s="117"/>
      <c r="AE67" s="117"/>
      <c r="AF67" s="117"/>
      <c r="AG67" s="46" t="str">
        <f>IF(COUNTA(TabPerfo[[#This Row],[J1]:[J30]])&lt;&gt;0,AVERAGE(TabPerfo[[#This Row],[J1]:[J30]]),"")</f>
        <v/>
      </c>
      <c r="AH67" s="49" t="str">
        <f>TabPerfo[[#This Row],[Moyenne]]</f>
        <v/>
      </c>
      <c r="AI67" s="48"/>
    </row>
    <row r="68" spans="2:35" ht="14.25">
      <c r="B68" s="14" t="str">
        <f>IF(INDEX(TabEntrainement[Seance],ROW()-18)&lt;&gt;0,INDEX(TabEntrainement[Seance],ROW()-18),"")</f>
        <v/>
      </c>
      <c r="C68" s="117"/>
      <c r="D68" s="117"/>
      <c r="E68" s="117"/>
      <c r="F68" s="117"/>
      <c r="G68" s="117"/>
      <c r="H68" s="117"/>
      <c r="I68" s="117"/>
      <c r="J68" s="117"/>
      <c r="K68" s="117"/>
      <c r="L68" s="117"/>
      <c r="M68" s="117"/>
      <c r="N68" s="117"/>
      <c r="O68" s="117"/>
      <c r="P68" s="117"/>
      <c r="Q68" s="117"/>
      <c r="R68" s="117"/>
      <c r="S68" s="117"/>
      <c r="T68" s="117"/>
      <c r="U68" s="117"/>
      <c r="V68" s="117"/>
      <c r="W68" s="117"/>
      <c r="X68" s="117"/>
      <c r="Y68" s="117"/>
      <c r="Z68" s="117"/>
      <c r="AA68" s="117"/>
      <c r="AB68" s="117"/>
      <c r="AC68" s="117"/>
      <c r="AD68" s="117"/>
      <c r="AE68" s="117"/>
      <c r="AF68" s="117"/>
      <c r="AG68" s="46" t="str">
        <f>IF(COUNTA(TabPerfo[[#This Row],[J1]:[J30]])&lt;&gt;0,AVERAGE(TabPerfo[[#This Row],[J1]:[J30]]),"")</f>
        <v/>
      </c>
      <c r="AH68" s="49" t="str">
        <f>TabPerfo[[#This Row],[Moyenne]]</f>
        <v/>
      </c>
      <c r="AI68" s="48"/>
    </row>
    <row r="69" spans="2:35" ht="14.25">
      <c r="B69" s="14" t="str">
        <f>IF(INDEX(TabEntrainement[Seance],ROW()-18)&lt;&gt;0,INDEX(TabEntrainement[Seance],ROW()-18),"")</f>
        <v/>
      </c>
      <c r="C69" s="117"/>
      <c r="D69" s="117"/>
      <c r="E69" s="117"/>
      <c r="F69" s="117"/>
      <c r="G69" s="117"/>
      <c r="H69" s="117"/>
      <c r="I69" s="117"/>
      <c r="J69" s="117"/>
      <c r="K69" s="117"/>
      <c r="L69" s="117"/>
      <c r="M69" s="117"/>
      <c r="N69" s="117"/>
      <c r="O69" s="117"/>
      <c r="P69" s="117"/>
      <c r="Q69" s="117"/>
      <c r="R69" s="117"/>
      <c r="S69" s="117"/>
      <c r="T69" s="117"/>
      <c r="U69" s="117"/>
      <c r="V69" s="117"/>
      <c r="W69" s="117"/>
      <c r="X69" s="117"/>
      <c r="Y69" s="117"/>
      <c r="Z69" s="117"/>
      <c r="AA69" s="117"/>
      <c r="AB69" s="117"/>
      <c r="AC69" s="117"/>
      <c r="AD69" s="117"/>
      <c r="AE69" s="117"/>
      <c r="AF69" s="117"/>
      <c r="AG69" s="46" t="str">
        <f>IF(COUNTA(TabPerfo[[#This Row],[J1]:[J30]])&lt;&gt;0,AVERAGE(TabPerfo[[#This Row],[J1]:[J30]]),"")</f>
        <v/>
      </c>
      <c r="AH69" s="49" t="str">
        <f>TabPerfo[[#This Row],[Moyenne]]</f>
        <v/>
      </c>
      <c r="AI69" s="48"/>
    </row>
    <row r="70" spans="2:35" ht="14.25">
      <c r="B70" s="14" t="str">
        <f>IF(INDEX(TabEntrainement[Seance],ROW()-18)&lt;&gt;0,INDEX(TabEntrainement[Seance],ROW()-18),"")</f>
        <v/>
      </c>
      <c r="C70" s="117"/>
      <c r="D70" s="117"/>
      <c r="E70" s="117"/>
      <c r="F70" s="117"/>
      <c r="G70" s="117"/>
      <c r="H70" s="117"/>
      <c r="I70" s="117"/>
      <c r="J70" s="117"/>
      <c r="K70" s="117"/>
      <c r="L70" s="117"/>
      <c r="M70" s="117"/>
      <c r="N70" s="117"/>
      <c r="O70" s="117"/>
      <c r="P70" s="117"/>
      <c r="Q70" s="117"/>
      <c r="R70" s="117"/>
      <c r="S70" s="117"/>
      <c r="T70" s="117"/>
      <c r="U70" s="117"/>
      <c r="V70" s="117"/>
      <c r="W70" s="117"/>
      <c r="X70" s="117"/>
      <c r="Y70" s="117"/>
      <c r="Z70" s="117"/>
      <c r="AA70" s="117"/>
      <c r="AB70" s="117"/>
      <c r="AC70" s="117"/>
      <c r="AD70" s="117"/>
      <c r="AE70" s="117"/>
      <c r="AF70" s="117"/>
      <c r="AG70" s="46" t="str">
        <f>IF(COUNTA(TabPerfo[[#This Row],[J1]:[J30]])&lt;&gt;0,AVERAGE(TabPerfo[[#This Row],[J1]:[J30]]),"")</f>
        <v/>
      </c>
      <c r="AH70" s="49" t="str">
        <f>TabPerfo[[#This Row],[Moyenne]]</f>
        <v/>
      </c>
      <c r="AI70" s="48"/>
    </row>
    <row r="71" spans="2:35" ht="14.25">
      <c r="B71" s="14" t="str">
        <f>IF(INDEX(TabEntrainement[Seance],ROW()-18)&lt;&gt;0,INDEX(TabEntrainement[Seance],ROW()-18),"")</f>
        <v/>
      </c>
      <c r="C71" s="117"/>
      <c r="D71" s="117"/>
      <c r="E71" s="117"/>
      <c r="F71" s="117"/>
      <c r="G71" s="117"/>
      <c r="H71" s="117"/>
      <c r="I71" s="117"/>
      <c r="J71" s="117"/>
      <c r="K71" s="117"/>
      <c r="L71" s="117"/>
      <c r="M71" s="117"/>
      <c r="N71" s="117"/>
      <c r="O71" s="117"/>
      <c r="P71" s="117"/>
      <c r="Q71" s="117"/>
      <c r="R71" s="117"/>
      <c r="S71" s="117"/>
      <c r="T71" s="117"/>
      <c r="U71" s="117"/>
      <c r="V71" s="117"/>
      <c r="W71" s="117"/>
      <c r="X71" s="117"/>
      <c r="Y71" s="117"/>
      <c r="Z71" s="117"/>
      <c r="AA71" s="117"/>
      <c r="AB71" s="117"/>
      <c r="AC71" s="117"/>
      <c r="AD71" s="117"/>
      <c r="AE71" s="117"/>
      <c r="AF71" s="117"/>
      <c r="AG71" s="46" t="str">
        <f>IF(COUNTA(TabPerfo[[#This Row],[J1]:[J30]])&lt;&gt;0,AVERAGE(TabPerfo[[#This Row],[J1]:[J30]]),"")</f>
        <v/>
      </c>
      <c r="AH71" s="49" t="str">
        <f>TabPerfo[[#This Row],[Moyenne]]</f>
        <v/>
      </c>
      <c r="AI71" s="48"/>
    </row>
    <row r="72" spans="2:35" ht="14.25">
      <c r="B72" s="14" t="str">
        <f>IF(INDEX(TabEntrainement[Seance],ROW()-18)&lt;&gt;0,INDEX(TabEntrainement[Seance],ROW()-18),"")</f>
        <v/>
      </c>
      <c r="C72" s="117"/>
      <c r="D72" s="117"/>
      <c r="E72" s="117"/>
      <c r="F72" s="117"/>
      <c r="G72" s="117"/>
      <c r="H72" s="117"/>
      <c r="I72" s="117"/>
      <c r="J72" s="117"/>
      <c r="K72" s="117"/>
      <c r="L72" s="117"/>
      <c r="M72" s="117"/>
      <c r="N72" s="117"/>
      <c r="O72" s="117"/>
      <c r="P72" s="117"/>
      <c r="Q72" s="117"/>
      <c r="R72" s="117"/>
      <c r="S72" s="117"/>
      <c r="T72" s="117"/>
      <c r="U72" s="117"/>
      <c r="V72" s="117"/>
      <c r="W72" s="117"/>
      <c r="X72" s="117"/>
      <c r="Y72" s="117"/>
      <c r="Z72" s="117"/>
      <c r="AA72" s="117"/>
      <c r="AB72" s="117"/>
      <c r="AC72" s="117"/>
      <c r="AD72" s="117"/>
      <c r="AE72" s="117"/>
      <c r="AF72" s="117"/>
      <c r="AG72" s="46" t="str">
        <f>IF(COUNTA(TabPerfo[[#This Row],[J1]:[J30]])&lt;&gt;0,AVERAGE(TabPerfo[[#This Row],[J1]:[J30]]),"")</f>
        <v/>
      </c>
      <c r="AH72" s="49" t="str">
        <f>TabPerfo[[#This Row],[Moyenne]]</f>
        <v/>
      </c>
      <c r="AI72" s="48"/>
    </row>
    <row r="73" spans="2:35" ht="14.25">
      <c r="B73" s="14" t="str">
        <f>IF(INDEX(TabEntrainement[Seance],ROW()-18)&lt;&gt;0,INDEX(TabEntrainement[Seance],ROW()-18),"")</f>
        <v/>
      </c>
      <c r="C73" s="117"/>
      <c r="D73" s="117"/>
      <c r="E73" s="117"/>
      <c r="F73" s="117"/>
      <c r="G73" s="117"/>
      <c r="H73" s="117"/>
      <c r="I73" s="117"/>
      <c r="J73" s="117"/>
      <c r="K73" s="117"/>
      <c r="L73" s="117"/>
      <c r="M73" s="117"/>
      <c r="N73" s="117"/>
      <c r="O73" s="117"/>
      <c r="P73" s="117"/>
      <c r="Q73" s="117"/>
      <c r="R73" s="117"/>
      <c r="S73" s="117"/>
      <c r="T73" s="117"/>
      <c r="U73" s="117"/>
      <c r="V73" s="117"/>
      <c r="W73" s="117"/>
      <c r="X73" s="117"/>
      <c r="Y73" s="117"/>
      <c r="Z73" s="117"/>
      <c r="AA73" s="117"/>
      <c r="AB73" s="117"/>
      <c r="AC73" s="117"/>
      <c r="AD73" s="117"/>
      <c r="AE73" s="117"/>
      <c r="AF73" s="117"/>
      <c r="AG73" s="46" t="str">
        <f>IF(COUNTA(TabPerfo[[#This Row],[J1]:[J30]])&lt;&gt;0,AVERAGE(TabPerfo[[#This Row],[J1]:[J30]]),"")</f>
        <v/>
      </c>
      <c r="AH73" s="49" t="str">
        <f>TabPerfo[[#This Row],[Moyenne]]</f>
        <v/>
      </c>
      <c r="AI73" s="48"/>
    </row>
    <row r="74" spans="2:35" ht="14.25">
      <c r="B74" s="14" t="str">
        <f>IF(INDEX(TabEntrainement[Seance],ROW()-18)&lt;&gt;0,INDEX(TabEntrainement[Seance],ROW()-18),"")</f>
        <v/>
      </c>
      <c r="C74" s="117"/>
      <c r="D74" s="117"/>
      <c r="E74" s="117"/>
      <c r="F74" s="117"/>
      <c r="G74" s="117"/>
      <c r="H74" s="117"/>
      <c r="I74" s="117"/>
      <c r="J74" s="117"/>
      <c r="K74" s="117"/>
      <c r="L74" s="117"/>
      <c r="M74" s="117"/>
      <c r="N74" s="117"/>
      <c r="O74" s="117"/>
      <c r="P74" s="117"/>
      <c r="Q74" s="117"/>
      <c r="R74" s="117"/>
      <c r="S74" s="117"/>
      <c r="T74" s="117"/>
      <c r="U74" s="117"/>
      <c r="V74" s="117"/>
      <c r="W74" s="117"/>
      <c r="X74" s="117"/>
      <c r="Y74" s="117"/>
      <c r="Z74" s="117"/>
      <c r="AA74" s="117"/>
      <c r="AB74" s="117"/>
      <c r="AC74" s="117"/>
      <c r="AD74" s="117"/>
      <c r="AE74" s="117"/>
      <c r="AF74" s="117"/>
      <c r="AG74" s="46" t="str">
        <f>IF(COUNTA(TabPerfo[[#This Row],[J1]:[J30]])&lt;&gt;0,AVERAGE(TabPerfo[[#This Row],[J1]:[J30]]),"")</f>
        <v/>
      </c>
      <c r="AH74" s="49" t="str">
        <f>TabPerfo[[#This Row],[Moyenne]]</f>
        <v/>
      </c>
      <c r="AI74" s="48"/>
    </row>
    <row r="75" spans="2:35" ht="14.25">
      <c r="B75" s="14" t="str">
        <f>IF(INDEX(TabEntrainement[Seance],ROW()-18)&lt;&gt;0,INDEX(TabEntrainement[Seance],ROW()-18),"")</f>
        <v/>
      </c>
      <c r="C75" s="117"/>
      <c r="D75" s="117"/>
      <c r="E75" s="117"/>
      <c r="F75" s="117"/>
      <c r="G75" s="117"/>
      <c r="H75" s="117"/>
      <c r="I75" s="117"/>
      <c r="J75" s="117"/>
      <c r="K75" s="117"/>
      <c r="L75" s="117"/>
      <c r="M75" s="117"/>
      <c r="N75" s="117"/>
      <c r="O75" s="117"/>
      <c r="P75" s="117"/>
      <c r="Q75" s="117"/>
      <c r="R75" s="117"/>
      <c r="S75" s="117"/>
      <c r="T75" s="117"/>
      <c r="U75" s="117"/>
      <c r="V75" s="117"/>
      <c r="W75" s="117"/>
      <c r="X75" s="117"/>
      <c r="Y75" s="117"/>
      <c r="Z75" s="117"/>
      <c r="AA75" s="117"/>
      <c r="AB75" s="117"/>
      <c r="AC75" s="117"/>
      <c r="AD75" s="117"/>
      <c r="AE75" s="117"/>
      <c r="AF75" s="117"/>
      <c r="AG75" s="46" t="str">
        <f>IF(COUNTA(TabPerfo[[#This Row],[J1]:[J30]])&lt;&gt;0,AVERAGE(TabPerfo[[#This Row],[J1]:[J30]]),"")</f>
        <v/>
      </c>
      <c r="AH75" s="49" t="str">
        <f>TabPerfo[[#This Row],[Moyenne]]</f>
        <v/>
      </c>
      <c r="AI75" s="48"/>
    </row>
    <row r="76" spans="2:35" ht="14.25">
      <c r="B76" s="14" t="str">
        <f>IF(INDEX(TabEntrainement[Seance],ROW()-18)&lt;&gt;0,INDEX(TabEntrainement[Seance],ROW()-18),"")</f>
        <v/>
      </c>
      <c r="C76" s="117"/>
      <c r="D76" s="117"/>
      <c r="E76" s="117"/>
      <c r="F76" s="117"/>
      <c r="G76" s="117"/>
      <c r="H76" s="117"/>
      <c r="I76" s="117"/>
      <c r="J76" s="117"/>
      <c r="K76" s="117"/>
      <c r="L76" s="117"/>
      <c r="M76" s="117"/>
      <c r="N76" s="117"/>
      <c r="O76" s="117"/>
      <c r="P76" s="117"/>
      <c r="Q76" s="117"/>
      <c r="R76" s="117"/>
      <c r="S76" s="117"/>
      <c r="T76" s="117"/>
      <c r="U76" s="117"/>
      <c r="V76" s="117"/>
      <c r="W76" s="117"/>
      <c r="X76" s="117"/>
      <c r="Y76" s="117"/>
      <c r="Z76" s="117"/>
      <c r="AA76" s="117"/>
      <c r="AB76" s="117"/>
      <c r="AC76" s="117"/>
      <c r="AD76" s="117"/>
      <c r="AE76" s="117"/>
      <c r="AF76" s="117"/>
      <c r="AG76" s="46" t="str">
        <f>IF(COUNTA(TabPerfo[[#This Row],[J1]:[J30]])&lt;&gt;0,AVERAGE(TabPerfo[[#This Row],[J1]:[J30]]),"")</f>
        <v/>
      </c>
      <c r="AH76" s="49" t="str">
        <f>TabPerfo[[#This Row],[Moyenne]]</f>
        <v/>
      </c>
      <c r="AI76" s="48"/>
    </row>
    <row r="77" spans="2:35" ht="14.25">
      <c r="B77" s="14" t="str">
        <f>IF(INDEX(TabEntrainement[Seance],ROW()-18)&lt;&gt;0,INDEX(TabEntrainement[Seance],ROW()-18),"")</f>
        <v/>
      </c>
      <c r="C77" s="117"/>
      <c r="D77" s="117"/>
      <c r="E77" s="117"/>
      <c r="F77" s="117"/>
      <c r="G77" s="117"/>
      <c r="H77" s="117"/>
      <c r="I77" s="117"/>
      <c r="J77" s="117"/>
      <c r="K77" s="117"/>
      <c r="L77" s="117"/>
      <c r="M77" s="117"/>
      <c r="N77" s="117"/>
      <c r="O77" s="117"/>
      <c r="P77" s="117"/>
      <c r="Q77" s="117"/>
      <c r="R77" s="117"/>
      <c r="S77" s="117"/>
      <c r="T77" s="117"/>
      <c r="U77" s="117"/>
      <c r="V77" s="117"/>
      <c r="W77" s="117"/>
      <c r="X77" s="117"/>
      <c r="Y77" s="117"/>
      <c r="Z77" s="117"/>
      <c r="AA77" s="117"/>
      <c r="AB77" s="117"/>
      <c r="AC77" s="117"/>
      <c r="AD77" s="117"/>
      <c r="AE77" s="117"/>
      <c r="AF77" s="117"/>
      <c r="AG77" s="46" t="str">
        <f>IF(COUNTA(TabPerfo[[#This Row],[J1]:[J30]])&lt;&gt;0,AVERAGE(TabPerfo[[#This Row],[J1]:[J30]]),"")</f>
        <v/>
      </c>
      <c r="AH77" s="49" t="str">
        <f>TabPerfo[[#This Row],[Moyenne]]</f>
        <v/>
      </c>
      <c r="AI77" s="48"/>
    </row>
    <row r="78" spans="2:35" ht="14.25">
      <c r="B78" s="14" t="str">
        <f>IF(INDEX(TabEntrainement[Seance],ROW()-18)&lt;&gt;0,INDEX(TabEntrainement[Seance],ROW()-18),"")</f>
        <v/>
      </c>
      <c r="C78" s="117"/>
      <c r="D78" s="117"/>
      <c r="E78" s="117"/>
      <c r="F78" s="117"/>
      <c r="G78" s="117"/>
      <c r="H78" s="117"/>
      <c r="I78" s="117"/>
      <c r="J78" s="117"/>
      <c r="K78" s="117"/>
      <c r="L78" s="117"/>
      <c r="M78" s="117"/>
      <c r="N78" s="117"/>
      <c r="O78" s="117"/>
      <c r="P78" s="117"/>
      <c r="Q78" s="117"/>
      <c r="R78" s="117"/>
      <c r="S78" s="117"/>
      <c r="T78" s="117"/>
      <c r="U78" s="117"/>
      <c r="V78" s="117"/>
      <c r="W78" s="117"/>
      <c r="X78" s="117"/>
      <c r="Y78" s="117"/>
      <c r="Z78" s="117"/>
      <c r="AA78" s="117"/>
      <c r="AB78" s="117"/>
      <c r="AC78" s="117"/>
      <c r="AD78" s="117"/>
      <c r="AE78" s="117"/>
      <c r="AF78" s="117"/>
      <c r="AG78" s="46" t="str">
        <f>IF(COUNTA(TabPerfo[[#This Row],[J1]:[J30]])&lt;&gt;0,AVERAGE(TabPerfo[[#This Row],[J1]:[J30]]),"")</f>
        <v/>
      </c>
      <c r="AH78" s="49" t="str">
        <f>TabPerfo[[#This Row],[Moyenne]]</f>
        <v/>
      </c>
      <c r="AI78" s="48"/>
    </row>
    <row r="79" spans="2:35" ht="14.25">
      <c r="B79" s="14" t="str">
        <f>IF(INDEX(TabEntrainement[Seance],ROW()-18)&lt;&gt;0,INDEX(TabEntrainement[Seance],ROW()-18),"")</f>
        <v/>
      </c>
      <c r="C79" s="117"/>
      <c r="D79" s="117"/>
      <c r="E79" s="117"/>
      <c r="F79" s="117"/>
      <c r="G79" s="117"/>
      <c r="H79" s="117"/>
      <c r="I79" s="117"/>
      <c r="J79" s="117"/>
      <c r="K79" s="117"/>
      <c r="L79" s="117"/>
      <c r="M79" s="117"/>
      <c r="N79" s="117"/>
      <c r="O79" s="117"/>
      <c r="P79" s="117"/>
      <c r="Q79" s="117"/>
      <c r="R79" s="117"/>
      <c r="S79" s="117"/>
      <c r="T79" s="117"/>
      <c r="U79" s="117"/>
      <c r="V79" s="117"/>
      <c r="W79" s="117"/>
      <c r="X79" s="117"/>
      <c r="Y79" s="117"/>
      <c r="Z79" s="117"/>
      <c r="AA79" s="117"/>
      <c r="AB79" s="117"/>
      <c r="AC79" s="117"/>
      <c r="AD79" s="117"/>
      <c r="AE79" s="117"/>
      <c r="AF79" s="117"/>
      <c r="AG79" s="46" t="str">
        <f>IF(COUNTA(TabPerfo[[#This Row],[J1]:[J30]])&lt;&gt;0,AVERAGE(TabPerfo[[#This Row],[J1]:[J30]]),"")</f>
        <v/>
      </c>
      <c r="AH79" s="49" t="str">
        <f>TabPerfo[[#This Row],[Moyenne]]</f>
        <v/>
      </c>
      <c r="AI79" s="48"/>
    </row>
    <row r="80" spans="2:35" ht="14.25">
      <c r="B80" s="14" t="str">
        <f>IF(INDEX(TabEntrainement[Seance],ROW()-18)&lt;&gt;0,INDEX(TabEntrainement[Seance],ROW()-18),"")</f>
        <v/>
      </c>
      <c r="C80" s="117"/>
      <c r="D80" s="117"/>
      <c r="E80" s="117"/>
      <c r="F80" s="117"/>
      <c r="G80" s="117"/>
      <c r="H80" s="117"/>
      <c r="I80" s="117"/>
      <c r="J80" s="117"/>
      <c r="K80" s="117"/>
      <c r="L80" s="117"/>
      <c r="M80" s="117"/>
      <c r="N80" s="117"/>
      <c r="O80" s="117"/>
      <c r="P80" s="117"/>
      <c r="Q80" s="117"/>
      <c r="R80" s="117"/>
      <c r="S80" s="117"/>
      <c r="T80" s="117"/>
      <c r="U80" s="117"/>
      <c r="V80" s="117"/>
      <c r="W80" s="117"/>
      <c r="X80" s="117"/>
      <c r="Y80" s="117"/>
      <c r="Z80" s="117"/>
      <c r="AA80" s="117"/>
      <c r="AB80" s="117"/>
      <c r="AC80" s="117"/>
      <c r="AD80" s="117"/>
      <c r="AE80" s="117"/>
      <c r="AF80" s="117"/>
      <c r="AG80" s="46" t="str">
        <f>IF(COUNTA(TabPerfo[[#This Row],[J1]:[J30]])&lt;&gt;0,AVERAGE(TabPerfo[[#This Row],[J1]:[J30]]),"")</f>
        <v/>
      </c>
      <c r="AH80" s="49" t="str">
        <f>TabPerfo[[#This Row],[Moyenne]]</f>
        <v/>
      </c>
      <c r="AI80" s="48"/>
    </row>
    <row r="81" spans="2:35" ht="14.25">
      <c r="B81" s="14" t="str">
        <f>IF(INDEX(TabEntrainement[Seance],ROW()-18)&lt;&gt;0,INDEX(TabEntrainement[Seance],ROW()-18),"")</f>
        <v/>
      </c>
      <c r="C81" s="117"/>
      <c r="D81" s="117"/>
      <c r="E81" s="117"/>
      <c r="F81" s="117"/>
      <c r="G81" s="117"/>
      <c r="H81" s="117"/>
      <c r="I81" s="117"/>
      <c r="J81" s="117"/>
      <c r="K81" s="117"/>
      <c r="L81" s="117"/>
      <c r="M81" s="117"/>
      <c r="N81" s="117"/>
      <c r="O81" s="117"/>
      <c r="P81" s="117"/>
      <c r="Q81" s="117"/>
      <c r="R81" s="117"/>
      <c r="S81" s="117"/>
      <c r="T81" s="117"/>
      <c r="U81" s="117"/>
      <c r="V81" s="117"/>
      <c r="W81" s="117"/>
      <c r="X81" s="117"/>
      <c r="Y81" s="117"/>
      <c r="Z81" s="117"/>
      <c r="AA81" s="117"/>
      <c r="AB81" s="117"/>
      <c r="AC81" s="117"/>
      <c r="AD81" s="117"/>
      <c r="AE81" s="117"/>
      <c r="AF81" s="117"/>
      <c r="AG81" s="46" t="str">
        <f>IF(COUNTA(TabPerfo[[#This Row],[J1]:[J30]])&lt;&gt;0,AVERAGE(TabPerfo[[#This Row],[J1]:[J30]]),"")</f>
        <v/>
      </c>
      <c r="AH81" s="49" t="str">
        <f>TabPerfo[[#This Row],[Moyenne]]</f>
        <v/>
      </c>
      <c r="AI81" s="48"/>
    </row>
    <row r="82" spans="2:35" ht="14.25">
      <c r="B82" s="14" t="str">
        <f>IF(INDEX(TabEntrainement[Seance],ROW()-18)&lt;&gt;0,INDEX(TabEntrainement[Seance],ROW()-18),"")</f>
        <v/>
      </c>
      <c r="C82" s="117"/>
      <c r="D82" s="117"/>
      <c r="E82" s="117"/>
      <c r="F82" s="117"/>
      <c r="G82" s="117"/>
      <c r="H82" s="117"/>
      <c r="I82" s="117"/>
      <c r="J82" s="117"/>
      <c r="K82" s="117"/>
      <c r="L82" s="117"/>
      <c r="M82" s="117"/>
      <c r="N82" s="117"/>
      <c r="O82" s="117"/>
      <c r="P82" s="117"/>
      <c r="Q82" s="117"/>
      <c r="R82" s="117"/>
      <c r="S82" s="117"/>
      <c r="T82" s="117"/>
      <c r="U82" s="117"/>
      <c r="V82" s="117"/>
      <c r="W82" s="117"/>
      <c r="X82" s="117"/>
      <c r="Y82" s="117"/>
      <c r="Z82" s="117"/>
      <c r="AA82" s="117"/>
      <c r="AB82" s="117"/>
      <c r="AC82" s="117"/>
      <c r="AD82" s="117"/>
      <c r="AE82" s="117"/>
      <c r="AF82" s="117"/>
      <c r="AG82" s="46" t="str">
        <f>IF(COUNTA(TabPerfo[[#This Row],[J1]:[J30]])&lt;&gt;0,AVERAGE(TabPerfo[[#This Row],[J1]:[J30]]),"")</f>
        <v/>
      </c>
      <c r="AH82" s="49" t="str">
        <f>TabPerfo[[#This Row],[Moyenne]]</f>
        <v/>
      </c>
      <c r="AI82" s="48"/>
    </row>
    <row r="83" spans="2:35" ht="14.25">
      <c r="B83" s="14" t="str">
        <f>IF(INDEX(TabEntrainement[Seance],ROW()-18)&lt;&gt;0,INDEX(TabEntrainement[Seance],ROW()-18),"")</f>
        <v/>
      </c>
      <c r="C83" s="117"/>
      <c r="D83" s="117"/>
      <c r="E83" s="117"/>
      <c r="F83" s="117"/>
      <c r="G83" s="117"/>
      <c r="H83" s="117"/>
      <c r="I83" s="117"/>
      <c r="J83" s="117"/>
      <c r="K83" s="117"/>
      <c r="L83" s="117"/>
      <c r="M83" s="117"/>
      <c r="N83" s="117"/>
      <c r="O83" s="117"/>
      <c r="P83" s="117"/>
      <c r="Q83" s="117"/>
      <c r="R83" s="117"/>
      <c r="S83" s="117"/>
      <c r="T83" s="117"/>
      <c r="U83" s="117"/>
      <c r="V83" s="117"/>
      <c r="W83" s="117"/>
      <c r="X83" s="117"/>
      <c r="Y83" s="117"/>
      <c r="Z83" s="117"/>
      <c r="AA83" s="117"/>
      <c r="AB83" s="117"/>
      <c r="AC83" s="117"/>
      <c r="AD83" s="117"/>
      <c r="AE83" s="117"/>
      <c r="AF83" s="117"/>
      <c r="AG83" s="46" t="str">
        <f>IF(COUNTA(TabPerfo[[#This Row],[J1]:[J30]])&lt;&gt;0,AVERAGE(TabPerfo[[#This Row],[J1]:[J30]]),"")</f>
        <v/>
      </c>
      <c r="AH83" s="49" t="str">
        <f>TabPerfo[[#This Row],[Moyenne]]</f>
        <v/>
      </c>
      <c r="AI83" s="48"/>
    </row>
    <row r="84" spans="2:35" ht="14.25">
      <c r="B84" s="14" t="str">
        <f>IF(INDEX(TabEntrainement[Seance],ROW()-18)&lt;&gt;0,INDEX(TabEntrainement[Seance],ROW()-18),"")</f>
        <v/>
      </c>
      <c r="C84" s="117"/>
      <c r="D84" s="117"/>
      <c r="E84" s="117"/>
      <c r="F84" s="117"/>
      <c r="G84" s="117"/>
      <c r="H84" s="117"/>
      <c r="I84" s="117"/>
      <c r="J84" s="117"/>
      <c r="K84" s="117"/>
      <c r="L84" s="117"/>
      <c r="M84" s="117"/>
      <c r="N84" s="117"/>
      <c r="O84" s="117"/>
      <c r="P84" s="117"/>
      <c r="Q84" s="117"/>
      <c r="R84" s="117"/>
      <c r="S84" s="117"/>
      <c r="T84" s="117"/>
      <c r="U84" s="117"/>
      <c r="V84" s="117"/>
      <c r="W84" s="117"/>
      <c r="X84" s="117"/>
      <c r="Y84" s="117"/>
      <c r="Z84" s="117"/>
      <c r="AA84" s="117"/>
      <c r="AB84" s="117"/>
      <c r="AC84" s="117"/>
      <c r="AD84" s="117"/>
      <c r="AE84" s="117"/>
      <c r="AF84" s="117"/>
      <c r="AG84" s="46" t="str">
        <f>IF(COUNTA(TabPerfo[[#This Row],[J1]:[J30]])&lt;&gt;0,AVERAGE(TabPerfo[[#This Row],[J1]:[J30]]),"")</f>
        <v/>
      </c>
      <c r="AH84" s="49" t="str">
        <f>TabPerfo[[#This Row],[Moyenne]]</f>
        <v/>
      </c>
      <c r="AI84" s="48"/>
    </row>
    <row r="85" spans="2:35" ht="14.25">
      <c r="B85" s="14" t="str">
        <f>IF(INDEX(TabEntrainement[Seance],ROW()-18)&lt;&gt;0,INDEX(TabEntrainement[Seance],ROW()-18),"")</f>
        <v/>
      </c>
      <c r="C85" s="117"/>
      <c r="D85" s="117"/>
      <c r="E85" s="117"/>
      <c r="F85" s="117"/>
      <c r="G85" s="117"/>
      <c r="H85" s="117"/>
      <c r="I85" s="117"/>
      <c r="J85" s="117"/>
      <c r="K85" s="117"/>
      <c r="L85" s="117"/>
      <c r="M85" s="117"/>
      <c r="N85" s="117"/>
      <c r="O85" s="117"/>
      <c r="P85" s="117"/>
      <c r="Q85" s="117"/>
      <c r="R85" s="117"/>
      <c r="S85" s="117"/>
      <c r="T85" s="117"/>
      <c r="U85" s="117"/>
      <c r="V85" s="117"/>
      <c r="W85" s="117"/>
      <c r="X85" s="117"/>
      <c r="Y85" s="117"/>
      <c r="Z85" s="117"/>
      <c r="AA85" s="117"/>
      <c r="AB85" s="117"/>
      <c r="AC85" s="117"/>
      <c r="AD85" s="117"/>
      <c r="AE85" s="117"/>
      <c r="AF85" s="117"/>
      <c r="AG85" s="46" t="str">
        <f>IF(COUNTA(TabPerfo[[#This Row],[J1]:[J30]])&lt;&gt;0,AVERAGE(TabPerfo[[#This Row],[J1]:[J30]]),"")</f>
        <v/>
      </c>
      <c r="AH85" s="49" t="str">
        <f>TabPerfo[[#This Row],[Moyenne]]</f>
        <v/>
      </c>
      <c r="AI85" s="48"/>
    </row>
    <row r="86" spans="2:35" ht="14.25">
      <c r="B86" s="14" t="str">
        <f>IF(INDEX(TabEntrainement[Seance],ROW()-18)&lt;&gt;0,INDEX(TabEntrainement[Seance],ROW()-18),"")</f>
        <v/>
      </c>
      <c r="C86" s="117"/>
      <c r="D86" s="117"/>
      <c r="E86" s="117"/>
      <c r="F86" s="117"/>
      <c r="G86" s="117"/>
      <c r="H86" s="117"/>
      <c r="I86" s="117"/>
      <c r="J86" s="117"/>
      <c r="K86" s="117"/>
      <c r="L86" s="117"/>
      <c r="M86" s="117"/>
      <c r="N86" s="117"/>
      <c r="O86" s="117"/>
      <c r="P86" s="117"/>
      <c r="Q86" s="117"/>
      <c r="R86" s="117"/>
      <c r="S86" s="117"/>
      <c r="T86" s="117"/>
      <c r="U86" s="117"/>
      <c r="V86" s="117"/>
      <c r="W86" s="117"/>
      <c r="X86" s="117"/>
      <c r="Y86" s="117"/>
      <c r="Z86" s="117"/>
      <c r="AA86" s="117"/>
      <c r="AB86" s="117"/>
      <c r="AC86" s="117"/>
      <c r="AD86" s="117"/>
      <c r="AE86" s="117"/>
      <c r="AF86" s="117"/>
      <c r="AG86" s="46" t="str">
        <f>IF(COUNTA(TabPerfo[[#This Row],[J1]:[J30]])&lt;&gt;0,AVERAGE(TabPerfo[[#This Row],[J1]:[J30]]),"")</f>
        <v/>
      </c>
      <c r="AH86" s="49" t="str">
        <f>TabPerfo[[#This Row],[Moyenne]]</f>
        <v/>
      </c>
      <c r="AI86" s="48"/>
    </row>
    <row r="87" spans="2:35" ht="14.25">
      <c r="B87" s="14" t="str">
        <f>IF(INDEX(TabEntrainement[Seance],ROW()-18)&lt;&gt;0,INDEX(TabEntrainement[Seance],ROW()-18),"")</f>
        <v/>
      </c>
      <c r="C87" s="117"/>
      <c r="D87" s="117"/>
      <c r="E87" s="117"/>
      <c r="F87" s="117"/>
      <c r="G87" s="117"/>
      <c r="H87" s="117"/>
      <c r="I87" s="117"/>
      <c r="J87" s="117"/>
      <c r="K87" s="117"/>
      <c r="L87" s="117"/>
      <c r="M87" s="117"/>
      <c r="N87" s="117"/>
      <c r="O87" s="117"/>
      <c r="P87" s="117"/>
      <c r="Q87" s="117"/>
      <c r="R87" s="117"/>
      <c r="S87" s="117"/>
      <c r="T87" s="117"/>
      <c r="U87" s="117"/>
      <c r="V87" s="117"/>
      <c r="W87" s="117"/>
      <c r="X87" s="117"/>
      <c r="Y87" s="117"/>
      <c r="Z87" s="117"/>
      <c r="AA87" s="117"/>
      <c r="AB87" s="117"/>
      <c r="AC87" s="117"/>
      <c r="AD87" s="117"/>
      <c r="AE87" s="117"/>
      <c r="AF87" s="117"/>
      <c r="AG87" s="46" t="str">
        <f>IF(COUNTA(TabPerfo[[#This Row],[J1]:[J30]])&lt;&gt;0,AVERAGE(TabPerfo[[#This Row],[J1]:[J30]]),"")</f>
        <v/>
      </c>
      <c r="AH87" s="49" t="str">
        <f>TabPerfo[[#This Row],[Moyenne]]</f>
        <v/>
      </c>
      <c r="AI87" s="48"/>
    </row>
    <row r="88" spans="2:35" ht="14.25">
      <c r="B88" s="14" t="str">
        <f>IF(INDEX(TabEntrainement[Seance],ROW()-18)&lt;&gt;0,INDEX(TabEntrainement[Seance],ROW()-18),"")</f>
        <v/>
      </c>
      <c r="C88" s="117"/>
      <c r="D88" s="117"/>
      <c r="E88" s="117"/>
      <c r="F88" s="117"/>
      <c r="G88" s="117"/>
      <c r="H88" s="117"/>
      <c r="I88" s="117"/>
      <c r="J88" s="117"/>
      <c r="K88" s="117"/>
      <c r="L88" s="117"/>
      <c r="M88" s="117"/>
      <c r="N88" s="117"/>
      <c r="O88" s="117"/>
      <c r="P88" s="117"/>
      <c r="Q88" s="117"/>
      <c r="R88" s="117"/>
      <c r="S88" s="117"/>
      <c r="T88" s="117"/>
      <c r="U88" s="117"/>
      <c r="V88" s="117"/>
      <c r="W88" s="117"/>
      <c r="X88" s="117"/>
      <c r="Y88" s="117"/>
      <c r="Z88" s="117"/>
      <c r="AA88" s="117"/>
      <c r="AB88" s="117"/>
      <c r="AC88" s="117"/>
      <c r="AD88" s="117"/>
      <c r="AE88" s="117"/>
      <c r="AF88" s="117"/>
      <c r="AG88" s="46" t="str">
        <f>IF(COUNTA(TabPerfo[[#This Row],[J1]:[J30]])&lt;&gt;0,AVERAGE(TabPerfo[[#This Row],[J1]:[J30]]),"")</f>
        <v/>
      </c>
      <c r="AH88" s="49" t="str">
        <f>TabPerfo[[#This Row],[Moyenne]]</f>
        <v/>
      </c>
      <c r="AI88" s="48"/>
    </row>
    <row r="89" spans="2:35" ht="14.25">
      <c r="B89" s="14" t="str">
        <f>IF(INDEX(TabEntrainement[Seance],ROW()-18)&lt;&gt;0,INDEX(TabEntrainement[Seance],ROW()-18),"")</f>
        <v/>
      </c>
      <c r="C89" s="117"/>
      <c r="D89" s="117"/>
      <c r="E89" s="117"/>
      <c r="F89" s="117"/>
      <c r="G89" s="117"/>
      <c r="H89" s="117"/>
      <c r="I89" s="117"/>
      <c r="J89" s="117"/>
      <c r="K89" s="117"/>
      <c r="L89" s="117"/>
      <c r="M89" s="117"/>
      <c r="N89" s="117"/>
      <c r="O89" s="117"/>
      <c r="P89" s="117"/>
      <c r="Q89" s="117"/>
      <c r="R89" s="117"/>
      <c r="S89" s="117"/>
      <c r="T89" s="117"/>
      <c r="U89" s="117"/>
      <c r="V89" s="117"/>
      <c r="W89" s="117"/>
      <c r="X89" s="117"/>
      <c r="Y89" s="117"/>
      <c r="Z89" s="117"/>
      <c r="AA89" s="117"/>
      <c r="AB89" s="117"/>
      <c r="AC89" s="117"/>
      <c r="AD89" s="117"/>
      <c r="AE89" s="117"/>
      <c r="AF89" s="117"/>
      <c r="AG89" s="46" t="str">
        <f>IF(COUNTA(TabPerfo[[#This Row],[J1]:[J30]])&lt;&gt;0,AVERAGE(TabPerfo[[#This Row],[J1]:[J30]]),"")</f>
        <v/>
      </c>
      <c r="AH89" s="49" t="str">
        <f>TabPerfo[[#This Row],[Moyenne]]</f>
        <v/>
      </c>
      <c r="AI89" s="48"/>
    </row>
    <row r="90" spans="2:35" ht="14.25">
      <c r="B90" s="14" t="str">
        <f>IF(INDEX(TabEntrainement[Seance],ROW()-18)&lt;&gt;0,INDEX(TabEntrainement[Seance],ROW()-18),"")</f>
        <v/>
      </c>
      <c r="C90" s="117"/>
      <c r="D90" s="117"/>
      <c r="E90" s="117"/>
      <c r="F90" s="117"/>
      <c r="G90" s="117"/>
      <c r="H90" s="117"/>
      <c r="I90" s="117"/>
      <c r="J90" s="117"/>
      <c r="K90" s="117"/>
      <c r="L90" s="117"/>
      <c r="M90" s="117"/>
      <c r="N90" s="117"/>
      <c r="O90" s="117"/>
      <c r="P90" s="117"/>
      <c r="Q90" s="117"/>
      <c r="R90" s="117"/>
      <c r="S90" s="117"/>
      <c r="T90" s="117"/>
      <c r="U90" s="117"/>
      <c r="V90" s="117"/>
      <c r="W90" s="117"/>
      <c r="X90" s="117"/>
      <c r="Y90" s="117"/>
      <c r="Z90" s="117"/>
      <c r="AA90" s="117"/>
      <c r="AB90" s="117"/>
      <c r="AC90" s="117"/>
      <c r="AD90" s="117"/>
      <c r="AE90" s="117"/>
      <c r="AF90" s="117"/>
      <c r="AG90" s="46" t="str">
        <f>IF(COUNTA(TabPerfo[[#This Row],[J1]:[J30]])&lt;&gt;0,AVERAGE(TabPerfo[[#This Row],[J1]:[J30]]),"")</f>
        <v/>
      </c>
      <c r="AH90" s="49" t="str">
        <f>TabPerfo[[#This Row],[Moyenne]]</f>
        <v/>
      </c>
      <c r="AI90" s="48"/>
    </row>
    <row r="91" spans="2:35" ht="14.25">
      <c r="B91" s="14" t="str">
        <f>IF(INDEX(TabEntrainement[Seance],ROW()-18)&lt;&gt;0,INDEX(TabEntrainement[Seance],ROW()-18),"")</f>
        <v/>
      </c>
      <c r="C91" s="117"/>
      <c r="D91" s="117"/>
      <c r="E91" s="117"/>
      <c r="F91" s="117"/>
      <c r="G91" s="117"/>
      <c r="H91" s="117"/>
      <c r="I91" s="117"/>
      <c r="J91" s="117"/>
      <c r="K91" s="117"/>
      <c r="L91" s="117"/>
      <c r="M91" s="117"/>
      <c r="N91" s="117"/>
      <c r="O91" s="117"/>
      <c r="P91" s="117"/>
      <c r="Q91" s="117"/>
      <c r="R91" s="117"/>
      <c r="S91" s="117"/>
      <c r="T91" s="117"/>
      <c r="U91" s="117"/>
      <c r="V91" s="117"/>
      <c r="W91" s="117"/>
      <c r="X91" s="117"/>
      <c r="Y91" s="117"/>
      <c r="Z91" s="117"/>
      <c r="AA91" s="117"/>
      <c r="AB91" s="117"/>
      <c r="AC91" s="117"/>
      <c r="AD91" s="117"/>
      <c r="AE91" s="117"/>
      <c r="AF91" s="117"/>
      <c r="AG91" s="46" t="str">
        <f>IF(COUNTA(TabPerfo[[#This Row],[J1]:[J30]])&lt;&gt;0,AVERAGE(TabPerfo[[#This Row],[J1]:[J30]]),"")</f>
        <v/>
      </c>
      <c r="AH91" s="49" t="str">
        <f>TabPerfo[[#This Row],[Moyenne]]</f>
        <v/>
      </c>
      <c r="AI91" s="48"/>
    </row>
    <row r="92" spans="2:35" ht="14.25">
      <c r="B92" s="14" t="str">
        <f>IF(INDEX(TabEntrainement[Seance],ROW()-18)&lt;&gt;0,INDEX(TabEntrainement[Seance],ROW()-18),"")</f>
        <v/>
      </c>
      <c r="C92" s="117"/>
      <c r="D92" s="117"/>
      <c r="E92" s="117"/>
      <c r="F92" s="117"/>
      <c r="G92" s="117"/>
      <c r="H92" s="117"/>
      <c r="I92" s="117"/>
      <c r="J92" s="117"/>
      <c r="K92" s="117"/>
      <c r="L92" s="117"/>
      <c r="M92" s="117"/>
      <c r="N92" s="117"/>
      <c r="O92" s="117"/>
      <c r="P92" s="117"/>
      <c r="Q92" s="117"/>
      <c r="R92" s="117"/>
      <c r="S92" s="117"/>
      <c r="T92" s="117"/>
      <c r="U92" s="117"/>
      <c r="V92" s="117"/>
      <c r="W92" s="117"/>
      <c r="X92" s="117"/>
      <c r="Y92" s="117"/>
      <c r="Z92" s="117"/>
      <c r="AA92" s="117"/>
      <c r="AB92" s="117"/>
      <c r="AC92" s="117"/>
      <c r="AD92" s="117"/>
      <c r="AE92" s="117"/>
      <c r="AF92" s="117"/>
      <c r="AG92" s="46" t="str">
        <f>IF(COUNTA(TabPerfo[[#This Row],[J1]:[J30]])&lt;&gt;0,AVERAGE(TabPerfo[[#This Row],[J1]:[J30]]),"")</f>
        <v/>
      </c>
      <c r="AH92" s="49" t="str">
        <f>TabPerfo[[#This Row],[Moyenne]]</f>
        <v/>
      </c>
      <c r="AI92" s="48"/>
    </row>
    <row r="93" spans="2:35" ht="14.25">
      <c r="B93" s="14" t="str">
        <f>IF(INDEX(TabEntrainement[Seance],ROW()-18)&lt;&gt;0,INDEX(TabEntrainement[Seance],ROW()-18),"")</f>
        <v/>
      </c>
      <c r="C93" s="117"/>
      <c r="D93" s="117"/>
      <c r="E93" s="117"/>
      <c r="F93" s="117"/>
      <c r="G93" s="117"/>
      <c r="H93" s="117"/>
      <c r="I93" s="117"/>
      <c r="J93" s="117"/>
      <c r="K93" s="117"/>
      <c r="L93" s="117"/>
      <c r="M93" s="117"/>
      <c r="N93" s="117"/>
      <c r="O93" s="117"/>
      <c r="P93" s="117"/>
      <c r="Q93" s="117"/>
      <c r="R93" s="117"/>
      <c r="S93" s="117"/>
      <c r="T93" s="117"/>
      <c r="U93" s="117"/>
      <c r="V93" s="117"/>
      <c r="W93" s="117"/>
      <c r="X93" s="117"/>
      <c r="Y93" s="117"/>
      <c r="Z93" s="117"/>
      <c r="AA93" s="117"/>
      <c r="AB93" s="117"/>
      <c r="AC93" s="117"/>
      <c r="AD93" s="117"/>
      <c r="AE93" s="117"/>
      <c r="AF93" s="117"/>
      <c r="AG93" s="46" t="str">
        <f>IF(COUNTA(TabPerfo[[#This Row],[J1]:[J30]])&lt;&gt;0,AVERAGE(TabPerfo[[#This Row],[J1]:[J30]]),"")</f>
        <v/>
      </c>
      <c r="AH93" s="49" t="str">
        <f>TabPerfo[[#This Row],[Moyenne]]</f>
        <v/>
      </c>
      <c r="AI93" s="48"/>
    </row>
    <row r="94" spans="2:35" ht="14.25">
      <c r="B94" s="14" t="str">
        <f>IF(INDEX(TabEntrainement[Seance],ROW()-18)&lt;&gt;0,INDEX(TabEntrainement[Seance],ROW()-18),"")</f>
        <v/>
      </c>
      <c r="C94" s="117"/>
      <c r="D94" s="117"/>
      <c r="E94" s="117"/>
      <c r="F94" s="117"/>
      <c r="G94" s="117"/>
      <c r="H94" s="117"/>
      <c r="I94" s="117"/>
      <c r="J94" s="117"/>
      <c r="K94" s="117"/>
      <c r="L94" s="117"/>
      <c r="M94" s="117"/>
      <c r="N94" s="117"/>
      <c r="O94" s="117"/>
      <c r="P94" s="117"/>
      <c r="Q94" s="117"/>
      <c r="R94" s="117"/>
      <c r="S94" s="117"/>
      <c r="T94" s="117"/>
      <c r="U94" s="117"/>
      <c r="V94" s="117"/>
      <c r="W94" s="117"/>
      <c r="X94" s="117"/>
      <c r="Y94" s="117"/>
      <c r="Z94" s="117"/>
      <c r="AA94" s="117"/>
      <c r="AB94" s="117"/>
      <c r="AC94" s="117"/>
      <c r="AD94" s="117"/>
      <c r="AE94" s="117"/>
      <c r="AF94" s="117"/>
      <c r="AG94" s="46" t="str">
        <f>IF(COUNTA(TabPerfo[[#This Row],[J1]:[J30]])&lt;&gt;0,AVERAGE(TabPerfo[[#This Row],[J1]:[J30]]),"")</f>
        <v/>
      </c>
      <c r="AH94" s="49" t="str">
        <f>TabPerfo[[#This Row],[Moyenne]]</f>
        <v/>
      </c>
      <c r="AI94" s="48"/>
    </row>
    <row r="95" spans="2:35" ht="14.25">
      <c r="B95" s="14" t="str">
        <f>IF(INDEX(TabEntrainement[Seance],ROW()-18)&lt;&gt;0,INDEX(TabEntrainement[Seance],ROW()-18),"")</f>
        <v/>
      </c>
      <c r="C95" s="117"/>
      <c r="D95" s="117"/>
      <c r="E95" s="117"/>
      <c r="F95" s="117"/>
      <c r="G95" s="117"/>
      <c r="H95" s="117"/>
      <c r="I95" s="117"/>
      <c r="J95" s="117"/>
      <c r="K95" s="117"/>
      <c r="L95" s="117"/>
      <c r="M95" s="117"/>
      <c r="N95" s="117"/>
      <c r="O95" s="117"/>
      <c r="P95" s="117"/>
      <c r="Q95" s="117"/>
      <c r="R95" s="117"/>
      <c r="S95" s="117"/>
      <c r="T95" s="117"/>
      <c r="U95" s="117"/>
      <c r="V95" s="117"/>
      <c r="W95" s="117"/>
      <c r="X95" s="117"/>
      <c r="Y95" s="117"/>
      <c r="Z95" s="117"/>
      <c r="AA95" s="117"/>
      <c r="AB95" s="117"/>
      <c r="AC95" s="117"/>
      <c r="AD95" s="117"/>
      <c r="AE95" s="117"/>
      <c r="AF95" s="117"/>
      <c r="AG95" s="46" t="str">
        <f>IF(COUNTA(TabPerfo[[#This Row],[J1]:[J30]])&lt;&gt;0,AVERAGE(TabPerfo[[#This Row],[J1]:[J30]]),"")</f>
        <v/>
      </c>
      <c r="AH95" s="49" t="str">
        <f>TabPerfo[[#This Row],[Moyenne]]</f>
        <v/>
      </c>
      <c r="AI95" s="48"/>
    </row>
    <row r="96" spans="2:35" ht="14.25">
      <c r="B96" s="14" t="str">
        <f>IF(INDEX(TabEntrainement[Seance],ROW()-18)&lt;&gt;0,INDEX(TabEntrainement[Seance],ROW()-18),"")</f>
        <v/>
      </c>
      <c r="C96" s="117"/>
      <c r="D96" s="117"/>
      <c r="E96" s="117"/>
      <c r="F96" s="117"/>
      <c r="G96" s="117"/>
      <c r="H96" s="117"/>
      <c r="I96" s="117"/>
      <c r="J96" s="117"/>
      <c r="K96" s="117"/>
      <c r="L96" s="117"/>
      <c r="M96" s="117"/>
      <c r="N96" s="117"/>
      <c r="O96" s="117"/>
      <c r="P96" s="117"/>
      <c r="Q96" s="117"/>
      <c r="R96" s="117"/>
      <c r="S96" s="117"/>
      <c r="T96" s="117"/>
      <c r="U96" s="117"/>
      <c r="V96" s="117"/>
      <c r="W96" s="117"/>
      <c r="X96" s="117"/>
      <c r="Y96" s="117"/>
      <c r="Z96" s="117"/>
      <c r="AA96" s="117"/>
      <c r="AB96" s="117"/>
      <c r="AC96" s="117"/>
      <c r="AD96" s="117"/>
      <c r="AE96" s="117"/>
      <c r="AF96" s="117"/>
      <c r="AG96" s="46" t="str">
        <f>IF(COUNTA(TabPerfo[[#This Row],[J1]:[J30]])&lt;&gt;0,AVERAGE(TabPerfo[[#This Row],[J1]:[J30]]),"")</f>
        <v/>
      </c>
      <c r="AH96" s="49" t="str">
        <f>TabPerfo[[#This Row],[Moyenne]]</f>
        <v/>
      </c>
      <c r="AI96" s="48"/>
    </row>
    <row r="97" spans="2:35" ht="14.25">
      <c r="B97" s="14" t="str">
        <f>IF(INDEX(TabEntrainement[Seance],ROW()-18)&lt;&gt;0,INDEX(TabEntrainement[Seance],ROW()-18),"")</f>
        <v/>
      </c>
      <c r="C97" s="117"/>
      <c r="D97" s="117"/>
      <c r="E97" s="117"/>
      <c r="F97" s="117"/>
      <c r="G97" s="117"/>
      <c r="H97" s="117"/>
      <c r="I97" s="117"/>
      <c r="J97" s="117"/>
      <c r="K97" s="117"/>
      <c r="L97" s="117"/>
      <c r="M97" s="117"/>
      <c r="N97" s="117"/>
      <c r="O97" s="117"/>
      <c r="P97" s="117"/>
      <c r="Q97" s="117"/>
      <c r="R97" s="117"/>
      <c r="S97" s="117"/>
      <c r="T97" s="117"/>
      <c r="U97" s="117"/>
      <c r="V97" s="117"/>
      <c r="W97" s="117"/>
      <c r="X97" s="117"/>
      <c r="Y97" s="117"/>
      <c r="Z97" s="117"/>
      <c r="AA97" s="117"/>
      <c r="AB97" s="117"/>
      <c r="AC97" s="117"/>
      <c r="AD97" s="117"/>
      <c r="AE97" s="117"/>
      <c r="AF97" s="117"/>
      <c r="AG97" s="46" t="str">
        <f>IF(COUNTA(TabPerfo[[#This Row],[J1]:[J30]])&lt;&gt;0,AVERAGE(TabPerfo[[#This Row],[J1]:[J30]]),"")</f>
        <v/>
      </c>
      <c r="AH97" s="49" t="str">
        <f>TabPerfo[[#This Row],[Moyenne]]</f>
        <v/>
      </c>
      <c r="AI97" s="48"/>
    </row>
    <row r="98" spans="2:35" ht="14.25">
      <c r="B98" s="14" t="str">
        <f>IF(INDEX(TabEntrainement[Seance],ROW()-18)&lt;&gt;0,INDEX(TabEntrainement[Seance],ROW()-18),"")</f>
        <v/>
      </c>
      <c r="C98" s="117"/>
      <c r="D98" s="117"/>
      <c r="E98" s="117"/>
      <c r="F98" s="117"/>
      <c r="G98" s="117"/>
      <c r="H98" s="117"/>
      <c r="I98" s="117"/>
      <c r="J98" s="117"/>
      <c r="K98" s="117"/>
      <c r="L98" s="117"/>
      <c r="M98" s="117"/>
      <c r="N98" s="117"/>
      <c r="O98" s="117"/>
      <c r="P98" s="117"/>
      <c r="Q98" s="117"/>
      <c r="R98" s="117"/>
      <c r="S98" s="117"/>
      <c r="T98" s="117"/>
      <c r="U98" s="117"/>
      <c r="V98" s="117"/>
      <c r="W98" s="117"/>
      <c r="X98" s="117"/>
      <c r="Y98" s="117"/>
      <c r="Z98" s="117"/>
      <c r="AA98" s="117"/>
      <c r="AB98" s="117"/>
      <c r="AC98" s="117"/>
      <c r="AD98" s="117"/>
      <c r="AE98" s="117"/>
      <c r="AF98" s="117"/>
      <c r="AG98" s="46" t="str">
        <f>IF(COUNTA(TabPerfo[[#This Row],[J1]:[J30]])&lt;&gt;0,AVERAGE(TabPerfo[[#This Row],[J1]:[J30]]),"")</f>
        <v/>
      </c>
      <c r="AH98" s="49" t="str">
        <f>TabPerfo[[#This Row],[Moyenne]]</f>
        <v/>
      </c>
      <c r="AI98" s="48"/>
    </row>
    <row r="99" spans="2:35" ht="14.25">
      <c r="B99" s="14" t="str">
        <f>IF(INDEX(TabEntrainement[Seance],ROW()-18)&lt;&gt;0,INDEX(TabEntrainement[Seance],ROW()-18),"")</f>
        <v/>
      </c>
      <c r="C99" s="117"/>
      <c r="D99" s="117"/>
      <c r="E99" s="117"/>
      <c r="F99" s="117"/>
      <c r="G99" s="117"/>
      <c r="H99" s="117"/>
      <c r="I99" s="117"/>
      <c r="J99" s="117"/>
      <c r="K99" s="117"/>
      <c r="L99" s="117"/>
      <c r="M99" s="117"/>
      <c r="N99" s="117"/>
      <c r="O99" s="117"/>
      <c r="P99" s="117"/>
      <c r="Q99" s="117"/>
      <c r="R99" s="117"/>
      <c r="S99" s="117"/>
      <c r="T99" s="117"/>
      <c r="U99" s="117"/>
      <c r="V99" s="117"/>
      <c r="W99" s="117"/>
      <c r="X99" s="117"/>
      <c r="Y99" s="117"/>
      <c r="Z99" s="117"/>
      <c r="AA99" s="117"/>
      <c r="AB99" s="117"/>
      <c r="AC99" s="117"/>
      <c r="AD99" s="117"/>
      <c r="AE99" s="117"/>
      <c r="AF99" s="117"/>
      <c r="AG99" s="46" t="str">
        <f>IF(COUNTA(TabPerfo[[#This Row],[J1]:[J30]])&lt;&gt;0,AVERAGE(TabPerfo[[#This Row],[J1]:[J30]]),"")</f>
        <v/>
      </c>
      <c r="AH99" s="49" t="str">
        <f>TabPerfo[[#This Row],[Moyenne]]</f>
        <v/>
      </c>
      <c r="AI99" s="48"/>
    </row>
    <row r="100" spans="2:35" ht="14.25">
      <c r="B100" s="14" t="str">
        <f>IF(INDEX(TabEntrainement[Seance],ROW()-18)&lt;&gt;0,INDEX(TabEntrainement[Seance],ROW()-18),"")</f>
        <v/>
      </c>
      <c r="C100" s="117"/>
      <c r="D100" s="117"/>
      <c r="E100" s="117"/>
      <c r="F100" s="117"/>
      <c r="G100" s="117"/>
      <c r="H100" s="117"/>
      <c r="I100" s="117"/>
      <c r="J100" s="117"/>
      <c r="K100" s="117"/>
      <c r="L100" s="117"/>
      <c r="M100" s="117"/>
      <c r="N100" s="117"/>
      <c r="O100" s="117"/>
      <c r="P100" s="117"/>
      <c r="Q100" s="117"/>
      <c r="R100" s="117"/>
      <c r="S100" s="117"/>
      <c r="T100" s="117"/>
      <c r="U100" s="117"/>
      <c r="V100" s="117"/>
      <c r="W100" s="117"/>
      <c r="X100" s="117"/>
      <c r="Y100" s="117"/>
      <c r="Z100" s="117"/>
      <c r="AA100" s="117"/>
      <c r="AB100" s="117"/>
      <c r="AC100" s="117"/>
      <c r="AD100" s="117"/>
      <c r="AE100" s="117"/>
      <c r="AF100" s="117"/>
      <c r="AG100" s="46" t="str">
        <f>IF(COUNTA(TabPerfo[[#This Row],[J1]:[J30]])&lt;&gt;0,AVERAGE(TabPerfo[[#This Row],[J1]:[J30]]),"")</f>
        <v/>
      </c>
      <c r="AH100" s="49" t="str">
        <f>TabPerfo[[#This Row],[Moyenne]]</f>
        <v/>
      </c>
      <c r="AI100" s="48"/>
    </row>
    <row r="101" spans="2:35" ht="14.25">
      <c r="B101" s="14" t="str">
        <f>IF(INDEX(TabEntrainement[Seance],ROW()-18)&lt;&gt;0,INDEX(TabEntrainement[Seance],ROW()-18),"")</f>
        <v/>
      </c>
      <c r="C101" s="117"/>
      <c r="D101" s="117"/>
      <c r="E101" s="117"/>
      <c r="F101" s="117"/>
      <c r="G101" s="117"/>
      <c r="H101" s="117"/>
      <c r="I101" s="117"/>
      <c r="J101" s="117"/>
      <c r="K101" s="117"/>
      <c r="L101" s="117"/>
      <c r="M101" s="117"/>
      <c r="N101" s="117"/>
      <c r="O101" s="117"/>
      <c r="P101" s="117"/>
      <c r="Q101" s="117"/>
      <c r="R101" s="117"/>
      <c r="S101" s="117"/>
      <c r="T101" s="117"/>
      <c r="U101" s="117"/>
      <c r="V101" s="117"/>
      <c r="W101" s="117"/>
      <c r="X101" s="117"/>
      <c r="Y101" s="117"/>
      <c r="Z101" s="117"/>
      <c r="AA101" s="117"/>
      <c r="AB101" s="117"/>
      <c r="AC101" s="117"/>
      <c r="AD101" s="117"/>
      <c r="AE101" s="117"/>
      <c r="AF101" s="117"/>
      <c r="AG101" s="46" t="str">
        <f>IF(COUNTA(TabPerfo[[#This Row],[J1]:[J30]])&lt;&gt;0,AVERAGE(TabPerfo[[#This Row],[J1]:[J30]]),"")</f>
        <v/>
      </c>
      <c r="AH101" s="49" t="str">
        <f>TabPerfo[[#This Row],[Moyenne]]</f>
        <v/>
      </c>
      <c r="AI101" s="48"/>
    </row>
    <row r="102" spans="2:35" ht="14.25">
      <c r="B102" s="14" t="str">
        <f>IF(INDEX(TabEntrainement[Seance],ROW()-18)&lt;&gt;0,INDEX(TabEntrainement[Seance],ROW()-18),"")</f>
        <v/>
      </c>
      <c r="C102" s="117"/>
      <c r="D102" s="117"/>
      <c r="E102" s="117"/>
      <c r="F102" s="117"/>
      <c r="G102" s="117"/>
      <c r="H102" s="117"/>
      <c r="I102" s="117"/>
      <c r="J102" s="117"/>
      <c r="K102" s="117"/>
      <c r="L102" s="117"/>
      <c r="M102" s="117"/>
      <c r="N102" s="117"/>
      <c r="O102" s="117"/>
      <c r="P102" s="117"/>
      <c r="Q102" s="117"/>
      <c r="R102" s="117"/>
      <c r="S102" s="117"/>
      <c r="T102" s="117"/>
      <c r="U102" s="117"/>
      <c r="V102" s="117"/>
      <c r="W102" s="117"/>
      <c r="X102" s="117"/>
      <c r="Y102" s="117"/>
      <c r="Z102" s="117"/>
      <c r="AA102" s="117"/>
      <c r="AB102" s="117"/>
      <c r="AC102" s="117"/>
      <c r="AD102" s="117"/>
      <c r="AE102" s="117"/>
      <c r="AF102" s="117"/>
      <c r="AG102" s="46" t="str">
        <f>IF(COUNTA(TabPerfo[[#This Row],[J1]:[J30]])&lt;&gt;0,AVERAGE(TabPerfo[[#This Row],[J1]:[J30]]),"")</f>
        <v/>
      </c>
      <c r="AH102" s="49" t="str">
        <f>TabPerfo[[#This Row],[Moyenne]]</f>
        <v/>
      </c>
      <c r="AI102" s="48"/>
    </row>
    <row r="103" spans="2:35" ht="14.25">
      <c r="B103" s="14" t="str">
        <f>IF(INDEX(TabEntrainement[Seance],ROW()-18)&lt;&gt;0,INDEX(TabEntrainement[Seance],ROW()-18),"")</f>
        <v/>
      </c>
      <c r="C103" s="117"/>
      <c r="D103" s="117"/>
      <c r="E103" s="117"/>
      <c r="F103" s="117"/>
      <c r="G103" s="117"/>
      <c r="H103" s="117"/>
      <c r="I103" s="117"/>
      <c r="J103" s="117"/>
      <c r="K103" s="117"/>
      <c r="L103" s="117"/>
      <c r="M103" s="117"/>
      <c r="N103" s="117"/>
      <c r="O103" s="117"/>
      <c r="P103" s="117"/>
      <c r="Q103" s="117"/>
      <c r="R103" s="117"/>
      <c r="S103" s="117"/>
      <c r="T103" s="117"/>
      <c r="U103" s="117"/>
      <c r="V103" s="117"/>
      <c r="W103" s="117"/>
      <c r="X103" s="117"/>
      <c r="Y103" s="117"/>
      <c r="Z103" s="117"/>
      <c r="AA103" s="117"/>
      <c r="AB103" s="117"/>
      <c r="AC103" s="117"/>
      <c r="AD103" s="117"/>
      <c r="AE103" s="117"/>
      <c r="AF103" s="117"/>
      <c r="AG103" s="46" t="str">
        <f>IF(COUNTA(TabPerfo[[#This Row],[J1]:[J30]])&lt;&gt;0,AVERAGE(TabPerfo[[#This Row],[J1]:[J30]]),"")</f>
        <v/>
      </c>
      <c r="AH103" s="49" t="str">
        <f>TabPerfo[[#This Row],[Moyenne]]</f>
        <v/>
      </c>
      <c r="AI103" s="48"/>
    </row>
    <row r="104" spans="2:35" ht="14.25">
      <c r="B104" s="14" t="str">
        <f>IF(INDEX(TabEntrainement[Seance],ROW()-18)&lt;&gt;0,INDEX(TabEntrainement[Seance],ROW()-18),"")</f>
        <v/>
      </c>
      <c r="C104" s="117"/>
      <c r="D104" s="117"/>
      <c r="E104" s="117"/>
      <c r="F104" s="117"/>
      <c r="G104" s="117"/>
      <c r="H104" s="117"/>
      <c r="I104" s="117"/>
      <c r="J104" s="117"/>
      <c r="K104" s="117"/>
      <c r="L104" s="117"/>
      <c r="M104" s="117"/>
      <c r="N104" s="117"/>
      <c r="O104" s="117"/>
      <c r="P104" s="117"/>
      <c r="Q104" s="117"/>
      <c r="R104" s="117"/>
      <c r="S104" s="117"/>
      <c r="T104" s="117"/>
      <c r="U104" s="117"/>
      <c r="V104" s="117"/>
      <c r="W104" s="117"/>
      <c r="X104" s="117"/>
      <c r="Y104" s="117"/>
      <c r="Z104" s="117"/>
      <c r="AA104" s="117"/>
      <c r="AB104" s="117"/>
      <c r="AC104" s="117"/>
      <c r="AD104" s="117"/>
      <c r="AE104" s="117"/>
      <c r="AF104" s="117"/>
      <c r="AG104" s="46" t="str">
        <f>IF(COUNTA(TabPerfo[[#This Row],[J1]:[J30]])&lt;&gt;0,AVERAGE(TabPerfo[[#This Row],[J1]:[J30]]),"")</f>
        <v/>
      </c>
      <c r="AH104" s="49" t="str">
        <f>TabPerfo[[#This Row],[Moyenne]]</f>
        <v/>
      </c>
      <c r="AI104" s="48"/>
    </row>
    <row r="105" spans="2:35" ht="14.25">
      <c r="B105" s="14" t="str">
        <f>IF(INDEX(TabEntrainement[Seance],ROW()-18)&lt;&gt;0,INDEX(TabEntrainement[Seance],ROW()-18),"")</f>
        <v/>
      </c>
      <c r="C105" s="117"/>
      <c r="D105" s="117"/>
      <c r="E105" s="117"/>
      <c r="F105" s="117"/>
      <c r="G105" s="117"/>
      <c r="H105" s="117"/>
      <c r="I105" s="117"/>
      <c r="J105" s="117"/>
      <c r="K105" s="117"/>
      <c r="L105" s="117"/>
      <c r="M105" s="117"/>
      <c r="N105" s="117"/>
      <c r="O105" s="117"/>
      <c r="P105" s="117"/>
      <c r="Q105" s="117"/>
      <c r="R105" s="117"/>
      <c r="S105" s="117"/>
      <c r="T105" s="117"/>
      <c r="U105" s="117"/>
      <c r="V105" s="117"/>
      <c r="W105" s="117"/>
      <c r="X105" s="117"/>
      <c r="Y105" s="117"/>
      <c r="Z105" s="117"/>
      <c r="AA105" s="117"/>
      <c r="AB105" s="117"/>
      <c r="AC105" s="117"/>
      <c r="AD105" s="117"/>
      <c r="AE105" s="117"/>
      <c r="AF105" s="117"/>
      <c r="AG105" s="46" t="str">
        <f>IF(COUNTA(TabPerfo[[#This Row],[J1]:[J30]])&lt;&gt;0,AVERAGE(TabPerfo[[#This Row],[J1]:[J30]]),"")</f>
        <v/>
      </c>
      <c r="AH105" s="49" t="str">
        <f>TabPerfo[[#This Row],[Moyenne]]</f>
        <v/>
      </c>
      <c r="AI105" s="48"/>
    </row>
    <row r="106" spans="2:35" ht="14.25">
      <c r="B106" s="14" t="str">
        <f>IF(INDEX(TabEntrainement[Seance],ROW()-18)&lt;&gt;0,INDEX(TabEntrainement[Seance],ROW()-18),"")</f>
        <v/>
      </c>
      <c r="C106" s="117"/>
      <c r="D106" s="117"/>
      <c r="E106" s="117"/>
      <c r="F106" s="117"/>
      <c r="G106" s="117"/>
      <c r="H106" s="117"/>
      <c r="I106" s="117"/>
      <c r="J106" s="117"/>
      <c r="K106" s="117"/>
      <c r="L106" s="117"/>
      <c r="M106" s="117"/>
      <c r="N106" s="117"/>
      <c r="O106" s="117"/>
      <c r="P106" s="117"/>
      <c r="Q106" s="117"/>
      <c r="R106" s="117"/>
      <c r="S106" s="117"/>
      <c r="T106" s="117"/>
      <c r="U106" s="117"/>
      <c r="V106" s="117"/>
      <c r="W106" s="117"/>
      <c r="X106" s="117"/>
      <c r="Y106" s="117"/>
      <c r="Z106" s="117"/>
      <c r="AA106" s="117"/>
      <c r="AB106" s="117"/>
      <c r="AC106" s="117"/>
      <c r="AD106" s="117"/>
      <c r="AE106" s="117"/>
      <c r="AF106" s="117"/>
      <c r="AG106" s="46" t="str">
        <f>IF(COUNTA(TabPerfo[[#This Row],[J1]:[J30]])&lt;&gt;0,AVERAGE(TabPerfo[[#This Row],[J1]:[J30]]),"")</f>
        <v/>
      </c>
      <c r="AH106" s="49" t="str">
        <f>TabPerfo[[#This Row],[Moyenne]]</f>
        <v/>
      </c>
      <c r="AI106" s="48"/>
    </row>
    <row r="107" spans="2:35" ht="14.25">
      <c r="B107" s="14" t="str">
        <f>IF(INDEX(TabEntrainement[Seance],ROW()-18)&lt;&gt;0,INDEX(TabEntrainement[Seance],ROW()-18),"")</f>
        <v/>
      </c>
      <c r="C107" s="117"/>
      <c r="D107" s="117"/>
      <c r="E107" s="117"/>
      <c r="F107" s="117"/>
      <c r="G107" s="117"/>
      <c r="H107" s="117"/>
      <c r="I107" s="117"/>
      <c r="J107" s="117"/>
      <c r="K107" s="117"/>
      <c r="L107" s="117"/>
      <c r="M107" s="117"/>
      <c r="N107" s="117"/>
      <c r="O107" s="117"/>
      <c r="P107" s="117"/>
      <c r="Q107" s="117"/>
      <c r="R107" s="117"/>
      <c r="S107" s="117"/>
      <c r="T107" s="117"/>
      <c r="U107" s="117"/>
      <c r="V107" s="117"/>
      <c r="W107" s="117"/>
      <c r="X107" s="117"/>
      <c r="Y107" s="117"/>
      <c r="Z107" s="117"/>
      <c r="AA107" s="117"/>
      <c r="AB107" s="117"/>
      <c r="AC107" s="117"/>
      <c r="AD107" s="117"/>
      <c r="AE107" s="117"/>
      <c r="AF107" s="117"/>
      <c r="AG107" s="46" t="str">
        <f>IF(COUNTA(TabPerfo[[#This Row],[J1]:[J30]])&lt;&gt;0,AVERAGE(TabPerfo[[#This Row],[J1]:[J30]]),"")</f>
        <v/>
      </c>
      <c r="AH107" s="49" t="str">
        <f>TabPerfo[[#This Row],[Moyenne]]</f>
        <v/>
      </c>
      <c r="AI107" s="48"/>
    </row>
    <row r="108" spans="2:35" ht="14.25">
      <c r="B108" s="14" t="str">
        <f>IF(INDEX(TabEntrainement[Seance],ROW()-18)&lt;&gt;0,INDEX(TabEntrainement[Seance],ROW()-18),"")</f>
        <v/>
      </c>
      <c r="C108" s="117"/>
      <c r="D108" s="117"/>
      <c r="E108" s="117"/>
      <c r="F108" s="117"/>
      <c r="G108" s="117"/>
      <c r="H108" s="117"/>
      <c r="I108" s="117"/>
      <c r="J108" s="117"/>
      <c r="K108" s="117"/>
      <c r="L108" s="117"/>
      <c r="M108" s="117"/>
      <c r="N108" s="117"/>
      <c r="O108" s="117"/>
      <c r="P108" s="117"/>
      <c r="Q108" s="117"/>
      <c r="R108" s="117"/>
      <c r="S108" s="117"/>
      <c r="T108" s="117"/>
      <c r="U108" s="117"/>
      <c r="V108" s="117"/>
      <c r="W108" s="117"/>
      <c r="X108" s="117"/>
      <c r="Y108" s="117"/>
      <c r="Z108" s="117"/>
      <c r="AA108" s="117"/>
      <c r="AB108" s="117"/>
      <c r="AC108" s="117"/>
      <c r="AD108" s="117"/>
      <c r="AE108" s="117"/>
      <c r="AF108" s="117"/>
      <c r="AG108" s="46" t="str">
        <f>IF(COUNTA(TabPerfo[[#This Row],[J1]:[J30]])&lt;&gt;0,AVERAGE(TabPerfo[[#This Row],[J1]:[J30]]),"")</f>
        <v/>
      </c>
      <c r="AH108" s="49" t="str">
        <f>TabPerfo[[#This Row],[Moyenne]]</f>
        <v/>
      </c>
      <c r="AI108" s="48"/>
    </row>
    <row r="109" spans="2:35" ht="14.25">
      <c r="B109" s="14" t="str">
        <f>IF(INDEX(TabEntrainement[Seance],ROW()-18)&lt;&gt;0,INDEX(TabEntrainement[Seance],ROW()-18),"")</f>
        <v/>
      </c>
      <c r="C109" s="117"/>
      <c r="D109" s="117"/>
      <c r="E109" s="117"/>
      <c r="F109" s="117"/>
      <c r="G109" s="117"/>
      <c r="H109" s="117"/>
      <c r="I109" s="117"/>
      <c r="J109" s="117"/>
      <c r="K109" s="117"/>
      <c r="L109" s="117"/>
      <c r="M109" s="117"/>
      <c r="N109" s="117"/>
      <c r="O109" s="117"/>
      <c r="P109" s="117"/>
      <c r="Q109" s="117"/>
      <c r="R109" s="117"/>
      <c r="S109" s="117"/>
      <c r="T109" s="117"/>
      <c r="U109" s="117"/>
      <c r="V109" s="117"/>
      <c r="W109" s="117"/>
      <c r="X109" s="117"/>
      <c r="Y109" s="117"/>
      <c r="Z109" s="117"/>
      <c r="AA109" s="117"/>
      <c r="AB109" s="117"/>
      <c r="AC109" s="117"/>
      <c r="AD109" s="117"/>
      <c r="AE109" s="117"/>
      <c r="AF109" s="117"/>
      <c r="AG109" s="46" t="str">
        <f>IF(COUNTA(TabPerfo[[#This Row],[J1]:[J30]])&lt;&gt;0,AVERAGE(TabPerfo[[#This Row],[J1]:[J30]]),"")</f>
        <v/>
      </c>
      <c r="AH109" s="49" t="str">
        <f>TabPerfo[[#This Row],[Moyenne]]</f>
        <v/>
      </c>
      <c r="AI109" s="48"/>
    </row>
    <row r="110" spans="2:35" ht="14.25">
      <c r="B110" s="14" t="str">
        <f>IF(INDEX(TabEntrainement[Seance],ROW()-18)&lt;&gt;0,INDEX(TabEntrainement[Seance],ROW()-18),"")</f>
        <v/>
      </c>
      <c r="C110" s="117"/>
      <c r="D110" s="117"/>
      <c r="E110" s="117"/>
      <c r="F110" s="117"/>
      <c r="G110" s="117"/>
      <c r="H110" s="117"/>
      <c r="I110" s="117"/>
      <c r="J110" s="117"/>
      <c r="K110" s="117"/>
      <c r="L110" s="117"/>
      <c r="M110" s="117"/>
      <c r="N110" s="117"/>
      <c r="O110" s="117"/>
      <c r="P110" s="117"/>
      <c r="Q110" s="117"/>
      <c r="R110" s="117"/>
      <c r="S110" s="117"/>
      <c r="T110" s="117"/>
      <c r="U110" s="117"/>
      <c r="V110" s="117"/>
      <c r="W110" s="117"/>
      <c r="X110" s="117"/>
      <c r="Y110" s="117"/>
      <c r="Z110" s="117"/>
      <c r="AA110" s="117"/>
      <c r="AB110" s="117"/>
      <c r="AC110" s="117"/>
      <c r="AD110" s="117"/>
      <c r="AE110" s="117"/>
      <c r="AF110" s="117"/>
      <c r="AG110" s="46" t="str">
        <f>IF(COUNTA(TabPerfo[[#This Row],[J1]:[J30]])&lt;&gt;0,AVERAGE(TabPerfo[[#This Row],[J1]:[J30]]),"")</f>
        <v/>
      </c>
      <c r="AH110" s="49" t="str">
        <f>TabPerfo[[#This Row],[Moyenne]]</f>
        <v/>
      </c>
      <c r="AI110" s="48"/>
    </row>
    <row r="111" spans="2:35" ht="14.25">
      <c r="B111" s="14" t="str">
        <f>IF(INDEX(TabEntrainement[Seance],ROW()-18)&lt;&gt;0,INDEX(TabEntrainement[Seance],ROW()-18),"")</f>
        <v/>
      </c>
      <c r="C111" s="117"/>
      <c r="D111" s="117"/>
      <c r="E111" s="117"/>
      <c r="F111" s="117"/>
      <c r="G111" s="117"/>
      <c r="H111" s="117"/>
      <c r="I111" s="117"/>
      <c r="J111" s="117"/>
      <c r="K111" s="117"/>
      <c r="L111" s="117"/>
      <c r="M111" s="117"/>
      <c r="N111" s="117"/>
      <c r="O111" s="117"/>
      <c r="P111" s="117"/>
      <c r="Q111" s="117"/>
      <c r="R111" s="117"/>
      <c r="S111" s="117"/>
      <c r="T111" s="117"/>
      <c r="U111" s="117"/>
      <c r="V111" s="117"/>
      <c r="W111" s="117"/>
      <c r="X111" s="117"/>
      <c r="Y111" s="117"/>
      <c r="Z111" s="117"/>
      <c r="AA111" s="117"/>
      <c r="AB111" s="117"/>
      <c r="AC111" s="117"/>
      <c r="AD111" s="117"/>
      <c r="AE111" s="117"/>
      <c r="AF111" s="117"/>
      <c r="AG111" s="46" t="str">
        <f>IF(COUNTA(TabPerfo[[#This Row],[J1]:[J30]])&lt;&gt;0,AVERAGE(TabPerfo[[#This Row],[J1]:[J30]]),"")</f>
        <v/>
      </c>
      <c r="AH111" s="49" t="str">
        <f>TabPerfo[[#This Row],[Moyenne]]</f>
        <v/>
      </c>
      <c r="AI111" s="48"/>
    </row>
    <row r="112" spans="2:35" ht="14.25">
      <c r="B112" s="14" t="str">
        <f>IF(INDEX(TabEntrainement[Seance],ROW()-18)&lt;&gt;0,INDEX(TabEntrainement[Seance],ROW()-18),"")</f>
        <v/>
      </c>
      <c r="C112" s="117"/>
      <c r="D112" s="117"/>
      <c r="E112" s="117"/>
      <c r="F112" s="117"/>
      <c r="G112" s="117"/>
      <c r="H112" s="117"/>
      <c r="I112" s="117"/>
      <c r="J112" s="117"/>
      <c r="K112" s="117"/>
      <c r="L112" s="117"/>
      <c r="M112" s="117"/>
      <c r="N112" s="117"/>
      <c r="O112" s="117"/>
      <c r="P112" s="117"/>
      <c r="Q112" s="117"/>
      <c r="R112" s="117"/>
      <c r="S112" s="117"/>
      <c r="T112" s="117"/>
      <c r="U112" s="117"/>
      <c r="V112" s="117"/>
      <c r="W112" s="117"/>
      <c r="X112" s="117"/>
      <c r="Y112" s="117"/>
      <c r="Z112" s="117"/>
      <c r="AA112" s="117"/>
      <c r="AB112" s="117"/>
      <c r="AC112" s="117"/>
      <c r="AD112" s="117"/>
      <c r="AE112" s="117"/>
      <c r="AF112" s="117"/>
      <c r="AG112" s="46" t="str">
        <f>IF(COUNTA(TabPerfo[[#This Row],[J1]:[J30]])&lt;&gt;0,AVERAGE(TabPerfo[[#This Row],[J1]:[J30]]),"")</f>
        <v/>
      </c>
      <c r="AH112" s="49" t="str">
        <f>TabPerfo[[#This Row],[Moyenne]]</f>
        <v/>
      </c>
      <c r="AI112" s="48"/>
    </row>
    <row r="113" spans="2:35" ht="14.25">
      <c r="B113" s="14" t="str">
        <f>IF(INDEX(TabEntrainement[Seance],ROW()-18)&lt;&gt;0,INDEX(TabEntrainement[Seance],ROW()-18),"")</f>
        <v/>
      </c>
      <c r="C113" s="117"/>
      <c r="D113" s="117"/>
      <c r="E113" s="117"/>
      <c r="F113" s="117"/>
      <c r="G113" s="117"/>
      <c r="H113" s="117"/>
      <c r="I113" s="117"/>
      <c r="J113" s="117"/>
      <c r="K113" s="117"/>
      <c r="L113" s="117"/>
      <c r="M113" s="117"/>
      <c r="N113" s="117"/>
      <c r="O113" s="117"/>
      <c r="P113" s="117"/>
      <c r="Q113" s="117"/>
      <c r="R113" s="117"/>
      <c r="S113" s="117"/>
      <c r="T113" s="117"/>
      <c r="U113" s="117"/>
      <c r="V113" s="117"/>
      <c r="W113" s="117"/>
      <c r="X113" s="117"/>
      <c r="Y113" s="117"/>
      <c r="Z113" s="117"/>
      <c r="AA113" s="117"/>
      <c r="AB113" s="117"/>
      <c r="AC113" s="117"/>
      <c r="AD113" s="117"/>
      <c r="AE113" s="117"/>
      <c r="AF113" s="117"/>
      <c r="AG113" s="46" t="str">
        <f>IF(COUNTA(TabPerfo[[#This Row],[J1]:[J30]])&lt;&gt;0,AVERAGE(TabPerfo[[#This Row],[J1]:[J30]]),"")</f>
        <v/>
      </c>
      <c r="AH113" s="49" t="str">
        <f>TabPerfo[[#This Row],[Moyenne]]</f>
        <v/>
      </c>
      <c r="AI113" s="48"/>
    </row>
    <row r="114" spans="2:35" ht="14.25">
      <c r="B114" s="14" t="str">
        <f>IF(INDEX(TabEntrainement[Seance],ROW()-18)&lt;&gt;0,INDEX(TabEntrainement[Seance],ROW()-18),"")</f>
        <v/>
      </c>
      <c r="C114" s="117"/>
      <c r="D114" s="117"/>
      <c r="E114" s="117"/>
      <c r="F114" s="117"/>
      <c r="G114" s="117"/>
      <c r="H114" s="117"/>
      <c r="I114" s="117"/>
      <c r="J114" s="117"/>
      <c r="K114" s="117"/>
      <c r="L114" s="117"/>
      <c r="M114" s="117"/>
      <c r="N114" s="117"/>
      <c r="O114" s="117"/>
      <c r="P114" s="117"/>
      <c r="Q114" s="117"/>
      <c r="R114" s="117"/>
      <c r="S114" s="117"/>
      <c r="T114" s="117"/>
      <c r="U114" s="117"/>
      <c r="V114" s="117"/>
      <c r="W114" s="117"/>
      <c r="X114" s="117"/>
      <c r="Y114" s="117"/>
      <c r="Z114" s="117"/>
      <c r="AA114" s="117"/>
      <c r="AB114" s="117"/>
      <c r="AC114" s="117"/>
      <c r="AD114" s="117"/>
      <c r="AE114" s="117"/>
      <c r="AF114" s="117"/>
      <c r="AG114" s="46" t="str">
        <f>IF(COUNTA(TabPerfo[[#This Row],[J1]:[J30]])&lt;&gt;0,AVERAGE(TabPerfo[[#This Row],[J1]:[J30]]),"")</f>
        <v/>
      </c>
      <c r="AH114" s="49" t="str">
        <f>TabPerfo[[#This Row],[Moyenne]]</f>
        <v/>
      </c>
      <c r="AI114" s="48"/>
    </row>
    <row r="115" spans="2:35" ht="14.25">
      <c r="B115" s="14" t="str">
        <f>IF(INDEX(TabEntrainement[Seance],ROW()-18)&lt;&gt;0,INDEX(TabEntrainement[Seance],ROW()-18),"")</f>
        <v/>
      </c>
      <c r="C115" s="117"/>
      <c r="D115" s="117"/>
      <c r="E115" s="117"/>
      <c r="F115" s="117"/>
      <c r="G115" s="117"/>
      <c r="H115" s="117"/>
      <c r="I115" s="117"/>
      <c r="J115" s="117"/>
      <c r="K115" s="117"/>
      <c r="L115" s="117"/>
      <c r="M115" s="117"/>
      <c r="N115" s="117"/>
      <c r="O115" s="117"/>
      <c r="P115" s="117"/>
      <c r="Q115" s="117"/>
      <c r="R115" s="117"/>
      <c r="S115" s="117"/>
      <c r="T115" s="117"/>
      <c r="U115" s="117"/>
      <c r="V115" s="117"/>
      <c r="W115" s="117"/>
      <c r="X115" s="117"/>
      <c r="Y115" s="117"/>
      <c r="Z115" s="117"/>
      <c r="AA115" s="117"/>
      <c r="AB115" s="117"/>
      <c r="AC115" s="117"/>
      <c r="AD115" s="117"/>
      <c r="AE115" s="117"/>
      <c r="AF115" s="117"/>
      <c r="AG115" s="46" t="str">
        <f>IF(COUNTA(TabPerfo[[#This Row],[J1]:[J30]])&lt;&gt;0,AVERAGE(TabPerfo[[#This Row],[J1]:[J30]]),"")</f>
        <v/>
      </c>
      <c r="AH115" s="49" t="str">
        <f>TabPerfo[[#This Row],[Moyenne]]</f>
        <v/>
      </c>
      <c r="AI115" s="48"/>
    </row>
    <row r="116" spans="2:35" ht="14.25">
      <c r="B116" s="14" t="str">
        <f>IF(INDEX(TabEntrainement[Seance],ROW()-18)&lt;&gt;0,INDEX(TabEntrainement[Seance],ROW()-18),"")</f>
        <v/>
      </c>
      <c r="C116" s="117"/>
      <c r="D116" s="117"/>
      <c r="E116" s="117"/>
      <c r="F116" s="117"/>
      <c r="G116" s="117"/>
      <c r="H116" s="117"/>
      <c r="I116" s="117"/>
      <c r="J116" s="117"/>
      <c r="K116" s="117"/>
      <c r="L116" s="117"/>
      <c r="M116" s="117"/>
      <c r="N116" s="117"/>
      <c r="O116" s="117"/>
      <c r="P116" s="117"/>
      <c r="Q116" s="117"/>
      <c r="R116" s="117"/>
      <c r="S116" s="117"/>
      <c r="T116" s="117"/>
      <c r="U116" s="117"/>
      <c r="V116" s="117"/>
      <c r="W116" s="117"/>
      <c r="X116" s="117"/>
      <c r="Y116" s="117"/>
      <c r="Z116" s="117"/>
      <c r="AA116" s="117"/>
      <c r="AB116" s="117"/>
      <c r="AC116" s="117"/>
      <c r="AD116" s="117"/>
      <c r="AE116" s="117"/>
      <c r="AF116" s="117"/>
      <c r="AG116" s="46" t="str">
        <f>IF(COUNTA(TabPerfo[[#This Row],[J1]:[J30]])&lt;&gt;0,AVERAGE(TabPerfo[[#This Row],[J1]:[J30]]),"")</f>
        <v/>
      </c>
      <c r="AH116" s="49" t="str">
        <f>TabPerfo[[#This Row],[Moyenne]]</f>
        <v/>
      </c>
      <c r="AI116" s="48"/>
    </row>
    <row r="117" spans="2:35" ht="14.25">
      <c r="B117" s="14" t="str">
        <f>IF(INDEX(TabEntrainement[Seance],ROW()-18)&lt;&gt;0,INDEX(TabEntrainement[Seance],ROW()-18),"")</f>
        <v/>
      </c>
      <c r="C117" s="117"/>
      <c r="D117" s="117"/>
      <c r="E117" s="117"/>
      <c r="F117" s="117"/>
      <c r="G117" s="117"/>
      <c r="H117" s="117"/>
      <c r="I117" s="117"/>
      <c r="J117" s="117"/>
      <c r="K117" s="117"/>
      <c r="L117" s="117"/>
      <c r="M117" s="117"/>
      <c r="N117" s="117"/>
      <c r="O117" s="117"/>
      <c r="P117" s="117"/>
      <c r="Q117" s="117"/>
      <c r="R117" s="117"/>
      <c r="S117" s="117"/>
      <c r="T117" s="117"/>
      <c r="U117" s="117"/>
      <c r="V117" s="117"/>
      <c r="W117" s="117"/>
      <c r="X117" s="117"/>
      <c r="Y117" s="117"/>
      <c r="Z117" s="117"/>
      <c r="AA117" s="117"/>
      <c r="AB117" s="117"/>
      <c r="AC117" s="117"/>
      <c r="AD117" s="117"/>
      <c r="AE117" s="117"/>
      <c r="AF117" s="117"/>
      <c r="AG117" s="46" t="str">
        <f>IF(COUNTA(TabPerfo[[#This Row],[J1]:[J30]])&lt;&gt;0,AVERAGE(TabPerfo[[#This Row],[J1]:[J30]]),"")</f>
        <v/>
      </c>
      <c r="AH117" s="49" t="str">
        <f>TabPerfo[[#This Row],[Moyenne]]</f>
        <v/>
      </c>
      <c r="AI117" s="48"/>
    </row>
    <row r="118" spans="2:35" ht="14.25">
      <c r="B118" s="14" t="str">
        <f>IF(INDEX(TabEntrainement[Seance],ROW()-18)&lt;&gt;0,INDEX(TabEntrainement[Seance],ROW()-18),"")</f>
        <v/>
      </c>
      <c r="C118" s="117"/>
      <c r="D118" s="117"/>
      <c r="E118" s="117"/>
      <c r="F118" s="117"/>
      <c r="G118" s="117"/>
      <c r="H118" s="117"/>
      <c r="I118" s="117"/>
      <c r="J118" s="117"/>
      <c r="K118" s="117"/>
      <c r="L118" s="117"/>
      <c r="M118" s="117"/>
      <c r="N118" s="117"/>
      <c r="O118" s="117"/>
      <c r="P118" s="117"/>
      <c r="Q118" s="117"/>
      <c r="R118" s="117"/>
      <c r="S118" s="117"/>
      <c r="T118" s="117"/>
      <c r="U118" s="117"/>
      <c r="V118" s="117"/>
      <c r="W118" s="117"/>
      <c r="X118" s="117"/>
      <c r="Y118" s="117"/>
      <c r="Z118" s="117"/>
      <c r="AA118" s="117"/>
      <c r="AB118" s="117"/>
      <c r="AC118" s="117"/>
      <c r="AD118" s="117"/>
      <c r="AE118" s="117"/>
      <c r="AF118" s="117"/>
      <c r="AG118" s="46" t="str">
        <f>IF(COUNTA(TabPerfo[[#This Row],[J1]:[J30]])&lt;&gt;0,AVERAGE(TabPerfo[[#This Row],[J1]:[J30]]),"")</f>
        <v/>
      </c>
      <c r="AH118" s="49" t="str">
        <f>TabPerfo[[#This Row],[Moyenne]]</f>
        <v/>
      </c>
      <c r="AI118" s="48"/>
    </row>
    <row r="119" spans="2:35" ht="14.25">
      <c r="B119" s="14" t="str">
        <f>IF(INDEX(TabEntrainement[Seance],ROW()-18)&lt;&gt;0,INDEX(TabEntrainement[Seance],ROW()-18),"")</f>
        <v/>
      </c>
      <c r="C119" s="117"/>
      <c r="D119" s="117"/>
      <c r="E119" s="117"/>
      <c r="F119" s="117"/>
      <c r="G119" s="117"/>
      <c r="H119" s="117"/>
      <c r="I119" s="117"/>
      <c r="J119" s="117"/>
      <c r="K119" s="117"/>
      <c r="L119" s="117"/>
      <c r="M119" s="117"/>
      <c r="N119" s="117"/>
      <c r="O119" s="117"/>
      <c r="P119" s="117"/>
      <c r="Q119" s="117"/>
      <c r="R119" s="117"/>
      <c r="S119" s="117"/>
      <c r="T119" s="117"/>
      <c r="U119" s="117"/>
      <c r="V119" s="117"/>
      <c r="W119" s="117"/>
      <c r="X119" s="117"/>
      <c r="Y119" s="117"/>
      <c r="Z119" s="117"/>
      <c r="AA119" s="117"/>
      <c r="AB119" s="117"/>
      <c r="AC119" s="117"/>
      <c r="AD119" s="117"/>
      <c r="AE119" s="117"/>
      <c r="AF119" s="117"/>
      <c r="AG119" s="46" t="str">
        <f>IF(COUNTA(TabPerfo[[#This Row],[J1]:[J30]])&lt;&gt;0,AVERAGE(TabPerfo[[#This Row],[J1]:[J30]]),"")</f>
        <v/>
      </c>
      <c r="AH119" s="49" t="str">
        <f>TabPerfo[[#This Row],[Moyenne]]</f>
        <v/>
      </c>
      <c r="AI119" s="48"/>
    </row>
    <row r="120" spans="2:35" ht="14.25">
      <c r="B120" s="14" t="str">
        <f>IF(INDEX(TabEntrainement[Seance],ROW()-18)&lt;&gt;0,INDEX(TabEntrainement[Seance],ROW()-18),"")</f>
        <v/>
      </c>
      <c r="C120" s="117"/>
      <c r="D120" s="117"/>
      <c r="E120" s="117"/>
      <c r="F120" s="117"/>
      <c r="G120" s="117"/>
      <c r="H120" s="117"/>
      <c r="I120" s="117"/>
      <c r="J120" s="117"/>
      <c r="K120" s="117"/>
      <c r="L120" s="117"/>
      <c r="M120" s="117"/>
      <c r="N120" s="117"/>
      <c r="O120" s="117"/>
      <c r="P120" s="117"/>
      <c r="Q120" s="117"/>
      <c r="R120" s="117"/>
      <c r="S120" s="117"/>
      <c r="T120" s="117"/>
      <c r="U120" s="117"/>
      <c r="V120" s="117"/>
      <c r="W120" s="117"/>
      <c r="X120" s="117"/>
      <c r="Y120" s="117"/>
      <c r="Z120" s="117"/>
      <c r="AA120" s="117"/>
      <c r="AB120" s="117"/>
      <c r="AC120" s="117"/>
      <c r="AD120" s="117"/>
      <c r="AE120" s="117"/>
      <c r="AF120" s="117"/>
      <c r="AG120" s="46" t="str">
        <f>IF(COUNTA(TabPerfo[[#This Row],[J1]:[J30]])&lt;&gt;0,AVERAGE(TabPerfo[[#This Row],[J1]:[J30]]),"")</f>
        <v/>
      </c>
      <c r="AH120" s="49" t="str">
        <f>TabPerfo[[#This Row],[Moyenne]]</f>
        <v/>
      </c>
      <c r="AI120" s="48"/>
    </row>
    <row r="121" spans="2:35" ht="14.25">
      <c r="B121" s="14" t="str">
        <f>IF(INDEX(TabEntrainement[Seance],ROW()-18)&lt;&gt;0,INDEX(TabEntrainement[Seance],ROW()-18),"")</f>
        <v/>
      </c>
      <c r="C121" s="117"/>
      <c r="D121" s="117"/>
      <c r="E121" s="117"/>
      <c r="F121" s="117"/>
      <c r="G121" s="117"/>
      <c r="H121" s="117"/>
      <c r="I121" s="117"/>
      <c r="J121" s="117"/>
      <c r="K121" s="117"/>
      <c r="L121" s="117"/>
      <c r="M121" s="117"/>
      <c r="N121" s="117"/>
      <c r="O121" s="117"/>
      <c r="P121" s="117"/>
      <c r="Q121" s="117"/>
      <c r="R121" s="117"/>
      <c r="S121" s="117"/>
      <c r="T121" s="117"/>
      <c r="U121" s="117"/>
      <c r="V121" s="117"/>
      <c r="W121" s="117"/>
      <c r="X121" s="117"/>
      <c r="Y121" s="117"/>
      <c r="Z121" s="117"/>
      <c r="AA121" s="117"/>
      <c r="AB121" s="117"/>
      <c r="AC121" s="117"/>
      <c r="AD121" s="117"/>
      <c r="AE121" s="117"/>
      <c r="AF121" s="117"/>
      <c r="AG121" s="46" t="str">
        <f>IF(COUNTA(TabPerfo[[#This Row],[J1]:[J30]])&lt;&gt;0,AVERAGE(TabPerfo[[#This Row],[J1]:[J30]]),"")</f>
        <v/>
      </c>
      <c r="AH121" s="49" t="str">
        <f>TabPerfo[[#This Row],[Moyenne]]</f>
        <v/>
      </c>
      <c r="AI121" s="48"/>
    </row>
    <row r="122" spans="2:35" ht="14.25">
      <c r="B122" s="14" t="str">
        <f>IF(INDEX(TabEntrainement[Seance],ROW()-18)&lt;&gt;0,INDEX(TabEntrainement[Seance],ROW()-18),"")</f>
        <v/>
      </c>
      <c r="C122" s="117"/>
      <c r="D122" s="117"/>
      <c r="E122" s="117"/>
      <c r="F122" s="117"/>
      <c r="G122" s="117"/>
      <c r="H122" s="117"/>
      <c r="I122" s="117"/>
      <c r="J122" s="117"/>
      <c r="K122" s="117"/>
      <c r="L122" s="117"/>
      <c r="M122" s="117"/>
      <c r="N122" s="117"/>
      <c r="O122" s="117"/>
      <c r="P122" s="117"/>
      <c r="Q122" s="117"/>
      <c r="R122" s="117"/>
      <c r="S122" s="117"/>
      <c r="T122" s="117"/>
      <c r="U122" s="117"/>
      <c r="V122" s="117"/>
      <c r="W122" s="117"/>
      <c r="X122" s="117"/>
      <c r="Y122" s="117"/>
      <c r="Z122" s="117"/>
      <c r="AA122" s="117"/>
      <c r="AB122" s="117"/>
      <c r="AC122" s="117"/>
      <c r="AD122" s="117"/>
      <c r="AE122" s="117"/>
      <c r="AF122" s="117"/>
      <c r="AG122" s="46" t="str">
        <f>IF(COUNTA(TabPerfo[[#This Row],[J1]:[J30]])&lt;&gt;0,AVERAGE(TabPerfo[[#This Row],[J1]:[J30]]),"")</f>
        <v/>
      </c>
      <c r="AH122" s="49" t="str">
        <f>TabPerfo[[#This Row],[Moyenne]]</f>
        <v/>
      </c>
      <c r="AI122" s="48"/>
    </row>
    <row r="123" spans="2:35" ht="14.25">
      <c r="B123" s="14" t="str">
        <f>IF(INDEX(TabEntrainement[Seance],ROW()-18)&lt;&gt;0,INDEX(TabEntrainement[Seance],ROW()-18),"")</f>
        <v/>
      </c>
      <c r="C123" s="117"/>
      <c r="D123" s="117"/>
      <c r="E123" s="117"/>
      <c r="F123" s="117"/>
      <c r="G123" s="117"/>
      <c r="H123" s="117"/>
      <c r="I123" s="117"/>
      <c r="J123" s="117"/>
      <c r="K123" s="117"/>
      <c r="L123" s="117"/>
      <c r="M123" s="117"/>
      <c r="N123" s="117"/>
      <c r="O123" s="117"/>
      <c r="P123" s="117"/>
      <c r="Q123" s="117"/>
      <c r="R123" s="117"/>
      <c r="S123" s="117"/>
      <c r="T123" s="117"/>
      <c r="U123" s="117"/>
      <c r="V123" s="117"/>
      <c r="W123" s="117"/>
      <c r="X123" s="117"/>
      <c r="Y123" s="117"/>
      <c r="Z123" s="117"/>
      <c r="AA123" s="117"/>
      <c r="AB123" s="117"/>
      <c r="AC123" s="117"/>
      <c r="AD123" s="117"/>
      <c r="AE123" s="117"/>
      <c r="AF123" s="117"/>
      <c r="AG123" s="46" t="str">
        <f>IF(COUNTA(TabPerfo[[#This Row],[J1]:[J30]])&lt;&gt;0,AVERAGE(TabPerfo[[#This Row],[J1]:[J30]]),"")</f>
        <v/>
      </c>
      <c r="AH123" s="49" t="str">
        <f>TabPerfo[[#This Row],[Moyenne]]</f>
        <v/>
      </c>
      <c r="AI123" s="48"/>
    </row>
    <row r="124" spans="2:35" ht="14.25">
      <c r="B124" s="14" t="str">
        <f>IF(INDEX(TabEntrainement[Seance],ROW()-18)&lt;&gt;0,INDEX(TabEntrainement[Seance],ROW()-18),"")</f>
        <v/>
      </c>
      <c r="C124" s="117"/>
      <c r="D124" s="117"/>
      <c r="E124" s="117"/>
      <c r="F124" s="117"/>
      <c r="G124" s="117"/>
      <c r="H124" s="117"/>
      <c r="I124" s="117"/>
      <c r="J124" s="117"/>
      <c r="K124" s="117"/>
      <c r="L124" s="117"/>
      <c r="M124" s="117"/>
      <c r="N124" s="117"/>
      <c r="O124" s="117"/>
      <c r="P124" s="117"/>
      <c r="Q124" s="117"/>
      <c r="R124" s="117"/>
      <c r="S124" s="117"/>
      <c r="T124" s="117"/>
      <c r="U124" s="117"/>
      <c r="V124" s="117"/>
      <c r="W124" s="117"/>
      <c r="X124" s="117"/>
      <c r="Y124" s="117"/>
      <c r="Z124" s="117"/>
      <c r="AA124" s="117"/>
      <c r="AB124" s="117"/>
      <c r="AC124" s="117"/>
      <c r="AD124" s="117"/>
      <c r="AE124" s="117"/>
      <c r="AF124" s="117"/>
      <c r="AG124" s="46" t="str">
        <f>IF(COUNTA(TabPerfo[[#This Row],[J1]:[J30]])&lt;&gt;0,AVERAGE(TabPerfo[[#This Row],[J1]:[J30]]),"")</f>
        <v/>
      </c>
      <c r="AH124" s="49" t="str">
        <f>TabPerfo[[#This Row],[Moyenne]]</f>
        <v/>
      </c>
      <c r="AI124" s="48"/>
    </row>
    <row r="125" spans="2:35" ht="14.25">
      <c r="B125" s="14" t="str">
        <f>IF(INDEX(TabEntrainement[Seance],ROW()-18)&lt;&gt;0,INDEX(TabEntrainement[Seance],ROW()-18),"")</f>
        <v/>
      </c>
      <c r="C125" s="117"/>
      <c r="D125" s="117"/>
      <c r="E125" s="117"/>
      <c r="F125" s="117"/>
      <c r="G125" s="117"/>
      <c r="H125" s="117"/>
      <c r="I125" s="117"/>
      <c r="J125" s="117"/>
      <c r="K125" s="117"/>
      <c r="L125" s="117"/>
      <c r="M125" s="117"/>
      <c r="N125" s="117"/>
      <c r="O125" s="117"/>
      <c r="P125" s="117"/>
      <c r="Q125" s="117"/>
      <c r="R125" s="117"/>
      <c r="S125" s="117"/>
      <c r="T125" s="117"/>
      <c r="U125" s="117"/>
      <c r="V125" s="117"/>
      <c r="W125" s="117"/>
      <c r="X125" s="117"/>
      <c r="Y125" s="117"/>
      <c r="Z125" s="117"/>
      <c r="AA125" s="117"/>
      <c r="AB125" s="117"/>
      <c r="AC125" s="117"/>
      <c r="AD125" s="117"/>
      <c r="AE125" s="117"/>
      <c r="AF125" s="117"/>
      <c r="AG125" s="46" t="str">
        <f>IF(COUNTA(TabPerfo[[#This Row],[J1]:[J30]])&lt;&gt;0,AVERAGE(TabPerfo[[#This Row],[J1]:[J30]]),"")</f>
        <v/>
      </c>
      <c r="AH125" s="49" t="str">
        <f>TabPerfo[[#This Row],[Moyenne]]</f>
        <v/>
      </c>
      <c r="AI125" s="48"/>
    </row>
    <row r="126" spans="2:35" ht="14.25">
      <c r="B126" s="14" t="str">
        <f>IF(INDEX(TabEntrainement[Seance],ROW()-18)&lt;&gt;0,INDEX(TabEntrainement[Seance],ROW()-18),"")</f>
        <v/>
      </c>
      <c r="C126" s="117"/>
      <c r="D126" s="117"/>
      <c r="E126" s="117"/>
      <c r="F126" s="117"/>
      <c r="G126" s="117"/>
      <c r="H126" s="117"/>
      <c r="I126" s="117"/>
      <c r="J126" s="117"/>
      <c r="K126" s="117"/>
      <c r="L126" s="117"/>
      <c r="M126" s="117"/>
      <c r="N126" s="117"/>
      <c r="O126" s="117"/>
      <c r="P126" s="117"/>
      <c r="Q126" s="117"/>
      <c r="R126" s="117"/>
      <c r="S126" s="117"/>
      <c r="T126" s="117"/>
      <c r="U126" s="117"/>
      <c r="V126" s="117"/>
      <c r="W126" s="117"/>
      <c r="X126" s="117"/>
      <c r="Y126" s="117"/>
      <c r="Z126" s="117"/>
      <c r="AA126" s="117"/>
      <c r="AB126" s="117"/>
      <c r="AC126" s="117"/>
      <c r="AD126" s="117"/>
      <c r="AE126" s="117"/>
      <c r="AF126" s="117"/>
      <c r="AG126" s="46" t="str">
        <f>IF(COUNTA(TabPerfo[[#This Row],[J1]:[J30]])&lt;&gt;0,AVERAGE(TabPerfo[[#This Row],[J1]:[J30]]),"")</f>
        <v/>
      </c>
      <c r="AH126" s="49" t="str">
        <f>TabPerfo[[#This Row],[Moyenne]]</f>
        <v/>
      </c>
      <c r="AI126" s="48"/>
    </row>
    <row r="127" spans="2:35" ht="14.25">
      <c r="B127" s="14" t="str">
        <f>IF(INDEX(TabEntrainement[Seance],ROW()-18)&lt;&gt;0,INDEX(TabEntrainement[Seance],ROW()-18),"")</f>
        <v/>
      </c>
      <c r="C127" s="117"/>
      <c r="D127" s="117"/>
      <c r="E127" s="117"/>
      <c r="F127" s="117"/>
      <c r="G127" s="117"/>
      <c r="H127" s="117"/>
      <c r="I127" s="117"/>
      <c r="J127" s="117"/>
      <c r="K127" s="117"/>
      <c r="L127" s="117"/>
      <c r="M127" s="117"/>
      <c r="N127" s="117"/>
      <c r="O127" s="117"/>
      <c r="P127" s="117"/>
      <c r="Q127" s="117"/>
      <c r="R127" s="117"/>
      <c r="S127" s="117"/>
      <c r="T127" s="117"/>
      <c r="U127" s="117"/>
      <c r="V127" s="117"/>
      <c r="W127" s="117"/>
      <c r="X127" s="117"/>
      <c r="Y127" s="117"/>
      <c r="Z127" s="117"/>
      <c r="AA127" s="117"/>
      <c r="AB127" s="117"/>
      <c r="AC127" s="117"/>
      <c r="AD127" s="117"/>
      <c r="AE127" s="117"/>
      <c r="AF127" s="117"/>
      <c r="AG127" s="46" t="str">
        <f>IF(COUNTA(TabPerfo[[#This Row],[J1]:[J30]])&lt;&gt;0,AVERAGE(TabPerfo[[#This Row],[J1]:[J30]]),"")</f>
        <v/>
      </c>
      <c r="AH127" s="49" t="str">
        <f>TabPerfo[[#This Row],[Moyenne]]</f>
        <v/>
      </c>
      <c r="AI127" s="48"/>
    </row>
    <row r="128" spans="2:35" ht="14.25">
      <c r="B128" s="14" t="str">
        <f>IF(INDEX(TabEntrainement[Seance],ROW()-18)&lt;&gt;0,INDEX(TabEntrainement[Seance],ROW()-18),"")</f>
        <v/>
      </c>
      <c r="C128" s="117"/>
      <c r="D128" s="117"/>
      <c r="E128" s="117"/>
      <c r="F128" s="117"/>
      <c r="G128" s="117"/>
      <c r="H128" s="117"/>
      <c r="I128" s="117"/>
      <c r="J128" s="117"/>
      <c r="K128" s="117"/>
      <c r="L128" s="117"/>
      <c r="M128" s="117"/>
      <c r="N128" s="117"/>
      <c r="O128" s="117"/>
      <c r="P128" s="117"/>
      <c r="Q128" s="117"/>
      <c r="R128" s="117"/>
      <c r="S128" s="117"/>
      <c r="T128" s="117"/>
      <c r="U128" s="117"/>
      <c r="V128" s="117"/>
      <c r="W128" s="117"/>
      <c r="X128" s="117"/>
      <c r="Y128" s="117"/>
      <c r="Z128" s="117"/>
      <c r="AA128" s="117"/>
      <c r="AB128" s="117"/>
      <c r="AC128" s="117"/>
      <c r="AD128" s="117"/>
      <c r="AE128" s="117"/>
      <c r="AF128" s="117"/>
      <c r="AG128" s="46" t="str">
        <f>IF(COUNTA(TabPerfo[[#This Row],[J1]:[J30]])&lt;&gt;0,AVERAGE(TabPerfo[[#This Row],[J1]:[J30]]),"")</f>
        <v/>
      </c>
      <c r="AH128" s="49" t="str">
        <f>TabPerfo[[#This Row],[Moyenne]]</f>
        <v/>
      </c>
      <c r="AI128" s="48"/>
    </row>
    <row r="129" spans="2:35" ht="14.25">
      <c r="B129" s="14" t="str">
        <f>IF(INDEX(TabEntrainement[Seance],ROW()-18)&lt;&gt;0,INDEX(TabEntrainement[Seance],ROW()-18),"")</f>
        <v/>
      </c>
      <c r="C129" s="117"/>
      <c r="D129" s="117"/>
      <c r="E129" s="117"/>
      <c r="F129" s="117"/>
      <c r="G129" s="117"/>
      <c r="H129" s="117"/>
      <c r="I129" s="117"/>
      <c r="J129" s="117"/>
      <c r="K129" s="117"/>
      <c r="L129" s="117"/>
      <c r="M129" s="117"/>
      <c r="N129" s="117"/>
      <c r="O129" s="117"/>
      <c r="P129" s="117"/>
      <c r="Q129" s="117"/>
      <c r="R129" s="117"/>
      <c r="S129" s="117"/>
      <c r="T129" s="117"/>
      <c r="U129" s="117"/>
      <c r="V129" s="117"/>
      <c r="W129" s="117"/>
      <c r="X129" s="117"/>
      <c r="Y129" s="117"/>
      <c r="Z129" s="117"/>
      <c r="AA129" s="117"/>
      <c r="AB129" s="117"/>
      <c r="AC129" s="117"/>
      <c r="AD129" s="117"/>
      <c r="AE129" s="117"/>
      <c r="AF129" s="117"/>
      <c r="AG129" s="46" t="str">
        <f>IF(COUNTA(TabPerfo[[#This Row],[J1]:[J30]])&lt;&gt;0,AVERAGE(TabPerfo[[#This Row],[J1]:[J30]]),"")</f>
        <v/>
      </c>
      <c r="AH129" s="49" t="str">
        <f>TabPerfo[[#This Row],[Moyenne]]</f>
        <v/>
      </c>
      <c r="AI129" s="48"/>
    </row>
    <row r="130" spans="2:35" ht="14.25">
      <c r="B130" s="14" t="str">
        <f>IF(INDEX(TabEntrainement[Seance],ROW()-18)&lt;&gt;0,INDEX(TabEntrainement[Seance],ROW()-18),"")</f>
        <v/>
      </c>
      <c r="C130" s="117"/>
      <c r="D130" s="117"/>
      <c r="E130" s="117"/>
      <c r="F130" s="117"/>
      <c r="G130" s="117"/>
      <c r="H130" s="117"/>
      <c r="I130" s="117"/>
      <c r="J130" s="117"/>
      <c r="K130" s="117"/>
      <c r="L130" s="117"/>
      <c r="M130" s="117"/>
      <c r="N130" s="117"/>
      <c r="O130" s="117"/>
      <c r="P130" s="117"/>
      <c r="Q130" s="117"/>
      <c r="R130" s="117"/>
      <c r="S130" s="117"/>
      <c r="T130" s="117"/>
      <c r="U130" s="117"/>
      <c r="V130" s="117"/>
      <c r="W130" s="117"/>
      <c r="X130" s="117"/>
      <c r="Y130" s="117"/>
      <c r="Z130" s="117"/>
      <c r="AA130" s="117"/>
      <c r="AB130" s="117"/>
      <c r="AC130" s="117"/>
      <c r="AD130" s="117"/>
      <c r="AE130" s="117"/>
      <c r="AF130" s="117"/>
      <c r="AG130" s="46" t="str">
        <f>IF(COUNTA(TabPerfo[[#This Row],[J1]:[J30]])&lt;&gt;0,AVERAGE(TabPerfo[[#This Row],[J1]:[J30]]),"")</f>
        <v/>
      </c>
      <c r="AH130" s="49" t="str">
        <f>TabPerfo[[#This Row],[Moyenne]]</f>
        <v/>
      </c>
      <c r="AI130" s="48"/>
    </row>
    <row r="131" spans="2:35" ht="14.25">
      <c r="B131" s="14" t="str">
        <f>IF(INDEX(TabEntrainement[Seance],ROW()-18)&lt;&gt;0,INDEX(TabEntrainement[Seance],ROW()-18),"")</f>
        <v/>
      </c>
      <c r="C131" s="117"/>
      <c r="D131" s="117"/>
      <c r="E131" s="117"/>
      <c r="F131" s="117"/>
      <c r="G131" s="117"/>
      <c r="H131" s="117"/>
      <c r="I131" s="117"/>
      <c r="J131" s="117"/>
      <c r="K131" s="117"/>
      <c r="L131" s="117"/>
      <c r="M131" s="117"/>
      <c r="N131" s="117"/>
      <c r="O131" s="117"/>
      <c r="P131" s="117"/>
      <c r="Q131" s="117"/>
      <c r="R131" s="117"/>
      <c r="S131" s="117"/>
      <c r="T131" s="117"/>
      <c r="U131" s="117"/>
      <c r="V131" s="117"/>
      <c r="W131" s="117"/>
      <c r="X131" s="117"/>
      <c r="Y131" s="117"/>
      <c r="Z131" s="117"/>
      <c r="AA131" s="117"/>
      <c r="AB131" s="117"/>
      <c r="AC131" s="117"/>
      <c r="AD131" s="117"/>
      <c r="AE131" s="117"/>
      <c r="AF131" s="117"/>
      <c r="AG131" s="46" t="str">
        <f>IF(COUNTA(TabPerfo[[#This Row],[J1]:[J30]])&lt;&gt;0,AVERAGE(TabPerfo[[#This Row],[J1]:[J30]]),"")</f>
        <v/>
      </c>
      <c r="AH131" s="49" t="str">
        <f>TabPerfo[[#This Row],[Moyenne]]</f>
        <v/>
      </c>
      <c r="AI131" s="48"/>
    </row>
    <row r="132" spans="2:35" ht="14.25">
      <c r="B132" s="14" t="str">
        <f>IF(INDEX(TabEntrainement[Seance],ROW()-18)&lt;&gt;0,INDEX(TabEntrainement[Seance],ROW()-18),"")</f>
        <v/>
      </c>
      <c r="C132" s="117"/>
      <c r="D132" s="117"/>
      <c r="E132" s="117"/>
      <c r="F132" s="117"/>
      <c r="G132" s="117"/>
      <c r="H132" s="117"/>
      <c r="I132" s="117"/>
      <c r="J132" s="117"/>
      <c r="K132" s="117"/>
      <c r="L132" s="117"/>
      <c r="M132" s="117"/>
      <c r="N132" s="117"/>
      <c r="O132" s="117"/>
      <c r="P132" s="117"/>
      <c r="Q132" s="117"/>
      <c r="R132" s="117"/>
      <c r="S132" s="117"/>
      <c r="T132" s="117"/>
      <c r="U132" s="117"/>
      <c r="V132" s="117"/>
      <c r="W132" s="117"/>
      <c r="X132" s="117"/>
      <c r="Y132" s="117"/>
      <c r="Z132" s="117"/>
      <c r="AA132" s="117"/>
      <c r="AB132" s="117"/>
      <c r="AC132" s="117"/>
      <c r="AD132" s="117"/>
      <c r="AE132" s="117"/>
      <c r="AF132" s="117"/>
      <c r="AG132" s="46" t="str">
        <f>IF(COUNTA(TabPerfo[[#This Row],[J1]:[J30]])&lt;&gt;0,AVERAGE(TabPerfo[[#This Row],[J1]:[J30]]),"")</f>
        <v/>
      </c>
      <c r="AH132" s="49" t="str">
        <f>TabPerfo[[#This Row],[Moyenne]]</f>
        <v/>
      </c>
      <c r="AI132" s="48"/>
    </row>
    <row r="133" spans="2:35" ht="14.25">
      <c r="B133" s="14" t="str">
        <f>IF(INDEX(TabEntrainement[Seance],ROW()-18)&lt;&gt;0,INDEX(TabEntrainement[Seance],ROW()-18),"")</f>
        <v/>
      </c>
      <c r="C133" s="117"/>
      <c r="D133" s="117"/>
      <c r="E133" s="117"/>
      <c r="F133" s="117"/>
      <c r="G133" s="117"/>
      <c r="H133" s="117"/>
      <c r="I133" s="117"/>
      <c r="J133" s="117"/>
      <c r="K133" s="117"/>
      <c r="L133" s="117"/>
      <c r="M133" s="117"/>
      <c r="N133" s="117"/>
      <c r="O133" s="117"/>
      <c r="P133" s="117"/>
      <c r="Q133" s="117"/>
      <c r="R133" s="117"/>
      <c r="S133" s="117"/>
      <c r="T133" s="117"/>
      <c r="U133" s="117"/>
      <c r="V133" s="117"/>
      <c r="W133" s="117"/>
      <c r="X133" s="117"/>
      <c r="Y133" s="117"/>
      <c r="Z133" s="117"/>
      <c r="AA133" s="117"/>
      <c r="AB133" s="117"/>
      <c r="AC133" s="117"/>
      <c r="AD133" s="117"/>
      <c r="AE133" s="117"/>
      <c r="AF133" s="117"/>
      <c r="AG133" s="46" t="str">
        <f>IF(COUNTA(TabPerfo[[#This Row],[J1]:[J30]])&lt;&gt;0,AVERAGE(TabPerfo[[#This Row],[J1]:[J30]]),"")</f>
        <v/>
      </c>
      <c r="AH133" s="49" t="str">
        <f>TabPerfo[[#This Row],[Moyenne]]</f>
        <v/>
      </c>
      <c r="AI133" s="48"/>
    </row>
    <row r="134" spans="2:35" ht="14.25">
      <c r="B134" s="14" t="str">
        <f>IF(INDEX(TabEntrainement[Seance],ROW()-18)&lt;&gt;0,INDEX(TabEntrainement[Seance],ROW()-18),"")</f>
        <v/>
      </c>
      <c r="C134" s="117"/>
      <c r="D134" s="117"/>
      <c r="E134" s="117"/>
      <c r="F134" s="117"/>
      <c r="G134" s="117"/>
      <c r="H134" s="117"/>
      <c r="I134" s="117"/>
      <c r="J134" s="117"/>
      <c r="K134" s="117"/>
      <c r="L134" s="117"/>
      <c r="M134" s="117"/>
      <c r="N134" s="117"/>
      <c r="O134" s="117"/>
      <c r="P134" s="117"/>
      <c r="Q134" s="117"/>
      <c r="R134" s="117"/>
      <c r="S134" s="117"/>
      <c r="T134" s="117"/>
      <c r="U134" s="117"/>
      <c r="V134" s="117"/>
      <c r="W134" s="117"/>
      <c r="X134" s="117"/>
      <c r="Y134" s="117"/>
      <c r="Z134" s="117"/>
      <c r="AA134" s="117"/>
      <c r="AB134" s="117"/>
      <c r="AC134" s="117"/>
      <c r="AD134" s="117"/>
      <c r="AE134" s="117"/>
      <c r="AF134" s="117"/>
      <c r="AG134" s="46" t="str">
        <f>IF(COUNTA(TabPerfo[[#This Row],[J1]:[J30]])&lt;&gt;0,AVERAGE(TabPerfo[[#This Row],[J1]:[J30]]),"")</f>
        <v/>
      </c>
      <c r="AH134" s="49" t="str">
        <f>TabPerfo[[#This Row],[Moyenne]]</f>
        <v/>
      </c>
      <c r="AI134" s="48"/>
    </row>
    <row r="135" spans="2:35" ht="14.25">
      <c r="B135" s="14" t="str">
        <f>IF(INDEX(TabEntrainement[Seance],ROW()-18)&lt;&gt;0,INDEX(TabEntrainement[Seance],ROW()-18),"")</f>
        <v/>
      </c>
      <c r="C135" s="117"/>
      <c r="D135" s="117"/>
      <c r="E135" s="117"/>
      <c r="F135" s="117"/>
      <c r="G135" s="117"/>
      <c r="H135" s="117"/>
      <c r="I135" s="117"/>
      <c r="J135" s="117"/>
      <c r="K135" s="117"/>
      <c r="L135" s="117"/>
      <c r="M135" s="117"/>
      <c r="N135" s="117"/>
      <c r="O135" s="117"/>
      <c r="P135" s="117"/>
      <c r="Q135" s="117"/>
      <c r="R135" s="117"/>
      <c r="S135" s="117"/>
      <c r="T135" s="117"/>
      <c r="U135" s="117"/>
      <c r="V135" s="117"/>
      <c r="W135" s="117"/>
      <c r="X135" s="117"/>
      <c r="Y135" s="117"/>
      <c r="Z135" s="117"/>
      <c r="AA135" s="117"/>
      <c r="AB135" s="117"/>
      <c r="AC135" s="117"/>
      <c r="AD135" s="117"/>
      <c r="AE135" s="117"/>
      <c r="AF135" s="117"/>
      <c r="AG135" s="46" t="str">
        <f>IF(COUNTA(TabPerfo[[#This Row],[J1]:[J30]])&lt;&gt;0,AVERAGE(TabPerfo[[#This Row],[J1]:[J30]]),"")</f>
        <v/>
      </c>
      <c r="AH135" s="49" t="str">
        <f>TabPerfo[[#This Row],[Moyenne]]</f>
        <v/>
      </c>
      <c r="AI135" s="48"/>
    </row>
    <row r="136" spans="2:35" ht="14.25">
      <c r="B136" s="14" t="str">
        <f>IF(INDEX(TabEntrainement[Seance],ROW()-18)&lt;&gt;0,INDEX(TabEntrainement[Seance],ROW()-18),"")</f>
        <v/>
      </c>
      <c r="C136" s="117"/>
      <c r="D136" s="117"/>
      <c r="E136" s="117"/>
      <c r="F136" s="117"/>
      <c r="G136" s="117"/>
      <c r="H136" s="117"/>
      <c r="I136" s="117"/>
      <c r="J136" s="117"/>
      <c r="K136" s="117"/>
      <c r="L136" s="117"/>
      <c r="M136" s="117"/>
      <c r="N136" s="117"/>
      <c r="O136" s="117"/>
      <c r="P136" s="117"/>
      <c r="Q136" s="117"/>
      <c r="R136" s="117"/>
      <c r="S136" s="117"/>
      <c r="T136" s="117"/>
      <c r="U136" s="117"/>
      <c r="V136" s="117"/>
      <c r="W136" s="117"/>
      <c r="X136" s="117"/>
      <c r="Y136" s="117"/>
      <c r="Z136" s="117"/>
      <c r="AA136" s="117"/>
      <c r="AB136" s="117"/>
      <c r="AC136" s="117"/>
      <c r="AD136" s="117"/>
      <c r="AE136" s="117"/>
      <c r="AF136" s="117"/>
      <c r="AG136" s="46" t="str">
        <f>IF(COUNTA(TabPerfo[[#This Row],[J1]:[J30]])&lt;&gt;0,AVERAGE(TabPerfo[[#This Row],[J1]:[J30]]),"")</f>
        <v/>
      </c>
      <c r="AH136" s="49" t="str">
        <f>TabPerfo[[#This Row],[Moyenne]]</f>
        <v/>
      </c>
      <c r="AI136" s="48"/>
    </row>
    <row r="137" spans="2:35" ht="14.25">
      <c r="B137" s="14" t="str">
        <f>IF(INDEX(TabEntrainement[Seance],ROW()-18)&lt;&gt;0,INDEX(TabEntrainement[Seance],ROW()-18),"")</f>
        <v/>
      </c>
      <c r="C137" s="117"/>
      <c r="D137" s="117"/>
      <c r="E137" s="117"/>
      <c r="F137" s="117"/>
      <c r="G137" s="117"/>
      <c r="H137" s="117"/>
      <c r="I137" s="117"/>
      <c r="J137" s="117"/>
      <c r="K137" s="117"/>
      <c r="L137" s="117"/>
      <c r="M137" s="117"/>
      <c r="N137" s="117"/>
      <c r="O137" s="117"/>
      <c r="P137" s="117"/>
      <c r="Q137" s="117"/>
      <c r="R137" s="117"/>
      <c r="S137" s="117"/>
      <c r="T137" s="117"/>
      <c r="U137" s="117"/>
      <c r="V137" s="117"/>
      <c r="W137" s="117"/>
      <c r="X137" s="117"/>
      <c r="Y137" s="117"/>
      <c r="Z137" s="117"/>
      <c r="AA137" s="117"/>
      <c r="AB137" s="117"/>
      <c r="AC137" s="117"/>
      <c r="AD137" s="117"/>
      <c r="AE137" s="117"/>
      <c r="AF137" s="117"/>
      <c r="AG137" s="46" t="str">
        <f>IF(COUNTA(TabPerfo[[#This Row],[J1]:[J30]])&lt;&gt;0,AVERAGE(TabPerfo[[#This Row],[J1]:[J30]]),"")</f>
        <v/>
      </c>
      <c r="AH137" s="49" t="str">
        <f>TabPerfo[[#This Row],[Moyenne]]</f>
        <v/>
      </c>
      <c r="AI137" s="48"/>
    </row>
    <row r="138" spans="2:35" ht="14.25">
      <c r="B138" s="14" t="str">
        <f>IF(INDEX(TabEntrainement[Seance],ROW()-18)&lt;&gt;0,INDEX(TabEntrainement[Seance],ROW()-18),"")</f>
        <v/>
      </c>
      <c r="C138" s="117"/>
      <c r="D138" s="117"/>
      <c r="E138" s="117"/>
      <c r="F138" s="117"/>
      <c r="G138" s="117"/>
      <c r="H138" s="117"/>
      <c r="I138" s="117"/>
      <c r="J138" s="117"/>
      <c r="K138" s="117"/>
      <c r="L138" s="117"/>
      <c r="M138" s="117"/>
      <c r="N138" s="117"/>
      <c r="O138" s="117"/>
      <c r="P138" s="117"/>
      <c r="Q138" s="117"/>
      <c r="R138" s="117"/>
      <c r="S138" s="117"/>
      <c r="T138" s="117"/>
      <c r="U138" s="117"/>
      <c r="V138" s="117"/>
      <c r="W138" s="117"/>
      <c r="X138" s="117"/>
      <c r="Y138" s="117"/>
      <c r="Z138" s="117"/>
      <c r="AA138" s="117"/>
      <c r="AB138" s="117"/>
      <c r="AC138" s="117"/>
      <c r="AD138" s="117"/>
      <c r="AE138" s="117"/>
      <c r="AF138" s="117"/>
      <c r="AG138" s="46" t="str">
        <f>IF(COUNTA(TabPerfo[[#This Row],[J1]:[J30]])&lt;&gt;0,AVERAGE(TabPerfo[[#This Row],[J1]:[J30]]),"")</f>
        <v/>
      </c>
      <c r="AH138" s="49" t="str">
        <f>TabPerfo[[#This Row],[Moyenne]]</f>
        <v/>
      </c>
      <c r="AI138" s="48"/>
    </row>
    <row r="139" spans="2:35" ht="14.25">
      <c r="B139" s="14" t="str">
        <f>IF(INDEX(TabEntrainement[Seance],ROW()-18)&lt;&gt;0,INDEX(TabEntrainement[Seance],ROW()-18),"")</f>
        <v/>
      </c>
      <c r="C139" s="117"/>
      <c r="D139" s="117"/>
      <c r="E139" s="117"/>
      <c r="F139" s="117"/>
      <c r="G139" s="117"/>
      <c r="H139" s="117"/>
      <c r="I139" s="117"/>
      <c r="J139" s="117"/>
      <c r="K139" s="117"/>
      <c r="L139" s="117"/>
      <c r="M139" s="117"/>
      <c r="N139" s="117"/>
      <c r="O139" s="117"/>
      <c r="P139" s="117"/>
      <c r="Q139" s="117"/>
      <c r="R139" s="117"/>
      <c r="S139" s="117"/>
      <c r="T139" s="117"/>
      <c r="U139" s="117"/>
      <c r="V139" s="117"/>
      <c r="W139" s="117"/>
      <c r="X139" s="117"/>
      <c r="Y139" s="117"/>
      <c r="Z139" s="117"/>
      <c r="AA139" s="117"/>
      <c r="AB139" s="117"/>
      <c r="AC139" s="117"/>
      <c r="AD139" s="117"/>
      <c r="AE139" s="117"/>
      <c r="AF139" s="117"/>
      <c r="AG139" s="46" t="str">
        <f>IF(COUNTA(TabPerfo[[#This Row],[J1]:[J30]])&lt;&gt;0,AVERAGE(TabPerfo[[#This Row],[J1]:[J30]]),"")</f>
        <v/>
      </c>
      <c r="AH139" s="49" t="str">
        <f>TabPerfo[[#This Row],[Moyenne]]</f>
        <v/>
      </c>
      <c r="AI139" s="48"/>
    </row>
    <row r="140" spans="2:35" ht="14.25">
      <c r="B140" s="14" t="str">
        <f>IF(INDEX(TabEntrainement[Seance],ROW()-18)&lt;&gt;0,INDEX(TabEntrainement[Seance],ROW()-18),"")</f>
        <v/>
      </c>
      <c r="C140" s="117"/>
      <c r="D140" s="117"/>
      <c r="E140" s="117"/>
      <c r="F140" s="117"/>
      <c r="G140" s="117"/>
      <c r="H140" s="117"/>
      <c r="I140" s="117"/>
      <c r="J140" s="117"/>
      <c r="K140" s="117"/>
      <c r="L140" s="117"/>
      <c r="M140" s="117"/>
      <c r="N140" s="117"/>
      <c r="O140" s="117"/>
      <c r="P140" s="117"/>
      <c r="Q140" s="117"/>
      <c r="R140" s="117"/>
      <c r="S140" s="117"/>
      <c r="T140" s="117"/>
      <c r="U140" s="117"/>
      <c r="V140" s="117"/>
      <c r="W140" s="117"/>
      <c r="X140" s="117"/>
      <c r="Y140" s="117"/>
      <c r="Z140" s="117"/>
      <c r="AA140" s="117"/>
      <c r="AB140" s="117"/>
      <c r="AC140" s="117"/>
      <c r="AD140" s="117"/>
      <c r="AE140" s="117"/>
      <c r="AF140" s="117"/>
      <c r="AG140" s="46" t="str">
        <f>IF(COUNTA(TabPerfo[[#This Row],[J1]:[J30]])&lt;&gt;0,AVERAGE(TabPerfo[[#This Row],[J1]:[J30]]),"")</f>
        <v/>
      </c>
      <c r="AH140" s="49" t="str">
        <f>TabPerfo[[#This Row],[Moyenne]]</f>
        <v/>
      </c>
      <c r="AI140" s="48"/>
    </row>
    <row r="141" spans="2:35" ht="14.25">
      <c r="B141" s="14" t="str">
        <f>IF(INDEX(TabEntrainement[Seance],ROW()-18)&lt;&gt;0,INDEX(TabEntrainement[Seance],ROW()-18),"")</f>
        <v/>
      </c>
      <c r="C141" s="117"/>
      <c r="D141" s="117"/>
      <c r="E141" s="117"/>
      <c r="F141" s="117"/>
      <c r="G141" s="117"/>
      <c r="H141" s="117"/>
      <c r="I141" s="117"/>
      <c r="J141" s="117"/>
      <c r="K141" s="117"/>
      <c r="L141" s="117"/>
      <c r="M141" s="117"/>
      <c r="N141" s="117"/>
      <c r="O141" s="117"/>
      <c r="P141" s="117"/>
      <c r="Q141" s="117"/>
      <c r="R141" s="117"/>
      <c r="S141" s="117"/>
      <c r="T141" s="117"/>
      <c r="U141" s="117"/>
      <c r="V141" s="117"/>
      <c r="W141" s="117"/>
      <c r="X141" s="117"/>
      <c r="Y141" s="117"/>
      <c r="Z141" s="117"/>
      <c r="AA141" s="117"/>
      <c r="AB141" s="117"/>
      <c r="AC141" s="117"/>
      <c r="AD141" s="117"/>
      <c r="AE141" s="117"/>
      <c r="AF141" s="117"/>
      <c r="AG141" s="46" t="str">
        <f>IF(COUNTA(TabPerfo[[#This Row],[J1]:[J30]])&lt;&gt;0,AVERAGE(TabPerfo[[#This Row],[J1]:[J30]]),"")</f>
        <v/>
      </c>
      <c r="AH141" s="49" t="str">
        <f>TabPerfo[[#This Row],[Moyenne]]</f>
        <v/>
      </c>
      <c r="AI141" s="48"/>
    </row>
    <row r="142" spans="2:35" ht="14.25">
      <c r="B142" s="14" t="str">
        <f>IF(INDEX(TabEntrainement[Seance],ROW()-18)&lt;&gt;0,INDEX(TabEntrainement[Seance],ROW()-18),"")</f>
        <v/>
      </c>
      <c r="C142" s="117"/>
      <c r="D142" s="117"/>
      <c r="E142" s="117"/>
      <c r="F142" s="117"/>
      <c r="G142" s="117"/>
      <c r="H142" s="117"/>
      <c r="I142" s="117"/>
      <c r="J142" s="117"/>
      <c r="K142" s="117"/>
      <c r="L142" s="117"/>
      <c r="M142" s="117"/>
      <c r="N142" s="117"/>
      <c r="O142" s="117"/>
      <c r="P142" s="117"/>
      <c r="Q142" s="117"/>
      <c r="R142" s="117"/>
      <c r="S142" s="117"/>
      <c r="T142" s="117"/>
      <c r="U142" s="117"/>
      <c r="V142" s="117"/>
      <c r="W142" s="117"/>
      <c r="X142" s="117"/>
      <c r="Y142" s="117"/>
      <c r="Z142" s="117"/>
      <c r="AA142" s="117"/>
      <c r="AB142" s="117"/>
      <c r="AC142" s="117"/>
      <c r="AD142" s="117"/>
      <c r="AE142" s="117"/>
      <c r="AF142" s="117"/>
      <c r="AG142" s="46" t="str">
        <f>IF(COUNTA(TabPerfo[[#This Row],[J1]:[J30]])&lt;&gt;0,AVERAGE(TabPerfo[[#This Row],[J1]:[J30]]),"")</f>
        <v/>
      </c>
      <c r="AH142" s="49" t="str">
        <f>TabPerfo[[#This Row],[Moyenne]]</f>
        <v/>
      </c>
      <c r="AI142" s="48"/>
    </row>
    <row r="143" spans="2:35" ht="14.25">
      <c r="B143" s="14" t="str">
        <f>IF(INDEX(TabEntrainement[Seance],ROW()-18)&lt;&gt;0,INDEX(TabEntrainement[Seance],ROW()-18),"")</f>
        <v/>
      </c>
      <c r="C143" s="117"/>
      <c r="D143" s="117"/>
      <c r="E143" s="117"/>
      <c r="F143" s="117"/>
      <c r="G143" s="117"/>
      <c r="H143" s="117"/>
      <c r="I143" s="117"/>
      <c r="J143" s="117"/>
      <c r="K143" s="117"/>
      <c r="L143" s="117"/>
      <c r="M143" s="117"/>
      <c r="N143" s="117"/>
      <c r="O143" s="117"/>
      <c r="P143" s="117"/>
      <c r="Q143" s="117"/>
      <c r="R143" s="117"/>
      <c r="S143" s="117"/>
      <c r="T143" s="117"/>
      <c r="U143" s="117"/>
      <c r="V143" s="117"/>
      <c r="W143" s="117"/>
      <c r="X143" s="117"/>
      <c r="Y143" s="117"/>
      <c r="Z143" s="117"/>
      <c r="AA143" s="117"/>
      <c r="AB143" s="117"/>
      <c r="AC143" s="117"/>
      <c r="AD143" s="117"/>
      <c r="AE143" s="117"/>
      <c r="AF143" s="117"/>
      <c r="AG143" s="46" t="str">
        <f>IF(COUNTA(TabPerfo[[#This Row],[J1]:[J30]])&lt;&gt;0,AVERAGE(TabPerfo[[#This Row],[J1]:[J30]]),"")</f>
        <v/>
      </c>
      <c r="AH143" s="49" t="str">
        <f>TabPerfo[[#This Row],[Moyenne]]</f>
        <v/>
      </c>
      <c r="AI143" s="48"/>
    </row>
    <row r="144" spans="2:35" ht="14.25">
      <c r="B144" s="14" t="str">
        <f>IF(INDEX(TabEntrainement[Seance],ROW()-18)&lt;&gt;0,INDEX(TabEntrainement[Seance],ROW()-18),"")</f>
        <v/>
      </c>
      <c r="C144" s="117"/>
      <c r="D144" s="117"/>
      <c r="E144" s="117"/>
      <c r="F144" s="117"/>
      <c r="G144" s="117"/>
      <c r="H144" s="117"/>
      <c r="I144" s="117"/>
      <c r="J144" s="117"/>
      <c r="K144" s="117"/>
      <c r="L144" s="117"/>
      <c r="M144" s="117"/>
      <c r="N144" s="117"/>
      <c r="O144" s="117"/>
      <c r="P144" s="117"/>
      <c r="Q144" s="117"/>
      <c r="R144" s="117"/>
      <c r="S144" s="117"/>
      <c r="T144" s="117"/>
      <c r="U144" s="117"/>
      <c r="V144" s="117"/>
      <c r="W144" s="117"/>
      <c r="X144" s="117"/>
      <c r="Y144" s="117"/>
      <c r="Z144" s="117"/>
      <c r="AA144" s="117"/>
      <c r="AB144" s="117"/>
      <c r="AC144" s="117"/>
      <c r="AD144" s="117"/>
      <c r="AE144" s="117"/>
      <c r="AF144" s="117"/>
      <c r="AG144" s="46" t="str">
        <f>IF(COUNTA(TabPerfo[[#This Row],[J1]:[J30]])&lt;&gt;0,AVERAGE(TabPerfo[[#This Row],[J1]:[J30]]),"")</f>
        <v/>
      </c>
      <c r="AH144" s="49" t="str">
        <f>TabPerfo[[#This Row],[Moyenne]]</f>
        <v/>
      </c>
      <c r="AI144" s="48"/>
    </row>
    <row r="145" spans="2:36" ht="14.25">
      <c r="B145" s="14" t="str">
        <f>IF(INDEX(TabEntrainement[Seance],ROW()-18)&lt;&gt;0,INDEX(TabEntrainement[Seance],ROW()-18),"")</f>
        <v/>
      </c>
      <c r="C145" s="117"/>
      <c r="D145" s="117"/>
      <c r="E145" s="117"/>
      <c r="F145" s="117"/>
      <c r="G145" s="117"/>
      <c r="H145" s="117"/>
      <c r="I145" s="117"/>
      <c r="J145" s="117"/>
      <c r="K145" s="117"/>
      <c r="L145" s="117"/>
      <c r="M145" s="117"/>
      <c r="N145" s="117"/>
      <c r="O145" s="117"/>
      <c r="P145" s="117"/>
      <c r="Q145" s="117"/>
      <c r="R145" s="117"/>
      <c r="S145" s="117"/>
      <c r="T145" s="117"/>
      <c r="U145" s="117"/>
      <c r="V145" s="117"/>
      <c r="W145" s="117"/>
      <c r="X145" s="117"/>
      <c r="Y145" s="117"/>
      <c r="Z145" s="117"/>
      <c r="AA145" s="117"/>
      <c r="AB145" s="117"/>
      <c r="AC145" s="117"/>
      <c r="AD145" s="117"/>
      <c r="AE145" s="117"/>
      <c r="AF145" s="117"/>
      <c r="AG145" s="46" t="str">
        <f>IF(COUNTA(TabPerfo[[#This Row],[J1]:[J30]])&lt;&gt;0,AVERAGE(TabPerfo[[#This Row],[J1]:[J30]]),"")</f>
        <v/>
      </c>
      <c r="AH145" s="49" t="str">
        <f>TabPerfo[[#This Row],[Moyenne]]</f>
        <v/>
      </c>
      <c r="AI145" s="48"/>
    </row>
    <row r="146" spans="2:36" ht="14.25">
      <c r="B146" s="14" t="str">
        <f>IF(INDEX(TabEntrainement[Seance],ROW()-18)&lt;&gt;0,INDEX(TabEntrainement[Seance],ROW()-18),"")</f>
        <v/>
      </c>
      <c r="C146" s="117"/>
      <c r="D146" s="117"/>
      <c r="E146" s="117"/>
      <c r="F146" s="117"/>
      <c r="G146" s="117"/>
      <c r="H146" s="117"/>
      <c r="I146" s="117"/>
      <c r="J146" s="117"/>
      <c r="K146" s="117"/>
      <c r="L146" s="117"/>
      <c r="M146" s="117"/>
      <c r="N146" s="117"/>
      <c r="O146" s="117"/>
      <c r="P146" s="117"/>
      <c r="Q146" s="117"/>
      <c r="R146" s="117"/>
      <c r="S146" s="117"/>
      <c r="T146" s="117"/>
      <c r="U146" s="117"/>
      <c r="V146" s="117"/>
      <c r="W146" s="117"/>
      <c r="X146" s="117"/>
      <c r="Y146" s="117"/>
      <c r="Z146" s="117"/>
      <c r="AA146" s="117"/>
      <c r="AB146" s="117"/>
      <c r="AC146" s="117"/>
      <c r="AD146" s="117"/>
      <c r="AE146" s="117"/>
      <c r="AF146" s="117"/>
      <c r="AG146" s="46" t="str">
        <f>IF(COUNTA(TabPerfo[[#This Row],[J1]:[J30]])&lt;&gt;0,AVERAGE(TabPerfo[[#This Row],[J1]:[J30]]),"")</f>
        <v/>
      </c>
      <c r="AH146" s="49" t="str">
        <f>TabPerfo[[#This Row],[Moyenne]]</f>
        <v/>
      </c>
      <c r="AI146" s="48"/>
    </row>
    <row r="147" spans="2:36" ht="14.25">
      <c r="B147" s="14" t="str">
        <f>IF(INDEX(TabEntrainement[Seance],ROW()-18)&lt;&gt;0,INDEX(TabEntrainement[Seance],ROW()-18),"")</f>
        <v/>
      </c>
      <c r="C147" s="117"/>
      <c r="D147" s="117"/>
      <c r="E147" s="117"/>
      <c r="F147" s="117"/>
      <c r="G147" s="117"/>
      <c r="H147" s="117"/>
      <c r="I147" s="117"/>
      <c r="J147" s="117"/>
      <c r="K147" s="117"/>
      <c r="L147" s="117"/>
      <c r="M147" s="117"/>
      <c r="N147" s="117"/>
      <c r="O147" s="117"/>
      <c r="P147" s="117"/>
      <c r="Q147" s="117"/>
      <c r="R147" s="117"/>
      <c r="S147" s="117"/>
      <c r="T147" s="117"/>
      <c r="U147" s="117"/>
      <c r="V147" s="117"/>
      <c r="W147" s="117"/>
      <c r="X147" s="117"/>
      <c r="Y147" s="117"/>
      <c r="Z147" s="117"/>
      <c r="AA147" s="117"/>
      <c r="AB147" s="117"/>
      <c r="AC147" s="117"/>
      <c r="AD147" s="117"/>
      <c r="AE147" s="117"/>
      <c r="AF147" s="117"/>
      <c r="AG147" s="46" t="str">
        <f>IF(COUNTA(TabPerfo[[#This Row],[J1]:[J30]])&lt;&gt;0,AVERAGE(TabPerfo[[#This Row],[J1]:[J30]]),"")</f>
        <v/>
      </c>
      <c r="AH147" s="49" t="str">
        <f>TabPerfo[[#This Row],[Moyenne]]</f>
        <v/>
      </c>
      <c r="AI147" s="48"/>
    </row>
    <row r="148" spans="2:36" ht="14.25">
      <c r="B148" s="14" t="str">
        <f>IF(INDEX(TabEntrainement[Seance],ROW()-18)&lt;&gt;0,INDEX(TabEntrainement[Seance],ROW()-18),"")</f>
        <v/>
      </c>
      <c r="C148" s="117"/>
      <c r="D148" s="117"/>
      <c r="E148" s="117"/>
      <c r="F148" s="117"/>
      <c r="G148" s="117"/>
      <c r="H148" s="117"/>
      <c r="I148" s="117"/>
      <c r="J148" s="117"/>
      <c r="K148" s="117"/>
      <c r="L148" s="117"/>
      <c r="M148" s="117"/>
      <c r="N148" s="117"/>
      <c r="O148" s="117"/>
      <c r="P148" s="117"/>
      <c r="Q148" s="117"/>
      <c r="R148" s="117"/>
      <c r="S148" s="117"/>
      <c r="T148" s="117"/>
      <c r="U148" s="117"/>
      <c r="V148" s="117"/>
      <c r="W148" s="117"/>
      <c r="X148" s="117"/>
      <c r="Y148" s="117"/>
      <c r="Z148" s="117"/>
      <c r="AA148" s="117"/>
      <c r="AB148" s="117"/>
      <c r="AC148" s="117"/>
      <c r="AD148" s="117"/>
      <c r="AE148" s="117"/>
      <c r="AF148" s="117"/>
      <c r="AG148" s="46" t="str">
        <f>IF(COUNTA(TabPerfo[[#This Row],[J1]:[J30]])&lt;&gt;0,AVERAGE(TabPerfo[[#This Row],[J1]:[J30]]),"")</f>
        <v/>
      </c>
      <c r="AH148" s="49" t="str">
        <f>TabPerfo[[#This Row],[Moyenne]]</f>
        <v/>
      </c>
      <c r="AI148" s="48"/>
    </row>
    <row r="149" spans="2:36" ht="14.25">
      <c r="B149" s="14" t="str">
        <f>IF(INDEX(TabEntrainement[Seance],ROW()-18)&lt;&gt;0,INDEX(TabEntrainement[Seance],ROW()-18),"")</f>
        <v/>
      </c>
      <c r="C149" s="117"/>
      <c r="D149" s="117"/>
      <c r="E149" s="117"/>
      <c r="F149" s="117"/>
      <c r="G149" s="117"/>
      <c r="H149" s="117"/>
      <c r="I149" s="117"/>
      <c r="J149" s="117"/>
      <c r="K149" s="117"/>
      <c r="L149" s="117"/>
      <c r="M149" s="117"/>
      <c r="N149" s="117"/>
      <c r="O149" s="117"/>
      <c r="P149" s="117"/>
      <c r="Q149" s="117"/>
      <c r="R149" s="117"/>
      <c r="S149" s="117"/>
      <c r="T149" s="117"/>
      <c r="U149" s="117"/>
      <c r="V149" s="117"/>
      <c r="W149" s="117"/>
      <c r="X149" s="117"/>
      <c r="Y149" s="117"/>
      <c r="Z149" s="117"/>
      <c r="AA149" s="117"/>
      <c r="AB149" s="117"/>
      <c r="AC149" s="117"/>
      <c r="AD149" s="117"/>
      <c r="AE149" s="117"/>
      <c r="AF149" s="117"/>
      <c r="AG149" s="46" t="str">
        <f>IF(COUNTA(TabPerfo[[#This Row],[J1]:[J30]])&lt;&gt;0,AVERAGE(TabPerfo[[#This Row],[J1]:[J30]]),"")</f>
        <v/>
      </c>
      <c r="AH149" s="49" t="str">
        <f>TabPerfo[[#This Row],[Moyenne]]</f>
        <v/>
      </c>
      <c r="AI149" s="48"/>
    </row>
    <row r="150" spans="2:36" ht="13.5">
      <c r="B150" s="12"/>
      <c r="C150" s="13" t="e">
        <f>SUBTOTAL(101,TabPerfo[J1])</f>
        <v>#DIV/0!</v>
      </c>
      <c r="D150" s="13" t="e">
        <f>SUBTOTAL(101,TabPerfo[J2])</f>
        <v>#DIV/0!</v>
      </c>
      <c r="E150" s="13" t="e">
        <f>SUBTOTAL(101,TabPerfo[J3])</f>
        <v>#DIV/0!</v>
      </c>
      <c r="F150" s="13" t="e">
        <f>SUBTOTAL(101,TabPerfo[J4])</f>
        <v>#DIV/0!</v>
      </c>
      <c r="G150" s="13" t="e">
        <f>SUBTOTAL(101,TabPerfo[J5])</f>
        <v>#DIV/0!</v>
      </c>
      <c r="H150" s="13" t="e">
        <f>SUBTOTAL(101,TabPerfo[J6])</f>
        <v>#DIV/0!</v>
      </c>
      <c r="I150" s="13" t="e">
        <f>SUBTOTAL(101,TabPerfo[J7])</f>
        <v>#DIV/0!</v>
      </c>
      <c r="J150" s="13" t="e">
        <f>SUBTOTAL(101,TabPerfo[J8])</f>
        <v>#DIV/0!</v>
      </c>
      <c r="K150" s="13" t="e">
        <f>SUBTOTAL(101,TabPerfo[J9])</f>
        <v>#DIV/0!</v>
      </c>
      <c r="L150" s="13" t="e">
        <f>SUBTOTAL(101,TabPerfo[J10])</f>
        <v>#DIV/0!</v>
      </c>
      <c r="M150" s="13" t="e">
        <f>SUBTOTAL(101,TabPerfo[J11])</f>
        <v>#DIV/0!</v>
      </c>
      <c r="N150" s="13" t="e">
        <f>SUBTOTAL(101,TabPerfo[J12])</f>
        <v>#DIV/0!</v>
      </c>
      <c r="O150" s="13" t="e">
        <f>SUBTOTAL(101,TabPerfo[J13])</f>
        <v>#DIV/0!</v>
      </c>
      <c r="P150" s="13" t="e">
        <f>SUBTOTAL(101,TabPerfo[J14])</f>
        <v>#DIV/0!</v>
      </c>
      <c r="Q150" s="13" t="e">
        <f>SUBTOTAL(101,TabPerfo[J15])</f>
        <v>#DIV/0!</v>
      </c>
      <c r="R150" s="13" t="e">
        <f>SUBTOTAL(101,TabPerfo[J16])</f>
        <v>#DIV/0!</v>
      </c>
      <c r="S150" s="13" t="e">
        <f>SUBTOTAL(101,TabPerfo[J17])</f>
        <v>#DIV/0!</v>
      </c>
      <c r="T150" s="13" t="e">
        <f>SUBTOTAL(101,TabPerfo[J18])</f>
        <v>#DIV/0!</v>
      </c>
      <c r="U150" s="13" t="e">
        <f>SUBTOTAL(101,TabPerfo[J19])</f>
        <v>#DIV/0!</v>
      </c>
      <c r="V150" s="13" t="e">
        <f>SUBTOTAL(101,TabPerfo[J20])</f>
        <v>#DIV/0!</v>
      </c>
      <c r="W150" s="13" t="e">
        <f>SUBTOTAL(101,TabPerfo[J21])</f>
        <v>#DIV/0!</v>
      </c>
      <c r="X150" s="13" t="e">
        <f>SUBTOTAL(101,TabPerfo[J22])</f>
        <v>#DIV/0!</v>
      </c>
      <c r="Y150" s="13" t="e">
        <f>SUBTOTAL(101,TabPerfo[J2])</f>
        <v>#DIV/0!</v>
      </c>
      <c r="Z150" s="13" t="e">
        <f>SUBTOTAL(101,TabPerfo[J3])</f>
        <v>#DIV/0!</v>
      </c>
      <c r="AA150" s="13" t="e">
        <f>SUBTOTAL(101,TabPerfo[J4])</f>
        <v>#DIV/0!</v>
      </c>
      <c r="AB150" s="13" t="e">
        <f>SUBTOTAL(101,TabPerfo[J5])</f>
        <v>#DIV/0!</v>
      </c>
      <c r="AC150" s="13" t="e">
        <f>SUBTOTAL(101,TabPerfo[J6])</f>
        <v>#DIV/0!</v>
      </c>
      <c r="AD150" s="13" t="e">
        <f>SUBTOTAL(101,TabPerfo[J7])</f>
        <v>#DIV/0!</v>
      </c>
      <c r="AE150" s="13" t="e">
        <f>SUBTOTAL(101,TabPerfo[J8])</f>
        <v>#DIV/0!</v>
      </c>
      <c r="AF150" s="13" t="e">
        <f>SUBTOTAL(101,TabPerfo[J9])</f>
        <v>#DIV/0!</v>
      </c>
      <c r="AG150" s="24"/>
      <c r="AH150" s="24"/>
      <c r="AI150" s="24"/>
    </row>
    <row r="151" spans="2:36" ht="14.25">
      <c r="B151" s="31"/>
      <c r="C151" s="32"/>
      <c r="D151" s="32"/>
      <c r="E151" s="32"/>
      <c r="F151" s="32"/>
      <c r="G151" s="32"/>
      <c r="H151" s="32"/>
      <c r="I151" s="32"/>
      <c r="J151" s="32"/>
      <c r="K151" s="32"/>
      <c r="L151" s="32"/>
      <c r="M151" s="32"/>
      <c r="N151" s="32"/>
      <c r="O151" s="32"/>
      <c r="P151" s="32"/>
      <c r="Q151" s="32"/>
      <c r="R151" s="32"/>
      <c r="S151" s="32"/>
      <c r="T151" s="32"/>
      <c r="U151" s="32"/>
      <c r="V151" s="32"/>
      <c r="W151" s="32"/>
      <c r="X151" s="32"/>
      <c r="Y151" s="32"/>
      <c r="Z151" s="32"/>
      <c r="AA151" s="32"/>
      <c r="AB151" s="32"/>
      <c r="AC151" s="32"/>
      <c r="AD151" s="32"/>
      <c r="AE151" s="32"/>
      <c r="AF151" s="32"/>
      <c r="AG151" s="32"/>
      <c r="AH151" s="33"/>
      <c r="AI151" s="34"/>
      <c r="AJ151" s="35"/>
    </row>
    <row r="152" spans="2:36" ht="14.25">
      <c r="B152" s="31"/>
      <c r="C152" s="32"/>
      <c r="D152" s="32"/>
      <c r="E152" s="32"/>
      <c r="F152" s="32"/>
      <c r="G152" s="32"/>
      <c r="H152" s="32"/>
      <c r="I152" s="32"/>
      <c r="J152" s="32"/>
      <c r="K152" s="32"/>
      <c r="L152" s="32"/>
      <c r="M152" s="32"/>
      <c r="N152" s="32"/>
      <c r="O152" s="32"/>
      <c r="P152" s="32"/>
      <c r="Q152" s="32"/>
      <c r="R152" s="32"/>
      <c r="S152" s="32"/>
      <c r="T152" s="32"/>
      <c r="U152" s="32"/>
      <c r="V152" s="32"/>
      <c r="W152" s="32"/>
      <c r="X152" s="32"/>
      <c r="Y152" s="32"/>
      <c r="Z152" s="32"/>
      <c r="AA152" s="32"/>
      <c r="AB152" s="32"/>
      <c r="AC152" s="32"/>
      <c r="AD152" s="32"/>
      <c r="AE152" s="32"/>
      <c r="AF152" s="32"/>
      <c r="AG152" s="32"/>
      <c r="AH152" s="33"/>
      <c r="AI152" s="34"/>
      <c r="AJ152" s="35"/>
    </row>
    <row r="153" spans="2:36" ht="14.25">
      <c r="AG153" s="13"/>
      <c r="AH153" s="33"/>
      <c r="AI153" s="24"/>
      <c r="AJ153" s="16"/>
    </row>
  </sheetData>
  <sheetProtection sort="0" autoFilter="0"/>
  <dataValidations count="1">
    <dataValidation type="whole" allowBlank="1" showInputMessage="1" showErrorMessage="1" sqref="C19:AF149" xr:uid="{00000000-0002-0000-0400-000000000000}">
      <formula1>0</formula1>
      <formula2>10</formula2>
    </dataValidation>
  </dataValidations>
  <pageMargins left="0.7" right="0.7" top="0.75" bottom="0.75" header="0.3" footer="0.3"/>
  <ignoredErrors>
    <ignoredError sqref="O19:R149" calculatedColumn="1"/>
  </ignoredErrors>
  <drawing r:id="rId1"/>
  <legacyDrawing r:id="rId2"/>
  <mc:AlternateContent xmlns:mc="http://schemas.openxmlformats.org/markup-compatibility/2006">
    <mc:Choice Requires="x14">
      <controls>
        <mc:AlternateContent xmlns:mc="http://schemas.openxmlformats.org/markup-compatibility/2006">
          <mc:Choice Requires="x14">
            <control shapeId="9218" r:id="rId3" name="Button 2">
              <controlPr defaultSize="0" print="0" autoFill="0" autoPict="0" macro="[0]!CloseOnglet">
                <anchor moveWithCells="1" sizeWithCells="1">
                  <from>
                    <xdr:col>19</xdr:col>
                    <xdr:colOff>609600</xdr:colOff>
                    <xdr:row>1</xdr:row>
                    <xdr:rowOff>28575</xdr:rowOff>
                  </from>
                  <to>
                    <xdr:col>22</xdr:col>
                    <xdr:colOff>38100</xdr:colOff>
                    <xdr:row>1</xdr:row>
                    <xdr:rowOff>409575</xdr:rowOff>
                  </to>
                </anchor>
              </controlPr>
            </control>
          </mc:Choice>
        </mc:AlternateContent>
      </controls>
    </mc:Choice>
  </mc:AlternateContent>
  <tableParts count="1">
    <tablePart r:id="rId4"/>
  </tableParts>
  <extLst>
    <ext xmlns:x14="http://schemas.microsoft.com/office/spreadsheetml/2009/9/main" uri="{78C0D931-6437-407d-A8EE-F0AAD7539E65}">
      <x14:conditionalFormattings>
        <x14:conditionalFormatting xmlns:xm="http://schemas.microsoft.com/office/excel/2006/main">
          <x14:cfRule type="dataBar" priority="1" id="{73C36032-67D4-4548-B3E9-94E6039F7E7D}">
            <x14:dataBar minLength="0" maxLength="100" gradient="0">
              <x14:cfvo type="num">
                <xm:f>Paramétres!$H$5</xm:f>
              </x14:cfvo>
              <x14:cfvo type="num">
                <xm:f>Paramétres!$H$14</xm:f>
              </x14:cfvo>
              <x14:fillColor theme="1" tint="0.249977111117893"/>
              <x14:negativeFillColor theme="0"/>
              <x14:axisColor rgb="FF000000"/>
            </x14:dataBar>
          </x14:cfRule>
          <xm:sqref>AH19:AH149</xm:sqref>
        </x14:conditionalFormatting>
      </x14:conditionalFormattings>
    </ext>
    <ext xmlns:x14="http://schemas.microsoft.com/office/spreadsheetml/2009/9/main" uri="{05C60535-1F16-4fd2-B633-F4F36F0B64E0}">
      <x14:sparklineGroups xmlns:xm="http://schemas.microsoft.com/office/excel/2006/main">
        <x14:sparklineGroup manualMax="0" manualMin="0" displayEmptyCellsAs="gap" xr2:uid="{00000000-0003-0000-0400-000005000000}">
          <x14:colorSeries theme="0" tint="-0.14999847407452621"/>
          <x14:colorNegative theme="5"/>
          <x14:colorAxis rgb="FF000000"/>
          <x14:colorMarkers theme="4" tint="-0.499984740745262"/>
          <x14:colorFirst theme="4" tint="0.39997558519241921"/>
          <x14:colorLast theme="4" tint="0.39997558519241921"/>
          <x14:colorHigh theme="4"/>
          <x14:colorLow theme="4"/>
          <x14:sparklines>
            <x14:sparkline>
              <xm:f>Perfo.!C19:AF19</xm:f>
              <xm:sqref>AI19</xm:sqref>
            </x14:sparkline>
            <x14:sparkline>
              <xm:f>Perfo.!C20:AF20</xm:f>
              <xm:sqref>AI20</xm:sqref>
            </x14:sparkline>
            <x14:sparkline>
              <xm:f>Perfo.!C21:AF21</xm:f>
              <xm:sqref>AI21</xm:sqref>
            </x14:sparkline>
            <x14:sparkline>
              <xm:f>Perfo.!C22:AF22</xm:f>
              <xm:sqref>AI22</xm:sqref>
            </x14:sparkline>
            <x14:sparkline>
              <xm:f>Perfo.!C23:AF23</xm:f>
              <xm:sqref>AI23</xm:sqref>
            </x14:sparkline>
            <x14:sparkline>
              <xm:f>Perfo.!C24:AF24</xm:f>
              <xm:sqref>AI24</xm:sqref>
            </x14:sparkline>
            <x14:sparkline>
              <xm:f>Perfo.!C25:AF25</xm:f>
              <xm:sqref>AI25</xm:sqref>
            </x14:sparkline>
            <x14:sparkline>
              <xm:f>Perfo.!C26:AF26</xm:f>
              <xm:sqref>AI26</xm:sqref>
            </x14:sparkline>
            <x14:sparkline>
              <xm:f>Perfo.!C27:AF27</xm:f>
              <xm:sqref>AI27</xm:sqref>
            </x14:sparkline>
            <x14:sparkline>
              <xm:f>Perfo.!C28:AF28</xm:f>
              <xm:sqref>AI28</xm:sqref>
            </x14:sparkline>
            <x14:sparkline>
              <xm:f>Perfo.!C29:AF29</xm:f>
              <xm:sqref>AI29</xm:sqref>
            </x14:sparkline>
            <x14:sparkline>
              <xm:f>Perfo.!C30:AF30</xm:f>
              <xm:sqref>AI30</xm:sqref>
            </x14:sparkline>
            <x14:sparkline>
              <xm:f>Perfo.!C31:AF31</xm:f>
              <xm:sqref>AI31</xm:sqref>
            </x14:sparkline>
            <x14:sparkline>
              <xm:f>Perfo.!C32:AF32</xm:f>
              <xm:sqref>AI32</xm:sqref>
            </x14:sparkline>
            <x14:sparkline>
              <xm:f>Perfo.!C33:AF33</xm:f>
              <xm:sqref>AI33</xm:sqref>
            </x14:sparkline>
            <x14:sparkline>
              <xm:f>Perfo.!C34:AF34</xm:f>
              <xm:sqref>AI34</xm:sqref>
            </x14:sparkline>
            <x14:sparkline>
              <xm:f>Perfo.!C35:AF35</xm:f>
              <xm:sqref>AI35</xm:sqref>
            </x14:sparkline>
            <x14:sparkline>
              <xm:f>Perfo.!C36:AF36</xm:f>
              <xm:sqref>AI36</xm:sqref>
            </x14:sparkline>
            <x14:sparkline>
              <xm:f>Perfo.!C37:AF37</xm:f>
              <xm:sqref>AI37</xm:sqref>
            </x14:sparkline>
            <x14:sparkline>
              <xm:f>Perfo.!C38:AF38</xm:f>
              <xm:sqref>AI38</xm:sqref>
            </x14:sparkline>
            <x14:sparkline>
              <xm:f>Perfo.!C39:AF39</xm:f>
              <xm:sqref>AI39</xm:sqref>
            </x14:sparkline>
            <x14:sparkline>
              <xm:f>Perfo.!C40:AF40</xm:f>
              <xm:sqref>AI40</xm:sqref>
            </x14:sparkline>
            <x14:sparkline>
              <xm:f>Perfo.!C41:AF41</xm:f>
              <xm:sqref>AI41</xm:sqref>
            </x14:sparkline>
            <x14:sparkline>
              <xm:f>Perfo.!C42:AF42</xm:f>
              <xm:sqref>AI42</xm:sqref>
            </x14:sparkline>
            <x14:sparkline>
              <xm:f>Perfo.!C43:AF43</xm:f>
              <xm:sqref>AI43</xm:sqref>
            </x14:sparkline>
            <x14:sparkline>
              <xm:f>Perfo.!C44:AF44</xm:f>
              <xm:sqref>AI44</xm:sqref>
            </x14:sparkline>
            <x14:sparkline>
              <xm:f>Perfo.!C45:AF45</xm:f>
              <xm:sqref>AI45</xm:sqref>
            </x14:sparkline>
            <x14:sparkline>
              <xm:f>Perfo.!C46:AF46</xm:f>
              <xm:sqref>AI46</xm:sqref>
            </x14:sparkline>
            <x14:sparkline>
              <xm:f>Perfo.!C47:AF47</xm:f>
              <xm:sqref>AI47</xm:sqref>
            </x14:sparkline>
            <x14:sparkline>
              <xm:f>Perfo.!C48:AF48</xm:f>
              <xm:sqref>AI48</xm:sqref>
            </x14:sparkline>
            <x14:sparkline>
              <xm:f>Perfo.!C49:AF49</xm:f>
              <xm:sqref>AI49</xm:sqref>
            </x14:sparkline>
            <x14:sparkline>
              <xm:f>Perfo.!C50:AF50</xm:f>
              <xm:sqref>AI50</xm:sqref>
            </x14:sparkline>
            <x14:sparkline>
              <xm:f>Perfo.!C51:AF51</xm:f>
              <xm:sqref>AI51</xm:sqref>
            </x14:sparkline>
            <x14:sparkline>
              <xm:f>Perfo.!C52:AF52</xm:f>
              <xm:sqref>AI52</xm:sqref>
            </x14:sparkline>
            <x14:sparkline>
              <xm:f>Perfo.!C53:AF53</xm:f>
              <xm:sqref>AI53</xm:sqref>
            </x14:sparkline>
            <x14:sparkline>
              <xm:f>Perfo.!C54:AF54</xm:f>
              <xm:sqref>AI54</xm:sqref>
            </x14:sparkline>
            <x14:sparkline>
              <xm:f>Perfo.!C55:AF55</xm:f>
              <xm:sqref>AI55</xm:sqref>
            </x14:sparkline>
            <x14:sparkline>
              <xm:f>Perfo.!C56:AF56</xm:f>
              <xm:sqref>AI56</xm:sqref>
            </x14:sparkline>
            <x14:sparkline>
              <xm:f>Perfo.!C57:AF57</xm:f>
              <xm:sqref>AI57</xm:sqref>
            </x14:sparkline>
            <x14:sparkline>
              <xm:f>Perfo.!C58:AF58</xm:f>
              <xm:sqref>AI58</xm:sqref>
            </x14:sparkline>
            <x14:sparkline>
              <xm:f>Perfo.!C59:AF59</xm:f>
              <xm:sqref>AI59</xm:sqref>
            </x14:sparkline>
            <x14:sparkline>
              <xm:f>Perfo.!C60:AF60</xm:f>
              <xm:sqref>AI60</xm:sqref>
            </x14:sparkline>
            <x14:sparkline>
              <xm:f>Perfo.!C61:AF61</xm:f>
              <xm:sqref>AI61</xm:sqref>
            </x14:sparkline>
            <x14:sparkline>
              <xm:f>Perfo.!C62:AF62</xm:f>
              <xm:sqref>AI62</xm:sqref>
            </x14:sparkline>
            <x14:sparkline>
              <xm:f>Perfo.!C63:AF63</xm:f>
              <xm:sqref>AI63</xm:sqref>
            </x14:sparkline>
            <x14:sparkline>
              <xm:f>Perfo.!C64:AF64</xm:f>
              <xm:sqref>AI64</xm:sqref>
            </x14:sparkline>
            <x14:sparkline>
              <xm:f>Perfo.!C65:AF65</xm:f>
              <xm:sqref>AI65</xm:sqref>
            </x14:sparkline>
            <x14:sparkline>
              <xm:f>Perfo.!C66:AF66</xm:f>
              <xm:sqref>AI66</xm:sqref>
            </x14:sparkline>
            <x14:sparkline>
              <xm:f>Perfo.!C67:AF67</xm:f>
              <xm:sqref>AI67</xm:sqref>
            </x14:sparkline>
            <x14:sparkline>
              <xm:f>Perfo.!C68:AF68</xm:f>
              <xm:sqref>AI68</xm:sqref>
            </x14:sparkline>
            <x14:sparkline>
              <xm:f>Perfo.!C69:AF69</xm:f>
              <xm:sqref>AI69</xm:sqref>
            </x14:sparkline>
            <x14:sparkline>
              <xm:f>Perfo.!C70:AF70</xm:f>
              <xm:sqref>AI70</xm:sqref>
            </x14:sparkline>
            <x14:sparkline>
              <xm:f>Perfo.!C71:AF71</xm:f>
              <xm:sqref>AI71</xm:sqref>
            </x14:sparkline>
            <x14:sparkline>
              <xm:f>Perfo.!C72:AF72</xm:f>
              <xm:sqref>AI72</xm:sqref>
            </x14:sparkline>
            <x14:sparkline>
              <xm:f>Perfo.!C73:AF73</xm:f>
              <xm:sqref>AI73</xm:sqref>
            </x14:sparkline>
            <x14:sparkline>
              <xm:f>Perfo.!C74:AF74</xm:f>
              <xm:sqref>AI74</xm:sqref>
            </x14:sparkline>
            <x14:sparkline>
              <xm:f>Perfo.!C75:AF75</xm:f>
              <xm:sqref>AI75</xm:sqref>
            </x14:sparkline>
            <x14:sparkline>
              <xm:f>Perfo.!C76:AF76</xm:f>
              <xm:sqref>AI76</xm:sqref>
            </x14:sparkline>
            <x14:sparkline>
              <xm:f>Perfo.!C77:AF77</xm:f>
              <xm:sqref>AI77</xm:sqref>
            </x14:sparkline>
            <x14:sparkline>
              <xm:f>Perfo.!C78:AF78</xm:f>
              <xm:sqref>AI78</xm:sqref>
            </x14:sparkline>
            <x14:sparkline>
              <xm:f>Perfo.!C79:AF79</xm:f>
              <xm:sqref>AI79</xm:sqref>
            </x14:sparkline>
            <x14:sparkline>
              <xm:f>Perfo.!C80:AF80</xm:f>
              <xm:sqref>AI80</xm:sqref>
            </x14:sparkline>
            <x14:sparkline>
              <xm:f>Perfo.!C81:AF81</xm:f>
              <xm:sqref>AI81</xm:sqref>
            </x14:sparkline>
            <x14:sparkline>
              <xm:f>Perfo.!C82:AF82</xm:f>
              <xm:sqref>AI82</xm:sqref>
            </x14:sparkline>
            <x14:sparkline>
              <xm:f>Perfo.!C83:AF83</xm:f>
              <xm:sqref>AI83</xm:sqref>
            </x14:sparkline>
            <x14:sparkline>
              <xm:f>Perfo.!C84:AF84</xm:f>
              <xm:sqref>AI84</xm:sqref>
            </x14:sparkline>
            <x14:sparkline>
              <xm:f>Perfo.!C85:AF85</xm:f>
              <xm:sqref>AI85</xm:sqref>
            </x14:sparkline>
            <x14:sparkline>
              <xm:f>Perfo.!C86:AF86</xm:f>
              <xm:sqref>AI86</xm:sqref>
            </x14:sparkline>
            <x14:sparkline>
              <xm:f>Perfo.!C87:AF87</xm:f>
              <xm:sqref>AI87</xm:sqref>
            </x14:sparkline>
            <x14:sparkline>
              <xm:f>Perfo.!C88:AF88</xm:f>
              <xm:sqref>AI88</xm:sqref>
            </x14:sparkline>
            <x14:sparkline>
              <xm:f>Perfo.!C89:AF89</xm:f>
              <xm:sqref>AI89</xm:sqref>
            </x14:sparkline>
            <x14:sparkline>
              <xm:f>Perfo.!C90:AF90</xm:f>
              <xm:sqref>AI90</xm:sqref>
            </x14:sparkline>
            <x14:sparkline>
              <xm:f>Perfo.!C91:AF91</xm:f>
              <xm:sqref>AI91</xm:sqref>
            </x14:sparkline>
            <x14:sparkline>
              <xm:f>Perfo.!C92:AF92</xm:f>
              <xm:sqref>AI92</xm:sqref>
            </x14:sparkline>
            <x14:sparkline>
              <xm:f>Perfo.!C93:AF93</xm:f>
              <xm:sqref>AI93</xm:sqref>
            </x14:sparkline>
            <x14:sparkline>
              <xm:f>Perfo.!C94:AF94</xm:f>
              <xm:sqref>AI94</xm:sqref>
            </x14:sparkline>
            <x14:sparkline>
              <xm:f>Perfo.!C95:AF95</xm:f>
              <xm:sqref>AI95</xm:sqref>
            </x14:sparkline>
            <x14:sparkline>
              <xm:f>Perfo.!C96:AF96</xm:f>
              <xm:sqref>AI96</xm:sqref>
            </x14:sparkline>
            <x14:sparkline>
              <xm:f>Perfo.!C97:AF97</xm:f>
              <xm:sqref>AI97</xm:sqref>
            </x14:sparkline>
            <x14:sparkline>
              <xm:f>Perfo.!C98:AF98</xm:f>
              <xm:sqref>AI98</xm:sqref>
            </x14:sparkline>
            <x14:sparkline>
              <xm:f>Perfo.!C99:AF99</xm:f>
              <xm:sqref>AI99</xm:sqref>
            </x14:sparkline>
            <x14:sparkline>
              <xm:f>Perfo.!C100:AF100</xm:f>
              <xm:sqref>AI100</xm:sqref>
            </x14:sparkline>
            <x14:sparkline>
              <xm:f>Perfo.!C101:AF101</xm:f>
              <xm:sqref>AI101</xm:sqref>
            </x14:sparkline>
            <x14:sparkline>
              <xm:f>Perfo.!C102:AF102</xm:f>
              <xm:sqref>AI102</xm:sqref>
            </x14:sparkline>
            <x14:sparkline>
              <xm:f>Perfo.!C103:AF103</xm:f>
              <xm:sqref>AI103</xm:sqref>
            </x14:sparkline>
            <x14:sparkline>
              <xm:f>Perfo.!C104:AF104</xm:f>
              <xm:sqref>AI104</xm:sqref>
            </x14:sparkline>
            <x14:sparkline>
              <xm:f>Perfo.!C105:AF105</xm:f>
              <xm:sqref>AI105</xm:sqref>
            </x14:sparkline>
            <x14:sparkline>
              <xm:f>Perfo.!C106:AF106</xm:f>
              <xm:sqref>AI106</xm:sqref>
            </x14:sparkline>
            <x14:sparkline>
              <xm:f>Perfo.!C107:AF107</xm:f>
              <xm:sqref>AI107</xm:sqref>
            </x14:sparkline>
            <x14:sparkline>
              <xm:f>Perfo.!C108:AF108</xm:f>
              <xm:sqref>AI108</xm:sqref>
            </x14:sparkline>
            <x14:sparkline>
              <xm:f>Perfo.!C109:AF109</xm:f>
              <xm:sqref>AI109</xm:sqref>
            </x14:sparkline>
            <x14:sparkline>
              <xm:f>Perfo.!C110:AF110</xm:f>
              <xm:sqref>AI110</xm:sqref>
            </x14:sparkline>
            <x14:sparkline>
              <xm:f>Perfo.!C111:AF111</xm:f>
              <xm:sqref>AI111</xm:sqref>
            </x14:sparkline>
            <x14:sparkline>
              <xm:f>Perfo.!C112:AF112</xm:f>
              <xm:sqref>AI112</xm:sqref>
            </x14:sparkline>
            <x14:sparkline>
              <xm:f>Perfo.!C113:AF113</xm:f>
              <xm:sqref>AI113</xm:sqref>
            </x14:sparkline>
            <x14:sparkline>
              <xm:f>Perfo.!C114:AF114</xm:f>
              <xm:sqref>AI114</xm:sqref>
            </x14:sparkline>
            <x14:sparkline>
              <xm:f>Perfo.!C115:AF115</xm:f>
              <xm:sqref>AI115</xm:sqref>
            </x14:sparkline>
            <x14:sparkline>
              <xm:f>Perfo.!C116:AF116</xm:f>
              <xm:sqref>AI116</xm:sqref>
            </x14:sparkline>
            <x14:sparkline>
              <xm:f>Perfo.!C117:AF117</xm:f>
              <xm:sqref>AI117</xm:sqref>
            </x14:sparkline>
            <x14:sparkline>
              <xm:f>Perfo.!C118:AF118</xm:f>
              <xm:sqref>AI118</xm:sqref>
            </x14:sparkline>
            <x14:sparkline>
              <xm:f>Perfo.!C119:AF119</xm:f>
              <xm:sqref>AI119</xm:sqref>
            </x14:sparkline>
            <x14:sparkline>
              <xm:f>Perfo.!C120:AF120</xm:f>
              <xm:sqref>AI120</xm:sqref>
            </x14:sparkline>
            <x14:sparkline>
              <xm:f>Perfo.!C121:AF121</xm:f>
              <xm:sqref>AI121</xm:sqref>
            </x14:sparkline>
            <x14:sparkline>
              <xm:f>Perfo.!C122:AF122</xm:f>
              <xm:sqref>AI122</xm:sqref>
            </x14:sparkline>
            <x14:sparkline>
              <xm:f>Perfo.!C123:AF123</xm:f>
              <xm:sqref>AI123</xm:sqref>
            </x14:sparkline>
            <x14:sparkline>
              <xm:f>Perfo.!C124:AF124</xm:f>
              <xm:sqref>AI124</xm:sqref>
            </x14:sparkline>
            <x14:sparkline>
              <xm:f>Perfo.!C125:AF125</xm:f>
              <xm:sqref>AI125</xm:sqref>
            </x14:sparkline>
            <x14:sparkline>
              <xm:f>Perfo.!C126:AF126</xm:f>
              <xm:sqref>AI126</xm:sqref>
            </x14:sparkline>
            <x14:sparkline>
              <xm:f>Perfo.!C127:AF127</xm:f>
              <xm:sqref>AI127</xm:sqref>
            </x14:sparkline>
            <x14:sparkline>
              <xm:f>Perfo.!C128:AF128</xm:f>
              <xm:sqref>AI128</xm:sqref>
            </x14:sparkline>
            <x14:sparkline>
              <xm:f>Perfo.!C129:AF129</xm:f>
              <xm:sqref>AI129</xm:sqref>
            </x14:sparkline>
            <x14:sparkline>
              <xm:f>Perfo.!C130:AF130</xm:f>
              <xm:sqref>AI130</xm:sqref>
            </x14:sparkline>
            <x14:sparkline>
              <xm:f>Perfo.!C131:AF131</xm:f>
              <xm:sqref>AI131</xm:sqref>
            </x14:sparkline>
            <x14:sparkline>
              <xm:f>Perfo.!C132:AF132</xm:f>
              <xm:sqref>AI132</xm:sqref>
            </x14:sparkline>
            <x14:sparkline>
              <xm:f>Perfo.!C133:AF133</xm:f>
              <xm:sqref>AI133</xm:sqref>
            </x14:sparkline>
            <x14:sparkline>
              <xm:f>Perfo.!C134:AF134</xm:f>
              <xm:sqref>AI134</xm:sqref>
            </x14:sparkline>
            <x14:sparkline>
              <xm:f>Perfo.!C135:AF135</xm:f>
              <xm:sqref>AI135</xm:sqref>
            </x14:sparkline>
            <x14:sparkline>
              <xm:f>Perfo.!C136:AF136</xm:f>
              <xm:sqref>AI136</xm:sqref>
            </x14:sparkline>
            <x14:sparkline>
              <xm:f>Perfo.!C137:AF137</xm:f>
              <xm:sqref>AI137</xm:sqref>
            </x14:sparkline>
            <x14:sparkline>
              <xm:f>Perfo.!C138:AF138</xm:f>
              <xm:sqref>AI138</xm:sqref>
            </x14:sparkline>
            <x14:sparkline>
              <xm:f>Perfo.!C139:AF139</xm:f>
              <xm:sqref>AI139</xm:sqref>
            </x14:sparkline>
            <x14:sparkline>
              <xm:f>Perfo.!C140:AF140</xm:f>
              <xm:sqref>AI140</xm:sqref>
            </x14:sparkline>
            <x14:sparkline>
              <xm:f>Perfo.!C141:AF141</xm:f>
              <xm:sqref>AI141</xm:sqref>
            </x14:sparkline>
            <x14:sparkline>
              <xm:f>Perfo.!C142:AF142</xm:f>
              <xm:sqref>AI142</xm:sqref>
            </x14:sparkline>
            <x14:sparkline>
              <xm:f>Perfo.!C143:AF143</xm:f>
              <xm:sqref>AI143</xm:sqref>
            </x14:sparkline>
            <x14:sparkline>
              <xm:f>Perfo.!C144:AF144</xm:f>
              <xm:sqref>AI144</xm:sqref>
            </x14:sparkline>
            <x14:sparkline>
              <xm:f>Perfo.!C145:AF145</xm:f>
              <xm:sqref>AI145</xm:sqref>
            </x14:sparkline>
            <x14:sparkline>
              <xm:f>Perfo.!C146:AF146</xm:f>
              <xm:sqref>AI146</xm:sqref>
            </x14:sparkline>
            <x14:sparkline>
              <xm:f>Perfo.!C147:AF147</xm:f>
              <xm:sqref>AI147</xm:sqref>
            </x14:sparkline>
            <x14:sparkline>
              <xm:f>Perfo.!C148:AF148</xm:f>
              <xm:sqref>AI148</xm:sqref>
            </x14:sparkline>
            <x14:sparkline>
              <xm:f>Perfo.!C149:AF149</xm:f>
              <xm:sqref>AI149</xm:sqref>
            </x14:sparkline>
          </x14:sparklines>
        </x14:sparklineGroup>
        <x14:sparklineGroup manualMax="0" manualMin="0" displayEmptyCellsAs="gap" markers="1" high="1" low="1" first="1" last="1" negative="1" xr2:uid="{00000000-0003-0000-0400-000006000000}">
          <x14:colorSeries theme="0" tint="-0.499984740745262"/>
          <x14:colorNegative theme="6"/>
          <x14:colorAxis rgb="FF000000"/>
          <x14:colorMarkers theme="7"/>
          <x14:colorFirst theme="7"/>
          <x14:colorLast theme="7"/>
          <x14:colorHigh theme="7"/>
          <x14:colorLow theme="7"/>
          <x14:sparklines>
            <x14:sparkline>
              <xm:f>Perfo.!C151:AF151</xm:f>
              <xm:sqref>AH151</xm:sqref>
            </x14:sparkline>
            <x14:sparkline>
              <xm:f>Perfo.!C152:AF152</xm:f>
              <xm:sqref>AH152</xm:sqref>
            </x14:sparkline>
          </x14:sparklines>
        </x14:sparklineGroup>
      </x14:sparklineGroups>
    </ext>
  </extLst>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A474EE0-8B72-4140-BD97-778DB82B35BD}">
  <sheetPr codeName="Feuil28">
    <tabColor theme="6"/>
  </sheetPr>
  <dimension ref="B1:AJ26"/>
  <sheetViews>
    <sheetView showGridLines="0" workbookViewId="0">
      <selection activeCell="L1" sqref="L1"/>
    </sheetView>
  </sheetViews>
  <sheetFormatPr baseColWidth="10" defaultRowHeight="12.75"/>
  <cols>
    <col min="1" max="1" width="3.140625" customWidth="1"/>
    <col min="2" max="2" width="10.5703125" customWidth="1"/>
    <col min="3" max="3" width="10.85546875" hidden="1" customWidth="1"/>
    <col min="4" max="4" width="0" hidden="1" customWidth="1"/>
    <col min="5" max="5" width="9.42578125" customWidth="1"/>
    <col min="6" max="6" width="10" customWidth="1"/>
  </cols>
  <sheetData>
    <row r="1" spans="2:36" s="256" customFormat="1" ht="16.5" customHeight="1"/>
    <row r="2" spans="2:36" s="256" customFormat="1" ht="31.5" customHeight="1">
      <c r="B2" s="55" t="s">
        <v>681</v>
      </c>
      <c r="C2" s="55"/>
      <c r="D2" s="55"/>
      <c r="E2" s="55"/>
      <c r="F2" s="55"/>
      <c r="W2" s="257"/>
    </row>
    <row r="3" spans="2:36" s="256" customFormat="1" ht="16.5" customHeight="1"/>
    <row r="4" spans="2:36" s="256" customFormat="1" ht="30" customHeight="1" thickBot="1">
      <c r="B4" s="401" t="s">
        <v>491</v>
      </c>
      <c r="C4" s="401" t="s">
        <v>488</v>
      </c>
      <c r="D4" s="401" t="s">
        <v>489</v>
      </c>
      <c r="E4" s="401" t="s">
        <v>487</v>
      </c>
      <c r="F4" s="401" t="s">
        <v>474</v>
      </c>
      <c r="G4" s="402" t="str">
        <f ca="1">INDIRECT("'BDD - Joueurs'!B2")</f>
        <v>ADDA Matteo</v>
      </c>
      <c r="H4" s="402" t="str">
        <f ca="1">INDIRECT("'BDD - Joueurs'!B3")</f>
        <v>ALFONSO Joao</v>
      </c>
      <c r="I4" s="402" t="str">
        <f ca="1">INDIRECT("'BDD - Joueurs'!B4")</f>
        <v>BERDAH Matis</v>
      </c>
      <c r="J4" s="402" t="str">
        <f ca="1">INDIRECT("'BDD - Joueurs'!B5")</f>
        <v>CAMARA Bandiougou</v>
      </c>
      <c r="K4" s="402" t="str">
        <f ca="1">INDIRECT("'BDD - Joueurs'!B6")</f>
        <v>CAMARA Moussa</v>
      </c>
      <c r="L4" s="402" t="str">
        <f ca="1">INDIRECT("'BDD - Joueurs'!B7")</f>
        <v>CARREAU Ethan</v>
      </c>
      <c r="M4" s="402" t="str">
        <f ca="1">INDIRECT("'BDD - Joueurs'!B8")</f>
        <v>CHEROD Alexis</v>
      </c>
      <c r="N4" s="402" t="str">
        <f ca="1">INDIRECT("'BDD - Joueurs'!B9")</f>
        <v>DJEHICHE Ramzi</v>
      </c>
      <c r="O4" s="402" t="str">
        <f ca="1">INDIRECT("'BDD - Joueurs'!B10")</f>
        <v>DOSIERE Baptiste</v>
      </c>
      <c r="P4" s="402" t="str">
        <f ca="1">INDIRECT("'BDD - Joueurs'!B11")</f>
        <v>DUQUENOY Thomas</v>
      </c>
      <c r="Q4" s="402" t="str">
        <f ca="1">INDIRECT("'BDD - Joueurs'!B12")</f>
        <v>KIPRE Jordan</v>
      </c>
      <c r="R4" s="402" t="str">
        <f ca="1">INDIRECT("'BDD - Joueurs'!B13")</f>
        <v>KONATE Mamadou</v>
      </c>
      <c r="S4" s="402" t="str">
        <f ca="1">INDIRECT("'BDD - Joueurs'!B14")</f>
        <v>LECOUFFE Hugo</v>
      </c>
      <c r="T4" s="402" t="str">
        <f ca="1">INDIRECT("'BDD - Joueurs'!B15")</f>
        <v>LEFRANC Nathan</v>
      </c>
      <c r="U4" s="402" t="str">
        <f ca="1">INDIRECT("'BDD - Joueurs'!B16")</f>
        <v>MASSOUSSI Elie</v>
      </c>
      <c r="V4" s="402" t="str">
        <f ca="1">INDIRECT("'BDD - Joueurs'!B17")</f>
        <v>NGOUABI Yoann</v>
      </c>
      <c r="W4" s="402" t="str">
        <f ca="1">INDIRECT("'BDD - Joueurs'!B18")</f>
        <v>PLANET Mathis</v>
      </c>
      <c r="X4" s="402" t="str">
        <f ca="1">INDIRECT("'BDD - Joueurs'!B19")</f>
        <v>PRONNIER Nicolas</v>
      </c>
      <c r="Y4" s="402" t="str">
        <f ca="1">INDIRECT("'BDD - Joueurs'!B20")</f>
        <v>STIOUET Reda</v>
      </c>
      <c r="Z4" s="402" t="str">
        <f ca="1">INDIRECT("'BDD - Joueurs'!B21")</f>
        <v>ZERDEB Said</v>
      </c>
      <c r="AA4" s="402" t="str">
        <f ca="1">INDIRECT("'BDD - Joueurs'!B22")</f>
        <v>OSSENI Farouk</v>
      </c>
      <c r="AB4" s="402">
        <f ca="1">INDIRECT("'BDD - Joueurs'!B23")</f>
        <v>0</v>
      </c>
      <c r="AC4" s="402">
        <f ca="1">INDIRECT("'BDD - Joueurs'!B24")</f>
        <v>0</v>
      </c>
      <c r="AD4" s="402">
        <f ca="1">INDIRECT("'BDD - Joueurs'!B25")</f>
        <v>0</v>
      </c>
      <c r="AE4" s="402">
        <f ca="1">INDIRECT("'BDD - Joueurs'!B26")</f>
        <v>0</v>
      </c>
      <c r="AF4" s="402">
        <f ca="1">INDIRECT("'BDD - Joueurs'!B27")</f>
        <v>0</v>
      </c>
      <c r="AG4" s="402">
        <f ca="1">INDIRECT("'BDD - Joueurs'!B28")</f>
        <v>0</v>
      </c>
      <c r="AH4" s="402">
        <f ca="1">INDIRECT("'BDD - Joueurs'!B29")</f>
        <v>0</v>
      </c>
      <c r="AI4" s="402">
        <f ca="1">INDIRECT("'BDD - Joueurs'!B30")</f>
        <v>0</v>
      </c>
      <c r="AJ4" s="402">
        <f ca="1">INDIRECT("'BDD - Joueurs'!B31")</f>
        <v>0</v>
      </c>
    </row>
    <row r="5" spans="2:36" s="44" customFormat="1" ht="15" customHeight="1">
      <c r="B5" s="545" t="s">
        <v>478</v>
      </c>
      <c r="C5" s="547">
        <f>DATE(Paramétres!$L$19,8,1)</f>
        <v>43313</v>
      </c>
      <c r="D5" s="547">
        <f>DATE(Paramétres!$L$19,8,31)</f>
        <v>43343</v>
      </c>
      <c r="E5" s="543">
        <f>IF(ISERROR(GETPIVOTDATA("N°",'TDC Nb Tranningg'!$A$3,"Mois",8)),0,GETPIVOTDATA("N°",'TDC Nb Tranningg'!$A$3,"Mois",8))</f>
        <v>18</v>
      </c>
      <c r="F5" s="409" t="s">
        <v>679</v>
      </c>
      <c r="G5" s="410">
        <f>COUNTIFS(TabVictoire[J1],"1",TabVictoire[Date],"&gt;="&amp;C5,TabVictoire[Date],"&lt;="&amp;D5)</f>
        <v>0</v>
      </c>
      <c r="H5" s="410">
        <f>COUNTIFS(TabVictoire[Date],"1",TabVictoire[Date],"&gt;="&amp;C5,TabVictoire[Date],"&lt;="&amp;D5)</f>
        <v>0</v>
      </c>
      <c r="I5" s="410">
        <f>COUNTIFS(TabVictoire[J3],"1",TabVictoire[Date],"&gt;="&amp;C5,TabVictoire[Date],"&lt;="&amp;D5)</f>
        <v>0</v>
      </c>
      <c r="J5" s="410">
        <f>COUNTIFS(TabVictoire[J4],"1",TabVictoire[Date],"&gt;="&amp;C5,TabVictoire[Date],"&lt;="&amp;D5)</f>
        <v>0</v>
      </c>
      <c r="K5" s="410">
        <f>COUNTIFS(TabVictoire[J5],"1",TabVictoire[Date],"&gt;="&amp;C5,TabVictoire[Date],"&lt;="&amp;D5)</f>
        <v>0</v>
      </c>
      <c r="L5" s="410">
        <f>COUNTIFS(TabVictoire[J6],"1",TabVictoire[Date],"&gt;="&amp;C5,TabVictoire[Date],"&lt;="&amp;D5)</f>
        <v>0</v>
      </c>
      <c r="M5" s="410">
        <f>COUNTIFS(TabVictoire[J7],"1",TabVictoire[Date],"&gt;="&amp;C5,TabVictoire[Date],"&lt;="&amp;D5)</f>
        <v>0</v>
      </c>
      <c r="N5" s="410">
        <f>COUNTIFS(TabVictoire[J8],"1",TabVictoire[Date],"&gt;="&amp;C5,TabVictoire[Date],"&lt;="&amp;D5)</f>
        <v>0</v>
      </c>
      <c r="O5" s="410">
        <f>COUNTIFS(TabVictoire[J9],"1",TabVictoire[Date],"&gt;="&amp;C5,TabVictoire[Date],"&lt;="&amp;D5)</f>
        <v>0</v>
      </c>
      <c r="P5" s="410">
        <f>COUNTIFS(TabVictoire[J10],"1",TabVictoire[Date],"&gt;="&amp;C5,TabVictoire[Date],"&lt;="&amp;D5)</f>
        <v>0</v>
      </c>
      <c r="Q5" s="410">
        <f>COUNTIFS(TabVictoire[J11],"1",TabVictoire[Date],"&gt;="&amp;C5,TabVictoire[Date],"&lt;="&amp;D5)</f>
        <v>0</v>
      </c>
      <c r="R5" s="410">
        <f>COUNTIFS(TabVictoire[J12],"1",TabVictoire[Date],"&gt;="&amp;C5,TabVictoire[Date],"&lt;="&amp;D5)</f>
        <v>0</v>
      </c>
      <c r="S5" s="410">
        <f>COUNTIFS(TabVictoire[J13],"1",TabVictoire[Date],"&gt;="&amp;C5,TabVictoire[Date],"&lt;="&amp;D5)</f>
        <v>0</v>
      </c>
      <c r="T5" s="410">
        <f>COUNTIFS(TabVictoire[J14],"1",TabVictoire[Date],"&gt;="&amp;C5,TabVictoire[Date],"&lt;="&amp;D5)</f>
        <v>0</v>
      </c>
      <c r="U5" s="410">
        <f>COUNTIFS(TabVictoire[J15],"1",TabVictoire[Date],"&gt;="&amp;C5,TabVictoire[Date],"&lt;="&amp;D5)</f>
        <v>0</v>
      </c>
      <c r="V5" s="410">
        <f>COUNTIFS(TabVictoire[J16],"1",TabVictoire[Date],"&gt;="&amp;C5,TabVictoire[Date],"&lt;="&amp;D5)</f>
        <v>0</v>
      </c>
      <c r="W5" s="410">
        <f>COUNTIFS(TabVictoire[J17],"1",TabVictoire[Date],"&gt;="&amp;C5,TabVictoire[Date],"&lt;="&amp;D5)</f>
        <v>0</v>
      </c>
      <c r="X5" s="410">
        <f>COUNTIFS(TabVictoire[J18],"1",TabVictoire[Date],"&gt;="&amp;C5,TabVictoire[Date],"&lt;="&amp;D5)</f>
        <v>0</v>
      </c>
      <c r="Y5" s="410">
        <f>COUNTIFS(TabVictoire[J19],"1",TabVictoire[Date],"&gt;="&amp;C5,TabVictoire[Date],"&lt;="&amp;D5)</f>
        <v>0</v>
      </c>
      <c r="Z5" s="410">
        <f>COUNTIFS(TabVictoire[J20],"1",TabVictoire[Date],"&gt;="&amp;C5,TabVictoire[Date],"&lt;="&amp;D5)</f>
        <v>0</v>
      </c>
      <c r="AA5" s="410">
        <f>COUNTIFS(TabVictoire[J21],"1",TabVictoire[Date],"&gt;="&amp;C5,TabVictoire[Date],"&lt;="&amp;D5)</f>
        <v>0</v>
      </c>
      <c r="AB5" s="410">
        <f>COUNTIFS(TabVictoire[J22],"1",TabVictoire[Date],"&gt;="&amp;C5,TabVictoire[Date],"&lt;="&amp;D5)</f>
        <v>0</v>
      </c>
      <c r="AC5" s="410">
        <f>COUNTIFS(TabVictoire[J23],"1",TabVictoire[Date],"&gt;="&amp;C5,TabVictoire[Date],"&lt;="&amp;D5)</f>
        <v>0</v>
      </c>
      <c r="AD5" s="410">
        <f>COUNTIFS(TabVictoire[J24],"1",TabVictoire[Date],"&gt;="&amp;C5,TabVictoire[Date],"&lt;="&amp;D5)</f>
        <v>0</v>
      </c>
      <c r="AE5" s="410">
        <f>COUNTIFS(TabVictoire[J25],"1",TabVictoire[Date],"&gt;="&amp;C5,TabVictoire[Date],"&lt;="&amp;D5)</f>
        <v>0</v>
      </c>
      <c r="AF5" s="410">
        <f>COUNTIFS(TabVictoire[J26],"1",TabVictoire[Date],"&gt;="&amp;C5,TabVictoire[Date],"&lt;="&amp;D5)</f>
        <v>0</v>
      </c>
      <c r="AG5" s="410">
        <f>COUNTIFS(TabVictoire[J27],"1",TabVictoire[Date],"&gt;="&amp;C5,TabVictoire[Date],"&lt;="&amp;D5)</f>
        <v>0</v>
      </c>
      <c r="AH5" s="410">
        <f>COUNTIFS(TabVictoire[J28],"1",TabVictoire[Date],"&gt;="&amp;C5,TabVictoire[Date],"&lt;="&amp;D5)</f>
        <v>0</v>
      </c>
      <c r="AI5" s="410">
        <f>COUNTIFS(TabVictoire[J29],"1",TabVictoire[Date],"&gt;="&amp;C5,TabVictoire[Date],"&lt;="&amp;D5)</f>
        <v>0</v>
      </c>
      <c r="AJ5" s="410">
        <f>COUNTIFS(TabVictoire[J30],"1",TabVictoire[Date],"&gt;="&amp;C5,TabVictoire[Date],"&lt;="&amp;D5)</f>
        <v>0</v>
      </c>
    </row>
    <row r="6" spans="2:36" s="44" customFormat="1" ht="15" customHeight="1">
      <c r="B6" s="546"/>
      <c r="C6" s="548"/>
      <c r="D6" s="548"/>
      <c r="E6" s="544"/>
      <c r="F6" s="403" t="s">
        <v>680</v>
      </c>
      <c r="G6" s="508">
        <f>IF(G5&lt;&gt;0,G5/$E$5,0)</f>
        <v>0</v>
      </c>
      <c r="H6" s="508">
        <f t="shared" ref="H6:AJ6" si="0">IF(H5&lt;&gt;0,H7/$E$5,0)</f>
        <v>0</v>
      </c>
      <c r="I6" s="508">
        <f t="shared" si="0"/>
        <v>0</v>
      </c>
      <c r="J6" s="508">
        <f t="shared" si="0"/>
        <v>0</v>
      </c>
      <c r="K6" s="508">
        <f t="shared" si="0"/>
        <v>0</v>
      </c>
      <c r="L6" s="508">
        <f t="shared" si="0"/>
        <v>0</v>
      </c>
      <c r="M6" s="508">
        <f t="shared" si="0"/>
        <v>0</v>
      </c>
      <c r="N6" s="508">
        <f t="shared" si="0"/>
        <v>0</v>
      </c>
      <c r="O6" s="508">
        <f t="shared" si="0"/>
        <v>0</v>
      </c>
      <c r="P6" s="508">
        <f t="shared" si="0"/>
        <v>0</v>
      </c>
      <c r="Q6" s="508">
        <f t="shared" si="0"/>
        <v>0</v>
      </c>
      <c r="R6" s="508">
        <f t="shared" si="0"/>
        <v>0</v>
      </c>
      <c r="S6" s="508">
        <f t="shared" si="0"/>
        <v>0</v>
      </c>
      <c r="T6" s="508">
        <f t="shared" si="0"/>
        <v>0</v>
      </c>
      <c r="U6" s="508">
        <f t="shared" si="0"/>
        <v>0</v>
      </c>
      <c r="V6" s="508">
        <f t="shared" si="0"/>
        <v>0</v>
      </c>
      <c r="W6" s="508">
        <f t="shared" si="0"/>
        <v>0</v>
      </c>
      <c r="X6" s="508">
        <f t="shared" si="0"/>
        <v>0</v>
      </c>
      <c r="Y6" s="508">
        <f t="shared" si="0"/>
        <v>0</v>
      </c>
      <c r="Z6" s="508">
        <f t="shared" si="0"/>
        <v>0</v>
      </c>
      <c r="AA6" s="508">
        <f t="shared" si="0"/>
        <v>0</v>
      </c>
      <c r="AB6" s="508">
        <f t="shared" si="0"/>
        <v>0</v>
      </c>
      <c r="AC6" s="508">
        <f t="shared" si="0"/>
        <v>0</v>
      </c>
      <c r="AD6" s="508">
        <f t="shared" si="0"/>
        <v>0</v>
      </c>
      <c r="AE6" s="508">
        <f t="shared" si="0"/>
        <v>0</v>
      </c>
      <c r="AF6" s="508">
        <f t="shared" si="0"/>
        <v>0</v>
      </c>
      <c r="AG6" s="508">
        <f t="shared" si="0"/>
        <v>0</v>
      </c>
      <c r="AH6" s="508">
        <f t="shared" si="0"/>
        <v>0</v>
      </c>
      <c r="AI6" s="508">
        <f t="shared" si="0"/>
        <v>0</v>
      </c>
      <c r="AJ6" s="508">
        <f t="shared" si="0"/>
        <v>0</v>
      </c>
    </row>
    <row r="7" spans="2:36" s="44" customFormat="1" ht="15" customHeight="1">
      <c r="B7" s="549" t="s">
        <v>453</v>
      </c>
      <c r="C7" s="550">
        <f>DATE(Paramétres!$L$19,9,1)</f>
        <v>43344</v>
      </c>
      <c r="D7" s="550">
        <f>DATE(Paramétres!$L$19,9,30)</f>
        <v>43373</v>
      </c>
      <c r="E7" s="543">
        <f>IF(ISERROR(GETPIVOTDATA("N°",'TDC Nb Tranningg'!$A$3,"Mois",9)),0,GETPIVOTDATA("N°",'TDC Nb Tranningg'!$A$3,"Mois",9))</f>
        <v>6</v>
      </c>
      <c r="F7" s="405" t="s">
        <v>679</v>
      </c>
      <c r="G7" s="506">
        <f>COUNTIFS(TabVictoire[J1],"1",TabVictoire[Date],"&gt;="&amp;C7,TabVictoire[Date],"&lt;="&amp;D7)</f>
        <v>2</v>
      </c>
      <c r="H7" s="506">
        <f>COUNTIFS(TabVictoire[Date],"1",TabVictoire[Date],"&gt;="&amp;C7,TabVictoire[Date],"&lt;="&amp;D7)</f>
        <v>0</v>
      </c>
      <c r="I7" s="506">
        <f>COUNTIFS(TabVictoire[J3],"1",TabVictoire[Date],"&gt;="&amp;C7,TabVictoire[Date],"&lt;="&amp;D7)</f>
        <v>2</v>
      </c>
      <c r="J7" s="506">
        <f>COUNTIFS(TabVictoire[J4],"1",TabVictoire[Date],"&gt;="&amp;C7,TabVictoire[Date],"&lt;="&amp;D7)</f>
        <v>1</v>
      </c>
      <c r="K7" s="506">
        <f>COUNTIFS(TabVictoire[J5],"1",TabVictoire[Date],"&gt;="&amp;C7,TabVictoire[Date],"&lt;="&amp;D7)</f>
        <v>0</v>
      </c>
      <c r="L7" s="506">
        <f>COUNTIFS(TabVictoire[J6],"1",TabVictoire[Date],"&gt;="&amp;C7,TabVictoire[Date],"&lt;="&amp;D7)</f>
        <v>0</v>
      </c>
      <c r="M7" s="506">
        <f>COUNTIFS(TabVictoire[J7],"1",TabVictoire[Date],"&gt;="&amp;C7,TabVictoire[Date],"&lt;="&amp;D7)</f>
        <v>2</v>
      </c>
      <c r="N7" s="506">
        <f>COUNTIFS(TabVictoire[J8],"1",TabVictoire[Date],"&gt;="&amp;C7,TabVictoire[Date],"&lt;="&amp;D7)</f>
        <v>3</v>
      </c>
      <c r="O7" s="506">
        <f>COUNTIFS(TabVictoire[J9],"1",TabVictoire[Date],"&gt;="&amp;C7,TabVictoire[Date],"&lt;="&amp;D7)</f>
        <v>2</v>
      </c>
      <c r="P7" s="506">
        <f>COUNTIFS(TabVictoire[J10],"1",TabVictoire[Date],"&gt;="&amp;C7,TabVictoire[Date],"&lt;="&amp;D7)</f>
        <v>1</v>
      </c>
      <c r="Q7" s="506">
        <f>COUNTIFS(TabVictoire[J11],"1",TabVictoire[Date],"&gt;="&amp;C7,TabVictoire[Date],"&lt;="&amp;D7)</f>
        <v>2</v>
      </c>
      <c r="R7" s="506">
        <f>COUNTIFS(TabVictoire[J12],"1",TabVictoire[Date],"&gt;="&amp;C7,TabVictoire[Date],"&lt;="&amp;D7)</f>
        <v>1</v>
      </c>
      <c r="S7" s="506">
        <f>COUNTIFS(TabVictoire[J13],"1",TabVictoire[Date],"&gt;="&amp;C7,TabVictoire[Date],"&lt;="&amp;D7)</f>
        <v>2</v>
      </c>
      <c r="T7" s="506">
        <f>COUNTIFS(TabVictoire[J14],"1",TabVictoire[Date],"&gt;="&amp;C7,TabVictoire[Date],"&lt;="&amp;D7)</f>
        <v>1</v>
      </c>
      <c r="U7" s="506">
        <f>COUNTIFS(TabVictoire[J15],"1",TabVictoire[Date],"&gt;="&amp;C7,TabVictoire[Date],"&lt;="&amp;D7)</f>
        <v>4</v>
      </c>
      <c r="V7" s="506">
        <f>COUNTIFS(TabVictoire[J16],"1",TabVictoire[Date],"&gt;="&amp;C7,TabVictoire[Date],"&lt;="&amp;D7)</f>
        <v>2</v>
      </c>
      <c r="W7" s="506">
        <f>COUNTIFS(TabVictoire[J17],"1",TabVictoire[Date],"&gt;="&amp;C7,TabVictoire[Date],"&lt;="&amp;D7)</f>
        <v>2</v>
      </c>
      <c r="X7" s="506">
        <f>COUNTIFS(TabVictoire[J18],"1",TabVictoire[Date],"&gt;="&amp;C7,TabVictoire[Date],"&lt;="&amp;D7)</f>
        <v>4</v>
      </c>
      <c r="Y7" s="506">
        <f>COUNTIFS(TabVictoire[J19],"1",TabVictoire[Date],"&gt;="&amp;C7,TabVictoire[Date],"&lt;="&amp;D7)</f>
        <v>1</v>
      </c>
      <c r="Z7" s="506">
        <f>COUNTIFS(TabVictoire[J20],"1",TabVictoire[Date],"&gt;="&amp;C7,TabVictoire[Date],"&lt;="&amp;D7)</f>
        <v>1</v>
      </c>
      <c r="AA7" s="506">
        <f>COUNTIFS(TabVictoire[J21],"1",TabVictoire[Date],"&gt;="&amp;C7,TabVictoire[Date],"&lt;="&amp;D7)</f>
        <v>2</v>
      </c>
      <c r="AB7" s="506">
        <f>COUNTIFS(TabVictoire[J22],"1",TabVictoire[Date],"&gt;="&amp;C7,TabVictoire[Date],"&lt;="&amp;D7)</f>
        <v>0</v>
      </c>
      <c r="AC7" s="506">
        <f>COUNTIFS(TabVictoire[J23],"1",TabVictoire[Date],"&gt;="&amp;C7,TabVictoire[Date],"&lt;="&amp;D7)</f>
        <v>0</v>
      </c>
      <c r="AD7" s="506">
        <f>COUNTIFS(TabVictoire[J24],"1",TabVictoire[Date],"&gt;="&amp;C7,TabVictoire[Date],"&lt;="&amp;D7)</f>
        <v>0</v>
      </c>
      <c r="AE7" s="506">
        <f>COUNTIFS(TabVictoire[J25],"1",TabVictoire[Date],"&gt;="&amp;C7,TabVictoire[Date],"&lt;="&amp;D7)</f>
        <v>0</v>
      </c>
      <c r="AF7" s="506">
        <f>COUNTIFS(TabVictoire[J26],"1",TabVictoire[Date],"&gt;="&amp;C7,TabVictoire[Date],"&lt;="&amp;D7)</f>
        <v>0</v>
      </c>
      <c r="AG7" s="506">
        <f>COUNTIFS(TabVictoire[J27],"1",TabVictoire[Date],"&gt;="&amp;C7,TabVictoire[Date],"&lt;="&amp;D7)</f>
        <v>0</v>
      </c>
      <c r="AH7" s="506">
        <f>COUNTIFS(TabVictoire[J28],"1",TabVictoire[Date],"&gt;="&amp;C7,TabVictoire[Date],"&lt;="&amp;D7)</f>
        <v>0</v>
      </c>
      <c r="AI7" s="506">
        <f>COUNTIFS(TabVictoire[J29],"1",TabVictoire[Date],"&gt;="&amp;C7,TabVictoire[Date],"&lt;="&amp;D7)</f>
        <v>0</v>
      </c>
      <c r="AJ7" s="506">
        <f>COUNTIFS(TabVictoire[J30],"1",TabVictoire[Date],"&gt;="&amp;C7,TabVictoire[Date],"&lt;="&amp;D7)</f>
        <v>0</v>
      </c>
    </row>
    <row r="8" spans="2:36" s="44" customFormat="1" ht="15" customHeight="1">
      <c r="B8" s="549"/>
      <c r="C8" s="550"/>
      <c r="D8" s="550"/>
      <c r="E8" s="544"/>
      <c r="F8" s="405" t="s">
        <v>680</v>
      </c>
      <c r="G8" s="507">
        <f>IF(G7&lt;&gt;0,G7/$E$7,0)</f>
        <v>0.33333333333333331</v>
      </c>
      <c r="H8" s="507">
        <f t="shared" ref="H8:AJ8" si="1">IF(H7&lt;&gt;0,H7/$E$7,0)</f>
        <v>0</v>
      </c>
      <c r="I8" s="507">
        <f t="shared" si="1"/>
        <v>0.33333333333333331</v>
      </c>
      <c r="J8" s="507">
        <f t="shared" si="1"/>
        <v>0.16666666666666666</v>
      </c>
      <c r="K8" s="507">
        <f t="shared" si="1"/>
        <v>0</v>
      </c>
      <c r="L8" s="507">
        <f t="shared" si="1"/>
        <v>0</v>
      </c>
      <c r="M8" s="507">
        <f t="shared" si="1"/>
        <v>0.33333333333333331</v>
      </c>
      <c r="N8" s="507">
        <f t="shared" si="1"/>
        <v>0.5</v>
      </c>
      <c r="O8" s="507">
        <f t="shared" si="1"/>
        <v>0.33333333333333331</v>
      </c>
      <c r="P8" s="507">
        <f t="shared" si="1"/>
        <v>0.16666666666666666</v>
      </c>
      <c r="Q8" s="507">
        <f t="shared" si="1"/>
        <v>0.33333333333333331</v>
      </c>
      <c r="R8" s="507">
        <f t="shared" si="1"/>
        <v>0.16666666666666666</v>
      </c>
      <c r="S8" s="507">
        <f t="shared" si="1"/>
        <v>0.33333333333333331</v>
      </c>
      <c r="T8" s="507">
        <f t="shared" si="1"/>
        <v>0.16666666666666666</v>
      </c>
      <c r="U8" s="507">
        <f t="shared" si="1"/>
        <v>0.66666666666666663</v>
      </c>
      <c r="V8" s="507">
        <f t="shared" si="1"/>
        <v>0.33333333333333331</v>
      </c>
      <c r="W8" s="507">
        <f t="shared" si="1"/>
        <v>0.33333333333333331</v>
      </c>
      <c r="X8" s="507">
        <f t="shared" si="1"/>
        <v>0.66666666666666663</v>
      </c>
      <c r="Y8" s="507">
        <f t="shared" si="1"/>
        <v>0.16666666666666666</v>
      </c>
      <c r="Z8" s="507">
        <f t="shared" si="1"/>
        <v>0.16666666666666666</v>
      </c>
      <c r="AA8" s="507">
        <f t="shared" si="1"/>
        <v>0.33333333333333331</v>
      </c>
      <c r="AB8" s="507">
        <f t="shared" si="1"/>
        <v>0</v>
      </c>
      <c r="AC8" s="507">
        <f t="shared" si="1"/>
        <v>0</v>
      </c>
      <c r="AD8" s="507">
        <f t="shared" si="1"/>
        <v>0</v>
      </c>
      <c r="AE8" s="507">
        <f t="shared" si="1"/>
        <v>0</v>
      </c>
      <c r="AF8" s="507">
        <f t="shared" si="1"/>
        <v>0</v>
      </c>
      <c r="AG8" s="507">
        <f t="shared" si="1"/>
        <v>0</v>
      </c>
      <c r="AH8" s="507">
        <f t="shared" si="1"/>
        <v>0</v>
      </c>
      <c r="AI8" s="507">
        <f t="shared" si="1"/>
        <v>0</v>
      </c>
      <c r="AJ8" s="507">
        <f t="shared" si="1"/>
        <v>0</v>
      </c>
    </row>
    <row r="9" spans="2:36" s="44" customFormat="1" ht="15" customHeight="1">
      <c r="B9" s="546" t="s">
        <v>454</v>
      </c>
      <c r="C9" s="548">
        <f>DATE(Paramétres!$L$19,10,1)</f>
        <v>43374</v>
      </c>
      <c r="D9" s="548">
        <f>DATE(Paramétres!$L$19,10,31)</f>
        <v>43404</v>
      </c>
      <c r="E9" s="543">
        <f>IF(ISERROR(GETPIVOTDATA("N°",'TDC Nb Tranningg'!$A$3,"Mois",10)),0,GETPIVOTDATA("N°",'TDC Nb Tranningg'!$A$3,"Mois",10))</f>
        <v>0</v>
      </c>
      <c r="F9" s="409" t="s">
        <v>679</v>
      </c>
      <c r="G9" s="410">
        <f>COUNTIFS(TabVictoire[J1],"1",TabVictoire[Date],"&gt;="&amp;C9,TabVictoire[Date],"&lt;="&amp;D9)</f>
        <v>0</v>
      </c>
      <c r="H9" s="410">
        <f>COUNTIFS(TabVictoire[Date],"1",TabVictoire[Date],"&gt;="&amp;C9,TabVictoire[Date],"&lt;="&amp;D9)</f>
        <v>0</v>
      </c>
      <c r="I9" s="410">
        <f>COUNTIFS(TabVictoire[J3],"1",TabVictoire[Date],"&gt;="&amp;C9,TabVictoire[Date],"&lt;="&amp;D9)</f>
        <v>0</v>
      </c>
      <c r="J9" s="410">
        <f>COUNTIFS(TabVictoire[J4],"1",TabVictoire[Date],"&gt;="&amp;C9,TabVictoire[Date],"&lt;="&amp;D9)</f>
        <v>0</v>
      </c>
      <c r="K9" s="410">
        <f>COUNTIFS(TabVictoire[J5],"1",TabVictoire[Date],"&gt;="&amp;C9,TabVictoire[Date],"&lt;="&amp;D9)</f>
        <v>0</v>
      </c>
      <c r="L9" s="410">
        <f>COUNTIFS(TabVictoire[J6],"1",TabVictoire[Date],"&gt;="&amp;C9,TabVictoire[Date],"&lt;="&amp;D9)</f>
        <v>0</v>
      </c>
      <c r="M9" s="410">
        <f>COUNTIFS(TabVictoire[J7],"1",TabVictoire[Date],"&gt;="&amp;C9,TabVictoire[Date],"&lt;="&amp;D9)</f>
        <v>0</v>
      </c>
      <c r="N9" s="410">
        <f>COUNTIFS(TabVictoire[J8],"1",TabVictoire[Date],"&gt;="&amp;C9,TabVictoire[Date],"&lt;="&amp;D9)</f>
        <v>0</v>
      </c>
      <c r="O9" s="410">
        <f>COUNTIFS(TabVictoire[J9],"1",TabVictoire[Date],"&gt;="&amp;C9,TabVictoire[Date],"&lt;="&amp;D9)</f>
        <v>0</v>
      </c>
      <c r="P9" s="410">
        <f>COUNTIFS(TabVictoire[J10],"1",TabVictoire[Date],"&gt;="&amp;C9,TabVictoire[Date],"&lt;="&amp;D9)</f>
        <v>0</v>
      </c>
      <c r="Q9" s="410">
        <f>COUNTIFS(TabVictoire[J11],"1",TabVictoire[Date],"&gt;="&amp;C9,TabVictoire[Date],"&lt;="&amp;D9)</f>
        <v>0</v>
      </c>
      <c r="R9" s="410">
        <f>COUNTIFS(TabVictoire[J12],"1",TabVictoire[Date],"&gt;="&amp;C9,TabVictoire[Date],"&lt;="&amp;D9)</f>
        <v>0</v>
      </c>
      <c r="S9" s="410">
        <f>COUNTIFS(TabVictoire[J13],"1",TabVictoire[Date],"&gt;="&amp;C9,TabVictoire[Date],"&lt;="&amp;D9)</f>
        <v>0</v>
      </c>
      <c r="T9" s="410">
        <f>COUNTIFS(TabVictoire[J14],"1",TabVictoire[Date],"&gt;="&amp;C9,TabVictoire[Date],"&lt;="&amp;D9)</f>
        <v>0</v>
      </c>
      <c r="U9" s="410">
        <f>COUNTIFS(TabVictoire[J15],"1",TabVictoire[Date],"&gt;="&amp;C9,TabVictoire[Date],"&lt;="&amp;D9)</f>
        <v>0</v>
      </c>
      <c r="V9" s="410">
        <f>COUNTIFS(TabVictoire[J16],"1",TabVictoire[Date],"&gt;="&amp;C9,TabVictoire[Date],"&lt;="&amp;D9)</f>
        <v>0</v>
      </c>
      <c r="W9" s="410">
        <f>COUNTIFS(TabVictoire[J17],"1",TabVictoire[Date],"&gt;="&amp;C9,TabVictoire[Date],"&lt;="&amp;D9)</f>
        <v>0</v>
      </c>
      <c r="X9" s="410">
        <f>COUNTIFS(TabVictoire[J18],"1",TabVictoire[Date],"&gt;="&amp;C9,TabVictoire[Date],"&lt;="&amp;D9)</f>
        <v>0</v>
      </c>
      <c r="Y9" s="410">
        <f>COUNTIFS(TabVictoire[J19],"1",TabVictoire[Date],"&gt;="&amp;C9,TabVictoire[Date],"&lt;="&amp;D9)</f>
        <v>0</v>
      </c>
      <c r="Z9" s="410">
        <f>COUNTIFS(TabVictoire[J20],"1",TabVictoire[Date],"&gt;="&amp;C9,TabVictoire[Date],"&lt;="&amp;D9)</f>
        <v>0</v>
      </c>
      <c r="AA9" s="410">
        <f>COUNTIFS(TabVictoire[J21],"1",TabVictoire[Date],"&gt;="&amp;C9,TabVictoire[Date],"&lt;="&amp;D9)</f>
        <v>0</v>
      </c>
      <c r="AB9" s="410">
        <f>COUNTIFS(TabVictoire[J22],"1",TabVictoire[Date],"&gt;="&amp;C9,TabVictoire[Date],"&lt;="&amp;D9)</f>
        <v>0</v>
      </c>
      <c r="AC9" s="410">
        <f>COUNTIFS(TabVictoire[J23],"1",TabVictoire[Date],"&gt;="&amp;C9,TabVictoire[Date],"&lt;="&amp;D9)</f>
        <v>0</v>
      </c>
      <c r="AD9" s="410">
        <f>COUNTIFS(TabVictoire[J24],"1",TabVictoire[Date],"&gt;="&amp;C9,TabVictoire[Date],"&lt;="&amp;D9)</f>
        <v>0</v>
      </c>
      <c r="AE9" s="410">
        <f>COUNTIFS(TabVictoire[J25],"1",TabVictoire[Date],"&gt;="&amp;C9,TabVictoire[Date],"&lt;="&amp;D9)</f>
        <v>0</v>
      </c>
      <c r="AF9" s="410">
        <f>COUNTIFS(TabVictoire[J26],"1",TabVictoire[Date],"&gt;="&amp;C9,TabVictoire[Date],"&lt;="&amp;D9)</f>
        <v>0</v>
      </c>
      <c r="AG9" s="410">
        <f>COUNTIFS(TabVictoire[J27],"1",TabVictoire[Date],"&gt;="&amp;C9,TabVictoire[Date],"&lt;="&amp;D9)</f>
        <v>0</v>
      </c>
      <c r="AH9" s="410">
        <f>COUNTIFS(TabVictoire[J28],"1",TabVictoire[Date],"&gt;="&amp;C9,TabVictoire[Date],"&lt;="&amp;D9)</f>
        <v>0</v>
      </c>
      <c r="AI9" s="410">
        <f>COUNTIFS(TabVictoire[J29],"1",TabVictoire[Date],"&gt;="&amp;C9,TabVictoire[Date],"&lt;="&amp;D9)</f>
        <v>0</v>
      </c>
      <c r="AJ9" s="410">
        <f>COUNTIFS(TabVictoire[J30],"1",TabVictoire[Date],"&gt;="&amp;C9,TabVictoire[Date],"&lt;="&amp;D9)</f>
        <v>0</v>
      </c>
    </row>
    <row r="10" spans="2:36" s="44" customFormat="1" ht="15" customHeight="1">
      <c r="B10" s="546"/>
      <c r="C10" s="548"/>
      <c r="D10" s="548"/>
      <c r="E10" s="544"/>
      <c r="F10" s="403" t="s">
        <v>680</v>
      </c>
      <c r="G10" s="508">
        <f>IF(G9&lt;&gt;0,G9/$E$9,0)</f>
        <v>0</v>
      </c>
      <c r="H10" s="508">
        <f t="shared" ref="H10:AJ10" si="2">IF(H9&lt;&gt;0,H9/$E$9,0)</f>
        <v>0</v>
      </c>
      <c r="I10" s="508">
        <f t="shared" si="2"/>
        <v>0</v>
      </c>
      <c r="J10" s="508">
        <f t="shared" si="2"/>
        <v>0</v>
      </c>
      <c r="K10" s="508">
        <f t="shared" si="2"/>
        <v>0</v>
      </c>
      <c r="L10" s="508">
        <f t="shared" si="2"/>
        <v>0</v>
      </c>
      <c r="M10" s="508">
        <f t="shared" si="2"/>
        <v>0</v>
      </c>
      <c r="N10" s="508">
        <f t="shared" si="2"/>
        <v>0</v>
      </c>
      <c r="O10" s="508">
        <f t="shared" si="2"/>
        <v>0</v>
      </c>
      <c r="P10" s="508">
        <f t="shared" si="2"/>
        <v>0</v>
      </c>
      <c r="Q10" s="508">
        <f t="shared" si="2"/>
        <v>0</v>
      </c>
      <c r="R10" s="508">
        <f t="shared" si="2"/>
        <v>0</v>
      </c>
      <c r="S10" s="508">
        <f t="shared" si="2"/>
        <v>0</v>
      </c>
      <c r="T10" s="508">
        <f t="shared" si="2"/>
        <v>0</v>
      </c>
      <c r="U10" s="508">
        <f t="shared" si="2"/>
        <v>0</v>
      </c>
      <c r="V10" s="508">
        <f t="shared" si="2"/>
        <v>0</v>
      </c>
      <c r="W10" s="508">
        <f t="shared" si="2"/>
        <v>0</v>
      </c>
      <c r="X10" s="508">
        <f t="shared" si="2"/>
        <v>0</v>
      </c>
      <c r="Y10" s="508">
        <f t="shared" si="2"/>
        <v>0</v>
      </c>
      <c r="Z10" s="508">
        <f t="shared" si="2"/>
        <v>0</v>
      </c>
      <c r="AA10" s="508">
        <f t="shared" si="2"/>
        <v>0</v>
      </c>
      <c r="AB10" s="508">
        <f t="shared" si="2"/>
        <v>0</v>
      </c>
      <c r="AC10" s="508">
        <f t="shared" si="2"/>
        <v>0</v>
      </c>
      <c r="AD10" s="508">
        <f t="shared" si="2"/>
        <v>0</v>
      </c>
      <c r="AE10" s="508">
        <f t="shared" si="2"/>
        <v>0</v>
      </c>
      <c r="AF10" s="508">
        <f t="shared" si="2"/>
        <v>0</v>
      </c>
      <c r="AG10" s="508">
        <f t="shared" si="2"/>
        <v>0</v>
      </c>
      <c r="AH10" s="508">
        <f t="shared" si="2"/>
        <v>0</v>
      </c>
      <c r="AI10" s="508">
        <f t="shared" si="2"/>
        <v>0</v>
      </c>
      <c r="AJ10" s="508">
        <f t="shared" si="2"/>
        <v>0</v>
      </c>
    </row>
    <row r="11" spans="2:36" s="44" customFormat="1" ht="15" customHeight="1">
      <c r="B11" s="549" t="s">
        <v>455</v>
      </c>
      <c r="C11" s="550">
        <f>DATE(Paramétres!$L$19,11,1)</f>
        <v>43405</v>
      </c>
      <c r="D11" s="550">
        <f>DATE(Paramétres!$L$19,11,30)</f>
        <v>43434</v>
      </c>
      <c r="E11" s="543">
        <f>IF(ISERROR(GETPIVOTDATA("N°",'TDC Nb Tranningg'!$A$3,"Mois",11)),0,GETPIVOTDATA("N°",'TDC Nb Tranningg'!$A$3,"Mois",11))</f>
        <v>0</v>
      </c>
      <c r="F11" s="405" t="s">
        <v>679</v>
      </c>
      <c r="G11" s="506">
        <f>COUNTIFS(TabVictoire[J1],"1",TabVictoire[Date],"&gt;="&amp;C11,TabVictoire[Date],"&lt;="&amp;D11)</f>
        <v>0</v>
      </c>
      <c r="H11" s="506">
        <f>COUNTIFS(TabVictoire[Date],"1",TabVictoire[Date],"&gt;="&amp;C11,TabVictoire[Date],"&lt;="&amp;D11)</f>
        <v>0</v>
      </c>
      <c r="I11" s="506">
        <f>COUNTIFS(TabVictoire[J3],"1",TabVictoire[Date],"&gt;="&amp;C11,TabVictoire[Date],"&lt;="&amp;D11)</f>
        <v>0</v>
      </c>
      <c r="J11" s="506">
        <f>COUNTIFS(TabVictoire[J4],"1",TabVictoire[Date],"&gt;="&amp;C11,TabVictoire[Date],"&lt;="&amp;D11)</f>
        <v>0</v>
      </c>
      <c r="K11" s="506">
        <f>COUNTIFS(TabVictoire[J5],"1",TabVictoire[Date],"&gt;="&amp;C11,TabVictoire[Date],"&lt;="&amp;D11)</f>
        <v>0</v>
      </c>
      <c r="L11" s="506">
        <f>COUNTIFS(TabVictoire[J6],"1",TabVictoire[Date],"&gt;="&amp;C11,TabVictoire[Date],"&lt;="&amp;D11)</f>
        <v>0</v>
      </c>
      <c r="M11" s="506">
        <f>COUNTIFS(TabVictoire[J7],"1",TabVictoire[Date],"&gt;="&amp;C11,TabVictoire[Date],"&lt;="&amp;D11)</f>
        <v>0</v>
      </c>
      <c r="N11" s="506">
        <f>COUNTIFS(TabVictoire[J8],"1",TabVictoire[Date],"&gt;="&amp;C11,TabVictoire[Date],"&lt;="&amp;D11)</f>
        <v>0</v>
      </c>
      <c r="O11" s="506">
        <f>COUNTIFS(TabVictoire[J9],"1",TabVictoire[Date],"&gt;="&amp;C11,TabVictoire[Date],"&lt;="&amp;D11)</f>
        <v>0</v>
      </c>
      <c r="P11" s="506">
        <f>COUNTIFS(TabVictoire[J10],"1",TabVictoire[Date],"&gt;="&amp;C11,TabVictoire[Date],"&lt;="&amp;D11)</f>
        <v>0</v>
      </c>
      <c r="Q11" s="506">
        <f>COUNTIFS(TabVictoire[J11],"1",TabVictoire[Date],"&gt;="&amp;C11,TabVictoire[Date],"&lt;="&amp;D11)</f>
        <v>0</v>
      </c>
      <c r="R11" s="506">
        <f>COUNTIFS(TabVictoire[J12],"1",TabVictoire[Date],"&gt;="&amp;C11,TabVictoire[Date],"&lt;="&amp;D11)</f>
        <v>0</v>
      </c>
      <c r="S11" s="506">
        <f>COUNTIFS(TabVictoire[J13],"1",TabVictoire[Date],"&gt;="&amp;C11,TabVictoire[Date],"&lt;="&amp;D11)</f>
        <v>0</v>
      </c>
      <c r="T11" s="506">
        <f>COUNTIFS(TabVictoire[J14],"1",TabVictoire[Date],"&gt;="&amp;C11,TabVictoire[Date],"&lt;="&amp;D11)</f>
        <v>0</v>
      </c>
      <c r="U11" s="506">
        <f>COUNTIFS(TabVictoire[J15],"1",TabVictoire[Date],"&gt;="&amp;C11,TabVictoire[Date],"&lt;="&amp;D11)</f>
        <v>0</v>
      </c>
      <c r="V11" s="506">
        <f>COUNTIFS(TabVictoire[J16],"1",TabVictoire[Date],"&gt;="&amp;C11,TabVictoire[Date],"&lt;="&amp;D11)</f>
        <v>0</v>
      </c>
      <c r="W11" s="506">
        <f>COUNTIFS(TabVictoire[J17],"1",TabVictoire[Date],"&gt;="&amp;C11,TabVictoire[Date],"&lt;="&amp;D11)</f>
        <v>0</v>
      </c>
      <c r="X11" s="506">
        <f>COUNTIFS(TabVictoire[J18],"1",TabVictoire[Date],"&gt;="&amp;C11,TabVictoire[Date],"&lt;="&amp;D11)</f>
        <v>0</v>
      </c>
      <c r="Y11" s="506">
        <f>COUNTIFS(TabVictoire[J19],"1",TabVictoire[Date],"&gt;="&amp;C11,TabVictoire[Date],"&lt;="&amp;D11)</f>
        <v>0</v>
      </c>
      <c r="Z11" s="506">
        <f>COUNTIFS(TabVictoire[J20],"1",TabVictoire[Date],"&gt;="&amp;C11,TabVictoire[Date],"&lt;="&amp;D11)</f>
        <v>0</v>
      </c>
      <c r="AA11" s="506">
        <f>COUNTIFS(TabVictoire[J21],"1",TabVictoire[Date],"&gt;="&amp;C11,TabVictoire[Date],"&lt;="&amp;D11)</f>
        <v>0</v>
      </c>
      <c r="AB11" s="506">
        <f>COUNTIFS(TabVictoire[J22],"1",TabVictoire[Date],"&gt;="&amp;C11,TabVictoire[Date],"&lt;="&amp;D11)</f>
        <v>0</v>
      </c>
      <c r="AC11" s="506">
        <f>COUNTIFS(TabVictoire[J23],"1",TabVictoire[Date],"&gt;="&amp;C11,TabVictoire[Date],"&lt;="&amp;D11)</f>
        <v>0</v>
      </c>
      <c r="AD11" s="506">
        <f>COUNTIFS(TabVictoire[J24],"1",TabVictoire[Date],"&gt;="&amp;C11,TabVictoire[Date],"&lt;="&amp;D11)</f>
        <v>0</v>
      </c>
      <c r="AE11" s="506">
        <f>COUNTIFS(TabVictoire[J25],"1",TabVictoire[Date],"&gt;="&amp;C11,TabVictoire[Date],"&lt;="&amp;D11)</f>
        <v>0</v>
      </c>
      <c r="AF11" s="506">
        <f>COUNTIFS(TabVictoire[J26],"1",TabVictoire[Date],"&gt;="&amp;C11,TabVictoire[Date],"&lt;="&amp;D11)</f>
        <v>0</v>
      </c>
      <c r="AG11" s="506">
        <f>COUNTIFS(TabVictoire[J27],"1",TabVictoire[Date],"&gt;="&amp;C11,TabVictoire[Date],"&lt;="&amp;D11)</f>
        <v>0</v>
      </c>
      <c r="AH11" s="506">
        <f>COUNTIFS(TabVictoire[J28],"1",TabVictoire[Date],"&gt;="&amp;C11,TabVictoire[Date],"&lt;="&amp;D11)</f>
        <v>0</v>
      </c>
      <c r="AI11" s="506">
        <f>COUNTIFS(TabVictoire[J29],"1",TabVictoire[Date],"&gt;="&amp;C11,TabVictoire[Date],"&lt;="&amp;D11)</f>
        <v>0</v>
      </c>
      <c r="AJ11" s="506">
        <f>COUNTIFS(TabVictoire[J30],"1",TabVictoire[Date],"&gt;="&amp;C11,TabVictoire[Date],"&lt;="&amp;D11)</f>
        <v>0</v>
      </c>
    </row>
    <row r="12" spans="2:36" s="44" customFormat="1" ht="15" customHeight="1">
      <c r="B12" s="549"/>
      <c r="C12" s="550"/>
      <c r="D12" s="550"/>
      <c r="E12" s="544"/>
      <c r="F12" s="405" t="s">
        <v>680</v>
      </c>
      <c r="G12" s="507">
        <f>IF(G11&lt;&gt;0,G11/$E$11,0)</f>
        <v>0</v>
      </c>
      <c r="H12" s="507">
        <f t="shared" ref="H12:AJ12" si="3">IF(H11&lt;&gt;0,H11/$E$11,0)</f>
        <v>0</v>
      </c>
      <c r="I12" s="507">
        <f t="shared" si="3"/>
        <v>0</v>
      </c>
      <c r="J12" s="507">
        <f t="shared" si="3"/>
        <v>0</v>
      </c>
      <c r="K12" s="507">
        <f t="shared" si="3"/>
        <v>0</v>
      </c>
      <c r="L12" s="507">
        <f t="shared" si="3"/>
        <v>0</v>
      </c>
      <c r="M12" s="507">
        <f t="shared" si="3"/>
        <v>0</v>
      </c>
      <c r="N12" s="507">
        <f t="shared" si="3"/>
        <v>0</v>
      </c>
      <c r="O12" s="507">
        <f t="shared" si="3"/>
        <v>0</v>
      </c>
      <c r="P12" s="507">
        <f t="shared" si="3"/>
        <v>0</v>
      </c>
      <c r="Q12" s="507">
        <f t="shared" si="3"/>
        <v>0</v>
      </c>
      <c r="R12" s="507">
        <f t="shared" si="3"/>
        <v>0</v>
      </c>
      <c r="S12" s="507">
        <f t="shared" si="3"/>
        <v>0</v>
      </c>
      <c r="T12" s="507">
        <f t="shared" si="3"/>
        <v>0</v>
      </c>
      <c r="U12" s="507">
        <f t="shared" si="3"/>
        <v>0</v>
      </c>
      <c r="V12" s="507">
        <f t="shared" si="3"/>
        <v>0</v>
      </c>
      <c r="W12" s="507">
        <f t="shared" si="3"/>
        <v>0</v>
      </c>
      <c r="X12" s="507">
        <f t="shared" si="3"/>
        <v>0</v>
      </c>
      <c r="Y12" s="507">
        <f t="shared" si="3"/>
        <v>0</v>
      </c>
      <c r="Z12" s="507">
        <f t="shared" si="3"/>
        <v>0</v>
      </c>
      <c r="AA12" s="507">
        <f t="shared" si="3"/>
        <v>0</v>
      </c>
      <c r="AB12" s="507">
        <f t="shared" si="3"/>
        <v>0</v>
      </c>
      <c r="AC12" s="507">
        <f t="shared" si="3"/>
        <v>0</v>
      </c>
      <c r="AD12" s="507">
        <f t="shared" si="3"/>
        <v>0</v>
      </c>
      <c r="AE12" s="507">
        <f t="shared" si="3"/>
        <v>0</v>
      </c>
      <c r="AF12" s="507">
        <f t="shared" si="3"/>
        <v>0</v>
      </c>
      <c r="AG12" s="507">
        <f t="shared" si="3"/>
        <v>0</v>
      </c>
      <c r="AH12" s="507">
        <f t="shared" si="3"/>
        <v>0</v>
      </c>
      <c r="AI12" s="507">
        <f t="shared" si="3"/>
        <v>0</v>
      </c>
      <c r="AJ12" s="507">
        <f t="shared" si="3"/>
        <v>0</v>
      </c>
    </row>
    <row r="13" spans="2:36" s="44" customFormat="1" ht="15" customHeight="1">
      <c r="B13" s="546" t="s">
        <v>484</v>
      </c>
      <c r="C13" s="548">
        <f>DATE(Paramétres!$L$19,12,1)</f>
        <v>43435</v>
      </c>
      <c r="D13" s="548">
        <f>DATE(Paramétres!$L$19,12,31)</f>
        <v>43465</v>
      </c>
      <c r="E13" s="543">
        <f>IF(ISERROR(GETPIVOTDATA("N°",'TDC Nb Tranningg'!$A$3,"Mois",12)),0,GETPIVOTDATA("N°",'TDC Nb Tranningg'!$A$3,"Mois",12))</f>
        <v>0</v>
      </c>
      <c r="F13" s="409" t="s">
        <v>679</v>
      </c>
      <c r="G13" s="410">
        <f>COUNTIFS(TabVictoire[J1],"1",TabVictoire[Date],"&gt;="&amp;C13,TabVictoire[Date],"&lt;="&amp;D13)</f>
        <v>0</v>
      </c>
      <c r="H13" s="410">
        <f>COUNTIFS(TabVictoire[Date],"1",TabVictoire[Date],"&gt;="&amp;C13,TabVictoire[Date],"&lt;="&amp;D13)</f>
        <v>0</v>
      </c>
      <c r="I13" s="410">
        <f>COUNTIFS(TabVictoire[J3],"1",TabVictoire[Date],"&gt;="&amp;C13,TabVictoire[Date],"&lt;="&amp;D13)</f>
        <v>0</v>
      </c>
      <c r="J13" s="410">
        <f>COUNTIFS(TabVictoire[J4],"1",TabVictoire[Date],"&gt;="&amp;C13,TabVictoire[Date],"&lt;="&amp;D13)</f>
        <v>0</v>
      </c>
      <c r="K13" s="410">
        <f>COUNTIFS(TabVictoire[J5],"1",TabVictoire[Date],"&gt;="&amp;C13,TabVictoire[Date],"&lt;="&amp;D13)</f>
        <v>0</v>
      </c>
      <c r="L13" s="410">
        <f>COUNTIFS(TabVictoire[J6],"1",TabVictoire[Date],"&gt;="&amp;C13,TabVictoire[Date],"&lt;="&amp;D13)</f>
        <v>0</v>
      </c>
      <c r="M13" s="410">
        <f>COUNTIFS(TabVictoire[J7],"1",TabVictoire[Date],"&gt;="&amp;C13,TabVictoire[Date],"&lt;="&amp;D13)</f>
        <v>0</v>
      </c>
      <c r="N13" s="410">
        <f>COUNTIFS(TabVictoire[J8],"1",TabVictoire[Date],"&gt;="&amp;C13,TabVictoire[Date],"&lt;="&amp;D13)</f>
        <v>0</v>
      </c>
      <c r="O13" s="410">
        <f>COUNTIFS(TabVictoire[J9],"1",TabVictoire[Date],"&gt;="&amp;C13,TabVictoire[Date],"&lt;="&amp;D13)</f>
        <v>0</v>
      </c>
      <c r="P13" s="410">
        <f>COUNTIFS(TabVictoire[J10],"1",TabVictoire[Date],"&gt;="&amp;C13,TabVictoire[Date],"&lt;="&amp;D13)</f>
        <v>0</v>
      </c>
      <c r="Q13" s="410">
        <f>COUNTIFS(TabVictoire[J11],"1",TabVictoire[Date],"&gt;="&amp;C13,TabVictoire[Date],"&lt;="&amp;D13)</f>
        <v>0</v>
      </c>
      <c r="R13" s="410">
        <f>COUNTIFS(TabVictoire[J12],"1",TabVictoire[Date],"&gt;="&amp;C13,TabVictoire[Date],"&lt;="&amp;D13)</f>
        <v>0</v>
      </c>
      <c r="S13" s="410">
        <f>COUNTIFS(TabVictoire[J13],"1",TabVictoire[Date],"&gt;="&amp;C13,TabVictoire[Date],"&lt;="&amp;D13)</f>
        <v>0</v>
      </c>
      <c r="T13" s="410">
        <f>COUNTIFS(TabVictoire[J14],"1",TabVictoire[Date],"&gt;="&amp;C13,TabVictoire[Date],"&lt;="&amp;D13)</f>
        <v>0</v>
      </c>
      <c r="U13" s="410">
        <f>COUNTIFS(TabVictoire[J15],"1",TabVictoire[Date],"&gt;="&amp;C13,TabVictoire[Date],"&lt;="&amp;D13)</f>
        <v>0</v>
      </c>
      <c r="V13" s="410">
        <f>COUNTIFS(TabVictoire[J16],"1",TabVictoire[Date],"&gt;="&amp;C13,TabVictoire[Date],"&lt;="&amp;D13)</f>
        <v>0</v>
      </c>
      <c r="W13" s="410">
        <f>COUNTIFS(TabVictoire[J17],"1",TabVictoire[Date],"&gt;="&amp;C13,TabVictoire[Date],"&lt;="&amp;D13)</f>
        <v>0</v>
      </c>
      <c r="X13" s="410">
        <f>COUNTIFS(TabVictoire[J18],"1",TabVictoire[Date],"&gt;="&amp;C13,TabVictoire[Date],"&lt;="&amp;D13)</f>
        <v>0</v>
      </c>
      <c r="Y13" s="410">
        <f>COUNTIFS(TabVictoire[J19],"1",TabVictoire[Date],"&gt;="&amp;C13,TabVictoire[Date],"&lt;="&amp;D13)</f>
        <v>0</v>
      </c>
      <c r="Z13" s="410">
        <f>COUNTIFS(TabVictoire[J20],"1",TabVictoire[Date],"&gt;="&amp;C13,TabVictoire[Date],"&lt;="&amp;D13)</f>
        <v>0</v>
      </c>
      <c r="AA13" s="410">
        <f>COUNTIFS(TabVictoire[J21],"1",TabVictoire[Date],"&gt;="&amp;C13,TabVictoire[Date],"&lt;="&amp;D13)</f>
        <v>0</v>
      </c>
      <c r="AB13" s="410">
        <f>COUNTIFS(TabVictoire[J22],"1",TabVictoire[Date],"&gt;="&amp;C13,TabVictoire[Date],"&lt;="&amp;D13)</f>
        <v>0</v>
      </c>
      <c r="AC13" s="410">
        <f>COUNTIFS(TabVictoire[J23],"1",TabVictoire[Date],"&gt;="&amp;C13,TabVictoire[Date],"&lt;="&amp;D13)</f>
        <v>0</v>
      </c>
      <c r="AD13" s="410">
        <f>COUNTIFS(TabVictoire[J24],"1",TabVictoire[Date],"&gt;="&amp;C13,TabVictoire[Date],"&lt;="&amp;D13)</f>
        <v>0</v>
      </c>
      <c r="AE13" s="410">
        <f>COUNTIFS(TabVictoire[J25],"1",TabVictoire[Date],"&gt;="&amp;C13,TabVictoire[Date],"&lt;="&amp;D13)</f>
        <v>0</v>
      </c>
      <c r="AF13" s="410">
        <f>COUNTIFS(TabVictoire[J26],"1",TabVictoire[Date],"&gt;="&amp;C13,TabVictoire[Date],"&lt;="&amp;D13)</f>
        <v>0</v>
      </c>
      <c r="AG13" s="410">
        <f>COUNTIFS(TabVictoire[J27],"1",TabVictoire[Date],"&gt;="&amp;C13,TabVictoire[Date],"&lt;="&amp;D13)</f>
        <v>0</v>
      </c>
      <c r="AH13" s="410">
        <f>COUNTIFS(TabVictoire[J28],"1",TabVictoire[Date],"&gt;="&amp;C13,TabVictoire[Date],"&lt;="&amp;D13)</f>
        <v>0</v>
      </c>
      <c r="AI13" s="410">
        <f>COUNTIFS(TabVictoire[J29],"1",TabVictoire[Date],"&gt;="&amp;C13,TabVictoire[Date],"&lt;="&amp;D13)</f>
        <v>0</v>
      </c>
      <c r="AJ13" s="410">
        <f>COUNTIFS(TabVictoire[J30],"1",TabVictoire[Date],"&gt;="&amp;C13,TabVictoire[Date],"&lt;="&amp;D13)</f>
        <v>0</v>
      </c>
    </row>
    <row r="14" spans="2:36" s="44" customFormat="1" ht="15" customHeight="1">
      <c r="B14" s="546"/>
      <c r="C14" s="548"/>
      <c r="D14" s="548"/>
      <c r="E14" s="544"/>
      <c r="F14" s="403" t="s">
        <v>680</v>
      </c>
      <c r="G14" s="508">
        <f>IF(G13&lt;&gt;0,G13/$E$13,0)</f>
        <v>0</v>
      </c>
      <c r="H14" s="508">
        <f t="shared" ref="H14:AJ14" si="4">IF(H13&lt;&gt;0,H13/$E$13,0)</f>
        <v>0</v>
      </c>
      <c r="I14" s="508">
        <f t="shared" si="4"/>
        <v>0</v>
      </c>
      <c r="J14" s="508">
        <f t="shared" si="4"/>
        <v>0</v>
      </c>
      <c r="K14" s="508">
        <f t="shared" si="4"/>
        <v>0</v>
      </c>
      <c r="L14" s="508">
        <f t="shared" si="4"/>
        <v>0</v>
      </c>
      <c r="M14" s="508">
        <f t="shared" si="4"/>
        <v>0</v>
      </c>
      <c r="N14" s="508">
        <f t="shared" si="4"/>
        <v>0</v>
      </c>
      <c r="O14" s="508">
        <f t="shared" si="4"/>
        <v>0</v>
      </c>
      <c r="P14" s="508">
        <f t="shared" si="4"/>
        <v>0</v>
      </c>
      <c r="Q14" s="508">
        <f t="shared" si="4"/>
        <v>0</v>
      </c>
      <c r="R14" s="508">
        <f t="shared" si="4"/>
        <v>0</v>
      </c>
      <c r="S14" s="508">
        <f t="shared" si="4"/>
        <v>0</v>
      </c>
      <c r="T14" s="508">
        <f t="shared" si="4"/>
        <v>0</v>
      </c>
      <c r="U14" s="508">
        <f t="shared" si="4"/>
        <v>0</v>
      </c>
      <c r="V14" s="508">
        <f t="shared" si="4"/>
        <v>0</v>
      </c>
      <c r="W14" s="508">
        <f t="shared" si="4"/>
        <v>0</v>
      </c>
      <c r="X14" s="508">
        <f t="shared" si="4"/>
        <v>0</v>
      </c>
      <c r="Y14" s="508">
        <f t="shared" si="4"/>
        <v>0</v>
      </c>
      <c r="Z14" s="508">
        <f t="shared" si="4"/>
        <v>0</v>
      </c>
      <c r="AA14" s="508">
        <f t="shared" si="4"/>
        <v>0</v>
      </c>
      <c r="AB14" s="508">
        <f t="shared" si="4"/>
        <v>0</v>
      </c>
      <c r="AC14" s="508">
        <f t="shared" si="4"/>
        <v>0</v>
      </c>
      <c r="AD14" s="508">
        <f t="shared" si="4"/>
        <v>0</v>
      </c>
      <c r="AE14" s="508">
        <f t="shared" si="4"/>
        <v>0</v>
      </c>
      <c r="AF14" s="508">
        <f t="shared" si="4"/>
        <v>0</v>
      </c>
      <c r="AG14" s="508">
        <f t="shared" si="4"/>
        <v>0</v>
      </c>
      <c r="AH14" s="508">
        <f t="shared" si="4"/>
        <v>0</v>
      </c>
      <c r="AI14" s="508">
        <f t="shared" si="4"/>
        <v>0</v>
      </c>
      <c r="AJ14" s="508">
        <f t="shared" si="4"/>
        <v>0</v>
      </c>
    </row>
    <row r="15" spans="2:36" s="44" customFormat="1" ht="15" customHeight="1">
      <c r="B15" s="549" t="s">
        <v>457</v>
      </c>
      <c r="C15" s="550">
        <f>DATE(Paramétres!$L$20,1,1)</f>
        <v>43466</v>
      </c>
      <c r="D15" s="550">
        <f>DATE(Paramétres!$L$20,1,31)</f>
        <v>43496</v>
      </c>
      <c r="E15" s="543">
        <f>IF(ISERROR(GETPIVOTDATA("N°",'TDC Nb Tranningg'!$A$3,"Mois",1)),0,GETPIVOTDATA("N°",'TDC Nb Tranningg'!$A$3,"Mois",1))</f>
        <v>0</v>
      </c>
      <c r="F15" s="405" t="s">
        <v>679</v>
      </c>
      <c r="G15" s="506">
        <f>COUNTIFS(TabVictoire[J1],"1",TabVictoire[Date],"&gt;="&amp;C15,TabVictoire[Date],"&lt;="&amp;D15)</f>
        <v>0</v>
      </c>
      <c r="H15" s="506">
        <f>COUNTIFS(TabVictoire[Date],"1",TabVictoire[Date],"&gt;="&amp;C15,TabVictoire[Date],"&lt;="&amp;D15)</f>
        <v>0</v>
      </c>
      <c r="I15" s="506">
        <f>COUNTIFS(TabVictoire[J3],"1",TabVictoire[Date],"&gt;="&amp;C15,TabVictoire[Date],"&lt;="&amp;D15)</f>
        <v>0</v>
      </c>
      <c r="J15" s="506">
        <f>COUNTIFS(TabVictoire[J4],"1",TabVictoire[Date],"&gt;="&amp;C15,TabVictoire[Date],"&lt;="&amp;D15)</f>
        <v>0</v>
      </c>
      <c r="K15" s="506">
        <f>COUNTIFS(TabVictoire[J5],"1",TabVictoire[Date],"&gt;="&amp;C15,TabVictoire[Date],"&lt;="&amp;D15)</f>
        <v>0</v>
      </c>
      <c r="L15" s="506">
        <f>COUNTIFS(TabVictoire[J6],"1",TabVictoire[Date],"&gt;="&amp;C15,TabVictoire[Date],"&lt;="&amp;D15)</f>
        <v>0</v>
      </c>
      <c r="M15" s="506">
        <f>COUNTIFS(TabVictoire[J7],"1",TabVictoire[Date],"&gt;="&amp;C15,TabVictoire[Date],"&lt;="&amp;D15)</f>
        <v>0</v>
      </c>
      <c r="N15" s="506">
        <f>COUNTIFS(TabVictoire[J8],"1",TabVictoire[Date],"&gt;="&amp;C15,TabVictoire[Date],"&lt;="&amp;D15)</f>
        <v>0</v>
      </c>
      <c r="O15" s="506">
        <f>COUNTIFS(TabVictoire[J9],"1",TabVictoire[Date],"&gt;="&amp;C15,TabVictoire[Date],"&lt;="&amp;D15)</f>
        <v>0</v>
      </c>
      <c r="P15" s="506">
        <f>COUNTIFS(TabVictoire[J10],"1",TabVictoire[Date],"&gt;="&amp;C15,TabVictoire[Date],"&lt;="&amp;D15)</f>
        <v>0</v>
      </c>
      <c r="Q15" s="506">
        <f>COUNTIFS(TabVictoire[J11],"1",TabVictoire[Date],"&gt;="&amp;C15,TabVictoire[Date],"&lt;="&amp;D15)</f>
        <v>0</v>
      </c>
      <c r="R15" s="506">
        <f>COUNTIFS(TabVictoire[J12],"1",TabVictoire[Date],"&gt;="&amp;C15,TabVictoire[Date],"&lt;="&amp;D15)</f>
        <v>0</v>
      </c>
      <c r="S15" s="506">
        <f>COUNTIFS(TabVictoire[J13],"1",TabVictoire[Date],"&gt;="&amp;C15,TabVictoire[Date],"&lt;="&amp;D15)</f>
        <v>0</v>
      </c>
      <c r="T15" s="506">
        <f>COUNTIFS(TabVictoire[J14],"1",TabVictoire[Date],"&gt;="&amp;C15,TabVictoire[Date],"&lt;="&amp;D15)</f>
        <v>0</v>
      </c>
      <c r="U15" s="506">
        <f>COUNTIFS(TabVictoire[J15],"1",TabVictoire[Date],"&gt;="&amp;C15,TabVictoire[Date],"&lt;="&amp;D15)</f>
        <v>0</v>
      </c>
      <c r="V15" s="506">
        <f>COUNTIFS(TabVictoire[J16],"1",TabVictoire[Date],"&gt;="&amp;C15,TabVictoire[Date],"&lt;="&amp;D15)</f>
        <v>0</v>
      </c>
      <c r="W15" s="506">
        <f>COUNTIFS(TabVictoire[J17],"1",TabVictoire[Date],"&gt;="&amp;C15,TabVictoire[Date],"&lt;="&amp;D15)</f>
        <v>0</v>
      </c>
      <c r="X15" s="506">
        <f>COUNTIFS(TabVictoire[J18],"1",TabVictoire[Date],"&gt;="&amp;C15,TabVictoire[Date],"&lt;="&amp;D15)</f>
        <v>0</v>
      </c>
      <c r="Y15" s="506">
        <f>COUNTIFS(TabVictoire[J19],"1",TabVictoire[Date],"&gt;="&amp;C15,TabVictoire[Date],"&lt;="&amp;D15)</f>
        <v>0</v>
      </c>
      <c r="Z15" s="506">
        <f>COUNTIFS(TabVictoire[J20],"1",TabVictoire[Date],"&gt;="&amp;C15,TabVictoire[Date],"&lt;="&amp;D15)</f>
        <v>0</v>
      </c>
      <c r="AA15" s="506">
        <f>COUNTIFS(TabVictoire[J21],"1",TabVictoire[Date],"&gt;="&amp;C15,TabVictoire[Date],"&lt;="&amp;D15)</f>
        <v>0</v>
      </c>
      <c r="AB15" s="506">
        <f>COUNTIFS(TabVictoire[J22],"1",TabVictoire[Date],"&gt;="&amp;C15,TabVictoire[Date],"&lt;="&amp;D15)</f>
        <v>0</v>
      </c>
      <c r="AC15" s="506">
        <f>COUNTIFS(TabVictoire[J23],"1",TabVictoire[Date],"&gt;="&amp;C15,TabVictoire[Date],"&lt;="&amp;D15)</f>
        <v>0</v>
      </c>
      <c r="AD15" s="506">
        <f>COUNTIFS(TabVictoire[J24],"1",TabVictoire[Date],"&gt;="&amp;C15,TabVictoire[Date],"&lt;="&amp;D15)</f>
        <v>0</v>
      </c>
      <c r="AE15" s="506">
        <f>COUNTIFS(TabVictoire[J25],"1",TabVictoire[Date],"&gt;="&amp;C15,TabVictoire[Date],"&lt;="&amp;D15)</f>
        <v>0</v>
      </c>
      <c r="AF15" s="506">
        <f>COUNTIFS(TabVictoire[J26],"1",TabVictoire[Date],"&gt;="&amp;C15,TabVictoire[Date],"&lt;="&amp;D15)</f>
        <v>0</v>
      </c>
      <c r="AG15" s="506">
        <f>COUNTIFS(TabVictoire[J27],"1",TabVictoire[Date],"&gt;="&amp;C15,TabVictoire[Date],"&lt;="&amp;D15)</f>
        <v>0</v>
      </c>
      <c r="AH15" s="506">
        <f>COUNTIFS(TabVictoire[J28],"1",TabVictoire[Date],"&gt;="&amp;C15,TabVictoire[Date],"&lt;="&amp;D15)</f>
        <v>0</v>
      </c>
      <c r="AI15" s="506">
        <f>COUNTIFS(TabVictoire[J29],"1",TabVictoire[Date],"&gt;="&amp;C15,TabVictoire[Date],"&lt;="&amp;D15)</f>
        <v>0</v>
      </c>
      <c r="AJ15" s="506">
        <f>COUNTIFS(TabVictoire[J30],"1",TabVictoire[Date],"&gt;="&amp;C15,TabVictoire[Date],"&lt;="&amp;D15)</f>
        <v>0</v>
      </c>
    </row>
    <row r="16" spans="2:36" s="44" customFormat="1" ht="15" customHeight="1">
      <c r="B16" s="549"/>
      <c r="C16" s="550"/>
      <c r="D16" s="550"/>
      <c r="E16" s="544"/>
      <c r="F16" s="405" t="s">
        <v>680</v>
      </c>
      <c r="G16" s="507">
        <f>IF(G15&lt;&gt;0,G15/$E$15,0)</f>
        <v>0</v>
      </c>
      <c r="H16" s="507">
        <f t="shared" ref="H16:AJ16" si="5">IF(H15&lt;&gt;0,H15/$E$15,0)</f>
        <v>0</v>
      </c>
      <c r="I16" s="507">
        <f t="shared" si="5"/>
        <v>0</v>
      </c>
      <c r="J16" s="507">
        <f t="shared" si="5"/>
        <v>0</v>
      </c>
      <c r="K16" s="507">
        <f t="shared" si="5"/>
        <v>0</v>
      </c>
      <c r="L16" s="507">
        <f t="shared" si="5"/>
        <v>0</v>
      </c>
      <c r="M16" s="507">
        <f t="shared" si="5"/>
        <v>0</v>
      </c>
      <c r="N16" s="507">
        <f t="shared" si="5"/>
        <v>0</v>
      </c>
      <c r="O16" s="507">
        <f t="shared" si="5"/>
        <v>0</v>
      </c>
      <c r="P16" s="507">
        <f t="shared" si="5"/>
        <v>0</v>
      </c>
      <c r="Q16" s="507">
        <f t="shared" si="5"/>
        <v>0</v>
      </c>
      <c r="R16" s="507">
        <f t="shared" si="5"/>
        <v>0</v>
      </c>
      <c r="S16" s="507">
        <f t="shared" si="5"/>
        <v>0</v>
      </c>
      <c r="T16" s="507">
        <f t="shared" si="5"/>
        <v>0</v>
      </c>
      <c r="U16" s="507">
        <f t="shared" si="5"/>
        <v>0</v>
      </c>
      <c r="V16" s="507">
        <f t="shared" si="5"/>
        <v>0</v>
      </c>
      <c r="W16" s="507">
        <f t="shared" si="5"/>
        <v>0</v>
      </c>
      <c r="X16" s="507">
        <f t="shared" si="5"/>
        <v>0</v>
      </c>
      <c r="Y16" s="507">
        <f t="shared" si="5"/>
        <v>0</v>
      </c>
      <c r="Z16" s="507">
        <f t="shared" si="5"/>
        <v>0</v>
      </c>
      <c r="AA16" s="507">
        <f t="shared" si="5"/>
        <v>0</v>
      </c>
      <c r="AB16" s="507">
        <f t="shared" si="5"/>
        <v>0</v>
      </c>
      <c r="AC16" s="507">
        <f t="shared" si="5"/>
        <v>0</v>
      </c>
      <c r="AD16" s="507">
        <f t="shared" si="5"/>
        <v>0</v>
      </c>
      <c r="AE16" s="507">
        <f t="shared" si="5"/>
        <v>0</v>
      </c>
      <c r="AF16" s="507">
        <f t="shared" si="5"/>
        <v>0</v>
      </c>
      <c r="AG16" s="507">
        <f t="shared" si="5"/>
        <v>0</v>
      </c>
      <c r="AH16" s="507">
        <f t="shared" si="5"/>
        <v>0</v>
      </c>
      <c r="AI16" s="507">
        <f t="shared" si="5"/>
        <v>0</v>
      </c>
      <c r="AJ16" s="507">
        <f t="shared" si="5"/>
        <v>0</v>
      </c>
    </row>
    <row r="17" spans="2:36" s="399" customFormat="1" ht="15" customHeight="1">
      <c r="B17" s="546" t="s">
        <v>485</v>
      </c>
      <c r="C17" s="548">
        <f>DATE(Paramétres!$L$20,2,1)</f>
        <v>43497</v>
      </c>
      <c r="D17" s="548">
        <f>DATE(Paramétres!$L$20,2,28)</f>
        <v>43524</v>
      </c>
      <c r="E17" s="543">
        <f>IF(ISERROR(GETPIVOTDATA("N°",'TDC Nb Tranningg'!$A$3,"Mois",2)),0,GETPIVOTDATA("N°",'TDC Nb Tranningg'!$A$3,"Mois",2))</f>
        <v>0</v>
      </c>
      <c r="F17" s="409" t="s">
        <v>679</v>
      </c>
      <c r="G17" s="410">
        <f>COUNTIFS(TabVictoire[J1],"1",TabVictoire[Date],"&gt;="&amp;C17,TabVictoire[Date],"&lt;="&amp;D17)</f>
        <v>0</v>
      </c>
      <c r="H17" s="410">
        <f>COUNTIFS(TabVictoire[Date],"1",TabVictoire[Date],"&gt;="&amp;C17,TabVictoire[Date],"&lt;="&amp;D17)</f>
        <v>0</v>
      </c>
      <c r="I17" s="410">
        <f>COUNTIFS(TabVictoire[J3],"1",TabVictoire[Date],"&gt;="&amp;C17,TabVictoire[Date],"&lt;="&amp;D17)</f>
        <v>0</v>
      </c>
      <c r="J17" s="410">
        <f>COUNTIFS(TabVictoire[J4],"1",TabVictoire[Date],"&gt;="&amp;C17,TabVictoire[Date],"&lt;="&amp;D17)</f>
        <v>0</v>
      </c>
      <c r="K17" s="410">
        <f>COUNTIFS(TabVictoire[J5],"1",TabVictoire[Date],"&gt;="&amp;C17,TabVictoire[Date],"&lt;="&amp;D17)</f>
        <v>0</v>
      </c>
      <c r="L17" s="410">
        <f>COUNTIFS(TabVictoire[J6],"1",TabVictoire[Date],"&gt;="&amp;C17,TabVictoire[Date],"&lt;="&amp;D17)</f>
        <v>0</v>
      </c>
      <c r="M17" s="410">
        <f>COUNTIFS(TabVictoire[J7],"1",TabVictoire[Date],"&gt;="&amp;C17,TabVictoire[Date],"&lt;="&amp;D17)</f>
        <v>0</v>
      </c>
      <c r="N17" s="410">
        <f>COUNTIFS(TabVictoire[J8],"1",TabVictoire[Date],"&gt;="&amp;C17,TabVictoire[Date],"&lt;="&amp;D17)</f>
        <v>0</v>
      </c>
      <c r="O17" s="410">
        <f>COUNTIFS(TabVictoire[J9],"1",TabVictoire[Date],"&gt;="&amp;C17,TabVictoire[Date],"&lt;="&amp;D17)</f>
        <v>0</v>
      </c>
      <c r="P17" s="410">
        <f>COUNTIFS(TabVictoire[J10],"1",TabVictoire[Date],"&gt;="&amp;C17,TabVictoire[Date],"&lt;="&amp;D17)</f>
        <v>0</v>
      </c>
      <c r="Q17" s="410">
        <f>COUNTIFS(TabVictoire[J11],"1",TabVictoire[Date],"&gt;="&amp;C17,TabVictoire[Date],"&lt;="&amp;D17)</f>
        <v>0</v>
      </c>
      <c r="R17" s="410">
        <f>COUNTIFS(TabVictoire[J12],"1",TabVictoire[Date],"&gt;="&amp;C17,TabVictoire[Date],"&lt;="&amp;D17)</f>
        <v>0</v>
      </c>
      <c r="S17" s="410">
        <f>COUNTIFS(TabVictoire[J13],"1",TabVictoire[Date],"&gt;="&amp;C17,TabVictoire[Date],"&lt;="&amp;D17)</f>
        <v>0</v>
      </c>
      <c r="T17" s="410">
        <f>COUNTIFS(TabVictoire[J14],"1",TabVictoire[Date],"&gt;="&amp;C17,TabVictoire[Date],"&lt;="&amp;D17)</f>
        <v>0</v>
      </c>
      <c r="U17" s="410">
        <f>COUNTIFS(TabVictoire[J15],"1",TabVictoire[Date],"&gt;="&amp;C17,TabVictoire[Date],"&lt;="&amp;D17)</f>
        <v>0</v>
      </c>
      <c r="V17" s="410">
        <f>COUNTIFS(TabVictoire[J16],"1",TabVictoire[Date],"&gt;="&amp;C17,TabVictoire[Date],"&lt;="&amp;D17)</f>
        <v>0</v>
      </c>
      <c r="W17" s="410">
        <f>COUNTIFS(TabVictoire[J17],"1",TabVictoire[Date],"&gt;="&amp;C17,TabVictoire[Date],"&lt;="&amp;D17)</f>
        <v>0</v>
      </c>
      <c r="X17" s="410">
        <f>COUNTIFS(TabVictoire[J18],"1",TabVictoire[Date],"&gt;="&amp;C17,TabVictoire[Date],"&lt;="&amp;D17)</f>
        <v>0</v>
      </c>
      <c r="Y17" s="410">
        <f>COUNTIFS(TabVictoire[J19],"1",TabVictoire[Date],"&gt;="&amp;C17,TabVictoire[Date],"&lt;="&amp;D17)</f>
        <v>0</v>
      </c>
      <c r="Z17" s="410">
        <f>COUNTIFS(TabVictoire[J20],"1",TabVictoire[Date],"&gt;="&amp;C17,TabVictoire[Date],"&lt;="&amp;D17)</f>
        <v>0</v>
      </c>
      <c r="AA17" s="410">
        <f>COUNTIFS(TabVictoire[J21],"1",TabVictoire[Date],"&gt;="&amp;C17,TabVictoire[Date],"&lt;="&amp;D17)</f>
        <v>0</v>
      </c>
      <c r="AB17" s="410">
        <f>COUNTIFS(TabVictoire[J22],"1",TabVictoire[Date],"&gt;="&amp;C17,TabVictoire[Date],"&lt;="&amp;D17)</f>
        <v>0</v>
      </c>
      <c r="AC17" s="410">
        <f>COUNTIFS(TabVictoire[J23],"1",TabVictoire[Date],"&gt;="&amp;C17,TabVictoire[Date],"&lt;="&amp;D17)</f>
        <v>0</v>
      </c>
      <c r="AD17" s="410">
        <f>COUNTIFS(TabVictoire[J24],"1",TabVictoire[Date],"&gt;="&amp;C17,TabVictoire[Date],"&lt;="&amp;D17)</f>
        <v>0</v>
      </c>
      <c r="AE17" s="410">
        <f>COUNTIFS(TabVictoire[J25],"1",TabVictoire[Date],"&gt;="&amp;C17,TabVictoire[Date],"&lt;="&amp;D17)</f>
        <v>0</v>
      </c>
      <c r="AF17" s="410">
        <f>COUNTIFS(TabVictoire[J26],"1",TabVictoire[Date],"&gt;="&amp;C17,TabVictoire[Date],"&lt;="&amp;D17)</f>
        <v>0</v>
      </c>
      <c r="AG17" s="410">
        <f>COUNTIFS(TabVictoire[J27],"1",TabVictoire[Date],"&gt;="&amp;C17,TabVictoire[Date],"&lt;="&amp;D17)</f>
        <v>0</v>
      </c>
      <c r="AH17" s="410">
        <f>COUNTIFS(TabVictoire[J28],"1",TabVictoire[Date],"&gt;="&amp;C17,TabVictoire[Date],"&lt;="&amp;D17)</f>
        <v>0</v>
      </c>
      <c r="AI17" s="410">
        <f>COUNTIFS(TabVictoire[J29],"1",TabVictoire[Date],"&gt;="&amp;C17,TabVictoire[Date],"&lt;="&amp;D17)</f>
        <v>0</v>
      </c>
      <c r="AJ17" s="410">
        <f>COUNTIFS(TabVictoire[J30],"1",TabVictoire[Date],"&gt;="&amp;C17,TabVictoire[Date],"&lt;="&amp;D17)</f>
        <v>0</v>
      </c>
    </row>
    <row r="18" spans="2:36" s="399" customFormat="1" ht="15" customHeight="1">
      <c r="B18" s="546"/>
      <c r="C18" s="548"/>
      <c r="D18" s="548"/>
      <c r="E18" s="544"/>
      <c r="F18" s="403" t="s">
        <v>680</v>
      </c>
      <c r="G18" s="508">
        <f>IF(G17&lt;&gt;0,G17/$E$17,0)</f>
        <v>0</v>
      </c>
      <c r="H18" s="508">
        <f t="shared" ref="H18:AJ18" si="6">IF(H17&lt;&gt;0,H17/$E$17,0)</f>
        <v>0</v>
      </c>
      <c r="I18" s="508">
        <f t="shared" si="6"/>
        <v>0</v>
      </c>
      <c r="J18" s="508">
        <f t="shared" si="6"/>
        <v>0</v>
      </c>
      <c r="K18" s="508">
        <f t="shared" si="6"/>
        <v>0</v>
      </c>
      <c r="L18" s="508">
        <f t="shared" si="6"/>
        <v>0</v>
      </c>
      <c r="M18" s="508">
        <f t="shared" si="6"/>
        <v>0</v>
      </c>
      <c r="N18" s="508">
        <f t="shared" si="6"/>
        <v>0</v>
      </c>
      <c r="O18" s="508">
        <f t="shared" si="6"/>
        <v>0</v>
      </c>
      <c r="P18" s="508">
        <f t="shared" si="6"/>
        <v>0</v>
      </c>
      <c r="Q18" s="508">
        <f t="shared" si="6"/>
        <v>0</v>
      </c>
      <c r="R18" s="508">
        <f t="shared" si="6"/>
        <v>0</v>
      </c>
      <c r="S18" s="508">
        <f t="shared" si="6"/>
        <v>0</v>
      </c>
      <c r="T18" s="508">
        <f t="shared" si="6"/>
        <v>0</v>
      </c>
      <c r="U18" s="508">
        <f t="shared" si="6"/>
        <v>0</v>
      </c>
      <c r="V18" s="508">
        <f t="shared" si="6"/>
        <v>0</v>
      </c>
      <c r="W18" s="508">
        <f t="shared" si="6"/>
        <v>0</v>
      </c>
      <c r="X18" s="508">
        <f t="shared" si="6"/>
        <v>0</v>
      </c>
      <c r="Y18" s="508">
        <f t="shared" si="6"/>
        <v>0</v>
      </c>
      <c r="Z18" s="508">
        <f t="shared" si="6"/>
        <v>0</v>
      </c>
      <c r="AA18" s="508">
        <f t="shared" si="6"/>
        <v>0</v>
      </c>
      <c r="AB18" s="508">
        <f t="shared" si="6"/>
        <v>0</v>
      </c>
      <c r="AC18" s="508">
        <f t="shared" si="6"/>
        <v>0</v>
      </c>
      <c r="AD18" s="508">
        <f t="shared" si="6"/>
        <v>0</v>
      </c>
      <c r="AE18" s="508">
        <f t="shared" si="6"/>
        <v>0</v>
      </c>
      <c r="AF18" s="508">
        <f t="shared" si="6"/>
        <v>0</v>
      </c>
      <c r="AG18" s="508">
        <f t="shared" si="6"/>
        <v>0</v>
      </c>
      <c r="AH18" s="508">
        <f t="shared" si="6"/>
        <v>0</v>
      </c>
      <c r="AI18" s="508">
        <f t="shared" si="6"/>
        <v>0</v>
      </c>
      <c r="AJ18" s="508">
        <f t="shared" si="6"/>
        <v>0</v>
      </c>
    </row>
    <row r="19" spans="2:36" s="44" customFormat="1" ht="15" customHeight="1">
      <c r="B19" s="549" t="s">
        <v>459</v>
      </c>
      <c r="C19" s="550">
        <f>DATE(Paramétres!$L$20,3,1)</f>
        <v>43525</v>
      </c>
      <c r="D19" s="550">
        <f>DATE(Paramétres!$L$20,3,31)</f>
        <v>43555</v>
      </c>
      <c r="E19" s="543">
        <f>IF(ISERROR(GETPIVOTDATA("N°",'TDC Nb Tranningg'!$A$3,"Mois",3)),0,GETPIVOTDATA("N°",'TDC Nb Tranningg'!$A$3,"Mois",3))</f>
        <v>0</v>
      </c>
      <c r="F19" s="405" t="s">
        <v>679</v>
      </c>
      <c r="G19" s="506">
        <f>COUNTIFS(TabVictoire[J1],"1",TabVictoire[Date],"&gt;="&amp;C19,TabVictoire[Date],"&lt;="&amp;D19)</f>
        <v>0</v>
      </c>
      <c r="H19" s="506">
        <f>COUNTIFS(TabVictoire[Date],"1",TabVictoire[Date],"&gt;="&amp;C19,TabVictoire[Date],"&lt;="&amp;D19)</f>
        <v>0</v>
      </c>
      <c r="I19" s="506">
        <f>COUNTIFS(TabVictoire[J3],"1",TabVictoire[Date],"&gt;="&amp;C19,TabVictoire[Date],"&lt;="&amp;D19)</f>
        <v>0</v>
      </c>
      <c r="J19" s="506">
        <f>COUNTIFS(TabVictoire[J4],"1",TabVictoire[Date],"&gt;="&amp;C19,TabVictoire[Date],"&lt;="&amp;D19)</f>
        <v>0</v>
      </c>
      <c r="K19" s="506">
        <f>COUNTIFS(TabVictoire[J5],"1",TabVictoire[Date],"&gt;="&amp;C19,TabVictoire[Date],"&lt;="&amp;D19)</f>
        <v>0</v>
      </c>
      <c r="L19" s="506">
        <f>COUNTIFS(TabVictoire[J6],"1",TabVictoire[Date],"&gt;="&amp;C19,TabVictoire[Date],"&lt;="&amp;D19)</f>
        <v>0</v>
      </c>
      <c r="M19" s="506">
        <f>COUNTIFS(TabVictoire[J7],"1",TabVictoire[Date],"&gt;="&amp;C19,TabVictoire[Date],"&lt;="&amp;D19)</f>
        <v>0</v>
      </c>
      <c r="N19" s="506">
        <f>COUNTIFS(TabVictoire[J8],"1",TabVictoire[Date],"&gt;="&amp;C19,TabVictoire[Date],"&lt;="&amp;D19)</f>
        <v>0</v>
      </c>
      <c r="O19" s="506">
        <f>COUNTIFS(TabVictoire[J9],"1",TabVictoire[Date],"&gt;="&amp;C19,TabVictoire[Date],"&lt;="&amp;D19)</f>
        <v>0</v>
      </c>
      <c r="P19" s="506">
        <f>COUNTIFS(TabVictoire[J10],"1",TabVictoire[Date],"&gt;="&amp;C19,TabVictoire[Date],"&lt;="&amp;D19)</f>
        <v>0</v>
      </c>
      <c r="Q19" s="506">
        <f>COUNTIFS(TabVictoire[J11],"1",TabVictoire[Date],"&gt;="&amp;C19,TabVictoire[Date],"&lt;="&amp;D19)</f>
        <v>0</v>
      </c>
      <c r="R19" s="506">
        <f>COUNTIFS(TabVictoire[J12],"1",TabVictoire[Date],"&gt;="&amp;C19,TabVictoire[Date],"&lt;="&amp;D19)</f>
        <v>0</v>
      </c>
      <c r="S19" s="506">
        <f>COUNTIFS(TabVictoire[J13],"1",TabVictoire[Date],"&gt;="&amp;C19,TabVictoire[Date],"&lt;="&amp;D19)</f>
        <v>0</v>
      </c>
      <c r="T19" s="506">
        <f>COUNTIFS(TabVictoire[J14],"1",TabVictoire[Date],"&gt;="&amp;C19,TabVictoire[Date],"&lt;="&amp;D19)</f>
        <v>0</v>
      </c>
      <c r="U19" s="506">
        <f>COUNTIFS(TabVictoire[J15],"1",TabVictoire[Date],"&gt;="&amp;C19,TabVictoire[Date],"&lt;="&amp;D19)</f>
        <v>0</v>
      </c>
      <c r="V19" s="506">
        <f>COUNTIFS(TabVictoire[J16],"1",TabVictoire[Date],"&gt;="&amp;C19,TabVictoire[Date],"&lt;="&amp;D19)</f>
        <v>0</v>
      </c>
      <c r="W19" s="506">
        <f>COUNTIFS(TabVictoire[J17],"1",TabVictoire[Date],"&gt;="&amp;C19,TabVictoire[Date],"&lt;="&amp;D19)</f>
        <v>0</v>
      </c>
      <c r="X19" s="506">
        <f>COUNTIFS(TabVictoire[J18],"1",TabVictoire[Date],"&gt;="&amp;C19,TabVictoire[Date],"&lt;="&amp;D19)</f>
        <v>0</v>
      </c>
      <c r="Y19" s="506">
        <f>COUNTIFS(TabVictoire[J19],"1",TabVictoire[Date],"&gt;="&amp;C19,TabVictoire[Date],"&lt;="&amp;D19)</f>
        <v>0</v>
      </c>
      <c r="Z19" s="506">
        <f>COUNTIFS(TabVictoire[J20],"1",TabVictoire[Date],"&gt;="&amp;C19,TabVictoire[Date],"&lt;="&amp;D19)</f>
        <v>0</v>
      </c>
      <c r="AA19" s="506">
        <f>COUNTIFS(TabVictoire[J21],"1",TabVictoire[Date],"&gt;="&amp;C19,TabVictoire[Date],"&lt;="&amp;D19)</f>
        <v>0</v>
      </c>
      <c r="AB19" s="506">
        <f>COUNTIFS(TabVictoire[J22],"1",TabVictoire[Date],"&gt;="&amp;C19,TabVictoire[Date],"&lt;="&amp;D19)</f>
        <v>0</v>
      </c>
      <c r="AC19" s="506">
        <f>COUNTIFS(TabVictoire[J23],"1",TabVictoire[Date],"&gt;="&amp;C19,TabVictoire[Date],"&lt;="&amp;D19)</f>
        <v>0</v>
      </c>
      <c r="AD19" s="506">
        <f>COUNTIFS(TabVictoire[J24],"1",TabVictoire[Date],"&gt;="&amp;C19,TabVictoire[Date],"&lt;="&amp;D19)</f>
        <v>0</v>
      </c>
      <c r="AE19" s="506">
        <f>COUNTIFS(TabVictoire[J25],"1",TabVictoire[Date],"&gt;="&amp;C19,TabVictoire[Date],"&lt;="&amp;D19)</f>
        <v>0</v>
      </c>
      <c r="AF19" s="506">
        <f>COUNTIFS(TabVictoire[J26],"1",TabVictoire[Date],"&gt;="&amp;C19,TabVictoire[Date],"&lt;="&amp;D19)</f>
        <v>0</v>
      </c>
      <c r="AG19" s="506">
        <f>COUNTIFS(TabVictoire[J27],"1",TabVictoire[Date],"&gt;="&amp;C19,TabVictoire[Date],"&lt;="&amp;D19)</f>
        <v>0</v>
      </c>
      <c r="AH19" s="506">
        <f>COUNTIFS(TabVictoire[J28],"1",TabVictoire[Date],"&gt;="&amp;C19,TabVictoire[Date],"&lt;="&amp;D19)</f>
        <v>0</v>
      </c>
      <c r="AI19" s="506">
        <f>COUNTIFS(TabVictoire[J29],"1",TabVictoire[Date],"&gt;="&amp;C19,TabVictoire[Date],"&lt;="&amp;D19)</f>
        <v>0</v>
      </c>
      <c r="AJ19" s="506">
        <f>COUNTIFS(TabVictoire[J30],"1",TabVictoire[Date],"&gt;="&amp;C19,TabVictoire[Date],"&lt;="&amp;D19)</f>
        <v>0</v>
      </c>
    </row>
    <row r="20" spans="2:36" s="44" customFormat="1" ht="15" customHeight="1">
      <c r="B20" s="549"/>
      <c r="C20" s="550"/>
      <c r="D20" s="550"/>
      <c r="E20" s="544"/>
      <c r="F20" s="405" t="s">
        <v>680</v>
      </c>
      <c r="G20" s="507">
        <f>IF(G19&lt;&gt;0,G19/$E$19,0)</f>
        <v>0</v>
      </c>
      <c r="H20" s="507">
        <f t="shared" ref="H20:AJ20" si="7">IF(H19&lt;&gt;0,H19/$E$19,0)</f>
        <v>0</v>
      </c>
      <c r="I20" s="507">
        <f t="shared" si="7"/>
        <v>0</v>
      </c>
      <c r="J20" s="507">
        <f t="shared" si="7"/>
        <v>0</v>
      </c>
      <c r="K20" s="507">
        <f t="shared" si="7"/>
        <v>0</v>
      </c>
      <c r="L20" s="507">
        <f t="shared" si="7"/>
        <v>0</v>
      </c>
      <c r="M20" s="507">
        <f t="shared" si="7"/>
        <v>0</v>
      </c>
      <c r="N20" s="507">
        <f t="shared" si="7"/>
        <v>0</v>
      </c>
      <c r="O20" s="507">
        <f t="shared" si="7"/>
        <v>0</v>
      </c>
      <c r="P20" s="507">
        <f t="shared" si="7"/>
        <v>0</v>
      </c>
      <c r="Q20" s="507">
        <f t="shared" si="7"/>
        <v>0</v>
      </c>
      <c r="R20" s="507">
        <f t="shared" si="7"/>
        <v>0</v>
      </c>
      <c r="S20" s="507">
        <f t="shared" si="7"/>
        <v>0</v>
      </c>
      <c r="T20" s="507">
        <f t="shared" si="7"/>
        <v>0</v>
      </c>
      <c r="U20" s="507">
        <f t="shared" si="7"/>
        <v>0</v>
      </c>
      <c r="V20" s="507">
        <f t="shared" si="7"/>
        <v>0</v>
      </c>
      <c r="W20" s="507">
        <f t="shared" si="7"/>
        <v>0</v>
      </c>
      <c r="X20" s="507">
        <f t="shared" si="7"/>
        <v>0</v>
      </c>
      <c r="Y20" s="507">
        <f t="shared" si="7"/>
        <v>0</v>
      </c>
      <c r="Z20" s="507">
        <f t="shared" si="7"/>
        <v>0</v>
      </c>
      <c r="AA20" s="507">
        <f t="shared" si="7"/>
        <v>0</v>
      </c>
      <c r="AB20" s="507">
        <f t="shared" si="7"/>
        <v>0</v>
      </c>
      <c r="AC20" s="507">
        <f t="shared" si="7"/>
        <v>0</v>
      </c>
      <c r="AD20" s="507">
        <f t="shared" si="7"/>
        <v>0</v>
      </c>
      <c r="AE20" s="507">
        <f t="shared" si="7"/>
        <v>0</v>
      </c>
      <c r="AF20" s="507">
        <f t="shared" si="7"/>
        <v>0</v>
      </c>
      <c r="AG20" s="507">
        <f t="shared" si="7"/>
        <v>0</v>
      </c>
      <c r="AH20" s="507">
        <f t="shared" si="7"/>
        <v>0</v>
      </c>
      <c r="AI20" s="507">
        <f t="shared" si="7"/>
        <v>0</v>
      </c>
      <c r="AJ20" s="507">
        <f t="shared" si="7"/>
        <v>0</v>
      </c>
    </row>
    <row r="21" spans="2:36" s="44" customFormat="1" ht="15" customHeight="1">
      <c r="B21" s="546" t="s">
        <v>460</v>
      </c>
      <c r="C21" s="548">
        <f>DATE(Paramétres!$L$20,4,1)</f>
        <v>43556</v>
      </c>
      <c r="D21" s="548">
        <f>DATE(Paramétres!$L$20,4,30)</f>
        <v>43585</v>
      </c>
      <c r="E21" s="543">
        <f>IF(ISERROR(GETPIVOTDATA("N°",'TDC Nb Tranningg'!$A$3,"Mois",4)),0,GETPIVOTDATA("N°",'TDC Nb Tranningg'!$A$3,"Mois",4))</f>
        <v>0</v>
      </c>
      <c r="F21" s="409" t="s">
        <v>679</v>
      </c>
      <c r="G21" s="410">
        <f>COUNTIFS(TabVictoire[J1],"1",TabVictoire[Date],"&gt;="&amp;C21,TabVictoire[Date],"&lt;="&amp;D21)</f>
        <v>0</v>
      </c>
      <c r="H21" s="410">
        <f>COUNTIFS(TabVictoire[Date],"1",TabVictoire[Date],"&gt;="&amp;C21,TabVictoire[Date],"&lt;="&amp;D21)</f>
        <v>0</v>
      </c>
      <c r="I21" s="410">
        <f>COUNTIFS(TabVictoire[J3],"1",TabVictoire[Date],"&gt;="&amp;C21,TabVictoire[Date],"&lt;="&amp;D21)</f>
        <v>0</v>
      </c>
      <c r="J21" s="410">
        <f>COUNTIFS(TabVictoire[J4],"1",TabVictoire[Date],"&gt;="&amp;C21,TabVictoire[Date],"&lt;="&amp;D21)</f>
        <v>0</v>
      </c>
      <c r="K21" s="410">
        <f>COUNTIFS(TabVictoire[J5],"1",TabVictoire[Date],"&gt;="&amp;C21,TabVictoire[Date],"&lt;="&amp;D21)</f>
        <v>0</v>
      </c>
      <c r="L21" s="410">
        <f>COUNTIFS(TabVictoire[J6],"1",TabVictoire[Date],"&gt;="&amp;C21,TabVictoire[Date],"&lt;="&amp;D21)</f>
        <v>0</v>
      </c>
      <c r="M21" s="410">
        <f>COUNTIFS(TabVictoire[J7],"1",TabVictoire[Date],"&gt;="&amp;C21,TabVictoire[Date],"&lt;="&amp;D21)</f>
        <v>0</v>
      </c>
      <c r="N21" s="410">
        <f>COUNTIFS(TabVictoire[J8],"1",TabVictoire[Date],"&gt;="&amp;C21,TabVictoire[Date],"&lt;="&amp;D21)</f>
        <v>0</v>
      </c>
      <c r="O21" s="410">
        <f>COUNTIFS(TabVictoire[J9],"1",TabVictoire[Date],"&gt;="&amp;C21,TabVictoire[Date],"&lt;="&amp;D21)</f>
        <v>0</v>
      </c>
      <c r="P21" s="410">
        <f>COUNTIFS(TabVictoire[J10],"1",TabVictoire[Date],"&gt;="&amp;C21,TabVictoire[Date],"&lt;="&amp;D21)</f>
        <v>0</v>
      </c>
      <c r="Q21" s="410">
        <f>COUNTIFS(TabVictoire[J11],"1",TabVictoire[Date],"&gt;="&amp;C21,TabVictoire[Date],"&lt;="&amp;D21)</f>
        <v>0</v>
      </c>
      <c r="R21" s="410">
        <f>COUNTIFS(TabVictoire[J12],"1",TabVictoire[Date],"&gt;="&amp;C21,TabVictoire[Date],"&lt;="&amp;D21)</f>
        <v>0</v>
      </c>
      <c r="S21" s="410">
        <f>COUNTIFS(TabVictoire[J13],"1",TabVictoire[Date],"&gt;="&amp;C21,TabVictoire[Date],"&lt;="&amp;D21)</f>
        <v>0</v>
      </c>
      <c r="T21" s="410">
        <f>COUNTIFS(TabVictoire[J14],"1",TabVictoire[Date],"&gt;="&amp;C21,TabVictoire[Date],"&lt;="&amp;D21)</f>
        <v>0</v>
      </c>
      <c r="U21" s="410">
        <f>COUNTIFS(TabVictoire[J15],"1",TabVictoire[Date],"&gt;="&amp;C21,TabVictoire[Date],"&lt;="&amp;D21)</f>
        <v>0</v>
      </c>
      <c r="V21" s="410">
        <f>COUNTIFS(TabVictoire[J16],"1",TabVictoire[Date],"&gt;="&amp;C21,TabVictoire[Date],"&lt;="&amp;D21)</f>
        <v>0</v>
      </c>
      <c r="W21" s="410">
        <f>COUNTIFS(TabVictoire[J17],"1",TabVictoire[Date],"&gt;="&amp;C21,TabVictoire[Date],"&lt;="&amp;D21)</f>
        <v>0</v>
      </c>
      <c r="X21" s="410">
        <f>COUNTIFS(TabVictoire[J18],"1",TabVictoire[Date],"&gt;="&amp;C21,TabVictoire[Date],"&lt;="&amp;D21)</f>
        <v>0</v>
      </c>
      <c r="Y21" s="410">
        <f>COUNTIFS(TabVictoire[J19],"1",TabVictoire[Date],"&gt;="&amp;C21,TabVictoire[Date],"&lt;="&amp;D21)</f>
        <v>0</v>
      </c>
      <c r="Z21" s="410">
        <f>COUNTIFS(TabVictoire[J20],"1",TabVictoire[Date],"&gt;="&amp;C21,TabVictoire[Date],"&lt;="&amp;D21)</f>
        <v>0</v>
      </c>
      <c r="AA21" s="410">
        <f>COUNTIFS(TabVictoire[J21],"1",TabVictoire[Date],"&gt;="&amp;C21,TabVictoire[Date],"&lt;="&amp;D21)</f>
        <v>0</v>
      </c>
      <c r="AB21" s="410">
        <f>COUNTIFS(TabVictoire[J22],"1",TabVictoire[Date],"&gt;="&amp;C21,TabVictoire[Date],"&lt;="&amp;D21)</f>
        <v>0</v>
      </c>
      <c r="AC21" s="410">
        <f>COUNTIFS(TabVictoire[J23],"1",TabVictoire[Date],"&gt;="&amp;C21,TabVictoire[Date],"&lt;="&amp;D21)</f>
        <v>0</v>
      </c>
      <c r="AD21" s="410">
        <f>COUNTIFS(TabVictoire[J24],"1",TabVictoire[Date],"&gt;="&amp;C21,TabVictoire[Date],"&lt;="&amp;D21)</f>
        <v>0</v>
      </c>
      <c r="AE21" s="410">
        <f>COUNTIFS(TabVictoire[J25],"1",TabVictoire[Date],"&gt;="&amp;C21,TabVictoire[Date],"&lt;="&amp;D21)</f>
        <v>0</v>
      </c>
      <c r="AF21" s="410">
        <f>COUNTIFS(TabVictoire[J26],"1",TabVictoire[Date],"&gt;="&amp;C21,TabVictoire[Date],"&lt;="&amp;D21)</f>
        <v>0</v>
      </c>
      <c r="AG21" s="410">
        <f>COUNTIFS(TabVictoire[J27],"1",TabVictoire[Date],"&gt;="&amp;C21,TabVictoire[Date],"&lt;="&amp;D21)</f>
        <v>0</v>
      </c>
      <c r="AH21" s="410">
        <f>COUNTIFS(TabVictoire[J28],"1",TabVictoire[Date],"&gt;="&amp;C21,TabVictoire[Date],"&lt;="&amp;D21)</f>
        <v>0</v>
      </c>
      <c r="AI21" s="410">
        <f>COUNTIFS(TabVictoire[J29],"1",TabVictoire[Date],"&gt;="&amp;C21,TabVictoire[Date],"&lt;="&amp;D21)</f>
        <v>0</v>
      </c>
      <c r="AJ21" s="410">
        <f>COUNTIFS(TabVictoire[J30],"1",TabVictoire[Date],"&gt;="&amp;C21,TabVictoire[Date],"&lt;="&amp;D21)</f>
        <v>0</v>
      </c>
    </row>
    <row r="22" spans="2:36" s="44" customFormat="1" ht="15" customHeight="1">
      <c r="B22" s="546"/>
      <c r="C22" s="548"/>
      <c r="D22" s="548"/>
      <c r="E22" s="544"/>
      <c r="F22" s="403" t="s">
        <v>680</v>
      </c>
      <c r="G22" s="508">
        <f>IF(G21&lt;&gt;0,G21/$E$21,0)</f>
        <v>0</v>
      </c>
      <c r="H22" s="508">
        <f t="shared" ref="H22:AJ22" si="8">IF(H21&lt;&gt;0,H21/$E$21,0)</f>
        <v>0</v>
      </c>
      <c r="I22" s="508">
        <f t="shared" si="8"/>
        <v>0</v>
      </c>
      <c r="J22" s="508">
        <f t="shared" si="8"/>
        <v>0</v>
      </c>
      <c r="K22" s="508">
        <f t="shared" si="8"/>
        <v>0</v>
      </c>
      <c r="L22" s="508">
        <f t="shared" si="8"/>
        <v>0</v>
      </c>
      <c r="M22" s="508">
        <f t="shared" si="8"/>
        <v>0</v>
      </c>
      <c r="N22" s="508">
        <f t="shared" si="8"/>
        <v>0</v>
      </c>
      <c r="O22" s="508">
        <f t="shared" si="8"/>
        <v>0</v>
      </c>
      <c r="P22" s="508">
        <f t="shared" si="8"/>
        <v>0</v>
      </c>
      <c r="Q22" s="508">
        <f t="shared" si="8"/>
        <v>0</v>
      </c>
      <c r="R22" s="508">
        <f t="shared" si="8"/>
        <v>0</v>
      </c>
      <c r="S22" s="508">
        <f t="shared" si="8"/>
        <v>0</v>
      </c>
      <c r="T22" s="508">
        <f t="shared" si="8"/>
        <v>0</v>
      </c>
      <c r="U22" s="508">
        <f t="shared" si="8"/>
        <v>0</v>
      </c>
      <c r="V22" s="508">
        <f t="shared" si="8"/>
        <v>0</v>
      </c>
      <c r="W22" s="508">
        <f t="shared" si="8"/>
        <v>0</v>
      </c>
      <c r="X22" s="508">
        <f t="shared" si="8"/>
        <v>0</v>
      </c>
      <c r="Y22" s="508">
        <f t="shared" si="8"/>
        <v>0</v>
      </c>
      <c r="Z22" s="508">
        <f t="shared" si="8"/>
        <v>0</v>
      </c>
      <c r="AA22" s="508">
        <f t="shared" si="8"/>
        <v>0</v>
      </c>
      <c r="AB22" s="508">
        <f t="shared" si="8"/>
        <v>0</v>
      </c>
      <c r="AC22" s="508">
        <f t="shared" si="8"/>
        <v>0</v>
      </c>
      <c r="AD22" s="508">
        <f t="shared" si="8"/>
        <v>0</v>
      </c>
      <c r="AE22" s="508">
        <f t="shared" si="8"/>
        <v>0</v>
      </c>
      <c r="AF22" s="508">
        <f t="shared" si="8"/>
        <v>0</v>
      </c>
      <c r="AG22" s="508">
        <f t="shared" si="8"/>
        <v>0</v>
      </c>
      <c r="AH22" s="508">
        <f t="shared" si="8"/>
        <v>0</v>
      </c>
      <c r="AI22" s="508">
        <f t="shared" si="8"/>
        <v>0</v>
      </c>
      <c r="AJ22" s="508">
        <f t="shared" si="8"/>
        <v>0</v>
      </c>
    </row>
    <row r="23" spans="2:36" s="44" customFormat="1" ht="15" customHeight="1">
      <c r="B23" s="549" t="s">
        <v>461</v>
      </c>
      <c r="C23" s="550">
        <f>DATE(Paramétres!$L$20,5,1)</f>
        <v>43586</v>
      </c>
      <c r="D23" s="550">
        <f>DATE(Paramétres!$L$20,5,31)</f>
        <v>43616</v>
      </c>
      <c r="E23" s="543">
        <f>IF(ISERROR(GETPIVOTDATA("N°",'TDC Nb Tranningg'!$A$3,"Mois",5)),0,GETPIVOTDATA("N°",'TDC Nb Tranningg'!$A$3,"Mois",5))</f>
        <v>0</v>
      </c>
      <c r="F23" s="405" t="s">
        <v>679</v>
      </c>
      <c r="G23" s="506">
        <f>COUNTIFS(TabVictoire[J1],"1",TabVictoire[Date],"&gt;="&amp;C23,TabVictoire[Date],"&lt;="&amp;D23)</f>
        <v>0</v>
      </c>
      <c r="H23" s="506">
        <f>COUNTIFS(TabVictoire[Date],"1",TabVictoire[Date],"&gt;="&amp;C23,TabVictoire[Date],"&lt;="&amp;D23)</f>
        <v>0</v>
      </c>
      <c r="I23" s="506">
        <f>COUNTIFS(TabVictoire[J3],"1",TabVictoire[Date],"&gt;="&amp;C23,TabVictoire[Date],"&lt;="&amp;D23)</f>
        <v>0</v>
      </c>
      <c r="J23" s="506">
        <f>COUNTIFS(TabVictoire[J4],"1",TabVictoire[Date],"&gt;="&amp;C23,TabVictoire[Date],"&lt;="&amp;D23)</f>
        <v>0</v>
      </c>
      <c r="K23" s="506">
        <f>COUNTIFS(TabVictoire[J5],"1",TabVictoire[Date],"&gt;="&amp;C23,TabVictoire[Date],"&lt;="&amp;D23)</f>
        <v>0</v>
      </c>
      <c r="L23" s="506">
        <f>COUNTIFS(TabVictoire[J6],"1",TabVictoire[Date],"&gt;="&amp;C23,TabVictoire[Date],"&lt;="&amp;D23)</f>
        <v>0</v>
      </c>
      <c r="M23" s="506">
        <f>COUNTIFS(TabVictoire[J7],"1",TabVictoire[Date],"&gt;="&amp;C23,TabVictoire[Date],"&lt;="&amp;D23)</f>
        <v>0</v>
      </c>
      <c r="N23" s="506">
        <f>COUNTIFS(TabVictoire[J8],"1",TabVictoire[Date],"&gt;="&amp;C23,TabVictoire[Date],"&lt;="&amp;D23)</f>
        <v>0</v>
      </c>
      <c r="O23" s="506">
        <f>COUNTIFS(TabVictoire[J9],"1",TabVictoire[Date],"&gt;="&amp;C23,TabVictoire[Date],"&lt;="&amp;D23)</f>
        <v>0</v>
      </c>
      <c r="P23" s="506">
        <f>COUNTIFS(TabVictoire[J10],"1",TabVictoire[Date],"&gt;="&amp;C23,TabVictoire[Date],"&lt;="&amp;D23)</f>
        <v>0</v>
      </c>
      <c r="Q23" s="506">
        <f>COUNTIFS(TabVictoire[J11],"1",TabVictoire[Date],"&gt;="&amp;C23,TabVictoire[Date],"&lt;="&amp;D23)</f>
        <v>0</v>
      </c>
      <c r="R23" s="506">
        <f>COUNTIFS(TabVictoire[J12],"1",TabVictoire[Date],"&gt;="&amp;C23,TabVictoire[Date],"&lt;="&amp;D23)</f>
        <v>0</v>
      </c>
      <c r="S23" s="506">
        <f>COUNTIFS(TabVictoire[J13],"1",TabVictoire[Date],"&gt;="&amp;C23,TabVictoire[Date],"&lt;="&amp;D23)</f>
        <v>0</v>
      </c>
      <c r="T23" s="506">
        <f>COUNTIFS(TabVictoire[J14],"1",TabVictoire[Date],"&gt;="&amp;C23,TabVictoire[Date],"&lt;="&amp;D23)</f>
        <v>0</v>
      </c>
      <c r="U23" s="506">
        <f>COUNTIFS(TabVictoire[J15],"1",TabVictoire[Date],"&gt;="&amp;C23,TabVictoire[Date],"&lt;="&amp;D23)</f>
        <v>0</v>
      </c>
      <c r="V23" s="506">
        <f>COUNTIFS(TabVictoire[J16],"1",TabVictoire[Date],"&gt;="&amp;C23,TabVictoire[Date],"&lt;="&amp;D23)</f>
        <v>0</v>
      </c>
      <c r="W23" s="506">
        <f>COUNTIFS(TabVictoire[J17],"1",TabVictoire[Date],"&gt;="&amp;C23,TabVictoire[Date],"&lt;="&amp;D23)</f>
        <v>0</v>
      </c>
      <c r="X23" s="506">
        <f>COUNTIFS(TabVictoire[J18],"1",TabVictoire[Date],"&gt;="&amp;C23,TabVictoire[Date],"&lt;="&amp;D23)</f>
        <v>0</v>
      </c>
      <c r="Y23" s="506">
        <f>COUNTIFS(TabVictoire[J19],"1",TabVictoire[Date],"&gt;="&amp;C23,TabVictoire[Date],"&lt;="&amp;D23)</f>
        <v>0</v>
      </c>
      <c r="Z23" s="506">
        <f>COUNTIFS(TabVictoire[J20],"1",TabVictoire[Date],"&gt;="&amp;C23,TabVictoire[Date],"&lt;="&amp;D23)</f>
        <v>0</v>
      </c>
      <c r="AA23" s="506">
        <f>COUNTIFS(TabVictoire[J21],"1",TabVictoire[Date],"&gt;="&amp;C23,TabVictoire[Date],"&lt;="&amp;D23)</f>
        <v>0</v>
      </c>
      <c r="AB23" s="506">
        <f>COUNTIFS(TabVictoire[J22],"1",TabVictoire[Date],"&gt;="&amp;C23,TabVictoire[Date],"&lt;="&amp;D23)</f>
        <v>0</v>
      </c>
      <c r="AC23" s="506">
        <f>COUNTIFS(TabVictoire[J23],"1",TabVictoire[Date],"&gt;="&amp;C23,TabVictoire[Date],"&lt;="&amp;D23)</f>
        <v>0</v>
      </c>
      <c r="AD23" s="506">
        <f>COUNTIFS(TabVictoire[J24],"1",TabVictoire[Date],"&gt;="&amp;C23,TabVictoire[Date],"&lt;="&amp;D23)</f>
        <v>0</v>
      </c>
      <c r="AE23" s="506">
        <f>COUNTIFS(TabVictoire[J25],"1",TabVictoire[Date],"&gt;="&amp;C23,TabVictoire[Date],"&lt;="&amp;D23)</f>
        <v>0</v>
      </c>
      <c r="AF23" s="506">
        <f>COUNTIFS(TabVictoire[J26],"1",TabVictoire[Date],"&gt;="&amp;C23,TabVictoire[Date],"&lt;="&amp;D23)</f>
        <v>0</v>
      </c>
      <c r="AG23" s="506">
        <f>COUNTIFS(TabVictoire[J27],"1",TabVictoire[Date],"&gt;="&amp;C23,TabVictoire[Date],"&lt;="&amp;D23)</f>
        <v>0</v>
      </c>
      <c r="AH23" s="506">
        <f>COUNTIFS(TabVictoire[J28],"1",TabVictoire[Date],"&gt;="&amp;C23,TabVictoire[Date],"&lt;="&amp;D23)</f>
        <v>0</v>
      </c>
      <c r="AI23" s="506">
        <f>COUNTIFS(TabVictoire[J29],"1",TabVictoire[Date],"&gt;="&amp;C23,TabVictoire[Date],"&lt;="&amp;D23)</f>
        <v>0</v>
      </c>
      <c r="AJ23" s="506">
        <f>COUNTIFS(TabVictoire[J30],"1",TabVictoire[Date],"&gt;="&amp;C23,TabVictoire[Date],"&lt;="&amp;D23)</f>
        <v>0</v>
      </c>
    </row>
    <row r="24" spans="2:36" s="44" customFormat="1" ht="15" customHeight="1">
      <c r="B24" s="549"/>
      <c r="C24" s="550"/>
      <c r="D24" s="550"/>
      <c r="E24" s="544"/>
      <c r="F24" s="405" t="s">
        <v>680</v>
      </c>
      <c r="G24" s="507">
        <f>IF(G23&lt;&gt;0,G23/$E$23,0)</f>
        <v>0</v>
      </c>
      <c r="H24" s="507">
        <f t="shared" ref="H24:AJ24" si="9">IF(H23&lt;&gt;0,H23/$E$23,0)</f>
        <v>0</v>
      </c>
      <c r="I24" s="507">
        <f t="shared" si="9"/>
        <v>0</v>
      </c>
      <c r="J24" s="507">
        <f t="shared" si="9"/>
        <v>0</v>
      </c>
      <c r="K24" s="507">
        <f t="shared" si="9"/>
        <v>0</v>
      </c>
      <c r="L24" s="507">
        <f t="shared" si="9"/>
        <v>0</v>
      </c>
      <c r="M24" s="507">
        <f t="shared" si="9"/>
        <v>0</v>
      </c>
      <c r="N24" s="507">
        <f t="shared" si="9"/>
        <v>0</v>
      </c>
      <c r="O24" s="507">
        <f t="shared" si="9"/>
        <v>0</v>
      </c>
      <c r="P24" s="507">
        <f t="shared" si="9"/>
        <v>0</v>
      </c>
      <c r="Q24" s="507">
        <f t="shared" si="9"/>
        <v>0</v>
      </c>
      <c r="R24" s="507">
        <f t="shared" si="9"/>
        <v>0</v>
      </c>
      <c r="S24" s="507">
        <f t="shared" si="9"/>
        <v>0</v>
      </c>
      <c r="T24" s="507">
        <f t="shared" si="9"/>
        <v>0</v>
      </c>
      <c r="U24" s="507">
        <f t="shared" si="9"/>
        <v>0</v>
      </c>
      <c r="V24" s="507">
        <f t="shared" si="9"/>
        <v>0</v>
      </c>
      <c r="W24" s="507">
        <f t="shared" si="9"/>
        <v>0</v>
      </c>
      <c r="X24" s="507">
        <f t="shared" si="9"/>
        <v>0</v>
      </c>
      <c r="Y24" s="507">
        <f t="shared" si="9"/>
        <v>0</v>
      </c>
      <c r="Z24" s="507">
        <f t="shared" si="9"/>
        <v>0</v>
      </c>
      <c r="AA24" s="507">
        <f t="shared" si="9"/>
        <v>0</v>
      </c>
      <c r="AB24" s="507">
        <f t="shared" si="9"/>
        <v>0</v>
      </c>
      <c r="AC24" s="507">
        <f t="shared" si="9"/>
        <v>0</v>
      </c>
      <c r="AD24" s="507">
        <f t="shared" si="9"/>
        <v>0</v>
      </c>
      <c r="AE24" s="507">
        <f t="shared" si="9"/>
        <v>0</v>
      </c>
      <c r="AF24" s="507">
        <f t="shared" si="9"/>
        <v>0</v>
      </c>
      <c r="AG24" s="507">
        <f t="shared" si="9"/>
        <v>0</v>
      </c>
      <c r="AH24" s="507">
        <f t="shared" si="9"/>
        <v>0</v>
      </c>
      <c r="AI24" s="507">
        <f t="shared" si="9"/>
        <v>0</v>
      </c>
      <c r="AJ24" s="507">
        <f t="shared" si="9"/>
        <v>0</v>
      </c>
    </row>
    <row r="25" spans="2:36" s="44" customFormat="1" ht="15" customHeight="1">
      <c r="B25" s="546" t="s">
        <v>486</v>
      </c>
      <c r="C25" s="546" t="s">
        <v>569</v>
      </c>
      <c r="D25" s="546" t="s">
        <v>452</v>
      </c>
      <c r="E25" s="544">
        <f>IF(ISERROR(GETPIVOTDATA("N°",'TDC Nb Tranningg'!$A$3,"Mois",6)),0,GETPIVOTDATA("N°",'TDC Nb Tranningg'!$A$3,"Mois",6))</f>
        <v>0</v>
      </c>
      <c r="F25" s="409" t="s">
        <v>679</v>
      </c>
      <c r="G25" s="410">
        <f>COUNTIFS(TabVictoire[J1],"1",TabVictoire[Date],"&gt;="&amp;C25,TabVictoire[Date],"&lt;="&amp;D25)</f>
        <v>0</v>
      </c>
      <c r="H25" s="410">
        <f>COUNTIFS(TabVictoire[Date],"1",TabVictoire[Date],"&gt;="&amp;C25,TabVictoire[Date],"&lt;="&amp;D25)</f>
        <v>0</v>
      </c>
      <c r="I25" s="410">
        <f>COUNTIFS(TabVictoire[J3],"1",TabVictoire[Date],"&gt;="&amp;C25,TabVictoire[Date],"&lt;="&amp;D25)</f>
        <v>0</v>
      </c>
      <c r="J25" s="410">
        <f>COUNTIFS(TabVictoire[J4],"1",TabVictoire[Date],"&gt;="&amp;C25,TabVictoire[Date],"&lt;="&amp;D25)</f>
        <v>0</v>
      </c>
      <c r="K25" s="410">
        <f>COUNTIFS(TabVictoire[J5],"1",TabVictoire[Date],"&gt;="&amp;C25,TabVictoire[Date],"&lt;="&amp;D25)</f>
        <v>0</v>
      </c>
      <c r="L25" s="410">
        <f>COUNTIFS(TabVictoire[J6],"1",TabVictoire[Date],"&gt;="&amp;C25,TabVictoire[Date],"&lt;="&amp;D25)</f>
        <v>0</v>
      </c>
      <c r="M25" s="410">
        <f>COUNTIFS(TabVictoire[J7],"1",TabVictoire[Date],"&gt;="&amp;C25,TabVictoire[Date],"&lt;="&amp;D25)</f>
        <v>0</v>
      </c>
      <c r="N25" s="410">
        <f>COUNTIFS(TabVictoire[J8],"1",TabVictoire[Date],"&gt;="&amp;C25,TabVictoire[Date],"&lt;="&amp;D25)</f>
        <v>0</v>
      </c>
      <c r="O25" s="410">
        <f>COUNTIFS(TabVictoire[J9],"1",TabVictoire[Date],"&gt;="&amp;C25,TabVictoire[Date],"&lt;="&amp;D25)</f>
        <v>0</v>
      </c>
      <c r="P25" s="410">
        <f>COUNTIFS(TabVictoire[J10],"1",TabVictoire[Date],"&gt;="&amp;C25,TabVictoire[Date],"&lt;="&amp;D25)</f>
        <v>0</v>
      </c>
      <c r="Q25" s="410">
        <f>COUNTIFS(TabVictoire[J11],"1",TabVictoire[Date],"&gt;="&amp;C25,TabVictoire[Date],"&lt;="&amp;D25)</f>
        <v>0</v>
      </c>
      <c r="R25" s="410">
        <f>COUNTIFS(TabVictoire[J12],"1",TabVictoire[Date],"&gt;="&amp;C25,TabVictoire[Date],"&lt;="&amp;D25)</f>
        <v>0</v>
      </c>
      <c r="S25" s="410">
        <f>COUNTIFS(TabVictoire[J13],"1",TabVictoire[Date],"&gt;="&amp;C25,TabVictoire[Date],"&lt;="&amp;D25)</f>
        <v>0</v>
      </c>
      <c r="T25" s="410">
        <f>COUNTIFS(TabVictoire[J14],"1",TabVictoire[Date],"&gt;="&amp;C25,TabVictoire[Date],"&lt;="&amp;D25)</f>
        <v>0</v>
      </c>
      <c r="U25" s="410">
        <f>COUNTIFS(TabVictoire[J15],"1",TabVictoire[Date],"&gt;="&amp;C25,TabVictoire[Date],"&lt;="&amp;D25)</f>
        <v>0</v>
      </c>
      <c r="V25" s="410">
        <f>COUNTIFS(TabVictoire[J16],"1",TabVictoire[Date],"&gt;="&amp;C25,TabVictoire[Date],"&lt;="&amp;D25)</f>
        <v>0</v>
      </c>
      <c r="W25" s="410">
        <f>COUNTIFS(TabVictoire[J17],"1",TabVictoire[Date],"&gt;="&amp;C25,TabVictoire[Date],"&lt;="&amp;D25)</f>
        <v>0</v>
      </c>
      <c r="X25" s="410">
        <f>COUNTIFS(TabVictoire[J18],"1",TabVictoire[Date],"&gt;="&amp;C25,TabVictoire[Date],"&lt;="&amp;D25)</f>
        <v>0</v>
      </c>
      <c r="Y25" s="410">
        <f>COUNTIFS(TabVictoire[J19],"1",TabVictoire[Date],"&gt;="&amp;C25,TabVictoire[Date],"&lt;="&amp;D25)</f>
        <v>0</v>
      </c>
      <c r="Z25" s="410">
        <f>COUNTIFS(TabVictoire[J20],"1",TabVictoire[Date],"&gt;="&amp;C25,TabVictoire[Date],"&lt;="&amp;D25)</f>
        <v>0</v>
      </c>
      <c r="AA25" s="410">
        <f>COUNTIFS(TabVictoire[J21],"1",TabVictoire[Date],"&gt;="&amp;C25,TabVictoire[Date],"&lt;="&amp;D25)</f>
        <v>0</v>
      </c>
      <c r="AB25" s="410">
        <f>COUNTIFS(TabVictoire[J22],"1",TabVictoire[Date],"&gt;="&amp;C25,TabVictoire[Date],"&lt;="&amp;D25)</f>
        <v>0</v>
      </c>
      <c r="AC25" s="410">
        <f>COUNTIFS(TabVictoire[J23],"1",TabVictoire[Date],"&gt;="&amp;C25,TabVictoire[Date],"&lt;="&amp;D25)</f>
        <v>0</v>
      </c>
      <c r="AD25" s="410">
        <f>COUNTIFS(TabVictoire[J24],"1",TabVictoire[Date],"&gt;="&amp;C25,TabVictoire[Date],"&lt;="&amp;D25)</f>
        <v>0</v>
      </c>
      <c r="AE25" s="410">
        <f>COUNTIFS(TabVictoire[J25],"1",TabVictoire[Date],"&gt;="&amp;C25,TabVictoire[Date],"&lt;="&amp;D25)</f>
        <v>0</v>
      </c>
      <c r="AF25" s="410">
        <f>COUNTIFS(TabVictoire[J26],"1",TabVictoire[Date],"&gt;="&amp;C25,TabVictoire[Date],"&lt;="&amp;D25)</f>
        <v>0</v>
      </c>
      <c r="AG25" s="410">
        <f>COUNTIFS(TabVictoire[J27],"1",TabVictoire[Date],"&gt;="&amp;C25,TabVictoire[Date],"&lt;="&amp;D25)</f>
        <v>0</v>
      </c>
      <c r="AH25" s="410">
        <f>COUNTIFS(TabVictoire[J28],"1",TabVictoire[Date],"&gt;="&amp;C25,TabVictoire[Date],"&lt;="&amp;D25)</f>
        <v>0</v>
      </c>
      <c r="AI25" s="410">
        <f>COUNTIFS(TabVictoire[J29],"1",TabVictoire[Date],"&gt;="&amp;C25,TabVictoire[Date],"&lt;="&amp;D25)</f>
        <v>0</v>
      </c>
      <c r="AJ25" s="410">
        <f>COUNTIFS(TabVictoire[J30],"1",TabVictoire[Date],"&gt;="&amp;C25,TabVictoire[Date],"&lt;="&amp;D25)</f>
        <v>0</v>
      </c>
    </row>
    <row r="26" spans="2:36" s="44" customFormat="1" ht="15" customHeight="1">
      <c r="B26" s="546"/>
      <c r="C26" s="546"/>
      <c r="D26" s="546"/>
      <c r="E26" s="544"/>
      <c r="F26" s="403" t="s">
        <v>680</v>
      </c>
      <c r="G26" s="508">
        <f>IF(G25&lt;&gt;0,G25/$E$25,0)</f>
        <v>0</v>
      </c>
      <c r="H26" s="508">
        <f t="shared" ref="H26:AJ26" si="10">IF(H25&lt;&gt;0,H25/$E$25,0)</f>
        <v>0</v>
      </c>
      <c r="I26" s="508">
        <f t="shared" si="10"/>
        <v>0</v>
      </c>
      <c r="J26" s="508">
        <f t="shared" si="10"/>
        <v>0</v>
      </c>
      <c r="K26" s="508">
        <f t="shared" si="10"/>
        <v>0</v>
      </c>
      <c r="L26" s="508">
        <f t="shared" si="10"/>
        <v>0</v>
      </c>
      <c r="M26" s="508">
        <f t="shared" si="10"/>
        <v>0</v>
      </c>
      <c r="N26" s="508">
        <f t="shared" si="10"/>
        <v>0</v>
      </c>
      <c r="O26" s="508">
        <f t="shared" si="10"/>
        <v>0</v>
      </c>
      <c r="P26" s="508">
        <f t="shared" si="10"/>
        <v>0</v>
      </c>
      <c r="Q26" s="508">
        <f t="shared" si="10"/>
        <v>0</v>
      </c>
      <c r="R26" s="508">
        <f t="shared" si="10"/>
        <v>0</v>
      </c>
      <c r="S26" s="508">
        <f t="shared" si="10"/>
        <v>0</v>
      </c>
      <c r="T26" s="508">
        <f t="shared" si="10"/>
        <v>0</v>
      </c>
      <c r="U26" s="508">
        <f t="shared" si="10"/>
        <v>0</v>
      </c>
      <c r="V26" s="508">
        <f t="shared" si="10"/>
        <v>0</v>
      </c>
      <c r="W26" s="508">
        <f t="shared" si="10"/>
        <v>0</v>
      </c>
      <c r="X26" s="508">
        <f t="shared" si="10"/>
        <v>0</v>
      </c>
      <c r="Y26" s="508">
        <f t="shared" si="10"/>
        <v>0</v>
      </c>
      <c r="Z26" s="508">
        <f t="shared" si="10"/>
        <v>0</v>
      </c>
      <c r="AA26" s="508">
        <f t="shared" si="10"/>
        <v>0</v>
      </c>
      <c r="AB26" s="508">
        <f t="shared" si="10"/>
        <v>0</v>
      </c>
      <c r="AC26" s="508">
        <f t="shared" si="10"/>
        <v>0</v>
      </c>
      <c r="AD26" s="508">
        <f t="shared" si="10"/>
        <v>0</v>
      </c>
      <c r="AE26" s="508">
        <f t="shared" si="10"/>
        <v>0</v>
      </c>
      <c r="AF26" s="508">
        <f t="shared" si="10"/>
        <v>0</v>
      </c>
      <c r="AG26" s="508">
        <f t="shared" si="10"/>
        <v>0</v>
      </c>
      <c r="AH26" s="508">
        <f t="shared" si="10"/>
        <v>0</v>
      </c>
      <c r="AI26" s="508">
        <f t="shared" si="10"/>
        <v>0</v>
      </c>
      <c r="AJ26" s="508">
        <f t="shared" si="10"/>
        <v>0</v>
      </c>
    </row>
  </sheetData>
  <mergeCells count="44">
    <mergeCell ref="B25:B26"/>
    <mergeCell ref="C25:C26"/>
    <mergeCell ref="D25:D26"/>
    <mergeCell ref="E25:E26"/>
    <mergeCell ref="B21:B22"/>
    <mergeCell ref="C21:C22"/>
    <mergeCell ref="D21:D22"/>
    <mergeCell ref="E21:E22"/>
    <mergeCell ref="B23:B24"/>
    <mergeCell ref="C23:C24"/>
    <mergeCell ref="D23:D24"/>
    <mergeCell ref="E23:E24"/>
    <mergeCell ref="B17:B18"/>
    <mergeCell ref="C17:C18"/>
    <mergeCell ref="D17:D18"/>
    <mergeCell ref="E17:E18"/>
    <mergeCell ref="B19:B20"/>
    <mergeCell ref="C19:C20"/>
    <mergeCell ref="D19:D20"/>
    <mergeCell ref="E19:E20"/>
    <mergeCell ref="B13:B14"/>
    <mergeCell ref="C13:C14"/>
    <mergeCell ref="D13:D14"/>
    <mergeCell ref="E13:E14"/>
    <mergeCell ref="B15:B16"/>
    <mergeCell ref="C15:C16"/>
    <mergeCell ref="D15:D16"/>
    <mergeCell ref="E15:E16"/>
    <mergeCell ref="B9:B10"/>
    <mergeCell ref="C9:C10"/>
    <mergeCell ref="D9:D10"/>
    <mergeCell ref="E9:E10"/>
    <mergeCell ref="B11:B12"/>
    <mergeCell ref="C11:C12"/>
    <mergeCell ref="D11:D12"/>
    <mergeCell ref="E11:E12"/>
    <mergeCell ref="B5:B6"/>
    <mergeCell ref="C5:C6"/>
    <mergeCell ref="D5:D6"/>
    <mergeCell ref="E5:E6"/>
    <mergeCell ref="B7:B8"/>
    <mergeCell ref="C7:C8"/>
    <mergeCell ref="D7:D8"/>
    <mergeCell ref="E7:E8"/>
  </mergeCells>
  <pageMargins left="0.7" right="0.7" top="0.75" bottom="0.75" header="0.3" footer="0.3"/>
  <ignoredErrors>
    <ignoredError sqref="G18:AJ18 G16:AJ16 G12:AJ12 G14:AJ14 G10:AJ10 G8:AJ8 G6:AJ6 G20:AJ20 G22:AJ22 G24:AJ24" formula="1"/>
  </ignoredErrors>
  <drawing r:id="rId1"/>
  <legacyDrawing r:id="rId2"/>
  <mc:AlternateContent xmlns:mc="http://schemas.openxmlformats.org/markup-compatibility/2006">
    <mc:Choice Requires="x14">
      <controls>
        <mc:AlternateContent xmlns:mc="http://schemas.openxmlformats.org/markup-compatibility/2006">
          <mc:Choice Requires="x14">
            <control shapeId="97281" r:id="rId3" name="Button 1">
              <controlPr defaultSize="0" print="0" autoFill="0" autoPict="0" macro="[0]!CloseOnglet">
                <anchor moveWithCells="1" sizeWithCells="1">
                  <from>
                    <xdr:col>21</xdr:col>
                    <xdr:colOff>571500</xdr:colOff>
                    <xdr:row>1</xdr:row>
                    <xdr:rowOff>0</xdr:rowOff>
                  </from>
                  <to>
                    <xdr:col>24</xdr:col>
                    <xdr:colOff>0</xdr:colOff>
                    <xdr:row>1</xdr:row>
                    <xdr:rowOff>381000</xdr:rowOff>
                  </to>
                </anchor>
              </controlPr>
            </control>
          </mc:Choice>
        </mc:AlternateContent>
      </controls>
    </mc:Choice>
  </mc:AlternateContent>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Feuil6">
    <tabColor theme="8"/>
  </sheetPr>
  <dimension ref="B2:AF142"/>
  <sheetViews>
    <sheetView showGridLines="0" workbookViewId="0">
      <pane ySplit="4" topLeftCell="A9" activePane="bottomLeft" state="frozen"/>
      <selection pane="bottomLeft" activeCell="C4" sqref="C4"/>
    </sheetView>
  </sheetViews>
  <sheetFormatPr baseColWidth="10" defaultRowHeight="12.75"/>
  <cols>
    <col min="1" max="1" width="3.140625" customWidth="1"/>
    <col min="2" max="2" width="13" customWidth="1"/>
  </cols>
  <sheetData>
    <row r="2" spans="2:32" ht="33" customHeight="1">
      <c r="B2" s="54" t="s">
        <v>79</v>
      </c>
    </row>
    <row r="4" spans="2:32" ht="27.95" customHeight="1">
      <c r="C4" s="30" t="str">
        <f ca="1">INDIRECT("'BDD - Joueurs'!B2")</f>
        <v>ADDA Matteo</v>
      </c>
      <c r="D4" s="30" t="str">
        <f ca="1">INDIRECT("'BDD - Joueurs'!B3")</f>
        <v>ALFONSO Joao</v>
      </c>
      <c r="E4" s="30" t="str">
        <f ca="1">INDIRECT("'BDD - Joueurs'!B4")</f>
        <v>BERDAH Matis</v>
      </c>
      <c r="F4" s="30" t="str">
        <f ca="1">INDIRECT("'BDD - Joueurs'!B5")</f>
        <v>CAMARA Bandiougou</v>
      </c>
      <c r="G4" s="30" t="str">
        <f ca="1">INDIRECT("'BDD - Joueurs'!B6")</f>
        <v>CAMARA Moussa</v>
      </c>
      <c r="H4" s="30" t="str">
        <f ca="1">INDIRECT("'BDD - Joueurs'!B7")</f>
        <v>CARREAU Ethan</v>
      </c>
      <c r="I4" s="30" t="str">
        <f ca="1">INDIRECT("'BDD - Joueurs'!B8")</f>
        <v>CHEROD Alexis</v>
      </c>
      <c r="J4" s="30" t="str">
        <f ca="1">INDIRECT("'BDD - Joueurs'!B9")</f>
        <v>DJEHICHE Ramzi</v>
      </c>
      <c r="K4" s="30" t="str">
        <f ca="1">INDIRECT("'BDD - Joueurs'!B10")</f>
        <v>DOSIERE Baptiste</v>
      </c>
      <c r="L4" s="30" t="str">
        <f ca="1">INDIRECT("'BDD - Joueurs'!B11")</f>
        <v>DUQUENOY Thomas</v>
      </c>
      <c r="M4" s="30" t="str">
        <f ca="1">INDIRECT("'BDD - Joueurs'!B12")</f>
        <v>KIPRE Jordan</v>
      </c>
      <c r="N4" s="30" t="str">
        <f ca="1">INDIRECT("'BDD - Joueurs'!B13")</f>
        <v>KONATE Mamadou</v>
      </c>
      <c r="O4" s="30" t="str">
        <f ca="1">INDIRECT("'BDD - Joueurs'!B14")</f>
        <v>LECOUFFE Hugo</v>
      </c>
      <c r="P4" s="30" t="str">
        <f ca="1">INDIRECT("'BDD - Joueurs'!B15")</f>
        <v>LEFRANC Nathan</v>
      </c>
      <c r="Q4" s="30" t="str">
        <f ca="1">INDIRECT("'BDD - Joueurs'!B16")</f>
        <v>MASSOUSSI Elie</v>
      </c>
      <c r="R4" s="30" t="str">
        <f ca="1">INDIRECT("'BDD - Joueurs'!B17")</f>
        <v>NGOUABI Yoann</v>
      </c>
      <c r="S4" s="30" t="str">
        <f ca="1">INDIRECT("'BDD - Joueurs'!B18")</f>
        <v>PLANET Mathis</v>
      </c>
      <c r="T4" s="30" t="str">
        <f ca="1">INDIRECT("'BDD - Joueurs'!B19")</f>
        <v>PRONNIER Nicolas</v>
      </c>
      <c r="U4" s="30" t="str">
        <f ca="1">INDIRECT("'BDD - Joueurs'!B20")</f>
        <v>STIOUET Reda</v>
      </c>
      <c r="V4" s="30" t="str">
        <f ca="1">INDIRECT("'BDD - Joueurs'!B21")</f>
        <v>ZERDEB Said</v>
      </c>
      <c r="W4" s="30" t="str">
        <f ca="1">INDIRECT("'BDD - Joueurs'!B22")</f>
        <v>OSSENI Farouk</v>
      </c>
      <c r="X4" s="30">
        <f ca="1">INDIRECT("'BDD - Joueurs'!B23")</f>
        <v>0</v>
      </c>
      <c r="Y4" s="30">
        <f ca="1">INDIRECT("'BDD - Joueurs'!B24")</f>
        <v>0</v>
      </c>
      <c r="Z4" s="30">
        <f ca="1">INDIRECT("'BDD - Joueurs'!B25")</f>
        <v>0</v>
      </c>
      <c r="AA4" s="30">
        <f ca="1">INDIRECT("'BDD - Joueurs'!B26")</f>
        <v>0</v>
      </c>
      <c r="AB4" s="30">
        <f ca="1">INDIRECT("'BDD - Joueurs'!B27")</f>
        <v>0</v>
      </c>
      <c r="AC4" s="30">
        <f ca="1">INDIRECT("'BDD - Joueurs'!B28")</f>
        <v>0</v>
      </c>
      <c r="AD4" s="30">
        <f ca="1">INDIRECT("'BDD - Joueurs'!B29")</f>
        <v>0</v>
      </c>
      <c r="AE4" s="30">
        <f ca="1">INDIRECT("'BDD - Joueurs'!B30")</f>
        <v>0</v>
      </c>
      <c r="AF4" s="30">
        <f ca="1">INDIRECT("'BDD - Joueurs'!B31")</f>
        <v>0</v>
      </c>
    </row>
    <row r="5" spans="2:32" s="56" customFormat="1" ht="27.95" hidden="1" customHeight="1">
      <c r="C5" s="57"/>
      <c r="D5" s="57"/>
      <c r="E5" s="57"/>
      <c r="F5" s="57"/>
      <c r="G5" s="57"/>
      <c r="H5" s="57"/>
      <c r="I5" s="57"/>
      <c r="J5" s="57"/>
      <c r="K5" s="57"/>
      <c r="L5" s="57"/>
      <c r="M5" s="57"/>
      <c r="N5" s="57"/>
      <c r="O5" s="57"/>
      <c r="P5" s="57"/>
      <c r="Q5" s="57"/>
      <c r="R5" s="57"/>
      <c r="S5" s="57"/>
      <c r="T5" s="57"/>
      <c r="U5" s="57"/>
      <c r="V5" s="57"/>
      <c r="W5" s="57"/>
      <c r="X5" s="57"/>
      <c r="Y5" s="57"/>
      <c r="Z5" s="57"/>
      <c r="AA5" s="57"/>
      <c r="AB5" s="57"/>
      <c r="AC5" s="57"/>
      <c r="AD5" s="57"/>
      <c r="AE5" s="57"/>
      <c r="AF5" s="57"/>
    </row>
    <row r="6" spans="2:32" s="56" customFormat="1" ht="27.95" hidden="1" customHeight="1">
      <c r="C6" s="57"/>
      <c r="D6" s="57"/>
      <c r="E6" s="57"/>
      <c r="F6" s="57"/>
      <c r="G6" s="57"/>
      <c r="H6" s="57"/>
      <c r="I6" s="57"/>
      <c r="J6" s="57"/>
      <c r="K6" s="57"/>
      <c r="L6" s="57"/>
      <c r="M6" s="57"/>
      <c r="N6" s="57"/>
      <c r="O6" s="57"/>
      <c r="P6" s="57"/>
      <c r="Q6" s="57"/>
      <c r="R6" s="57"/>
      <c r="S6" s="57"/>
      <c r="T6" s="57"/>
      <c r="U6" s="57"/>
      <c r="V6" s="57"/>
      <c r="W6" s="57"/>
      <c r="X6" s="57"/>
      <c r="Y6" s="57"/>
      <c r="Z6" s="57"/>
      <c r="AA6" s="57"/>
      <c r="AB6" s="57"/>
      <c r="AC6" s="57"/>
      <c r="AD6" s="57"/>
      <c r="AE6" s="57"/>
      <c r="AF6" s="57"/>
    </row>
    <row r="7" spans="2:32" s="56" customFormat="1" ht="27.95" hidden="1" customHeight="1">
      <c r="C7" s="57"/>
      <c r="D7" s="57"/>
      <c r="E7" s="57"/>
      <c r="F7" s="57"/>
      <c r="G7" s="57"/>
      <c r="H7" s="57"/>
      <c r="I7" s="57"/>
      <c r="J7" s="57"/>
      <c r="K7" s="57"/>
      <c r="L7" s="57"/>
      <c r="M7" s="57"/>
      <c r="N7" s="57"/>
      <c r="O7" s="57"/>
      <c r="P7" s="57"/>
      <c r="Q7" s="57"/>
      <c r="R7" s="57"/>
      <c r="S7" s="57"/>
      <c r="T7" s="57"/>
      <c r="U7" s="57"/>
      <c r="V7" s="57"/>
      <c r="W7" s="57"/>
      <c r="X7" s="57"/>
      <c r="Y7" s="57"/>
      <c r="Z7" s="57"/>
      <c r="AA7" s="57"/>
      <c r="AB7" s="57"/>
      <c r="AC7" s="57"/>
      <c r="AD7" s="57"/>
      <c r="AE7" s="57"/>
      <c r="AF7" s="57"/>
    </row>
    <row r="8" spans="2:32" s="56" customFormat="1" ht="27.95" hidden="1" customHeight="1">
      <c r="C8" s="57"/>
      <c r="D8" s="57"/>
      <c r="E8" s="57"/>
      <c r="F8" s="57"/>
      <c r="G8" s="57"/>
      <c r="H8" s="57"/>
      <c r="I8" s="57"/>
      <c r="J8" s="57"/>
      <c r="K8" s="57"/>
      <c r="L8" s="57"/>
      <c r="M8" s="57"/>
      <c r="N8" s="57"/>
      <c r="O8" s="57"/>
      <c r="P8" s="57"/>
      <c r="Q8" s="57"/>
      <c r="R8" s="57"/>
      <c r="S8" s="57"/>
      <c r="T8" s="57"/>
      <c r="U8" s="57"/>
      <c r="V8" s="57"/>
      <c r="W8" s="57"/>
      <c r="X8" s="57"/>
      <c r="Y8" s="57"/>
      <c r="Z8" s="57"/>
      <c r="AA8" s="57"/>
      <c r="AB8" s="57"/>
      <c r="AC8" s="57"/>
      <c r="AD8" s="57"/>
      <c r="AE8" s="57"/>
      <c r="AF8" s="57"/>
    </row>
    <row r="10" spans="2:32" ht="14.25">
      <c r="B10" s="58" t="s">
        <v>5</v>
      </c>
      <c r="C10" s="59" t="s">
        <v>68</v>
      </c>
      <c r="D10" s="61" t="s">
        <v>6</v>
      </c>
      <c r="E10" s="63" t="s">
        <v>8</v>
      </c>
      <c r="F10" s="66" t="s">
        <v>7</v>
      </c>
    </row>
    <row r="11" spans="2:32" ht="13.5">
      <c r="B11" s="29">
        <f>IF(INDEX(TabEntrainement[Seance],ROW()-10)&lt;&gt;0,INDEX(TabEntrainement[Seance],ROW()-10),"")</f>
        <v>43318</v>
      </c>
      <c r="C11" s="68">
        <f>INDEX(TabForme[Moyenne],ROW()-10)</f>
        <v>3.5555555555555554</v>
      </c>
      <c r="D11" s="69" t="str">
        <f>INDEX(TabPlaisir[Moyenne],ROW()-10)</f>
        <v/>
      </c>
      <c r="E11" s="70" t="str">
        <f>INDEX(TabPerfo[Moyenne],ROW()-10)</f>
        <v/>
      </c>
      <c r="F11" s="67">
        <f>INDEX(TabREP[Moyenne],ROW()-10)</f>
        <v>5.333333333333333</v>
      </c>
    </row>
    <row r="12" spans="2:32" ht="13.5">
      <c r="B12" s="29">
        <f>IF(INDEX(TabEntrainement[Seance],ROW()-10)&lt;&gt;0,INDEX(TabEntrainement[Seance],ROW()-10),"")</f>
        <v>43319</v>
      </c>
      <c r="C12" s="68">
        <f>INDEX(TabForme[Moyenne],ROW()-10)</f>
        <v>3.1111111111111112</v>
      </c>
      <c r="D12" s="69" t="str">
        <f>INDEX(TabPlaisir[Moyenne],ROW()-10)</f>
        <v/>
      </c>
      <c r="E12" s="70" t="str">
        <f>INDEX(TabPerfo[Moyenne],ROW()-10)</f>
        <v/>
      </c>
      <c r="F12" s="67">
        <f>INDEX(TabREP[Moyenne],ROW()-10)</f>
        <v>4.7777777777777777</v>
      </c>
    </row>
    <row r="13" spans="2:32" ht="13.5">
      <c r="B13" s="29">
        <f>IF(INDEX(TabEntrainement[Seance],ROW()-10)&lt;&gt;0,INDEX(TabEntrainement[Seance],ROW()-10),"")</f>
        <v>43321</v>
      </c>
      <c r="C13" s="68">
        <f>INDEX(TabForme[Moyenne],ROW()-10)</f>
        <v>3.8</v>
      </c>
      <c r="D13" s="69" t="str">
        <f>INDEX(TabPlaisir[Moyenne],ROW()-10)</f>
        <v/>
      </c>
      <c r="E13" s="70" t="str">
        <f>INDEX(TabPerfo[Moyenne],ROW()-10)</f>
        <v/>
      </c>
      <c r="F13" s="67">
        <f>INDEX(TabREP[Moyenne],ROW()-10)</f>
        <v>3.6363636363636362</v>
      </c>
    </row>
    <row r="14" spans="2:32" ht="13.5">
      <c r="B14" s="29">
        <f>IF(INDEX(TabEntrainement[Seance],ROW()-10)&lt;&gt;0,INDEX(TabEntrainement[Seance],ROW()-10),"")</f>
        <v>43322</v>
      </c>
      <c r="C14" s="68">
        <f>INDEX(TabForme[Moyenne],ROW()-10)</f>
        <v>2.8333333333333335</v>
      </c>
      <c r="D14" s="69" t="str">
        <f>INDEX(TabPlaisir[Moyenne],ROW()-10)</f>
        <v/>
      </c>
      <c r="E14" s="70" t="str">
        <f>INDEX(TabPerfo[Moyenne],ROW()-10)</f>
        <v/>
      </c>
      <c r="F14" s="67">
        <f>INDEX(TabREP[Moyenne],ROW()-10)</f>
        <v>5.166666666666667</v>
      </c>
    </row>
    <row r="15" spans="2:32" ht="13.5">
      <c r="B15" s="29">
        <f>IF(INDEX(TabEntrainement[Seance],ROW()-10)&lt;&gt;0,INDEX(TabEntrainement[Seance],ROW()-10),"")</f>
        <v>43325</v>
      </c>
      <c r="C15" s="68">
        <f>INDEX(TabForme[Moyenne],ROW()-10)</f>
        <v>3</v>
      </c>
      <c r="D15" s="69" t="str">
        <f>INDEX(TabPlaisir[Moyenne],ROW()-10)</f>
        <v/>
      </c>
      <c r="E15" s="70" t="str">
        <f>INDEX(TabPerfo[Moyenne],ROW()-10)</f>
        <v/>
      </c>
      <c r="F15" s="67">
        <f>INDEX(TabREP[Moyenne],ROW()-10)</f>
        <v>5.5454545454545459</v>
      </c>
    </row>
    <row r="16" spans="2:32" ht="13.5">
      <c r="B16" s="29">
        <f>IF(INDEX(TabEntrainement[Seance],ROW()-10)&lt;&gt;0,INDEX(TabEntrainement[Seance],ROW()-10),"")</f>
        <v>43326</v>
      </c>
      <c r="C16" s="68">
        <f>INDEX(TabForme[Moyenne],ROW()-10)</f>
        <v>2.8333333333333335</v>
      </c>
      <c r="D16" s="69" t="str">
        <f>INDEX(TabPlaisir[Moyenne],ROW()-10)</f>
        <v/>
      </c>
      <c r="E16" s="70" t="str">
        <f>INDEX(TabPerfo[Moyenne],ROW()-10)</f>
        <v/>
      </c>
      <c r="F16" s="67">
        <f>INDEX(TabREP[Moyenne],ROW()-10)</f>
        <v>4.666666666666667</v>
      </c>
    </row>
    <row r="17" spans="2:6" ht="13.5">
      <c r="B17" s="29">
        <f>IF(INDEX(TabEntrainement[Seance],ROW()-10)&lt;&gt;0,INDEX(TabEntrainement[Seance],ROW()-10),"")</f>
        <v>43327</v>
      </c>
      <c r="C17" s="68">
        <f>INDEX(TabForme[Moyenne],ROW()-10)</f>
        <v>3.4285714285714284</v>
      </c>
      <c r="D17" s="69" t="str">
        <f>INDEX(TabPlaisir[Moyenne],ROW()-10)</f>
        <v/>
      </c>
      <c r="E17" s="70" t="str">
        <f>INDEX(TabPerfo[Moyenne],ROW()-10)</f>
        <v/>
      </c>
      <c r="F17" s="67">
        <f>INDEX(TabREP[Moyenne],ROW()-10)</f>
        <v>3.4285714285714284</v>
      </c>
    </row>
    <row r="18" spans="2:6" ht="13.5">
      <c r="B18" s="29">
        <f>IF(INDEX(TabEntrainement[Seance],ROW()-10)&lt;&gt;0,INDEX(TabEntrainement[Seance],ROW()-10),"")</f>
        <v>43328</v>
      </c>
      <c r="C18" s="68">
        <f>INDEX(TabForme[Moyenne],ROW()-10)</f>
        <v>3.0769230769230771</v>
      </c>
      <c r="D18" s="69" t="str">
        <f>INDEX(TabPlaisir[Moyenne],ROW()-10)</f>
        <v/>
      </c>
      <c r="E18" s="70" t="str">
        <f>INDEX(TabPerfo[Moyenne],ROW()-10)</f>
        <v/>
      </c>
      <c r="F18" s="67">
        <f>INDEX(TabREP[Moyenne],ROW()-10)</f>
        <v>4.1538461538461542</v>
      </c>
    </row>
    <row r="19" spans="2:6" ht="13.5">
      <c r="B19" s="29">
        <f>IF(INDEX(TabEntrainement[Seance],ROW()-10)&lt;&gt;0,INDEX(TabEntrainement[Seance],ROW()-10),"")</f>
        <v>43329</v>
      </c>
      <c r="C19" s="68">
        <f>INDEX(TabForme[Moyenne],ROW()-10)</f>
        <v>2.8</v>
      </c>
      <c r="D19" s="69" t="str">
        <f>INDEX(TabPlaisir[Moyenne],ROW()-10)</f>
        <v/>
      </c>
      <c r="E19" s="70" t="str">
        <f>INDEX(TabPerfo[Moyenne],ROW()-10)</f>
        <v/>
      </c>
      <c r="F19" s="67">
        <f>INDEX(TabREP[Moyenne],ROW()-10)</f>
        <v>5.6</v>
      </c>
    </row>
    <row r="20" spans="2:6" ht="13.5">
      <c r="B20" s="29">
        <f>IF(INDEX(TabEntrainement[Seance],ROW()-10)&lt;&gt;0,INDEX(TabEntrainement[Seance],ROW()-10),"")</f>
        <v>43330</v>
      </c>
      <c r="C20" s="68">
        <f>INDEX(TabForme[Moyenne],ROW()-10)</f>
        <v>2.5833333333333335</v>
      </c>
      <c r="D20" s="69" t="str">
        <f>INDEX(TabPlaisir[Moyenne],ROW()-10)</f>
        <v/>
      </c>
      <c r="E20" s="70" t="str">
        <f>INDEX(TabPerfo[Moyenne],ROW()-10)</f>
        <v/>
      </c>
      <c r="F20" s="67">
        <f>INDEX(TabREP[Moyenne],ROW()-10)</f>
        <v>3.9166666666666665</v>
      </c>
    </row>
    <row r="21" spans="2:6" ht="13.5">
      <c r="B21" s="29">
        <f>IF(INDEX(TabEntrainement[Seance],ROW()-10)&lt;&gt;0,INDEX(TabEntrainement[Seance],ROW()-10),"")</f>
        <v>43332</v>
      </c>
      <c r="C21" s="68">
        <f>INDEX(TabForme[Moyenne],ROW()-10)</f>
        <v>2.8571428571428572</v>
      </c>
      <c r="D21" s="69" t="str">
        <f>INDEX(TabPlaisir[Moyenne],ROW()-10)</f>
        <v/>
      </c>
      <c r="E21" s="70" t="str">
        <f>INDEX(TabPerfo[Moyenne],ROW()-10)</f>
        <v/>
      </c>
      <c r="F21" s="67">
        <f>INDEX(TabREP[Moyenne],ROW()-10)</f>
        <v>7.3571428571428568</v>
      </c>
    </row>
    <row r="22" spans="2:6" ht="13.5">
      <c r="B22" s="29">
        <f>IF(INDEX(TabEntrainement[Seance],ROW()-10)&lt;&gt;0,INDEX(TabEntrainement[Seance],ROW()-10),"")</f>
        <v>43333</v>
      </c>
      <c r="C22" s="68">
        <f>INDEX(TabForme[Moyenne],ROW()-10)</f>
        <v>3.6153846153846154</v>
      </c>
      <c r="D22" s="69" t="str">
        <f>INDEX(TabPlaisir[Moyenne],ROW()-10)</f>
        <v/>
      </c>
      <c r="E22" s="70" t="str">
        <f>INDEX(TabPerfo[Moyenne],ROW()-10)</f>
        <v/>
      </c>
      <c r="F22" s="67">
        <f>INDEX(TabREP[Moyenne],ROW()-10)</f>
        <v>5.4615384615384617</v>
      </c>
    </row>
    <row r="23" spans="2:6" ht="13.5">
      <c r="B23" s="29">
        <f>IF(INDEX(TabEntrainement[Seance],ROW()-10)&lt;&gt;0,INDEX(TabEntrainement[Seance],ROW()-10),"")</f>
        <v>43335</v>
      </c>
      <c r="C23" s="68">
        <f>INDEX(TabForme[Moyenne],ROW()-10)</f>
        <v>4.5714285714285712</v>
      </c>
      <c r="D23" s="69" t="str">
        <f>INDEX(TabPlaisir[Moyenne],ROW()-10)</f>
        <v/>
      </c>
      <c r="E23" s="70" t="str">
        <f>INDEX(TabPerfo[Moyenne],ROW()-10)</f>
        <v/>
      </c>
      <c r="F23" s="67">
        <f>INDEX(TabREP[Moyenne],ROW()-10)</f>
        <v>2.6428571428571428</v>
      </c>
    </row>
    <row r="24" spans="2:6" ht="13.5">
      <c r="B24" s="29">
        <f>IF(INDEX(TabEntrainement[Seance],ROW()-10)&lt;&gt;0,INDEX(TabEntrainement[Seance],ROW()-10),"")</f>
        <v>43336</v>
      </c>
      <c r="C24" s="68">
        <f>INDEX(TabForme[Moyenne],ROW()-10)</f>
        <v>3.4705882352941178</v>
      </c>
      <c r="D24" s="69" t="str">
        <f>INDEX(TabPlaisir[Moyenne],ROW()-10)</f>
        <v/>
      </c>
      <c r="E24" s="70" t="str">
        <f>INDEX(TabPerfo[Moyenne],ROW()-10)</f>
        <v/>
      </c>
      <c r="F24" s="67">
        <f>INDEX(TabREP[Moyenne],ROW()-10)</f>
        <v>3.4705882352941178</v>
      </c>
    </row>
    <row r="25" spans="2:6" ht="13.5">
      <c r="B25" s="29">
        <f>IF(INDEX(TabEntrainement[Seance],ROW()-10)&lt;&gt;0,INDEX(TabEntrainement[Seance],ROW()-10),"")</f>
        <v>43339</v>
      </c>
      <c r="C25" s="68">
        <f>INDEX(TabForme[Moyenne],ROW()-10)</f>
        <v>3.5333333333333332</v>
      </c>
      <c r="D25" s="69" t="str">
        <f>INDEX(TabPlaisir[Moyenne],ROW()-10)</f>
        <v/>
      </c>
      <c r="E25" s="70" t="str">
        <f>INDEX(TabPerfo[Moyenne],ROW()-10)</f>
        <v/>
      </c>
      <c r="F25" s="67">
        <f>INDEX(TabREP[Moyenne],ROW()-10)</f>
        <v>5.1333333333333337</v>
      </c>
    </row>
    <row r="26" spans="2:6" ht="13.5">
      <c r="B26" s="29">
        <f>IF(INDEX(TabEntrainement[Seance],ROW()-10)&lt;&gt;0,INDEX(TabEntrainement[Seance],ROW()-10),"")</f>
        <v>43340</v>
      </c>
      <c r="C26" s="68">
        <f>INDEX(TabForme[Moyenne],ROW()-10)</f>
        <v>3.8235294117647061</v>
      </c>
      <c r="D26" s="69" t="str">
        <f>INDEX(TabPlaisir[Moyenne],ROW()-10)</f>
        <v/>
      </c>
      <c r="E26" s="70" t="str">
        <f>INDEX(TabPerfo[Moyenne],ROW()-10)</f>
        <v/>
      </c>
      <c r="F26" s="67">
        <f>INDEX(TabREP[Moyenne],ROW()-10)</f>
        <v>4.5882352941176467</v>
      </c>
    </row>
    <row r="27" spans="2:6" ht="13.5">
      <c r="B27" s="29">
        <f>IF(INDEX(TabEntrainement[Seance],ROW()-10)&lt;&gt;0,INDEX(TabEntrainement[Seance],ROW()-10),"")</f>
        <v>43342</v>
      </c>
      <c r="C27" s="68">
        <f>INDEX(TabForme[Moyenne],ROW()-10)</f>
        <v>3.75</v>
      </c>
      <c r="D27" s="69" t="str">
        <f>INDEX(TabPlaisir[Moyenne],ROW()-10)</f>
        <v/>
      </c>
      <c r="E27" s="70" t="str">
        <f>INDEX(TabPerfo[Moyenne],ROW()-10)</f>
        <v/>
      </c>
      <c r="F27" s="67">
        <f>INDEX(TabREP[Moyenne],ROW()-10)</f>
        <v>4.5999999999999996</v>
      </c>
    </row>
    <row r="28" spans="2:6" ht="13.5">
      <c r="B28" s="29">
        <f>IF(INDEX(TabEntrainement[Seance],ROW()-10)&lt;&gt;0,INDEX(TabEntrainement[Seance],ROW()-10),"")</f>
        <v>43343</v>
      </c>
      <c r="C28" s="68">
        <f>INDEX(TabForme[Moyenne],ROW()-10)</f>
        <v>3.8125</v>
      </c>
      <c r="D28" s="69" t="str">
        <f>INDEX(TabPlaisir[Moyenne],ROW()-10)</f>
        <v/>
      </c>
      <c r="E28" s="70" t="str">
        <f>INDEX(TabPerfo[Moyenne],ROW()-10)</f>
        <v/>
      </c>
      <c r="F28" s="67">
        <f>INDEX(TabREP[Moyenne],ROW()-10)</f>
        <v>3.6875</v>
      </c>
    </row>
    <row r="29" spans="2:6" ht="13.5">
      <c r="B29" s="29">
        <f>IF(INDEX(TabEntrainement[Seance],ROW()-10)&lt;&gt;0,INDEX(TabEntrainement[Seance],ROW()-10),"")</f>
        <v>43347</v>
      </c>
      <c r="C29" s="68">
        <f>INDEX(TabForme[Moyenne],ROW()-10)</f>
        <v>3.6428571428571428</v>
      </c>
      <c r="D29" s="69" t="str">
        <f>INDEX(TabPlaisir[Moyenne],ROW()-10)</f>
        <v/>
      </c>
      <c r="E29" s="70" t="str">
        <f>INDEX(TabPerfo[Moyenne],ROW()-10)</f>
        <v/>
      </c>
      <c r="F29" s="67">
        <f>INDEX(TabREP[Moyenne],ROW()-10)</f>
        <v>4.2857142857142856</v>
      </c>
    </row>
    <row r="30" spans="2:6" ht="13.5">
      <c r="B30" s="29">
        <f>IF(INDEX(TabEntrainement[Seance],ROW()-10)&lt;&gt;0,INDEX(TabEntrainement[Seance],ROW()-10),"")</f>
        <v>43349</v>
      </c>
      <c r="C30" s="68">
        <f>INDEX(TabForme[Moyenne],ROW()-10)</f>
        <v>3.7222222222222223</v>
      </c>
      <c r="D30" s="69" t="str">
        <f>INDEX(TabPlaisir[Moyenne],ROW()-10)</f>
        <v/>
      </c>
      <c r="E30" s="70" t="str">
        <f>INDEX(TabPerfo[Moyenne],ROW()-10)</f>
        <v/>
      </c>
      <c r="F30" s="67">
        <f>INDEX(TabREP[Moyenne],ROW()-10)</f>
        <v>4.166666666666667</v>
      </c>
    </row>
    <row r="31" spans="2:6" ht="13.5">
      <c r="B31" s="29">
        <f>IF(INDEX(TabEntrainement[Seance],ROW()-10)&lt;&gt;0,INDEX(TabEntrainement[Seance],ROW()-10),"")</f>
        <v>43350</v>
      </c>
      <c r="C31" s="68">
        <f>INDEX(TabForme[Moyenne],ROW()-10)</f>
        <v>3.4166666666666665</v>
      </c>
      <c r="D31" s="69" t="str">
        <f>INDEX(TabPlaisir[Moyenne],ROW()-10)</f>
        <v/>
      </c>
      <c r="E31" s="70" t="str">
        <f>INDEX(TabPerfo[Moyenne],ROW()-10)</f>
        <v/>
      </c>
      <c r="F31" s="67">
        <f>INDEX(TabREP[Moyenne],ROW()-10)</f>
        <v>3.3333333333333335</v>
      </c>
    </row>
    <row r="32" spans="2:6" ht="13.5">
      <c r="B32" s="29">
        <f>IF(INDEX(TabEntrainement[Seance],ROW()-10)&lt;&gt;0,INDEX(TabEntrainement[Seance],ROW()-10),"")</f>
        <v>43354</v>
      </c>
      <c r="C32" s="68">
        <f>INDEX(TabForme[Moyenne],ROW()-10)</f>
        <v>4</v>
      </c>
      <c r="D32" s="69" t="str">
        <f>INDEX(TabPlaisir[Moyenne],ROW()-10)</f>
        <v/>
      </c>
      <c r="E32" s="70" t="str">
        <f>INDEX(TabPerfo[Moyenne],ROW()-10)</f>
        <v/>
      </c>
      <c r="F32" s="67">
        <f>INDEX(TabREP[Moyenne],ROW()-10)</f>
        <v>4.583333333333333</v>
      </c>
    </row>
    <row r="33" spans="2:6" ht="13.5">
      <c r="B33" s="29">
        <f>IF(INDEX(TabEntrainement[Seance],ROW()-10)&lt;&gt;0,INDEX(TabEntrainement[Seance],ROW()-10),"")</f>
        <v>43357</v>
      </c>
      <c r="C33" s="68">
        <f>INDEX(TabForme[Moyenne],ROW()-10)</f>
        <v>3.4</v>
      </c>
      <c r="D33" s="69" t="str">
        <f>INDEX(TabPlaisir[Moyenne],ROW()-10)</f>
        <v/>
      </c>
      <c r="E33" s="70" t="str">
        <f>INDEX(TabPerfo[Moyenne],ROW()-10)</f>
        <v/>
      </c>
      <c r="F33" s="67">
        <f>INDEX(TabREP[Moyenne],ROW()-10)</f>
        <v>4.5999999999999996</v>
      </c>
    </row>
    <row r="34" spans="2:6" ht="13.5">
      <c r="B34" s="29">
        <f>IF(INDEX(TabEntrainement[Seance],ROW()-10)&lt;&gt;0,INDEX(TabEntrainement[Seance],ROW()-10),"")</f>
        <v>43358</v>
      </c>
      <c r="C34" s="68">
        <f>INDEX(TabForme[Moyenne],ROW()-10)</f>
        <v>3.9090909090909092</v>
      </c>
      <c r="D34" s="69" t="str">
        <f>INDEX(TabPlaisir[Moyenne],ROW()-10)</f>
        <v/>
      </c>
      <c r="E34" s="70" t="str">
        <f>INDEX(TabPerfo[Moyenne],ROW()-10)</f>
        <v/>
      </c>
      <c r="F34" s="67">
        <f>INDEX(TabREP[Moyenne],ROW()-10)</f>
        <v>3.3636363636363638</v>
      </c>
    </row>
    <row r="35" spans="2:6" ht="13.5">
      <c r="B35" s="29" t="str">
        <f>IF(INDEX(TabEntrainement[Seance],ROW()-10)&lt;&gt;0,INDEX(TabEntrainement[Seance],ROW()-10),"")</f>
        <v/>
      </c>
      <c r="C35" s="68" t="str">
        <f>INDEX(TabForme[Moyenne],ROW()-10)</f>
        <v/>
      </c>
      <c r="D35" s="69" t="str">
        <f>INDEX(TabPlaisir[Moyenne],ROW()-10)</f>
        <v/>
      </c>
      <c r="E35" s="70" t="str">
        <f>INDEX(TabPerfo[Moyenne],ROW()-10)</f>
        <v/>
      </c>
      <c r="F35" s="67" t="str">
        <f>INDEX(TabREP[Moyenne],ROW()-10)</f>
        <v/>
      </c>
    </row>
    <row r="36" spans="2:6" ht="13.5">
      <c r="B36" s="29" t="str">
        <f>IF(INDEX(TabEntrainement[Seance],ROW()-10)&lt;&gt;0,INDEX(TabEntrainement[Seance],ROW()-10),"")</f>
        <v/>
      </c>
      <c r="C36" s="68" t="str">
        <f>INDEX(TabForme[Moyenne],ROW()-10)</f>
        <v/>
      </c>
      <c r="D36" s="69" t="str">
        <f>INDEX(TabPlaisir[Moyenne],ROW()-10)</f>
        <v/>
      </c>
      <c r="E36" s="70" t="str">
        <f>INDEX(TabPerfo[Moyenne],ROW()-10)</f>
        <v/>
      </c>
      <c r="F36" s="67" t="str">
        <f>INDEX(TabREP[Moyenne],ROW()-10)</f>
        <v/>
      </c>
    </row>
    <row r="37" spans="2:6" ht="13.5">
      <c r="B37" s="29" t="str">
        <f>IF(INDEX(TabEntrainement[Seance],ROW()-10)&lt;&gt;0,INDEX(TabEntrainement[Seance],ROW()-10),"")</f>
        <v/>
      </c>
      <c r="C37" s="68" t="str">
        <f>INDEX(TabForme[Moyenne],ROW()-10)</f>
        <v/>
      </c>
      <c r="D37" s="69" t="str">
        <f>INDEX(TabPlaisir[Moyenne],ROW()-10)</f>
        <v/>
      </c>
      <c r="E37" s="70" t="str">
        <f>INDEX(TabPerfo[Moyenne],ROW()-10)</f>
        <v/>
      </c>
      <c r="F37" s="67" t="str">
        <f>INDEX(TabREP[Moyenne],ROW()-10)</f>
        <v/>
      </c>
    </row>
    <row r="38" spans="2:6" ht="13.5">
      <c r="B38" s="29" t="str">
        <f>IF(INDEX(TabEntrainement[Seance],ROW()-10)&lt;&gt;0,INDEX(TabEntrainement[Seance],ROW()-10),"")</f>
        <v/>
      </c>
      <c r="C38" s="68" t="str">
        <f>INDEX(TabForme[Moyenne],ROW()-10)</f>
        <v/>
      </c>
      <c r="D38" s="69" t="str">
        <f>INDEX(TabPlaisir[Moyenne],ROW()-10)</f>
        <v/>
      </c>
      <c r="E38" s="70" t="str">
        <f>INDEX(TabPerfo[Moyenne],ROW()-10)</f>
        <v/>
      </c>
      <c r="F38" s="67" t="str">
        <f>INDEX(TabREP[Moyenne],ROW()-10)</f>
        <v/>
      </c>
    </row>
    <row r="39" spans="2:6" ht="13.5">
      <c r="B39" s="29" t="str">
        <f>IF(INDEX(TabEntrainement[Seance],ROW()-10)&lt;&gt;0,INDEX(TabEntrainement[Seance],ROW()-10),"")</f>
        <v/>
      </c>
      <c r="C39" s="68" t="str">
        <f>INDEX(TabForme[Moyenne],ROW()-10)</f>
        <v/>
      </c>
      <c r="D39" s="69" t="str">
        <f>INDEX(TabPlaisir[Moyenne],ROW()-10)</f>
        <v/>
      </c>
      <c r="E39" s="70" t="str">
        <f>INDEX(TabPerfo[Moyenne],ROW()-10)</f>
        <v/>
      </c>
      <c r="F39" s="67" t="str">
        <f>INDEX(TabREP[Moyenne],ROW()-10)</f>
        <v/>
      </c>
    </row>
    <row r="40" spans="2:6" ht="13.5">
      <c r="B40" s="29" t="str">
        <f>IF(INDEX(TabEntrainement[Seance],ROW()-10)&lt;&gt;0,INDEX(TabEntrainement[Seance],ROW()-10),"")</f>
        <v/>
      </c>
      <c r="C40" s="68" t="str">
        <f>INDEX(TabForme[Moyenne],ROW()-10)</f>
        <v/>
      </c>
      <c r="D40" s="69" t="str">
        <f>INDEX(TabPlaisir[Moyenne],ROW()-10)</f>
        <v/>
      </c>
      <c r="E40" s="70" t="str">
        <f>INDEX(TabPerfo[Moyenne],ROW()-10)</f>
        <v/>
      </c>
      <c r="F40" s="67" t="str">
        <f>INDEX(TabREP[Moyenne],ROW()-10)</f>
        <v/>
      </c>
    </row>
    <row r="41" spans="2:6" ht="13.5">
      <c r="B41" s="29" t="str">
        <f>IF(INDEX(TabEntrainement[Seance],ROW()-10)&lt;&gt;0,INDEX(TabEntrainement[Seance],ROW()-10),"")</f>
        <v/>
      </c>
      <c r="C41" s="68" t="str">
        <f>INDEX(TabForme[Moyenne],ROW()-10)</f>
        <v/>
      </c>
      <c r="D41" s="69" t="str">
        <f>INDEX(TabPlaisir[Moyenne],ROW()-10)</f>
        <v/>
      </c>
      <c r="E41" s="70" t="str">
        <f>INDEX(TabPerfo[Moyenne],ROW()-10)</f>
        <v/>
      </c>
      <c r="F41" s="67" t="str">
        <f>INDEX(TabREP[Moyenne],ROW()-10)</f>
        <v/>
      </c>
    </row>
    <row r="42" spans="2:6" ht="13.5">
      <c r="B42" s="29" t="str">
        <f>IF(INDEX(TabEntrainement[Seance],ROW()-10)&lt;&gt;0,INDEX(TabEntrainement[Seance],ROW()-10),"")</f>
        <v/>
      </c>
      <c r="C42" s="68" t="str">
        <f>INDEX(TabForme[Moyenne],ROW()-10)</f>
        <v/>
      </c>
      <c r="D42" s="69" t="str">
        <f>INDEX(TabPlaisir[Moyenne],ROW()-10)</f>
        <v/>
      </c>
      <c r="E42" s="70" t="str">
        <f>INDEX(TabPerfo[Moyenne],ROW()-10)</f>
        <v/>
      </c>
      <c r="F42" s="67" t="str">
        <f>INDEX(TabREP[Moyenne],ROW()-10)</f>
        <v/>
      </c>
    </row>
    <row r="43" spans="2:6" ht="13.5">
      <c r="B43" s="29" t="str">
        <f>IF(INDEX(TabEntrainement[Seance],ROW()-10)&lt;&gt;0,INDEX(TabEntrainement[Seance],ROW()-10),"")</f>
        <v/>
      </c>
      <c r="C43" s="68" t="str">
        <f>INDEX(TabForme[Moyenne],ROW()-10)</f>
        <v/>
      </c>
      <c r="D43" s="69" t="str">
        <f>INDEX(TabPlaisir[Moyenne],ROW()-10)</f>
        <v/>
      </c>
      <c r="E43" s="70" t="str">
        <f>INDEX(TabPerfo[Moyenne],ROW()-10)</f>
        <v/>
      </c>
      <c r="F43" s="67" t="str">
        <f>INDEX(TabREP[Moyenne],ROW()-10)</f>
        <v/>
      </c>
    </row>
    <row r="44" spans="2:6" ht="13.5">
      <c r="B44" s="29" t="str">
        <f>IF(INDEX(TabEntrainement[Seance],ROW()-10)&lt;&gt;0,INDEX(TabEntrainement[Seance],ROW()-10),"")</f>
        <v/>
      </c>
      <c r="C44" s="68" t="str">
        <f>INDEX(TabForme[Moyenne],ROW()-10)</f>
        <v/>
      </c>
      <c r="D44" s="69" t="str">
        <f>INDEX(TabPlaisir[Moyenne],ROW()-10)</f>
        <v/>
      </c>
      <c r="E44" s="70" t="str">
        <f>INDEX(TabPerfo[Moyenne],ROW()-10)</f>
        <v/>
      </c>
      <c r="F44" s="67" t="str">
        <f>INDEX(TabREP[Moyenne],ROW()-10)</f>
        <v/>
      </c>
    </row>
    <row r="45" spans="2:6" ht="13.5">
      <c r="B45" s="29" t="str">
        <f>IF(INDEX(TabEntrainement[Seance],ROW()-10)&lt;&gt;0,INDEX(TabEntrainement[Seance],ROW()-10),"")</f>
        <v/>
      </c>
      <c r="C45" s="68" t="str">
        <f>INDEX(TabForme[Moyenne],ROW()-10)</f>
        <v/>
      </c>
      <c r="D45" s="69" t="str">
        <f>INDEX(TabPlaisir[Moyenne],ROW()-10)</f>
        <v/>
      </c>
      <c r="E45" s="70" t="str">
        <f>INDEX(TabPerfo[Moyenne],ROW()-10)</f>
        <v/>
      </c>
      <c r="F45" s="67" t="str">
        <f>INDEX(TabREP[Moyenne],ROW()-10)</f>
        <v/>
      </c>
    </row>
    <row r="46" spans="2:6" ht="13.5">
      <c r="B46" s="29" t="str">
        <f>IF(INDEX(TabEntrainement[Seance],ROW()-10)&lt;&gt;0,INDEX(TabEntrainement[Seance],ROW()-10),"")</f>
        <v/>
      </c>
      <c r="C46" s="68" t="str">
        <f>INDEX(TabForme[Moyenne],ROW()-10)</f>
        <v/>
      </c>
      <c r="D46" s="69" t="str">
        <f>INDEX(TabPlaisir[Moyenne],ROW()-10)</f>
        <v/>
      </c>
      <c r="E46" s="70" t="str">
        <f>INDEX(TabPerfo[Moyenne],ROW()-10)</f>
        <v/>
      </c>
      <c r="F46" s="67" t="str">
        <f>INDEX(TabREP[Moyenne],ROW()-10)</f>
        <v/>
      </c>
    </row>
    <row r="47" spans="2:6" ht="13.5">
      <c r="B47" s="29" t="str">
        <f>IF(INDEX(TabEntrainement[Seance],ROW()-10)&lt;&gt;0,INDEX(TabEntrainement[Seance],ROW()-10),"")</f>
        <v/>
      </c>
      <c r="C47" s="68" t="str">
        <f>INDEX(TabForme[Moyenne],ROW()-10)</f>
        <v/>
      </c>
      <c r="D47" s="69" t="str">
        <f>INDEX(TabPlaisir[Moyenne],ROW()-10)</f>
        <v/>
      </c>
      <c r="E47" s="70" t="str">
        <f>INDEX(TabPerfo[Moyenne],ROW()-10)</f>
        <v/>
      </c>
      <c r="F47" s="67" t="str">
        <f>INDEX(TabREP[Moyenne],ROW()-10)</f>
        <v/>
      </c>
    </row>
    <row r="48" spans="2:6" ht="13.5">
      <c r="B48" s="29" t="str">
        <f>IF(INDEX(TabEntrainement[Seance],ROW()-10)&lt;&gt;0,INDEX(TabEntrainement[Seance],ROW()-10),"")</f>
        <v/>
      </c>
      <c r="C48" s="68" t="str">
        <f>INDEX(TabForme[Moyenne],ROW()-10)</f>
        <v/>
      </c>
      <c r="D48" s="69" t="str">
        <f>INDEX(TabPlaisir[Moyenne],ROW()-10)</f>
        <v/>
      </c>
      <c r="E48" s="70" t="str">
        <f>INDEX(TabPerfo[Moyenne],ROW()-10)</f>
        <v/>
      </c>
      <c r="F48" s="67" t="str">
        <f>INDEX(TabREP[Moyenne],ROW()-10)</f>
        <v/>
      </c>
    </row>
    <row r="49" spans="2:6" ht="13.5">
      <c r="B49" s="29" t="str">
        <f>IF(INDEX(TabEntrainement[Seance],ROW()-10)&lt;&gt;0,INDEX(TabEntrainement[Seance],ROW()-10),"")</f>
        <v/>
      </c>
      <c r="C49" s="68" t="str">
        <f>INDEX(TabForme[Moyenne],ROW()-10)</f>
        <v/>
      </c>
      <c r="D49" s="69" t="str">
        <f>INDEX(TabPlaisir[Moyenne],ROW()-10)</f>
        <v/>
      </c>
      <c r="E49" s="70" t="str">
        <f>INDEX(TabPerfo[Moyenne],ROW()-10)</f>
        <v/>
      </c>
      <c r="F49" s="67" t="str">
        <f>INDEX(TabREP[Moyenne],ROW()-10)</f>
        <v/>
      </c>
    </row>
    <row r="50" spans="2:6" ht="13.5">
      <c r="B50" s="29" t="str">
        <f>IF(INDEX(TabEntrainement[Seance],ROW()-10)&lt;&gt;0,INDEX(TabEntrainement[Seance],ROW()-10),"")</f>
        <v/>
      </c>
      <c r="C50" s="68" t="str">
        <f>INDEX(TabForme[Moyenne],ROW()-10)</f>
        <v/>
      </c>
      <c r="D50" s="69" t="str">
        <f>INDEX(TabPlaisir[Moyenne],ROW()-10)</f>
        <v/>
      </c>
      <c r="E50" s="70" t="str">
        <f>INDEX(TabPerfo[Moyenne],ROW()-10)</f>
        <v/>
      </c>
      <c r="F50" s="67" t="str">
        <f>INDEX(TabREP[Moyenne],ROW()-10)</f>
        <v/>
      </c>
    </row>
    <row r="51" spans="2:6" ht="13.5">
      <c r="B51" s="29" t="str">
        <f>IF(INDEX(TabEntrainement[Seance],ROW()-10)&lt;&gt;0,INDEX(TabEntrainement[Seance],ROW()-10),"")</f>
        <v/>
      </c>
      <c r="C51" s="68" t="str">
        <f>INDEX(TabForme[Moyenne],ROW()-10)</f>
        <v/>
      </c>
      <c r="D51" s="69" t="str">
        <f>INDEX(TabPlaisir[Moyenne],ROW()-10)</f>
        <v/>
      </c>
      <c r="E51" s="70" t="str">
        <f>INDEX(TabPerfo[Moyenne],ROW()-10)</f>
        <v/>
      </c>
      <c r="F51" s="67" t="str">
        <f>INDEX(TabREP[Moyenne],ROW()-10)</f>
        <v/>
      </c>
    </row>
    <row r="52" spans="2:6" ht="13.5">
      <c r="B52" s="29" t="str">
        <f>IF(INDEX(TabEntrainement[Seance],ROW()-10)&lt;&gt;0,INDEX(TabEntrainement[Seance],ROW()-10),"")</f>
        <v/>
      </c>
      <c r="C52" s="68" t="str">
        <f>INDEX(TabForme[Moyenne],ROW()-10)</f>
        <v/>
      </c>
      <c r="D52" s="69" t="str">
        <f>INDEX(TabPlaisir[Moyenne],ROW()-10)</f>
        <v/>
      </c>
      <c r="E52" s="70" t="str">
        <f>INDEX(TabPerfo[Moyenne],ROW()-10)</f>
        <v/>
      </c>
      <c r="F52" s="67" t="str">
        <f>INDEX(TabREP[Moyenne],ROW()-10)</f>
        <v/>
      </c>
    </row>
    <row r="53" spans="2:6" ht="13.5">
      <c r="B53" s="29" t="str">
        <f>IF(INDEX(TabEntrainement[Seance],ROW()-10)&lt;&gt;0,INDEX(TabEntrainement[Seance],ROW()-10),"")</f>
        <v/>
      </c>
      <c r="C53" s="68" t="str">
        <f>INDEX(TabForme[Moyenne],ROW()-10)</f>
        <v/>
      </c>
      <c r="D53" s="69" t="str">
        <f>INDEX(TabPlaisir[Moyenne],ROW()-10)</f>
        <v/>
      </c>
      <c r="E53" s="70" t="str">
        <f>INDEX(TabPerfo[Moyenne],ROW()-10)</f>
        <v/>
      </c>
      <c r="F53" s="67" t="str">
        <f>INDEX(TabREP[Moyenne],ROW()-10)</f>
        <v/>
      </c>
    </row>
    <row r="54" spans="2:6" ht="13.5">
      <c r="B54" s="29" t="str">
        <f>IF(INDEX(TabEntrainement[Seance],ROW()-10)&lt;&gt;0,INDEX(TabEntrainement[Seance],ROW()-10),"")</f>
        <v/>
      </c>
      <c r="C54" s="68" t="str">
        <f>INDEX(TabForme[Moyenne],ROW()-10)</f>
        <v/>
      </c>
      <c r="D54" s="69" t="str">
        <f>INDEX(TabPlaisir[Moyenne],ROW()-10)</f>
        <v/>
      </c>
      <c r="E54" s="70" t="str">
        <f>INDEX(TabPerfo[Moyenne],ROW()-10)</f>
        <v/>
      </c>
      <c r="F54" s="67" t="str">
        <f>INDEX(TabREP[Moyenne],ROW()-10)</f>
        <v/>
      </c>
    </row>
    <row r="55" spans="2:6" ht="13.5">
      <c r="B55" s="29" t="str">
        <f>IF(INDEX(TabEntrainement[Seance],ROW()-10)&lt;&gt;0,INDEX(TabEntrainement[Seance],ROW()-10),"")</f>
        <v/>
      </c>
      <c r="C55" s="68" t="str">
        <f>INDEX(TabForme[Moyenne],ROW()-10)</f>
        <v/>
      </c>
      <c r="D55" s="69" t="str">
        <f>INDEX(TabPlaisir[Moyenne],ROW()-10)</f>
        <v/>
      </c>
      <c r="E55" s="70" t="str">
        <f>INDEX(TabPerfo[Moyenne],ROW()-10)</f>
        <v/>
      </c>
      <c r="F55" s="67" t="str">
        <f>INDEX(TabREP[Moyenne],ROW()-10)</f>
        <v/>
      </c>
    </row>
    <row r="56" spans="2:6" ht="13.5">
      <c r="B56" s="29" t="str">
        <f>IF(INDEX(TabEntrainement[Seance],ROW()-10)&lt;&gt;0,INDEX(TabEntrainement[Seance],ROW()-10),"")</f>
        <v/>
      </c>
      <c r="C56" s="68" t="str">
        <f>INDEX(TabForme[Moyenne],ROW()-10)</f>
        <v/>
      </c>
      <c r="D56" s="69" t="str">
        <f>INDEX(TabPlaisir[Moyenne],ROW()-10)</f>
        <v/>
      </c>
      <c r="E56" s="70" t="str">
        <f>INDEX(TabPerfo[Moyenne],ROW()-10)</f>
        <v/>
      </c>
      <c r="F56" s="67" t="str">
        <f>INDEX(TabREP[Moyenne],ROW()-10)</f>
        <v/>
      </c>
    </row>
    <row r="57" spans="2:6" ht="13.5">
      <c r="B57" s="29" t="str">
        <f>IF(INDEX(TabEntrainement[Seance],ROW()-10)&lt;&gt;0,INDEX(TabEntrainement[Seance],ROW()-10),"")</f>
        <v/>
      </c>
      <c r="C57" s="68" t="str">
        <f>INDEX(TabForme[Moyenne],ROW()-10)</f>
        <v/>
      </c>
      <c r="D57" s="69" t="str">
        <f>INDEX(TabPlaisir[Moyenne],ROW()-10)</f>
        <v/>
      </c>
      <c r="E57" s="70" t="str">
        <f>INDEX(TabPerfo[Moyenne],ROW()-10)</f>
        <v/>
      </c>
      <c r="F57" s="67" t="str">
        <f>INDEX(TabREP[Moyenne],ROW()-10)</f>
        <v/>
      </c>
    </row>
    <row r="58" spans="2:6" ht="13.5">
      <c r="B58" s="29" t="str">
        <f>IF(INDEX(TabEntrainement[Seance],ROW()-10)&lt;&gt;0,INDEX(TabEntrainement[Seance],ROW()-10),"")</f>
        <v/>
      </c>
      <c r="C58" s="68" t="str">
        <f>INDEX(TabForme[Moyenne],ROW()-10)</f>
        <v/>
      </c>
      <c r="D58" s="69" t="str">
        <f>INDEX(TabPlaisir[Moyenne],ROW()-10)</f>
        <v/>
      </c>
      <c r="E58" s="70" t="str">
        <f>INDEX(TabPerfo[Moyenne],ROW()-10)</f>
        <v/>
      </c>
      <c r="F58" s="67" t="str">
        <f>INDEX(TabREP[Moyenne],ROW()-10)</f>
        <v/>
      </c>
    </row>
    <row r="59" spans="2:6" ht="13.5">
      <c r="B59" s="29" t="str">
        <f>IF(INDEX(TabEntrainement[Seance],ROW()-10)&lt;&gt;0,INDEX(TabEntrainement[Seance],ROW()-10),"")</f>
        <v/>
      </c>
      <c r="C59" s="68" t="str">
        <f>INDEX(TabForme[Moyenne],ROW()-10)</f>
        <v/>
      </c>
      <c r="D59" s="69" t="str">
        <f>INDEX(TabPlaisir[Moyenne],ROW()-10)</f>
        <v/>
      </c>
      <c r="E59" s="70" t="str">
        <f>INDEX(TabPerfo[Moyenne],ROW()-10)</f>
        <v/>
      </c>
      <c r="F59" s="67" t="str">
        <f>INDEX(TabREP[Moyenne],ROW()-10)</f>
        <v/>
      </c>
    </row>
    <row r="60" spans="2:6" ht="13.5">
      <c r="B60" s="29" t="str">
        <f>IF(INDEX(TabEntrainement[Seance],ROW()-10)&lt;&gt;0,INDEX(TabEntrainement[Seance],ROW()-10),"")</f>
        <v/>
      </c>
      <c r="C60" s="68" t="str">
        <f>INDEX(TabForme[Moyenne],ROW()-10)</f>
        <v/>
      </c>
      <c r="D60" s="69" t="str">
        <f>INDEX(TabPlaisir[Moyenne],ROW()-10)</f>
        <v/>
      </c>
      <c r="E60" s="70" t="str">
        <f>INDEX(TabPerfo[Moyenne],ROW()-10)</f>
        <v/>
      </c>
      <c r="F60" s="67" t="str">
        <f>INDEX(TabREP[Moyenne],ROW()-10)</f>
        <v/>
      </c>
    </row>
    <row r="61" spans="2:6" ht="13.5">
      <c r="B61" s="29" t="str">
        <f>IF(INDEX(TabEntrainement[Seance],ROW()-10)&lt;&gt;0,INDEX(TabEntrainement[Seance],ROW()-10),"")</f>
        <v/>
      </c>
      <c r="C61" s="68" t="str">
        <f>INDEX(TabForme[Moyenne],ROW()-10)</f>
        <v/>
      </c>
      <c r="D61" s="69" t="str">
        <f>INDEX(TabPlaisir[Moyenne],ROW()-10)</f>
        <v/>
      </c>
      <c r="E61" s="70" t="str">
        <f>INDEX(TabPerfo[Moyenne],ROW()-10)</f>
        <v/>
      </c>
      <c r="F61" s="67" t="str">
        <f>INDEX(TabREP[Moyenne],ROW()-10)</f>
        <v/>
      </c>
    </row>
    <row r="62" spans="2:6" ht="13.5">
      <c r="B62" s="29" t="str">
        <f>IF(INDEX(TabEntrainement[Seance],ROW()-10)&lt;&gt;0,INDEX(TabEntrainement[Seance],ROW()-10),"")</f>
        <v/>
      </c>
      <c r="C62" s="68" t="str">
        <f>INDEX(TabForme[Moyenne],ROW()-10)</f>
        <v/>
      </c>
      <c r="D62" s="69" t="str">
        <f>INDEX(TabPlaisir[Moyenne],ROW()-10)</f>
        <v/>
      </c>
      <c r="E62" s="70" t="str">
        <f>INDEX(TabPerfo[Moyenne],ROW()-10)</f>
        <v/>
      </c>
      <c r="F62" s="67" t="str">
        <f>INDEX(TabREP[Moyenne],ROW()-10)</f>
        <v/>
      </c>
    </row>
    <row r="63" spans="2:6" ht="13.5">
      <c r="B63" s="29" t="str">
        <f>IF(INDEX(TabEntrainement[Seance],ROW()-10)&lt;&gt;0,INDEX(TabEntrainement[Seance],ROW()-10),"")</f>
        <v/>
      </c>
      <c r="C63" s="68" t="str">
        <f>INDEX(TabForme[Moyenne],ROW()-10)</f>
        <v/>
      </c>
      <c r="D63" s="69" t="str">
        <f>INDEX(TabPlaisir[Moyenne],ROW()-10)</f>
        <v/>
      </c>
      <c r="E63" s="70" t="str">
        <f>INDEX(TabPerfo[Moyenne],ROW()-10)</f>
        <v/>
      </c>
      <c r="F63" s="67" t="str">
        <f>INDEX(TabREP[Moyenne],ROW()-10)</f>
        <v/>
      </c>
    </row>
    <row r="64" spans="2:6" ht="13.5">
      <c r="B64" s="29" t="str">
        <f>IF(INDEX(TabEntrainement[Seance],ROW()-10)&lt;&gt;0,INDEX(TabEntrainement[Seance],ROW()-10),"")</f>
        <v/>
      </c>
      <c r="C64" s="68" t="str">
        <f>INDEX(TabForme[Moyenne],ROW()-10)</f>
        <v/>
      </c>
      <c r="D64" s="69" t="str">
        <f>INDEX(TabPlaisir[Moyenne],ROW()-10)</f>
        <v/>
      </c>
      <c r="E64" s="70" t="str">
        <f>INDEX(TabPerfo[Moyenne],ROW()-10)</f>
        <v/>
      </c>
      <c r="F64" s="67" t="str">
        <f>INDEX(TabREP[Moyenne],ROW()-10)</f>
        <v/>
      </c>
    </row>
    <row r="65" spans="2:6" ht="13.5">
      <c r="B65" s="29" t="str">
        <f>IF(INDEX(TabEntrainement[Seance],ROW()-10)&lt;&gt;0,INDEX(TabEntrainement[Seance],ROW()-10),"")</f>
        <v/>
      </c>
      <c r="C65" s="68" t="str">
        <f>INDEX(TabForme[Moyenne],ROW()-10)</f>
        <v/>
      </c>
      <c r="D65" s="69" t="str">
        <f>INDEX(TabPlaisir[Moyenne],ROW()-10)</f>
        <v/>
      </c>
      <c r="E65" s="70" t="str">
        <f>INDEX(TabPerfo[Moyenne],ROW()-10)</f>
        <v/>
      </c>
      <c r="F65" s="67" t="str">
        <f>INDEX(TabREP[Moyenne],ROW()-10)</f>
        <v/>
      </c>
    </row>
    <row r="66" spans="2:6" ht="13.5">
      <c r="B66" s="29" t="str">
        <f>IF(INDEX(TabEntrainement[Seance],ROW()-10)&lt;&gt;0,INDEX(TabEntrainement[Seance],ROW()-10),"")</f>
        <v/>
      </c>
      <c r="C66" s="68" t="str">
        <f>INDEX(TabForme[Moyenne],ROW()-10)</f>
        <v/>
      </c>
      <c r="D66" s="69" t="str">
        <f>INDEX(TabPlaisir[Moyenne],ROW()-10)</f>
        <v/>
      </c>
      <c r="E66" s="70" t="str">
        <f>INDEX(TabPerfo[Moyenne],ROW()-10)</f>
        <v/>
      </c>
      <c r="F66" s="67" t="str">
        <f>INDEX(TabREP[Moyenne],ROW()-10)</f>
        <v/>
      </c>
    </row>
    <row r="67" spans="2:6" ht="13.5">
      <c r="B67" s="29" t="str">
        <f>IF(INDEX(TabEntrainement[Seance],ROW()-10)&lt;&gt;0,INDEX(TabEntrainement[Seance],ROW()-10),"")</f>
        <v/>
      </c>
      <c r="C67" s="68" t="str">
        <f>INDEX(TabForme[Moyenne],ROW()-10)</f>
        <v/>
      </c>
      <c r="D67" s="69" t="str">
        <f>INDEX(TabPlaisir[Moyenne],ROW()-10)</f>
        <v/>
      </c>
      <c r="E67" s="70" t="str">
        <f>INDEX(TabPerfo[Moyenne],ROW()-10)</f>
        <v/>
      </c>
      <c r="F67" s="67" t="str">
        <f>INDEX(TabREP[Moyenne],ROW()-10)</f>
        <v/>
      </c>
    </row>
    <row r="68" spans="2:6" ht="13.5">
      <c r="B68" s="29" t="str">
        <f>IF(INDEX(TabEntrainement[Seance],ROW()-10)&lt;&gt;0,INDEX(TabEntrainement[Seance],ROW()-10),"")</f>
        <v/>
      </c>
      <c r="C68" s="68" t="str">
        <f>INDEX(TabForme[Moyenne],ROW()-10)</f>
        <v/>
      </c>
      <c r="D68" s="69" t="str">
        <f>INDEX(TabPlaisir[Moyenne],ROW()-10)</f>
        <v/>
      </c>
      <c r="E68" s="70" t="str">
        <f>INDEX(TabPerfo[Moyenne],ROW()-10)</f>
        <v/>
      </c>
      <c r="F68" s="67" t="str">
        <f>INDEX(TabREP[Moyenne],ROW()-10)</f>
        <v/>
      </c>
    </row>
    <row r="69" spans="2:6" ht="13.5">
      <c r="B69" s="29" t="str">
        <f>IF(INDEX(TabEntrainement[Seance],ROW()-10)&lt;&gt;0,INDEX(TabEntrainement[Seance],ROW()-10),"")</f>
        <v/>
      </c>
      <c r="C69" s="68" t="str">
        <f>INDEX(TabForme[Moyenne],ROW()-10)</f>
        <v/>
      </c>
      <c r="D69" s="69" t="str">
        <f>INDEX(TabPlaisir[Moyenne],ROW()-10)</f>
        <v/>
      </c>
      <c r="E69" s="70" t="str">
        <f>INDEX(TabPerfo[Moyenne],ROW()-10)</f>
        <v/>
      </c>
      <c r="F69" s="67" t="str">
        <f>INDEX(TabREP[Moyenne],ROW()-10)</f>
        <v/>
      </c>
    </row>
    <row r="70" spans="2:6" ht="13.5">
      <c r="B70" s="29" t="str">
        <f>IF(INDEX(TabEntrainement[Seance],ROW()-10)&lt;&gt;0,INDEX(TabEntrainement[Seance],ROW()-10),"")</f>
        <v/>
      </c>
      <c r="C70" s="68" t="str">
        <f>INDEX(TabForme[Moyenne],ROW()-10)</f>
        <v/>
      </c>
      <c r="D70" s="69" t="str">
        <f>INDEX(TabPlaisir[Moyenne],ROW()-10)</f>
        <v/>
      </c>
      <c r="E70" s="70" t="str">
        <f>INDEX(TabPerfo[Moyenne],ROW()-10)</f>
        <v/>
      </c>
      <c r="F70" s="67" t="str">
        <f>INDEX(TabREP[Moyenne],ROW()-10)</f>
        <v/>
      </c>
    </row>
    <row r="71" spans="2:6" ht="13.5">
      <c r="B71" s="29" t="str">
        <f>IF(INDEX(TabEntrainement[Seance],ROW()-10)&lt;&gt;0,INDEX(TabEntrainement[Seance],ROW()-10),"")</f>
        <v/>
      </c>
      <c r="C71" s="68" t="str">
        <f>INDEX(TabForme[Moyenne],ROW()-10)</f>
        <v/>
      </c>
      <c r="D71" s="69" t="str">
        <f>INDEX(TabPlaisir[Moyenne],ROW()-10)</f>
        <v/>
      </c>
      <c r="E71" s="70" t="str">
        <f>INDEX(TabPerfo[Moyenne],ROW()-10)</f>
        <v/>
      </c>
      <c r="F71" s="67" t="str">
        <f>INDEX(TabREP[Moyenne],ROW()-10)</f>
        <v/>
      </c>
    </row>
    <row r="72" spans="2:6" ht="13.5">
      <c r="B72" s="29" t="str">
        <f>IF(INDEX(TabEntrainement[Seance],ROW()-10)&lt;&gt;0,INDEX(TabEntrainement[Seance],ROW()-10),"")</f>
        <v/>
      </c>
      <c r="C72" s="68" t="str">
        <f>INDEX(TabForme[Moyenne],ROW()-10)</f>
        <v/>
      </c>
      <c r="D72" s="69" t="str">
        <f>INDEX(TabPlaisir[Moyenne],ROW()-10)</f>
        <v/>
      </c>
      <c r="E72" s="70" t="str">
        <f>INDEX(TabPerfo[Moyenne],ROW()-10)</f>
        <v/>
      </c>
      <c r="F72" s="67" t="str">
        <f>INDEX(TabREP[Moyenne],ROW()-10)</f>
        <v/>
      </c>
    </row>
    <row r="73" spans="2:6" ht="13.5">
      <c r="B73" s="29" t="str">
        <f>IF(INDEX(TabEntrainement[Seance],ROW()-10)&lt;&gt;0,INDEX(TabEntrainement[Seance],ROW()-10),"")</f>
        <v/>
      </c>
      <c r="C73" s="68" t="str">
        <f>INDEX(TabForme[Moyenne],ROW()-10)</f>
        <v/>
      </c>
      <c r="D73" s="69" t="str">
        <f>INDEX(TabPlaisir[Moyenne],ROW()-10)</f>
        <v/>
      </c>
      <c r="E73" s="70" t="str">
        <f>INDEX(TabPerfo[Moyenne],ROW()-10)</f>
        <v/>
      </c>
      <c r="F73" s="67" t="str">
        <f>INDEX(TabREP[Moyenne],ROW()-10)</f>
        <v/>
      </c>
    </row>
    <row r="74" spans="2:6" ht="13.5">
      <c r="B74" s="29" t="str">
        <f>IF(INDEX(TabEntrainement[Seance],ROW()-10)&lt;&gt;0,INDEX(TabEntrainement[Seance],ROW()-10),"")</f>
        <v/>
      </c>
      <c r="C74" s="68" t="str">
        <f>INDEX(TabForme[Moyenne],ROW()-10)</f>
        <v/>
      </c>
      <c r="D74" s="69" t="str">
        <f>INDEX(TabPlaisir[Moyenne],ROW()-10)</f>
        <v/>
      </c>
      <c r="E74" s="70" t="str">
        <f>INDEX(TabPerfo[Moyenne],ROW()-10)</f>
        <v/>
      </c>
      <c r="F74" s="67" t="str">
        <f>INDEX(TabREP[Moyenne],ROW()-10)</f>
        <v/>
      </c>
    </row>
    <row r="75" spans="2:6" ht="13.5">
      <c r="B75" s="29" t="str">
        <f>IF(INDEX(TabEntrainement[Seance],ROW()-10)&lt;&gt;0,INDEX(TabEntrainement[Seance],ROW()-10),"")</f>
        <v/>
      </c>
      <c r="C75" s="68" t="str">
        <f>INDEX(TabForme[Moyenne],ROW()-10)</f>
        <v/>
      </c>
      <c r="D75" s="69" t="str">
        <f>INDEX(TabPlaisir[Moyenne],ROW()-10)</f>
        <v/>
      </c>
      <c r="E75" s="70" t="str">
        <f>INDEX(TabPerfo[Moyenne],ROW()-10)</f>
        <v/>
      </c>
      <c r="F75" s="67" t="str">
        <f>INDEX(TabREP[Moyenne],ROW()-10)</f>
        <v/>
      </c>
    </row>
    <row r="76" spans="2:6" ht="13.5">
      <c r="B76" s="29" t="str">
        <f>IF(INDEX(TabEntrainement[Seance],ROW()-10)&lt;&gt;0,INDEX(TabEntrainement[Seance],ROW()-10),"")</f>
        <v/>
      </c>
      <c r="C76" s="68" t="str">
        <f>INDEX(TabForme[Moyenne],ROW()-10)</f>
        <v/>
      </c>
      <c r="D76" s="69" t="str">
        <f>INDEX(TabPlaisir[Moyenne],ROW()-10)</f>
        <v/>
      </c>
      <c r="E76" s="70" t="str">
        <f>INDEX(TabPerfo[Moyenne],ROW()-10)</f>
        <v/>
      </c>
      <c r="F76" s="67" t="str">
        <f>INDEX(TabREP[Moyenne],ROW()-10)</f>
        <v/>
      </c>
    </row>
    <row r="77" spans="2:6" ht="13.5">
      <c r="B77" s="29" t="str">
        <f>IF(INDEX(TabEntrainement[Seance],ROW()-10)&lt;&gt;0,INDEX(TabEntrainement[Seance],ROW()-10),"")</f>
        <v/>
      </c>
      <c r="C77" s="68" t="str">
        <f>INDEX(TabForme[Moyenne],ROW()-10)</f>
        <v/>
      </c>
      <c r="D77" s="69" t="str">
        <f>INDEX(TabPlaisir[Moyenne],ROW()-10)</f>
        <v/>
      </c>
      <c r="E77" s="70" t="str">
        <f>INDEX(TabPerfo[Moyenne],ROW()-10)</f>
        <v/>
      </c>
      <c r="F77" s="67" t="str">
        <f>INDEX(TabREP[Moyenne],ROW()-10)</f>
        <v/>
      </c>
    </row>
    <row r="78" spans="2:6" ht="13.5">
      <c r="B78" s="29" t="str">
        <f>IF(INDEX(TabEntrainement[Seance],ROW()-10)&lt;&gt;0,INDEX(TabEntrainement[Seance],ROW()-10),"")</f>
        <v/>
      </c>
      <c r="C78" s="68" t="str">
        <f>INDEX(TabForme[Moyenne],ROW()-10)</f>
        <v/>
      </c>
      <c r="D78" s="69" t="str">
        <f>INDEX(TabPlaisir[Moyenne],ROW()-10)</f>
        <v/>
      </c>
      <c r="E78" s="70" t="str">
        <f>INDEX(TabPerfo[Moyenne],ROW()-10)</f>
        <v/>
      </c>
      <c r="F78" s="67" t="str">
        <f>INDEX(TabREP[Moyenne],ROW()-10)</f>
        <v/>
      </c>
    </row>
    <row r="79" spans="2:6" ht="13.5">
      <c r="B79" s="29" t="str">
        <f>IF(INDEX(TabEntrainement[Seance],ROW()-10)&lt;&gt;0,INDEX(TabEntrainement[Seance],ROW()-10),"")</f>
        <v/>
      </c>
      <c r="C79" s="68" t="str">
        <f>INDEX(TabForme[Moyenne],ROW()-10)</f>
        <v/>
      </c>
      <c r="D79" s="69" t="str">
        <f>INDEX(TabPlaisir[Moyenne],ROW()-10)</f>
        <v/>
      </c>
      <c r="E79" s="70" t="str">
        <f>INDEX(TabPerfo[Moyenne],ROW()-10)</f>
        <v/>
      </c>
      <c r="F79" s="67" t="str">
        <f>INDEX(TabREP[Moyenne],ROW()-10)</f>
        <v/>
      </c>
    </row>
    <row r="80" spans="2:6" ht="13.5">
      <c r="B80" s="29" t="str">
        <f>IF(INDEX(TabEntrainement[Seance],ROW()-10)&lt;&gt;0,INDEX(TabEntrainement[Seance],ROW()-10),"")</f>
        <v/>
      </c>
      <c r="C80" s="68" t="str">
        <f>INDEX(TabForme[Moyenne],ROW()-10)</f>
        <v/>
      </c>
      <c r="D80" s="69" t="str">
        <f>INDEX(TabPlaisir[Moyenne],ROW()-10)</f>
        <v/>
      </c>
      <c r="E80" s="70" t="str">
        <f>INDEX(TabPerfo[Moyenne],ROW()-10)</f>
        <v/>
      </c>
      <c r="F80" s="67" t="str">
        <f>INDEX(TabREP[Moyenne],ROW()-10)</f>
        <v/>
      </c>
    </row>
    <row r="81" spans="2:6" ht="13.5">
      <c r="B81" s="29" t="str">
        <f>IF(INDEX(TabEntrainement[Seance],ROW()-10)&lt;&gt;0,INDEX(TabEntrainement[Seance],ROW()-10),"")</f>
        <v/>
      </c>
      <c r="C81" s="68" t="str">
        <f>INDEX(TabForme[Moyenne],ROW()-10)</f>
        <v/>
      </c>
      <c r="D81" s="69" t="str">
        <f>INDEX(TabPlaisir[Moyenne],ROW()-10)</f>
        <v/>
      </c>
      <c r="E81" s="70" t="str">
        <f>INDEX(TabPerfo[Moyenne],ROW()-10)</f>
        <v/>
      </c>
      <c r="F81" s="67" t="str">
        <f>INDEX(TabREP[Moyenne],ROW()-10)</f>
        <v/>
      </c>
    </row>
    <row r="82" spans="2:6" ht="13.5">
      <c r="B82" s="29" t="str">
        <f>IF(INDEX(TabEntrainement[Seance],ROW()-10)&lt;&gt;0,INDEX(TabEntrainement[Seance],ROW()-10),"")</f>
        <v/>
      </c>
      <c r="C82" s="68" t="str">
        <f>INDEX(TabForme[Moyenne],ROW()-10)</f>
        <v/>
      </c>
      <c r="D82" s="69" t="str">
        <f>INDEX(TabPlaisir[Moyenne],ROW()-10)</f>
        <v/>
      </c>
      <c r="E82" s="70" t="str">
        <f>INDEX(TabPerfo[Moyenne],ROW()-10)</f>
        <v/>
      </c>
      <c r="F82" s="67" t="str">
        <f>INDEX(TabREP[Moyenne],ROW()-10)</f>
        <v/>
      </c>
    </row>
    <row r="83" spans="2:6" ht="13.5">
      <c r="B83" s="29" t="str">
        <f>IF(INDEX(TabEntrainement[Seance],ROW()-10)&lt;&gt;0,INDEX(TabEntrainement[Seance],ROW()-10),"")</f>
        <v/>
      </c>
      <c r="C83" s="68" t="str">
        <f>INDEX(TabForme[Moyenne],ROW()-10)</f>
        <v/>
      </c>
      <c r="D83" s="69" t="str">
        <f>INDEX(TabPlaisir[Moyenne],ROW()-10)</f>
        <v/>
      </c>
      <c r="E83" s="70" t="str">
        <f>INDEX(TabPerfo[Moyenne],ROW()-10)</f>
        <v/>
      </c>
      <c r="F83" s="67" t="str">
        <f>INDEX(TabREP[Moyenne],ROW()-10)</f>
        <v/>
      </c>
    </row>
    <row r="84" spans="2:6" ht="13.5">
      <c r="B84" s="29" t="str">
        <f>IF(INDEX(TabEntrainement[Seance],ROW()-10)&lt;&gt;0,INDEX(TabEntrainement[Seance],ROW()-10),"")</f>
        <v/>
      </c>
      <c r="C84" s="68" t="str">
        <f>INDEX(TabForme[Moyenne],ROW()-10)</f>
        <v/>
      </c>
      <c r="D84" s="69" t="str">
        <f>INDEX(TabPlaisir[Moyenne],ROW()-10)</f>
        <v/>
      </c>
      <c r="E84" s="70" t="str">
        <f>INDEX(TabPerfo[Moyenne],ROW()-10)</f>
        <v/>
      </c>
      <c r="F84" s="67" t="str">
        <f>INDEX(TabREP[Moyenne],ROW()-10)</f>
        <v/>
      </c>
    </row>
    <row r="85" spans="2:6" ht="13.5">
      <c r="B85" s="29" t="str">
        <f>IF(INDEX(TabEntrainement[Seance],ROW()-10)&lt;&gt;0,INDEX(TabEntrainement[Seance],ROW()-10),"")</f>
        <v/>
      </c>
      <c r="C85" s="68" t="str">
        <f>INDEX(TabForme[Moyenne],ROW()-10)</f>
        <v/>
      </c>
      <c r="D85" s="69" t="str">
        <f>INDEX(TabPlaisir[Moyenne],ROW()-10)</f>
        <v/>
      </c>
      <c r="E85" s="70" t="str">
        <f>INDEX(TabPerfo[Moyenne],ROW()-10)</f>
        <v/>
      </c>
      <c r="F85" s="67" t="str">
        <f>INDEX(TabREP[Moyenne],ROW()-10)</f>
        <v/>
      </c>
    </row>
    <row r="86" spans="2:6" ht="13.5">
      <c r="B86" s="29" t="str">
        <f>IF(INDEX(TabEntrainement[Seance],ROW()-10)&lt;&gt;0,INDEX(TabEntrainement[Seance],ROW()-10),"")</f>
        <v/>
      </c>
      <c r="C86" s="68" t="str">
        <f>INDEX(TabForme[Moyenne],ROW()-10)</f>
        <v/>
      </c>
      <c r="D86" s="69" t="str">
        <f>INDEX(TabPlaisir[Moyenne],ROW()-10)</f>
        <v/>
      </c>
      <c r="E86" s="70" t="str">
        <f>INDEX(TabPerfo[Moyenne],ROW()-10)</f>
        <v/>
      </c>
      <c r="F86" s="67" t="str">
        <f>INDEX(TabREP[Moyenne],ROW()-10)</f>
        <v/>
      </c>
    </row>
    <row r="87" spans="2:6" ht="13.5">
      <c r="B87" s="29" t="str">
        <f>IF(INDEX(TabEntrainement[Seance],ROW()-10)&lt;&gt;0,INDEX(TabEntrainement[Seance],ROW()-10),"")</f>
        <v/>
      </c>
      <c r="C87" s="68" t="str">
        <f>INDEX(TabForme[Moyenne],ROW()-10)</f>
        <v/>
      </c>
      <c r="D87" s="69" t="str">
        <f>INDEX(TabPlaisir[Moyenne],ROW()-10)</f>
        <v/>
      </c>
      <c r="E87" s="70" t="str">
        <f>INDEX(TabPerfo[Moyenne],ROW()-10)</f>
        <v/>
      </c>
      <c r="F87" s="67" t="str">
        <f>INDEX(TabREP[Moyenne],ROW()-10)</f>
        <v/>
      </c>
    </row>
    <row r="88" spans="2:6" ht="13.5">
      <c r="B88" s="29" t="str">
        <f>IF(INDEX(TabEntrainement[Seance],ROW()-10)&lt;&gt;0,INDEX(TabEntrainement[Seance],ROW()-10),"")</f>
        <v/>
      </c>
      <c r="C88" s="68" t="str">
        <f>INDEX(TabForme[Moyenne],ROW()-10)</f>
        <v/>
      </c>
      <c r="D88" s="69" t="str">
        <f>INDEX(TabPlaisir[Moyenne],ROW()-10)</f>
        <v/>
      </c>
      <c r="E88" s="70" t="str">
        <f>INDEX(TabPerfo[Moyenne],ROW()-10)</f>
        <v/>
      </c>
      <c r="F88" s="67" t="str">
        <f>INDEX(TabREP[Moyenne],ROW()-10)</f>
        <v/>
      </c>
    </row>
    <row r="89" spans="2:6" ht="13.5">
      <c r="B89" s="29" t="str">
        <f>IF(INDEX(TabEntrainement[Seance],ROW()-10)&lt;&gt;0,INDEX(TabEntrainement[Seance],ROW()-10),"")</f>
        <v/>
      </c>
      <c r="C89" s="68" t="str">
        <f>INDEX(TabForme[Moyenne],ROW()-10)</f>
        <v/>
      </c>
      <c r="D89" s="69" t="str">
        <f>INDEX(TabPlaisir[Moyenne],ROW()-10)</f>
        <v/>
      </c>
      <c r="E89" s="70" t="str">
        <f>INDEX(TabPerfo[Moyenne],ROW()-10)</f>
        <v/>
      </c>
      <c r="F89" s="67" t="str">
        <f>INDEX(TabREP[Moyenne],ROW()-10)</f>
        <v/>
      </c>
    </row>
    <row r="90" spans="2:6" ht="13.5">
      <c r="B90" s="29" t="str">
        <f>IF(INDEX(TabEntrainement[Seance],ROW()-10)&lt;&gt;0,INDEX(TabEntrainement[Seance],ROW()-10),"")</f>
        <v/>
      </c>
      <c r="C90" s="68" t="str">
        <f>INDEX(TabForme[Moyenne],ROW()-10)</f>
        <v/>
      </c>
      <c r="D90" s="69" t="str">
        <f>INDEX(TabPlaisir[Moyenne],ROW()-10)</f>
        <v/>
      </c>
      <c r="E90" s="70" t="str">
        <f>INDEX(TabPerfo[Moyenne],ROW()-10)</f>
        <v/>
      </c>
      <c r="F90" s="67" t="str">
        <f>INDEX(TabREP[Moyenne],ROW()-10)</f>
        <v/>
      </c>
    </row>
    <row r="91" spans="2:6" ht="13.5">
      <c r="B91" s="29" t="str">
        <f>IF(INDEX(TabEntrainement[Seance],ROW()-10)&lt;&gt;0,INDEX(TabEntrainement[Seance],ROW()-10),"")</f>
        <v/>
      </c>
      <c r="C91" s="68" t="str">
        <f>INDEX(TabForme[Moyenne],ROW()-10)</f>
        <v/>
      </c>
      <c r="D91" s="69" t="str">
        <f>INDEX(TabPlaisir[Moyenne],ROW()-10)</f>
        <v/>
      </c>
      <c r="E91" s="70" t="str">
        <f>INDEX(TabPerfo[Moyenne],ROW()-10)</f>
        <v/>
      </c>
      <c r="F91" s="67" t="str">
        <f>INDEX(TabREP[Moyenne],ROW()-10)</f>
        <v/>
      </c>
    </row>
    <row r="92" spans="2:6" ht="13.5">
      <c r="B92" s="29" t="str">
        <f>IF(INDEX(TabEntrainement[Seance],ROW()-10)&lt;&gt;0,INDEX(TabEntrainement[Seance],ROW()-10),"")</f>
        <v/>
      </c>
      <c r="C92" s="68" t="str">
        <f>INDEX(TabForme[Moyenne],ROW()-10)</f>
        <v/>
      </c>
      <c r="D92" s="69" t="str">
        <f>INDEX(TabPlaisir[Moyenne],ROW()-10)</f>
        <v/>
      </c>
      <c r="E92" s="70" t="str">
        <f>INDEX(TabPerfo[Moyenne],ROW()-10)</f>
        <v/>
      </c>
      <c r="F92" s="67" t="str">
        <f>INDEX(TabREP[Moyenne],ROW()-10)</f>
        <v/>
      </c>
    </row>
    <row r="93" spans="2:6" ht="13.5">
      <c r="B93" s="29" t="str">
        <f>IF(INDEX(TabEntrainement[Seance],ROW()-10)&lt;&gt;0,INDEX(TabEntrainement[Seance],ROW()-10),"")</f>
        <v/>
      </c>
      <c r="C93" s="68" t="str">
        <f>INDEX(TabForme[Moyenne],ROW()-10)</f>
        <v/>
      </c>
      <c r="D93" s="69" t="str">
        <f>INDEX(TabPlaisir[Moyenne],ROW()-10)</f>
        <v/>
      </c>
      <c r="E93" s="70" t="str">
        <f>INDEX(TabPerfo[Moyenne],ROW()-10)</f>
        <v/>
      </c>
      <c r="F93" s="67" t="str">
        <f>INDEX(TabREP[Moyenne],ROW()-10)</f>
        <v/>
      </c>
    </row>
    <row r="94" spans="2:6" ht="13.5">
      <c r="B94" s="29" t="str">
        <f>IF(INDEX(TabEntrainement[Seance],ROW()-10)&lt;&gt;0,INDEX(TabEntrainement[Seance],ROW()-10),"")</f>
        <v/>
      </c>
      <c r="C94" s="68" t="str">
        <f>INDEX(TabForme[Moyenne],ROW()-10)</f>
        <v/>
      </c>
      <c r="D94" s="69" t="str">
        <f>INDEX(TabPlaisir[Moyenne],ROW()-10)</f>
        <v/>
      </c>
      <c r="E94" s="70" t="str">
        <f>INDEX(TabPerfo[Moyenne],ROW()-10)</f>
        <v/>
      </c>
      <c r="F94" s="67" t="str">
        <f>INDEX(TabREP[Moyenne],ROW()-10)</f>
        <v/>
      </c>
    </row>
    <row r="95" spans="2:6" ht="13.5">
      <c r="B95" s="29" t="str">
        <f>IF(INDEX(TabEntrainement[Seance],ROW()-10)&lt;&gt;0,INDEX(TabEntrainement[Seance],ROW()-10),"")</f>
        <v/>
      </c>
      <c r="C95" s="68" t="str">
        <f>INDEX(TabForme[Moyenne],ROW()-10)</f>
        <v/>
      </c>
      <c r="D95" s="69" t="str">
        <f>INDEX(TabPlaisir[Moyenne],ROW()-10)</f>
        <v/>
      </c>
      <c r="E95" s="70" t="str">
        <f>INDEX(TabPerfo[Moyenne],ROW()-10)</f>
        <v/>
      </c>
      <c r="F95" s="67" t="str">
        <f>INDEX(TabREP[Moyenne],ROW()-10)</f>
        <v/>
      </c>
    </row>
    <row r="96" spans="2:6" ht="13.5">
      <c r="B96" s="29" t="str">
        <f>IF(INDEX(TabEntrainement[Seance],ROW()-10)&lt;&gt;0,INDEX(TabEntrainement[Seance],ROW()-10),"")</f>
        <v/>
      </c>
      <c r="C96" s="68" t="str">
        <f>INDEX(TabForme[Moyenne],ROW()-10)</f>
        <v/>
      </c>
      <c r="D96" s="69" t="str">
        <f>INDEX(TabPlaisir[Moyenne],ROW()-10)</f>
        <v/>
      </c>
      <c r="E96" s="70" t="str">
        <f>INDEX(TabPerfo[Moyenne],ROW()-10)</f>
        <v/>
      </c>
      <c r="F96" s="67" t="str">
        <f>INDEX(TabREP[Moyenne],ROW()-10)</f>
        <v/>
      </c>
    </row>
    <row r="97" spans="2:6" ht="13.5">
      <c r="B97" s="29" t="str">
        <f>IF(INDEX(TabEntrainement[Seance],ROW()-10)&lt;&gt;0,INDEX(TabEntrainement[Seance],ROW()-10),"")</f>
        <v/>
      </c>
      <c r="C97" s="68" t="str">
        <f>INDEX(TabForme[Moyenne],ROW()-10)</f>
        <v/>
      </c>
      <c r="D97" s="69" t="str">
        <f>INDEX(TabPlaisir[Moyenne],ROW()-10)</f>
        <v/>
      </c>
      <c r="E97" s="70" t="str">
        <f>INDEX(TabPerfo[Moyenne],ROW()-10)</f>
        <v/>
      </c>
      <c r="F97" s="67" t="str">
        <f>INDEX(TabREP[Moyenne],ROW()-10)</f>
        <v/>
      </c>
    </row>
    <row r="98" spans="2:6" ht="13.5">
      <c r="B98" s="29" t="str">
        <f>IF(INDEX(TabEntrainement[Seance],ROW()-10)&lt;&gt;0,INDEX(TabEntrainement[Seance],ROW()-10),"")</f>
        <v/>
      </c>
      <c r="C98" s="68" t="str">
        <f>INDEX(TabForme[Moyenne],ROW()-10)</f>
        <v/>
      </c>
      <c r="D98" s="69" t="str">
        <f>INDEX(TabPlaisir[Moyenne],ROW()-10)</f>
        <v/>
      </c>
      <c r="E98" s="70" t="str">
        <f>INDEX(TabPerfo[Moyenne],ROW()-10)</f>
        <v/>
      </c>
      <c r="F98" s="67" t="str">
        <f>INDEX(TabREP[Moyenne],ROW()-10)</f>
        <v/>
      </c>
    </row>
    <row r="99" spans="2:6" ht="13.5">
      <c r="B99" s="29" t="str">
        <f>IF(INDEX(TabEntrainement[Seance],ROW()-10)&lt;&gt;0,INDEX(TabEntrainement[Seance],ROW()-10),"")</f>
        <v/>
      </c>
      <c r="C99" s="68" t="str">
        <f>INDEX(TabForme[Moyenne],ROW()-10)</f>
        <v/>
      </c>
      <c r="D99" s="69" t="str">
        <f>INDEX(TabPlaisir[Moyenne],ROW()-10)</f>
        <v/>
      </c>
      <c r="E99" s="70" t="str">
        <f>INDEX(TabPerfo[Moyenne],ROW()-10)</f>
        <v/>
      </c>
      <c r="F99" s="67" t="str">
        <f>INDEX(TabREP[Moyenne],ROW()-10)</f>
        <v/>
      </c>
    </row>
    <row r="100" spans="2:6" ht="13.5">
      <c r="B100" s="29" t="str">
        <f>IF(INDEX(TabEntrainement[Seance],ROW()-10)&lt;&gt;0,INDEX(TabEntrainement[Seance],ROW()-10),"")</f>
        <v/>
      </c>
      <c r="C100" s="68" t="str">
        <f>INDEX(TabForme[Moyenne],ROW()-10)</f>
        <v/>
      </c>
      <c r="D100" s="69" t="str">
        <f>INDEX(TabPlaisir[Moyenne],ROW()-10)</f>
        <v/>
      </c>
      <c r="E100" s="70" t="str">
        <f>INDEX(TabPerfo[Moyenne],ROW()-10)</f>
        <v/>
      </c>
      <c r="F100" s="67" t="str">
        <f>INDEX(TabREP[Moyenne],ROW()-10)</f>
        <v/>
      </c>
    </row>
    <row r="101" spans="2:6" ht="13.5">
      <c r="B101" s="29" t="str">
        <f>IF(INDEX(TabEntrainement[Seance],ROW()-10)&lt;&gt;0,INDEX(TabEntrainement[Seance],ROW()-10),"")</f>
        <v/>
      </c>
      <c r="C101" s="68" t="str">
        <f>INDEX(TabForme[Moyenne],ROW()-10)</f>
        <v/>
      </c>
      <c r="D101" s="69" t="str">
        <f>INDEX(TabPlaisir[Moyenne],ROW()-10)</f>
        <v/>
      </c>
      <c r="E101" s="70" t="str">
        <f>INDEX(TabPerfo[Moyenne],ROW()-10)</f>
        <v/>
      </c>
      <c r="F101" s="67" t="str">
        <f>INDEX(TabREP[Moyenne],ROW()-10)</f>
        <v/>
      </c>
    </row>
    <row r="102" spans="2:6" ht="13.5">
      <c r="B102" s="29" t="str">
        <f>IF(INDEX(TabEntrainement[Seance],ROW()-10)&lt;&gt;0,INDEX(TabEntrainement[Seance],ROW()-10),"")</f>
        <v/>
      </c>
      <c r="C102" s="68" t="str">
        <f>INDEX(TabForme[Moyenne],ROW()-10)</f>
        <v/>
      </c>
      <c r="D102" s="69" t="str">
        <f>INDEX(TabPlaisir[Moyenne],ROW()-10)</f>
        <v/>
      </c>
      <c r="E102" s="70" t="str">
        <f>INDEX(TabPerfo[Moyenne],ROW()-10)</f>
        <v/>
      </c>
      <c r="F102" s="67" t="str">
        <f>INDEX(TabREP[Moyenne],ROW()-10)</f>
        <v/>
      </c>
    </row>
    <row r="103" spans="2:6" ht="13.5">
      <c r="B103" s="29" t="str">
        <f>IF(INDEX(TabEntrainement[Seance],ROW()-10)&lt;&gt;0,INDEX(TabEntrainement[Seance],ROW()-10),"")</f>
        <v/>
      </c>
      <c r="C103" s="68" t="str">
        <f>INDEX(TabForme[Moyenne],ROW()-10)</f>
        <v/>
      </c>
      <c r="D103" s="69" t="str">
        <f>INDEX(TabPlaisir[Moyenne],ROW()-10)</f>
        <v/>
      </c>
      <c r="E103" s="70" t="str">
        <f>INDEX(TabPerfo[Moyenne],ROW()-10)</f>
        <v/>
      </c>
      <c r="F103" s="67" t="str">
        <f>INDEX(TabREP[Moyenne],ROW()-10)</f>
        <v/>
      </c>
    </row>
    <row r="104" spans="2:6" ht="13.5">
      <c r="B104" s="29" t="str">
        <f>IF(INDEX(TabEntrainement[Seance],ROW()-10)&lt;&gt;0,INDEX(TabEntrainement[Seance],ROW()-10),"")</f>
        <v/>
      </c>
      <c r="C104" s="68" t="str">
        <f>INDEX(TabForme[Moyenne],ROW()-10)</f>
        <v/>
      </c>
      <c r="D104" s="69" t="str">
        <f>INDEX(TabPlaisir[Moyenne],ROW()-10)</f>
        <v/>
      </c>
      <c r="E104" s="70" t="str">
        <f>INDEX(TabPerfo[Moyenne],ROW()-10)</f>
        <v/>
      </c>
      <c r="F104" s="67" t="str">
        <f>INDEX(TabREP[Moyenne],ROW()-10)</f>
        <v/>
      </c>
    </row>
    <row r="105" spans="2:6" ht="13.5">
      <c r="B105" s="29" t="str">
        <f>IF(INDEX(TabEntrainement[Seance],ROW()-10)&lt;&gt;0,INDEX(TabEntrainement[Seance],ROW()-10),"")</f>
        <v/>
      </c>
      <c r="C105" s="68" t="str">
        <f>INDEX(TabForme[Moyenne],ROW()-10)</f>
        <v/>
      </c>
      <c r="D105" s="69" t="str">
        <f>INDEX(TabPlaisir[Moyenne],ROW()-10)</f>
        <v/>
      </c>
      <c r="E105" s="70" t="str">
        <f>INDEX(TabPerfo[Moyenne],ROW()-10)</f>
        <v/>
      </c>
      <c r="F105" s="67" t="str">
        <f>INDEX(TabREP[Moyenne],ROW()-10)</f>
        <v/>
      </c>
    </row>
    <row r="106" spans="2:6" ht="13.5">
      <c r="B106" s="29" t="str">
        <f>IF(INDEX(TabEntrainement[Seance],ROW()-10)&lt;&gt;0,INDEX(TabEntrainement[Seance],ROW()-10),"")</f>
        <v/>
      </c>
      <c r="C106" s="68" t="str">
        <f>INDEX(TabForme[Moyenne],ROW()-10)</f>
        <v/>
      </c>
      <c r="D106" s="69" t="str">
        <f>INDEX(TabPlaisir[Moyenne],ROW()-10)</f>
        <v/>
      </c>
      <c r="E106" s="70" t="str">
        <f>INDEX(TabPerfo[Moyenne],ROW()-10)</f>
        <v/>
      </c>
      <c r="F106" s="67" t="str">
        <f>INDEX(TabREP[Moyenne],ROW()-10)</f>
        <v/>
      </c>
    </row>
    <row r="107" spans="2:6" ht="13.5">
      <c r="B107" s="29" t="str">
        <f>IF(INDEX(TabEntrainement[Seance],ROW()-10)&lt;&gt;0,INDEX(TabEntrainement[Seance],ROW()-10),"")</f>
        <v/>
      </c>
      <c r="C107" s="68" t="str">
        <f>INDEX(TabForme[Moyenne],ROW()-10)</f>
        <v/>
      </c>
      <c r="D107" s="69" t="str">
        <f>INDEX(TabPlaisir[Moyenne],ROW()-10)</f>
        <v/>
      </c>
      <c r="E107" s="70" t="str">
        <f>INDEX(TabPerfo[Moyenne],ROW()-10)</f>
        <v/>
      </c>
      <c r="F107" s="67" t="str">
        <f>INDEX(TabREP[Moyenne],ROW()-10)</f>
        <v/>
      </c>
    </row>
    <row r="108" spans="2:6" ht="13.5">
      <c r="B108" s="29" t="str">
        <f>IF(INDEX(TabEntrainement[Seance],ROW()-10)&lt;&gt;0,INDEX(TabEntrainement[Seance],ROW()-10),"")</f>
        <v/>
      </c>
      <c r="C108" s="68" t="str">
        <f>INDEX(TabForme[Moyenne],ROW()-10)</f>
        <v/>
      </c>
      <c r="D108" s="69" t="str">
        <f>INDEX(TabPlaisir[Moyenne],ROW()-10)</f>
        <v/>
      </c>
      <c r="E108" s="70" t="str">
        <f>INDEX(TabPerfo[Moyenne],ROW()-10)</f>
        <v/>
      </c>
      <c r="F108" s="67" t="str">
        <f>INDEX(TabREP[Moyenne],ROW()-10)</f>
        <v/>
      </c>
    </row>
    <row r="109" spans="2:6" ht="13.5">
      <c r="B109" s="29" t="str">
        <f>IF(INDEX(TabEntrainement[Seance],ROW()-10)&lt;&gt;0,INDEX(TabEntrainement[Seance],ROW()-10),"")</f>
        <v/>
      </c>
      <c r="C109" s="68" t="str">
        <f>INDEX(TabForme[Moyenne],ROW()-10)</f>
        <v/>
      </c>
      <c r="D109" s="69" t="str">
        <f>INDEX(TabPlaisir[Moyenne],ROW()-10)</f>
        <v/>
      </c>
      <c r="E109" s="70" t="str">
        <f>INDEX(TabPerfo[Moyenne],ROW()-10)</f>
        <v/>
      </c>
      <c r="F109" s="67" t="str">
        <f>INDEX(TabREP[Moyenne],ROW()-10)</f>
        <v/>
      </c>
    </row>
    <row r="110" spans="2:6" ht="13.5">
      <c r="B110" s="29" t="str">
        <f>IF(INDEX(TabEntrainement[Seance],ROW()-10)&lt;&gt;0,INDEX(TabEntrainement[Seance],ROW()-10),"")</f>
        <v/>
      </c>
      <c r="C110" s="68" t="str">
        <f>INDEX(TabForme[Moyenne],ROW()-10)</f>
        <v/>
      </c>
      <c r="D110" s="69" t="str">
        <f>INDEX(TabPlaisir[Moyenne],ROW()-10)</f>
        <v/>
      </c>
      <c r="E110" s="70" t="str">
        <f>INDEX(TabPerfo[Moyenne],ROW()-10)</f>
        <v/>
      </c>
      <c r="F110" s="67" t="str">
        <f>INDEX(TabREP[Moyenne],ROW()-10)</f>
        <v/>
      </c>
    </row>
    <row r="111" spans="2:6" ht="13.5">
      <c r="B111" s="29" t="str">
        <f>IF(INDEX(TabEntrainement[Seance],ROW()-10)&lt;&gt;0,INDEX(TabEntrainement[Seance],ROW()-10),"")</f>
        <v/>
      </c>
      <c r="C111" s="68" t="str">
        <f>INDEX(TabForme[Moyenne],ROW()-10)</f>
        <v/>
      </c>
      <c r="D111" s="69" t="str">
        <f>INDEX(TabPlaisir[Moyenne],ROW()-10)</f>
        <v/>
      </c>
      <c r="E111" s="70" t="str">
        <f>INDEX(TabPerfo[Moyenne],ROW()-10)</f>
        <v/>
      </c>
      <c r="F111" s="67" t="str">
        <f>INDEX(TabREP[Moyenne],ROW()-10)</f>
        <v/>
      </c>
    </row>
    <row r="112" spans="2:6" ht="13.5">
      <c r="B112" s="29" t="str">
        <f>IF(INDEX(TabEntrainement[Seance],ROW()-10)&lt;&gt;0,INDEX(TabEntrainement[Seance],ROW()-10),"")</f>
        <v/>
      </c>
      <c r="C112" s="68" t="str">
        <f>INDEX(TabForme[Moyenne],ROW()-10)</f>
        <v/>
      </c>
      <c r="D112" s="69" t="str">
        <f>INDEX(TabPlaisir[Moyenne],ROW()-10)</f>
        <v/>
      </c>
      <c r="E112" s="70" t="str">
        <f>INDEX(TabPerfo[Moyenne],ROW()-10)</f>
        <v/>
      </c>
      <c r="F112" s="67" t="str">
        <f>INDEX(TabREP[Moyenne],ROW()-10)</f>
        <v/>
      </c>
    </row>
    <row r="113" spans="2:6" ht="13.5">
      <c r="B113" s="29" t="str">
        <f>IF(INDEX(TabEntrainement[Seance],ROW()-10)&lt;&gt;0,INDEX(TabEntrainement[Seance],ROW()-10),"")</f>
        <v/>
      </c>
      <c r="C113" s="68" t="str">
        <f>INDEX(TabForme[Moyenne],ROW()-10)</f>
        <v/>
      </c>
      <c r="D113" s="69" t="str">
        <f>INDEX(TabPlaisir[Moyenne],ROW()-10)</f>
        <v/>
      </c>
      <c r="E113" s="70" t="str">
        <f>INDEX(TabPerfo[Moyenne],ROW()-10)</f>
        <v/>
      </c>
      <c r="F113" s="67" t="str">
        <f>INDEX(TabREP[Moyenne],ROW()-10)</f>
        <v/>
      </c>
    </row>
    <row r="114" spans="2:6" ht="13.5">
      <c r="B114" s="29" t="str">
        <f>IF(INDEX(TabEntrainement[Seance],ROW()-10)&lt;&gt;0,INDEX(TabEntrainement[Seance],ROW()-10),"")</f>
        <v/>
      </c>
      <c r="C114" s="68" t="str">
        <f>INDEX(TabForme[Moyenne],ROW()-10)</f>
        <v/>
      </c>
      <c r="D114" s="69" t="str">
        <f>INDEX(TabPlaisir[Moyenne],ROW()-10)</f>
        <v/>
      </c>
      <c r="E114" s="70" t="str">
        <f>INDEX(TabPerfo[Moyenne],ROW()-10)</f>
        <v/>
      </c>
      <c r="F114" s="67" t="str">
        <f>INDEX(TabREP[Moyenne],ROW()-10)</f>
        <v/>
      </c>
    </row>
    <row r="115" spans="2:6" ht="13.5">
      <c r="B115" s="29" t="str">
        <f>IF(INDEX(TabEntrainement[Seance],ROW()-10)&lt;&gt;0,INDEX(TabEntrainement[Seance],ROW()-10),"")</f>
        <v/>
      </c>
      <c r="C115" s="68" t="str">
        <f>INDEX(TabForme[Moyenne],ROW()-10)</f>
        <v/>
      </c>
      <c r="D115" s="69" t="str">
        <f>INDEX(TabPlaisir[Moyenne],ROW()-10)</f>
        <v/>
      </c>
      <c r="E115" s="70" t="str">
        <f>INDEX(TabPerfo[Moyenne],ROW()-10)</f>
        <v/>
      </c>
      <c r="F115" s="67" t="str">
        <f>INDEX(TabREP[Moyenne],ROW()-10)</f>
        <v/>
      </c>
    </row>
    <row r="116" spans="2:6" ht="13.5">
      <c r="B116" s="29" t="str">
        <f>IF(INDEX(TabEntrainement[Seance],ROW()-10)&lt;&gt;0,INDEX(TabEntrainement[Seance],ROW()-10),"")</f>
        <v/>
      </c>
      <c r="C116" s="68" t="str">
        <f>INDEX(TabForme[Moyenne],ROW()-10)</f>
        <v/>
      </c>
      <c r="D116" s="69" t="str">
        <f>INDEX(TabPlaisir[Moyenne],ROW()-10)</f>
        <v/>
      </c>
      <c r="E116" s="70" t="str">
        <f>INDEX(TabPerfo[Moyenne],ROW()-10)</f>
        <v/>
      </c>
      <c r="F116" s="67" t="str">
        <f>INDEX(TabREP[Moyenne],ROW()-10)</f>
        <v/>
      </c>
    </row>
    <row r="117" spans="2:6" ht="13.5">
      <c r="B117" s="29" t="str">
        <f>IF(INDEX(TabEntrainement[Seance],ROW()-10)&lt;&gt;0,INDEX(TabEntrainement[Seance],ROW()-10),"")</f>
        <v/>
      </c>
      <c r="C117" s="68" t="str">
        <f>INDEX(TabForme[Moyenne],ROW()-10)</f>
        <v/>
      </c>
      <c r="D117" s="69" t="str">
        <f>INDEX(TabPlaisir[Moyenne],ROW()-10)</f>
        <v/>
      </c>
      <c r="E117" s="70" t="str">
        <f>INDEX(TabPerfo[Moyenne],ROW()-10)</f>
        <v/>
      </c>
      <c r="F117" s="67" t="str">
        <f>INDEX(TabREP[Moyenne],ROW()-10)</f>
        <v/>
      </c>
    </row>
    <row r="118" spans="2:6" ht="13.5">
      <c r="B118" s="29" t="str">
        <f>IF(INDEX(TabEntrainement[Seance],ROW()-10)&lt;&gt;0,INDEX(TabEntrainement[Seance],ROW()-10),"")</f>
        <v/>
      </c>
      <c r="C118" s="68" t="str">
        <f>INDEX(TabForme[Moyenne],ROW()-10)</f>
        <v/>
      </c>
      <c r="D118" s="69" t="str">
        <f>INDEX(TabPlaisir[Moyenne],ROW()-10)</f>
        <v/>
      </c>
      <c r="E118" s="70" t="str">
        <f>INDEX(TabPerfo[Moyenne],ROW()-10)</f>
        <v/>
      </c>
      <c r="F118" s="67" t="str">
        <f>INDEX(TabREP[Moyenne],ROW()-10)</f>
        <v/>
      </c>
    </row>
    <row r="119" spans="2:6" ht="13.5">
      <c r="B119" s="29" t="str">
        <f>IF(INDEX(TabEntrainement[Seance],ROW()-10)&lt;&gt;0,INDEX(TabEntrainement[Seance],ROW()-10),"")</f>
        <v/>
      </c>
      <c r="C119" s="68" t="str">
        <f>INDEX(TabForme[Moyenne],ROW()-10)</f>
        <v/>
      </c>
      <c r="D119" s="69" t="str">
        <f>INDEX(TabPlaisir[Moyenne],ROW()-10)</f>
        <v/>
      </c>
      <c r="E119" s="70" t="str">
        <f>INDEX(TabPerfo[Moyenne],ROW()-10)</f>
        <v/>
      </c>
      <c r="F119" s="67" t="str">
        <f>INDEX(TabREP[Moyenne],ROW()-10)</f>
        <v/>
      </c>
    </row>
    <row r="120" spans="2:6" ht="13.5">
      <c r="B120" s="29" t="str">
        <f>IF(INDEX(TabEntrainement[Seance],ROW()-10)&lt;&gt;0,INDEX(TabEntrainement[Seance],ROW()-10),"")</f>
        <v/>
      </c>
      <c r="C120" s="68" t="str">
        <f>INDEX(TabForme[Moyenne],ROW()-10)</f>
        <v/>
      </c>
      <c r="D120" s="69" t="str">
        <f>INDEX(TabPlaisir[Moyenne],ROW()-10)</f>
        <v/>
      </c>
      <c r="E120" s="70" t="str">
        <f>INDEX(TabPerfo[Moyenne],ROW()-10)</f>
        <v/>
      </c>
      <c r="F120" s="67" t="str">
        <f>INDEX(TabREP[Moyenne],ROW()-10)</f>
        <v/>
      </c>
    </row>
    <row r="121" spans="2:6" ht="13.5">
      <c r="B121" s="29" t="str">
        <f>IF(INDEX(TabEntrainement[Seance],ROW()-10)&lt;&gt;0,INDEX(TabEntrainement[Seance],ROW()-10),"")</f>
        <v/>
      </c>
      <c r="C121" s="68" t="str">
        <f>INDEX(TabForme[Moyenne],ROW()-10)</f>
        <v/>
      </c>
      <c r="D121" s="69" t="str">
        <f>INDEX(TabPlaisir[Moyenne],ROW()-10)</f>
        <v/>
      </c>
      <c r="E121" s="70" t="str">
        <f>INDEX(TabPerfo[Moyenne],ROW()-10)</f>
        <v/>
      </c>
      <c r="F121" s="67" t="str">
        <f>INDEX(TabREP[Moyenne],ROW()-10)</f>
        <v/>
      </c>
    </row>
    <row r="122" spans="2:6" ht="13.5">
      <c r="B122" s="29" t="str">
        <f>IF(INDEX(TabEntrainement[Seance],ROW()-10)&lt;&gt;0,INDEX(TabEntrainement[Seance],ROW()-10),"")</f>
        <v/>
      </c>
      <c r="C122" s="68" t="str">
        <f>INDEX(TabForme[Moyenne],ROW()-10)</f>
        <v/>
      </c>
      <c r="D122" s="69" t="str">
        <f>INDEX(TabPlaisir[Moyenne],ROW()-10)</f>
        <v/>
      </c>
      <c r="E122" s="70" t="str">
        <f>INDEX(TabPerfo[Moyenne],ROW()-10)</f>
        <v/>
      </c>
      <c r="F122" s="67" t="str">
        <f>INDEX(TabREP[Moyenne],ROW()-10)</f>
        <v/>
      </c>
    </row>
    <row r="123" spans="2:6" ht="13.5">
      <c r="B123" s="29" t="str">
        <f>IF(INDEX(TabEntrainement[Seance],ROW()-10)&lt;&gt;0,INDEX(TabEntrainement[Seance],ROW()-10),"")</f>
        <v/>
      </c>
      <c r="C123" s="68" t="str">
        <f>INDEX(TabForme[Moyenne],ROW()-10)</f>
        <v/>
      </c>
      <c r="D123" s="69" t="str">
        <f>INDEX(TabPlaisir[Moyenne],ROW()-10)</f>
        <v/>
      </c>
      <c r="E123" s="70" t="str">
        <f>INDEX(TabPerfo[Moyenne],ROW()-10)</f>
        <v/>
      </c>
      <c r="F123" s="67" t="str">
        <f>INDEX(TabREP[Moyenne],ROW()-10)</f>
        <v/>
      </c>
    </row>
    <row r="124" spans="2:6" ht="13.5">
      <c r="B124" s="29" t="str">
        <f>IF(INDEX(TabEntrainement[Seance],ROW()-10)&lt;&gt;0,INDEX(TabEntrainement[Seance],ROW()-10),"")</f>
        <v/>
      </c>
      <c r="C124" s="68" t="str">
        <f>INDEX(TabForme[Moyenne],ROW()-10)</f>
        <v/>
      </c>
      <c r="D124" s="69" t="str">
        <f>INDEX(TabPlaisir[Moyenne],ROW()-10)</f>
        <v/>
      </c>
      <c r="E124" s="70" t="str">
        <f>INDEX(TabPerfo[Moyenne],ROW()-10)</f>
        <v/>
      </c>
      <c r="F124" s="67" t="str">
        <f>INDEX(TabREP[Moyenne],ROW()-10)</f>
        <v/>
      </c>
    </row>
    <row r="125" spans="2:6" ht="13.5">
      <c r="B125" s="29" t="str">
        <f>IF(INDEX(TabEntrainement[Seance],ROW()-10)&lt;&gt;0,INDEX(TabEntrainement[Seance],ROW()-10),"")</f>
        <v/>
      </c>
      <c r="C125" s="68" t="str">
        <f>INDEX(TabForme[Moyenne],ROW()-10)</f>
        <v/>
      </c>
      <c r="D125" s="69" t="str">
        <f>INDEX(TabPlaisir[Moyenne],ROW()-10)</f>
        <v/>
      </c>
      <c r="E125" s="70" t="str">
        <f>INDEX(TabPerfo[Moyenne],ROW()-10)</f>
        <v/>
      </c>
      <c r="F125" s="67" t="str">
        <f>INDEX(TabREP[Moyenne],ROW()-10)</f>
        <v/>
      </c>
    </row>
    <row r="126" spans="2:6" ht="13.5">
      <c r="B126" s="29" t="str">
        <f>IF(INDEX(TabEntrainement[Seance],ROW()-10)&lt;&gt;0,INDEX(TabEntrainement[Seance],ROW()-10),"")</f>
        <v/>
      </c>
      <c r="C126" s="68" t="str">
        <f>INDEX(TabForme[Moyenne],ROW()-10)</f>
        <v/>
      </c>
      <c r="D126" s="69" t="str">
        <f>INDEX(TabPlaisir[Moyenne],ROW()-10)</f>
        <v/>
      </c>
      <c r="E126" s="70" t="str">
        <f>INDEX(TabPerfo[Moyenne],ROW()-10)</f>
        <v/>
      </c>
      <c r="F126" s="67" t="str">
        <f>INDEX(TabREP[Moyenne],ROW()-10)</f>
        <v/>
      </c>
    </row>
    <row r="127" spans="2:6" ht="13.5">
      <c r="B127" s="29" t="str">
        <f>IF(INDEX(TabEntrainement[Seance],ROW()-10)&lt;&gt;0,INDEX(TabEntrainement[Seance],ROW()-10),"")</f>
        <v/>
      </c>
      <c r="C127" s="68" t="str">
        <f>INDEX(TabForme[Moyenne],ROW()-10)</f>
        <v/>
      </c>
      <c r="D127" s="69" t="str">
        <f>INDEX(TabPlaisir[Moyenne],ROW()-10)</f>
        <v/>
      </c>
      <c r="E127" s="70" t="str">
        <f>INDEX(TabPerfo[Moyenne],ROW()-10)</f>
        <v/>
      </c>
      <c r="F127" s="67" t="str">
        <f>INDEX(TabREP[Moyenne],ROW()-10)</f>
        <v/>
      </c>
    </row>
    <row r="128" spans="2:6" ht="13.5">
      <c r="B128" s="29" t="str">
        <f>IF(INDEX(TabEntrainement[Seance],ROW()-10)&lt;&gt;0,INDEX(TabEntrainement[Seance],ROW()-10),"")</f>
        <v/>
      </c>
      <c r="C128" s="68" t="str">
        <f>INDEX(TabForme[Moyenne],ROW()-10)</f>
        <v/>
      </c>
      <c r="D128" s="69" t="str">
        <f>INDEX(TabPlaisir[Moyenne],ROW()-10)</f>
        <v/>
      </c>
      <c r="E128" s="70" t="str">
        <f>INDEX(TabPerfo[Moyenne],ROW()-10)</f>
        <v/>
      </c>
      <c r="F128" s="67" t="str">
        <f>INDEX(TabREP[Moyenne],ROW()-10)</f>
        <v/>
      </c>
    </row>
    <row r="129" spans="2:6" ht="13.5">
      <c r="B129" s="29" t="str">
        <f>IF(INDEX(TabEntrainement[Seance],ROW()-10)&lt;&gt;0,INDEX(TabEntrainement[Seance],ROW()-10),"")</f>
        <v/>
      </c>
      <c r="C129" s="68" t="str">
        <f>INDEX(TabForme[Moyenne],ROW()-10)</f>
        <v/>
      </c>
      <c r="D129" s="69" t="str">
        <f>INDEX(TabPlaisir[Moyenne],ROW()-10)</f>
        <v/>
      </c>
      <c r="E129" s="70" t="str">
        <f>INDEX(TabPerfo[Moyenne],ROW()-10)</f>
        <v/>
      </c>
      <c r="F129" s="67" t="str">
        <f>INDEX(TabREP[Moyenne],ROW()-10)</f>
        <v/>
      </c>
    </row>
    <row r="130" spans="2:6" ht="13.5">
      <c r="B130" s="29" t="str">
        <f>IF(INDEX(TabEntrainement[Seance],ROW()-10)&lt;&gt;0,INDEX(TabEntrainement[Seance],ROW()-10),"")</f>
        <v/>
      </c>
      <c r="C130" s="68" t="str">
        <f>INDEX(TabForme[Moyenne],ROW()-10)</f>
        <v/>
      </c>
      <c r="D130" s="69" t="str">
        <f>INDEX(TabPlaisir[Moyenne],ROW()-10)</f>
        <v/>
      </c>
      <c r="E130" s="70" t="str">
        <f>INDEX(TabPerfo[Moyenne],ROW()-10)</f>
        <v/>
      </c>
      <c r="F130" s="67" t="str">
        <f>INDEX(TabREP[Moyenne],ROW()-10)</f>
        <v/>
      </c>
    </row>
    <row r="131" spans="2:6" ht="13.5">
      <c r="B131" s="29" t="str">
        <f>IF(INDEX(TabEntrainement[Seance],ROW()-10)&lt;&gt;0,INDEX(TabEntrainement[Seance],ROW()-10),"")</f>
        <v/>
      </c>
      <c r="C131" s="68" t="str">
        <f>INDEX(TabForme[Moyenne],ROW()-10)</f>
        <v/>
      </c>
      <c r="D131" s="69" t="str">
        <f>INDEX(TabPlaisir[Moyenne],ROW()-10)</f>
        <v/>
      </c>
      <c r="E131" s="70" t="str">
        <f>INDEX(TabPerfo[Moyenne],ROW()-10)</f>
        <v/>
      </c>
      <c r="F131" s="67" t="str">
        <f>INDEX(TabREP[Moyenne],ROW()-10)</f>
        <v/>
      </c>
    </row>
    <row r="132" spans="2:6" ht="13.5">
      <c r="B132" s="29" t="str">
        <f>IF(INDEX(TabEntrainement[Seance],ROW()-10)&lt;&gt;0,INDEX(TabEntrainement[Seance],ROW()-10),"")</f>
        <v/>
      </c>
      <c r="C132" s="68" t="str">
        <f>INDEX(TabForme[Moyenne],ROW()-10)</f>
        <v/>
      </c>
      <c r="D132" s="69" t="str">
        <f>INDEX(TabPlaisir[Moyenne],ROW()-10)</f>
        <v/>
      </c>
      <c r="E132" s="70" t="str">
        <f>INDEX(TabPerfo[Moyenne],ROW()-10)</f>
        <v/>
      </c>
      <c r="F132" s="67" t="str">
        <f>INDEX(TabREP[Moyenne],ROW()-10)</f>
        <v/>
      </c>
    </row>
    <row r="133" spans="2:6" ht="13.5">
      <c r="B133" s="29" t="str">
        <f>IF(INDEX(TabEntrainement[Seance],ROW()-10)&lt;&gt;0,INDEX(TabEntrainement[Seance],ROW()-10),"")</f>
        <v/>
      </c>
      <c r="C133" s="68" t="str">
        <f>INDEX(TabForme[Moyenne],ROW()-10)</f>
        <v/>
      </c>
      <c r="D133" s="69" t="str">
        <f>INDEX(TabPlaisir[Moyenne],ROW()-10)</f>
        <v/>
      </c>
      <c r="E133" s="70" t="str">
        <f>INDEX(TabPerfo[Moyenne],ROW()-10)</f>
        <v/>
      </c>
      <c r="F133" s="67" t="str">
        <f>INDEX(TabREP[Moyenne],ROW()-10)</f>
        <v/>
      </c>
    </row>
    <row r="134" spans="2:6" ht="13.5">
      <c r="B134" s="29" t="str">
        <f>IF(INDEX(TabEntrainement[Seance],ROW()-10)&lt;&gt;0,INDEX(TabEntrainement[Seance],ROW()-10),"")</f>
        <v/>
      </c>
      <c r="C134" s="68" t="str">
        <f>INDEX(TabForme[Moyenne],ROW()-10)</f>
        <v/>
      </c>
      <c r="D134" s="69" t="str">
        <f>INDEX(TabPlaisir[Moyenne],ROW()-10)</f>
        <v/>
      </c>
      <c r="E134" s="70" t="str">
        <f>INDEX(TabPerfo[Moyenne],ROW()-10)</f>
        <v/>
      </c>
      <c r="F134" s="67" t="str">
        <f>INDEX(TabREP[Moyenne],ROW()-10)</f>
        <v/>
      </c>
    </row>
    <row r="135" spans="2:6" ht="13.5">
      <c r="B135" s="29" t="str">
        <f>IF(INDEX(TabEntrainement[Seance],ROW()-10)&lt;&gt;0,INDEX(TabEntrainement[Seance],ROW()-10),"")</f>
        <v/>
      </c>
      <c r="C135" s="68" t="str">
        <f>INDEX(TabForme[Moyenne],ROW()-10)</f>
        <v/>
      </c>
      <c r="D135" s="69" t="str">
        <f>INDEX(TabPlaisir[Moyenne],ROW()-10)</f>
        <v/>
      </c>
      <c r="E135" s="70" t="str">
        <f>INDEX(TabPerfo[Moyenne],ROW()-10)</f>
        <v/>
      </c>
      <c r="F135" s="67" t="str">
        <f>INDEX(TabREP[Moyenne],ROW()-10)</f>
        <v/>
      </c>
    </row>
    <row r="136" spans="2:6" ht="13.5">
      <c r="B136" s="29" t="str">
        <f>IF(INDEX(TabEntrainement[Seance],ROW()-10)&lt;&gt;0,INDEX(TabEntrainement[Seance],ROW()-10),"")</f>
        <v/>
      </c>
      <c r="C136" s="68" t="str">
        <f>INDEX(TabForme[Moyenne],ROW()-10)</f>
        <v/>
      </c>
      <c r="D136" s="69" t="str">
        <f>INDEX(TabPlaisir[Moyenne],ROW()-10)</f>
        <v/>
      </c>
      <c r="E136" s="70" t="str">
        <f>INDEX(TabPerfo[Moyenne],ROW()-10)</f>
        <v/>
      </c>
      <c r="F136" s="67" t="str">
        <f>INDEX(TabREP[Moyenne],ROW()-10)</f>
        <v/>
      </c>
    </row>
    <row r="137" spans="2:6" ht="13.5">
      <c r="B137" s="29" t="str">
        <f>IF(INDEX(TabEntrainement[Seance],ROW()-10)&lt;&gt;0,INDEX(TabEntrainement[Seance],ROW()-10),"")</f>
        <v/>
      </c>
      <c r="C137" s="68" t="str">
        <f>INDEX(TabForme[Moyenne],ROW()-10)</f>
        <v/>
      </c>
      <c r="D137" s="69" t="str">
        <f>INDEX(TabPlaisir[Moyenne],ROW()-10)</f>
        <v/>
      </c>
      <c r="E137" s="70" t="str">
        <f>INDEX(TabPerfo[Moyenne],ROW()-10)</f>
        <v/>
      </c>
      <c r="F137" s="67" t="str">
        <f>INDEX(TabREP[Moyenne],ROW()-10)</f>
        <v/>
      </c>
    </row>
    <row r="138" spans="2:6" ht="13.5">
      <c r="B138" s="29" t="str">
        <f>IF(INDEX(TabEntrainement[Seance],ROW()-10)&lt;&gt;0,INDEX(TabEntrainement[Seance],ROW()-10),"")</f>
        <v/>
      </c>
      <c r="C138" s="68" t="str">
        <f>INDEX(TabForme[Moyenne],ROW()-10)</f>
        <v/>
      </c>
      <c r="D138" s="69" t="str">
        <f>INDEX(TabPlaisir[Moyenne],ROW()-10)</f>
        <v/>
      </c>
      <c r="E138" s="70" t="str">
        <f>INDEX(TabPerfo[Moyenne],ROW()-10)</f>
        <v/>
      </c>
      <c r="F138" s="67" t="str">
        <f>INDEX(TabREP[Moyenne],ROW()-10)</f>
        <v/>
      </c>
    </row>
    <row r="139" spans="2:6" ht="13.5">
      <c r="B139" s="29" t="str">
        <f>IF(INDEX(TabEntrainement[Seance],ROW()-10)&lt;&gt;0,INDEX(TabEntrainement[Seance],ROW()-10),"")</f>
        <v/>
      </c>
      <c r="C139" s="68" t="str">
        <f>INDEX(TabForme[Moyenne],ROW()-10)</f>
        <v/>
      </c>
      <c r="D139" s="69" t="str">
        <f>INDEX(TabPlaisir[Moyenne],ROW()-10)</f>
        <v/>
      </c>
      <c r="E139" s="70" t="str">
        <f>INDEX(TabPerfo[Moyenne],ROW()-10)</f>
        <v/>
      </c>
      <c r="F139" s="67" t="str">
        <f>INDEX(TabREP[Moyenne],ROW()-10)</f>
        <v/>
      </c>
    </row>
    <row r="140" spans="2:6" ht="13.5">
      <c r="B140" s="29" t="str">
        <f>IF(INDEX(TabEntrainement[Seance],ROW()-10)&lt;&gt;0,INDEX(TabEntrainement[Seance],ROW()-10),"")</f>
        <v/>
      </c>
      <c r="C140" s="68" t="str">
        <f>INDEX(TabForme[Moyenne],ROW()-10)</f>
        <v/>
      </c>
      <c r="D140" s="69" t="str">
        <f>INDEX(TabPlaisir[Moyenne],ROW()-10)</f>
        <v/>
      </c>
      <c r="E140" s="70" t="str">
        <f>INDEX(TabPerfo[Moyenne],ROW()-10)</f>
        <v/>
      </c>
      <c r="F140" s="67" t="str">
        <f>INDEX(TabREP[Moyenne],ROW()-10)</f>
        <v/>
      </c>
    </row>
    <row r="141" spans="2:6" ht="13.5">
      <c r="B141" s="29" t="str">
        <f>IF(INDEX(TabEntrainement[Seance],ROW()-10)&lt;&gt;0,INDEX(TabEntrainement[Seance],ROW()-10),"")</f>
        <v/>
      </c>
      <c r="C141" s="68" t="str">
        <f>INDEX(TabForme[Moyenne],ROW()-10)</f>
        <v/>
      </c>
      <c r="D141" s="69" t="str">
        <f>INDEX(TabPlaisir[Moyenne],ROW()-10)</f>
        <v/>
      </c>
      <c r="E141" s="70" t="str">
        <f>INDEX(TabPerfo[Moyenne],ROW()-10)</f>
        <v/>
      </c>
      <c r="F141" s="67" t="str">
        <f>INDEX(TabREP[Moyenne],ROW()-10)</f>
        <v/>
      </c>
    </row>
    <row r="142" spans="2:6" ht="13.5">
      <c r="B142" s="10" t="s">
        <v>9</v>
      </c>
      <c r="C142" s="60">
        <f>SUBTOTAL(101,TabBilanMental[Forme])</f>
        <v>3.4394543807227631</v>
      </c>
      <c r="D142" s="62" t="e">
        <f>SUBTOTAL(101,TabBilanMental[Plaisir])</f>
        <v>#DIV/0!</v>
      </c>
      <c r="E142" s="64" t="e">
        <f>SUBTOTAL(101,TabBilanMental[Perfo.])</f>
        <v>#DIV/0!</v>
      </c>
      <c r="F142" s="65">
        <f>SUBTOTAL(101,TabBilanMental[RPE])</f>
        <v>4.4791344242631004</v>
      </c>
    </row>
  </sheetData>
  <sheetProtection sort="0" autoFilter="0"/>
  <pageMargins left="0.7" right="0.7" top="0.75" bottom="0.75" header="0.3" footer="0.3"/>
  <pageSetup paperSize="9" orientation="portrait" horizontalDpi="0" verticalDpi="0"/>
  <drawing r:id="rId1"/>
  <tableParts count="1">
    <tablePart r:id="rId2"/>
  </tableParts>
</worksheet>
</file>

<file path=xl/worksheets/sheet1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Feuil7">
    <tabColor theme="7"/>
  </sheetPr>
  <dimension ref="B2:AJ153"/>
  <sheetViews>
    <sheetView showGridLines="0" workbookViewId="0">
      <selection activeCell="C4" sqref="C4:AF4"/>
    </sheetView>
  </sheetViews>
  <sheetFormatPr baseColWidth="10" defaultRowHeight="12.75"/>
  <cols>
    <col min="1" max="1" width="3.140625" customWidth="1"/>
    <col min="2" max="2" width="11.140625" customWidth="1"/>
    <col min="33" max="34" width="13" customWidth="1"/>
    <col min="35" max="35" width="21" customWidth="1"/>
  </cols>
  <sheetData>
    <row r="2" spans="2:33" ht="31.5">
      <c r="B2" s="2" t="s">
        <v>266</v>
      </c>
      <c r="T2" s="28"/>
    </row>
    <row r="4" spans="2:33" ht="27.95" customHeight="1">
      <c r="C4" s="90" t="str">
        <f ca="1">INDIRECT("'BDD - Joueurs'!B2")</f>
        <v>ADDA Matteo</v>
      </c>
      <c r="D4" s="90" t="str">
        <f ca="1">INDIRECT("'BDD - Joueurs'!B3")</f>
        <v>ALFONSO Joao</v>
      </c>
      <c r="E4" s="90" t="str">
        <f ca="1">INDIRECT("'BDD - Joueurs'!B4")</f>
        <v>BERDAH Matis</v>
      </c>
      <c r="F4" s="90" t="str">
        <f ca="1">INDIRECT("'BDD - Joueurs'!B5")</f>
        <v>CAMARA Bandiougou</v>
      </c>
      <c r="G4" s="90" t="str">
        <f ca="1">INDIRECT("'BDD - Joueurs'!B6")</f>
        <v>CAMARA Moussa</v>
      </c>
      <c r="H4" s="90" t="str">
        <f ca="1">INDIRECT("'BDD - Joueurs'!B7")</f>
        <v>CARREAU Ethan</v>
      </c>
      <c r="I4" s="90" t="str">
        <f ca="1">INDIRECT("'BDD - Joueurs'!B8")</f>
        <v>CHEROD Alexis</v>
      </c>
      <c r="J4" s="90" t="str">
        <f ca="1">INDIRECT("'BDD - Joueurs'!B9")</f>
        <v>DJEHICHE Ramzi</v>
      </c>
      <c r="K4" s="90" t="str">
        <f ca="1">INDIRECT("'BDD - Joueurs'!B10")</f>
        <v>DOSIERE Baptiste</v>
      </c>
      <c r="L4" s="90" t="str">
        <f ca="1">INDIRECT("'BDD - Joueurs'!B11")</f>
        <v>DUQUENOY Thomas</v>
      </c>
      <c r="M4" s="90" t="str">
        <f ca="1">INDIRECT("'BDD - Joueurs'!B12")</f>
        <v>KIPRE Jordan</v>
      </c>
      <c r="N4" s="90" t="str">
        <f ca="1">INDIRECT("'BDD - Joueurs'!B13")</f>
        <v>KONATE Mamadou</v>
      </c>
      <c r="O4" s="90" t="str">
        <f ca="1">INDIRECT("'BDD - Joueurs'!B14")</f>
        <v>LECOUFFE Hugo</v>
      </c>
      <c r="P4" s="90" t="str">
        <f ca="1">INDIRECT("'BDD - Joueurs'!B15")</f>
        <v>LEFRANC Nathan</v>
      </c>
      <c r="Q4" s="90" t="str">
        <f ca="1">INDIRECT("'BDD - Joueurs'!B16")</f>
        <v>MASSOUSSI Elie</v>
      </c>
      <c r="R4" s="90" t="str">
        <f ca="1">INDIRECT("'BDD - Joueurs'!B17")</f>
        <v>NGOUABI Yoann</v>
      </c>
      <c r="S4" s="90" t="str">
        <f ca="1">INDIRECT("'BDD - Joueurs'!B18")</f>
        <v>PLANET Mathis</v>
      </c>
      <c r="T4" s="90" t="str">
        <f ca="1">INDIRECT("'BDD - Joueurs'!B19")</f>
        <v>PRONNIER Nicolas</v>
      </c>
      <c r="U4" s="90" t="str">
        <f ca="1">INDIRECT("'BDD - Joueurs'!B20")</f>
        <v>STIOUET Reda</v>
      </c>
      <c r="V4" s="90" t="str">
        <f ca="1">INDIRECT("'BDD - Joueurs'!B21")</f>
        <v>ZERDEB Said</v>
      </c>
      <c r="W4" s="90" t="str">
        <f ca="1">INDIRECT("'BDD - Joueurs'!B22")</f>
        <v>OSSENI Farouk</v>
      </c>
      <c r="X4" s="90">
        <f ca="1">INDIRECT("'BDD - Joueurs'!B23")</f>
        <v>0</v>
      </c>
      <c r="Y4" s="90">
        <f ca="1">INDIRECT("'BDD - Joueurs'!B24")</f>
        <v>0</v>
      </c>
      <c r="Z4" s="90">
        <f ca="1">INDIRECT("'BDD - Joueurs'!B25")</f>
        <v>0</v>
      </c>
      <c r="AA4" s="90">
        <f ca="1">INDIRECT("'BDD - Joueurs'!B26")</f>
        <v>0</v>
      </c>
      <c r="AB4" s="90">
        <f ca="1">INDIRECT("'BDD - Joueurs'!B27")</f>
        <v>0</v>
      </c>
      <c r="AC4" s="90">
        <f ca="1">INDIRECT("'BDD - Joueurs'!B28")</f>
        <v>0</v>
      </c>
      <c r="AD4" s="90">
        <f ca="1">INDIRECT("'BDD - Joueurs'!B29")</f>
        <v>0</v>
      </c>
      <c r="AE4" s="90">
        <f ca="1">INDIRECT("'BDD - Joueurs'!B30")</f>
        <v>0</v>
      </c>
      <c r="AF4" s="90">
        <f ca="1">INDIRECT("'BDD - Joueurs'!B31")</f>
        <v>0</v>
      </c>
      <c r="AG4" s="90" t="s">
        <v>63</v>
      </c>
    </row>
    <row r="18" spans="2:35" ht="14.25">
      <c r="B18" s="37" t="s">
        <v>75</v>
      </c>
      <c r="C18" s="23" t="s">
        <v>16</v>
      </c>
      <c r="D18" s="38" t="s">
        <v>4</v>
      </c>
      <c r="E18" s="23" t="s">
        <v>19</v>
      </c>
      <c r="F18" s="38" t="s">
        <v>20</v>
      </c>
      <c r="G18" s="23" t="s">
        <v>21</v>
      </c>
      <c r="H18" s="38" t="s">
        <v>22</v>
      </c>
      <c r="I18" s="23" t="s">
        <v>23</v>
      </c>
      <c r="J18" s="38" t="s">
        <v>24</v>
      </c>
      <c r="K18" s="23" t="s">
        <v>25</v>
      </c>
      <c r="L18" s="23" t="s">
        <v>26</v>
      </c>
      <c r="M18" s="23" t="s">
        <v>27</v>
      </c>
      <c r="N18" s="38" t="s">
        <v>28</v>
      </c>
      <c r="O18" s="39" t="s">
        <v>45</v>
      </c>
      <c r="P18" s="4" t="s">
        <v>46</v>
      </c>
      <c r="Q18" s="39" t="s">
        <v>47</v>
      </c>
      <c r="R18" s="4" t="s">
        <v>48</v>
      </c>
      <c r="S18" s="3" t="s">
        <v>49</v>
      </c>
      <c r="T18" s="4" t="s">
        <v>50</v>
      </c>
      <c r="U18" s="3" t="s">
        <v>51</v>
      </c>
      <c r="V18" s="4" t="s">
        <v>52</v>
      </c>
      <c r="W18" s="3" t="s">
        <v>53</v>
      </c>
      <c r="X18" s="4" t="s">
        <v>54</v>
      </c>
      <c r="Y18" s="3" t="s">
        <v>55</v>
      </c>
      <c r="Z18" s="4" t="s">
        <v>56</v>
      </c>
      <c r="AA18" s="3" t="s">
        <v>57</v>
      </c>
      <c r="AB18" s="4" t="s">
        <v>58</v>
      </c>
      <c r="AC18" s="3" t="s">
        <v>59</v>
      </c>
      <c r="AD18" s="4" t="s">
        <v>60</v>
      </c>
      <c r="AE18" s="3" t="s">
        <v>61</v>
      </c>
      <c r="AF18" s="4" t="s">
        <v>62</v>
      </c>
      <c r="AG18" s="47" t="s">
        <v>253</v>
      </c>
      <c r="AH18" s="47" t="s">
        <v>70</v>
      </c>
      <c r="AI18" s="17" t="s">
        <v>1</v>
      </c>
    </row>
    <row r="19" spans="2:35" ht="14.25">
      <c r="B19" s="248">
        <f>IF(INDEX(TabEntrainement[Seance],ROW()-18)&lt;&gt;0,INDEX(TabEntrainement[Seance],ROW()-18),"")</f>
        <v>43318</v>
      </c>
      <c r="C19" s="117">
        <f>TabREP[[#This Row],[J1]]*Entrainement!$C7</f>
        <v>402</v>
      </c>
      <c r="D19" s="363">
        <f>TabREP[[#This Row],[J2]]*Entrainement!C7</f>
        <v>402</v>
      </c>
      <c r="E19" s="117">
        <f>TabREP[[#This Row],[J3]]*Entrainement!$C7</f>
        <v>0</v>
      </c>
      <c r="F19" s="117">
        <f>TabREP[[#This Row],[J4]]*Entrainement!$C7</f>
        <v>0</v>
      </c>
      <c r="G19" s="117">
        <f>TabREP[[#This Row],[J5]]*Entrainement!$C7</f>
        <v>0</v>
      </c>
      <c r="H19" s="117">
        <f>TabREP[[#This Row],[J6]]*Entrainement!$C7</f>
        <v>335</v>
      </c>
      <c r="I19" s="117">
        <f>TabREP[[#This Row],[J7]]*Entrainement!$C7</f>
        <v>0</v>
      </c>
      <c r="J19" s="117">
        <f>TabREP[[#This Row],[J8]]*Entrainement!$C7</f>
        <v>0</v>
      </c>
      <c r="K19" s="117">
        <f>TabREP[[#This Row],[J9]]*Entrainement!$C7</f>
        <v>0</v>
      </c>
      <c r="L19" s="117">
        <f>TabREP[[#This Row],[J10]]*Entrainement!$C7</f>
        <v>0</v>
      </c>
      <c r="M19" s="117">
        <f>TabREP[[#This Row],[J11]]*Entrainement!$C7</f>
        <v>0</v>
      </c>
      <c r="N19" s="117">
        <f>TabREP[[#This Row],[J12]]*Entrainement!$C7</f>
        <v>0</v>
      </c>
      <c r="O19" s="117">
        <f>TabREP[[#This Row],[J13]]*Entrainement!$C7</f>
        <v>335</v>
      </c>
      <c r="P19" s="117">
        <f>TabREP[[#This Row],[J14]]*Entrainement!$C7</f>
        <v>335</v>
      </c>
      <c r="Q19" s="117">
        <f>TabREP[[#This Row],[J15]]*Entrainement!$C7</f>
        <v>335</v>
      </c>
      <c r="R19" s="117">
        <f>TabREP[[#This Row],[J16]]*Entrainement!$C7</f>
        <v>0</v>
      </c>
      <c r="S19" s="117">
        <f>TabREP[[#This Row],[J17]]*Entrainement!$C7</f>
        <v>335</v>
      </c>
      <c r="T19" s="117">
        <f>TabREP[[#This Row],[J18]]*Entrainement!$C7</f>
        <v>335</v>
      </c>
      <c r="U19" s="117">
        <f>TabREP[[#This Row],[J19]]*Entrainement!$C7</f>
        <v>0</v>
      </c>
      <c r="V19" s="117">
        <f>TabREP[[#This Row],[J20]]*Entrainement!$C7</f>
        <v>0</v>
      </c>
      <c r="W19" s="117">
        <f>TabREP[[#This Row],[J21]]*Entrainement!$C7</f>
        <v>402</v>
      </c>
      <c r="X19" s="117">
        <f>TabREP[[#This Row],[J22]]*Entrainement!$C7</f>
        <v>0</v>
      </c>
      <c r="Y19" s="117">
        <f>TabREP[[#This Row],[J23]]*Entrainement!$C7</f>
        <v>0</v>
      </c>
      <c r="Z19" s="117">
        <f>TabREP[[#This Row],[J24]]*Entrainement!$C7</f>
        <v>0</v>
      </c>
      <c r="AA19" s="117">
        <f>TabREP[[#This Row],[J25]]*Entrainement!$C7</f>
        <v>0</v>
      </c>
      <c r="AB19" s="117">
        <f>TabREP[[#This Row],[J26]]*Entrainement!$C7</f>
        <v>0</v>
      </c>
      <c r="AC19" s="117">
        <f>TabREP[[#This Row],[J27]]*Entrainement!$C7</f>
        <v>0</v>
      </c>
      <c r="AD19" s="117">
        <f>TabREP[[#This Row],[J28]]*Entrainement!$C7</f>
        <v>0</v>
      </c>
      <c r="AE19" s="117">
        <f>TabREP[[#This Row],[J29]]*Entrainement!$C7</f>
        <v>0</v>
      </c>
      <c r="AF19" s="117">
        <f>TabREP[[#This Row],[J30]]*Entrainement!$C7</f>
        <v>0</v>
      </c>
      <c r="AG19" s="250">
        <f>'Charges collective'!E11</f>
        <v>357.33333333333331</v>
      </c>
      <c r="AH19" s="49"/>
      <c r="AI19" s="48"/>
    </row>
    <row r="20" spans="2:35" ht="14.25">
      <c r="B20" s="248">
        <f>IF(INDEX(TabEntrainement[Seance],ROW()-18)&lt;&gt;0,INDEX(TabEntrainement[Seance],ROW()-18),"")</f>
        <v>43319</v>
      </c>
      <c r="C20" s="117">
        <f>TabREP[[#This Row],[J1]]*Entrainement!C8</f>
        <v>434</v>
      </c>
      <c r="D20" s="117">
        <f>TabREP[[#This Row],[J2]]*Entrainement!C8</f>
        <v>310</v>
      </c>
      <c r="E20" s="117">
        <f>TabREP[[#This Row],[J3]]*Entrainement!$C8</f>
        <v>0</v>
      </c>
      <c r="F20" s="117">
        <f>TabREP[[#This Row],[J4]]*Entrainement!$C8</f>
        <v>0</v>
      </c>
      <c r="G20" s="117">
        <f>TabREP[[#This Row],[J5]]*Entrainement!$C8</f>
        <v>0</v>
      </c>
      <c r="H20" s="117">
        <f>TabREP[[#This Row],[J6]]*Entrainement!$C8</f>
        <v>310</v>
      </c>
      <c r="I20" s="117">
        <f>TabREP[[#This Row],[J7]]*Entrainement!$C8</f>
        <v>0</v>
      </c>
      <c r="J20" s="117">
        <f>TabREP[[#This Row],[J8]]*Entrainement!$C8</f>
        <v>0</v>
      </c>
      <c r="K20" s="117">
        <f>TabREP[[#This Row],[J9]]*Entrainement!$C8</f>
        <v>0</v>
      </c>
      <c r="L20" s="117">
        <f>TabREP[[#This Row],[J10]]*Entrainement!$C8</f>
        <v>0</v>
      </c>
      <c r="M20" s="117">
        <f>TabREP[[#This Row],[J11]]*Entrainement!$C8</f>
        <v>0</v>
      </c>
      <c r="N20" s="117">
        <f>TabREP[[#This Row],[J12]]*Entrainement!$C8</f>
        <v>0</v>
      </c>
      <c r="O20" s="117">
        <f>TabREP[[#This Row],[J13]]*Entrainement!$C8</f>
        <v>248</v>
      </c>
      <c r="P20" s="117">
        <f>TabREP[[#This Row],[J14]]*Entrainement!$C8</f>
        <v>248</v>
      </c>
      <c r="Q20" s="117">
        <f>TabREP[[#This Row],[J15]]*Entrainement!$C8</f>
        <v>248</v>
      </c>
      <c r="R20" s="117">
        <f>TabREP[[#This Row],[J16]]*Entrainement!$C8</f>
        <v>0</v>
      </c>
      <c r="S20" s="117">
        <f>TabREP[[#This Row],[J17]]*Entrainement!$C8</f>
        <v>310</v>
      </c>
      <c r="T20" s="117">
        <f>TabREP[[#This Row],[J18]]*Entrainement!$C8</f>
        <v>248</v>
      </c>
      <c r="U20" s="117">
        <f>TabREP[[#This Row],[J19]]*Entrainement!$C8</f>
        <v>0</v>
      </c>
      <c r="V20" s="117">
        <f>TabREP[[#This Row],[J20]]*Entrainement!$C8</f>
        <v>0</v>
      </c>
      <c r="W20" s="117">
        <f>TabREP[[#This Row],[J21]]*Entrainement!$C8</f>
        <v>310</v>
      </c>
      <c r="X20" s="117">
        <f>TabREP[[#This Row],[J22]]*Entrainement!$C8</f>
        <v>0</v>
      </c>
      <c r="Y20" s="117">
        <f>TabREP[[#This Row],[J23]]*Entrainement!$C8</f>
        <v>0</v>
      </c>
      <c r="Z20" s="117">
        <f>TabREP[[#This Row],[J24]]*Entrainement!$C8</f>
        <v>0</v>
      </c>
      <c r="AA20" s="117">
        <f>TabREP[[#This Row],[J25]]*Entrainement!$C8</f>
        <v>0</v>
      </c>
      <c r="AB20" s="117">
        <f>TabREP[[#This Row],[J26]]*Entrainement!$C8</f>
        <v>0</v>
      </c>
      <c r="AC20" s="117">
        <f>TabREP[[#This Row],[J27]]*Entrainement!$C8</f>
        <v>0</v>
      </c>
      <c r="AD20" s="117">
        <f>TabREP[[#This Row],[J28]]*Entrainement!$C8</f>
        <v>0</v>
      </c>
      <c r="AE20" s="117">
        <f>TabREP[[#This Row],[J29]]*Entrainement!$C8</f>
        <v>0</v>
      </c>
      <c r="AF20" s="117">
        <f>TabREP[[#This Row],[J30]]*Entrainement!$C8</f>
        <v>0</v>
      </c>
      <c r="AG20" s="250">
        <f>'Charges collective'!E12</f>
        <v>296.22222222222223</v>
      </c>
      <c r="AH20" s="49"/>
      <c r="AI20" s="48"/>
    </row>
    <row r="21" spans="2:35" ht="14.25">
      <c r="B21" s="248">
        <f>IF(INDEX(TabEntrainement[Seance],ROW()-18)&lt;&gt;0,INDEX(TabEntrainement[Seance],ROW()-18),"")</f>
        <v>43321</v>
      </c>
      <c r="C21" s="117">
        <f>TabREP[[#This Row],[J1]]*Entrainement!C9</f>
        <v>198</v>
      </c>
      <c r="D21" s="117">
        <f>TabREP[[#This Row],[J2]]*Entrainement!C9</f>
        <v>264</v>
      </c>
      <c r="E21" s="117">
        <f>TabREP[[#This Row],[J3]]*Entrainement!$C9</f>
        <v>0</v>
      </c>
      <c r="F21" s="117">
        <f>TabREP[[#This Row],[J4]]*Entrainement!$C9</f>
        <v>0</v>
      </c>
      <c r="G21" s="117">
        <f>TabREP[[#This Row],[J5]]*Entrainement!$C9</f>
        <v>0</v>
      </c>
      <c r="H21" s="117">
        <f>TabREP[[#This Row],[J6]]*Entrainement!$C9</f>
        <v>264</v>
      </c>
      <c r="I21" s="117">
        <f>TabREP[[#This Row],[J7]]*Entrainement!$C9</f>
        <v>0</v>
      </c>
      <c r="J21" s="117">
        <f>TabREP[[#This Row],[J8]]*Entrainement!$C9</f>
        <v>0</v>
      </c>
      <c r="K21" s="117">
        <f>TabREP[[#This Row],[J9]]*Entrainement!$C9</f>
        <v>0</v>
      </c>
      <c r="L21" s="117">
        <f>TabREP[[#This Row],[J10]]*Entrainement!$C9</f>
        <v>264</v>
      </c>
      <c r="M21" s="117">
        <f>TabREP[[#This Row],[J11]]*Entrainement!$C9</f>
        <v>0</v>
      </c>
      <c r="N21" s="117">
        <f>TabREP[[#This Row],[J12]]*Entrainement!$C9</f>
        <v>0</v>
      </c>
      <c r="O21" s="117">
        <f>TabREP[[#This Row],[J13]]*Entrainement!$C9</f>
        <v>198</v>
      </c>
      <c r="P21" s="117">
        <f>TabREP[[#This Row],[J14]]*Entrainement!$C9</f>
        <v>264</v>
      </c>
      <c r="Q21" s="117">
        <f>TabREP[[#This Row],[J15]]*Entrainement!$C9</f>
        <v>264</v>
      </c>
      <c r="R21" s="117">
        <f>TabREP[[#This Row],[J16]]*Entrainement!$C9</f>
        <v>264</v>
      </c>
      <c r="S21" s="117">
        <f>TabREP[[#This Row],[J17]]*Entrainement!$C9</f>
        <v>264</v>
      </c>
      <c r="T21" s="117">
        <f>TabREP[[#This Row],[J18]]*Entrainement!$C9</f>
        <v>132</v>
      </c>
      <c r="U21" s="117">
        <f>TabREP[[#This Row],[J19]]*Entrainement!$C9</f>
        <v>0</v>
      </c>
      <c r="V21" s="117">
        <f>TabREP[[#This Row],[J20]]*Entrainement!$C9</f>
        <v>0</v>
      </c>
      <c r="W21" s="117">
        <f>TabREP[[#This Row],[J21]]*Entrainement!$C9</f>
        <v>264</v>
      </c>
      <c r="X21" s="117">
        <f>TabREP[[#This Row],[J22]]*Entrainement!$C9</f>
        <v>0</v>
      </c>
      <c r="Y21" s="117">
        <f>TabREP[[#This Row],[J23]]*Entrainement!$C9</f>
        <v>0</v>
      </c>
      <c r="Z21" s="117">
        <f>TabREP[[#This Row],[J24]]*Entrainement!$C9</f>
        <v>0</v>
      </c>
      <c r="AA21" s="117">
        <f>TabREP[[#This Row],[J25]]*Entrainement!$C9</f>
        <v>0</v>
      </c>
      <c r="AB21" s="117">
        <f>TabREP[[#This Row],[J26]]*Entrainement!$C9</f>
        <v>0</v>
      </c>
      <c r="AC21" s="117">
        <f>TabREP[[#This Row],[J27]]*Entrainement!$C9</f>
        <v>0</v>
      </c>
      <c r="AD21" s="117">
        <f>TabREP[[#This Row],[J28]]*Entrainement!$C9</f>
        <v>0</v>
      </c>
      <c r="AE21" s="117">
        <f>TabREP[[#This Row],[J29]]*Entrainement!$C9</f>
        <v>0</v>
      </c>
      <c r="AF21" s="117">
        <f>TabREP[[#This Row],[J30]]*Entrainement!$C9</f>
        <v>0</v>
      </c>
      <c r="AG21" s="250">
        <f>'Charges collective'!E13</f>
        <v>240</v>
      </c>
      <c r="AH21" s="49"/>
      <c r="AI21" s="48"/>
    </row>
    <row r="22" spans="2:35" ht="14.25">
      <c r="B22" s="248">
        <f>IF(INDEX(TabEntrainement[Seance],ROW()-18)&lt;&gt;0,INDEX(TabEntrainement[Seance],ROW()-18),"")</f>
        <v>43322</v>
      </c>
      <c r="C22" s="117">
        <f>TabREP[[#This Row],[J1]]*Entrainement!C10</f>
        <v>525</v>
      </c>
      <c r="D22" s="117">
        <f>TabREP[[#This Row],[J2]]*Entrainement!C10</f>
        <v>450</v>
      </c>
      <c r="E22" s="117">
        <f>TabREP[[#This Row],[J3]]*Entrainement!$C10</f>
        <v>0</v>
      </c>
      <c r="F22" s="117">
        <f>TabREP[[#This Row],[J4]]*Entrainement!$C10</f>
        <v>375</v>
      </c>
      <c r="G22" s="117">
        <f>TabREP[[#This Row],[J5]]*Entrainement!$C10</f>
        <v>0</v>
      </c>
      <c r="H22" s="117">
        <f>TabREP[[#This Row],[J6]]*Entrainement!$C10</f>
        <v>450</v>
      </c>
      <c r="I22" s="117">
        <f>TabREP[[#This Row],[J7]]*Entrainement!$C10</f>
        <v>0</v>
      </c>
      <c r="J22" s="117">
        <f>TabREP[[#This Row],[J8]]*Entrainement!$C10</f>
        <v>375</v>
      </c>
      <c r="K22" s="117">
        <f>TabREP[[#This Row],[J9]]*Entrainement!$C10</f>
        <v>0</v>
      </c>
      <c r="L22" s="117">
        <f>TabREP[[#This Row],[J10]]*Entrainement!$C10</f>
        <v>375</v>
      </c>
      <c r="M22" s="117">
        <f>TabREP[[#This Row],[J11]]*Entrainement!$C10</f>
        <v>0</v>
      </c>
      <c r="N22" s="117">
        <f>TabREP[[#This Row],[J12]]*Entrainement!$C10</f>
        <v>0</v>
      </c>
      <c r="O22" s="117">
        <f>TabREP[[#This Row],[J13]]*Entrainement!$C10</f>
        <v>0</v>
      </c>
      <c r="P22" s="117">
        <f>TabREP[[#This Row],[J14]]*Entrainement!$C10</f>
        <v>300</v>
      </c>
      <c r="Q22" s="117">
        <f>TabREP[[#This Row],[J15]]*Entrainement!$C10</f>
        <v>375</v>
      </c>
      <c r="R22" s="117">
        <f>TabREP[[#This Row],[J16]]*Entrainement!$C10</f>
        <v>300</v>
      </c>
      <c r="S22" s="117">
        <f>TabREP[[#This Row],[J17]]*Entrainement!$C10</f>
        <v>450</v>
      </c>
      <c r="T22" s="117">
        <f>TabREP[[#This Row],[J18]]*Entrainement!$C10</f>
        <v>300</v>
      </c>
      <c r="U22" s="117">
        <f>TabREP[[#This Row],[J19]]*Entrainement!$C10</f>
        <v>0</v>
      </c>
      <c r="V22" s="117">
        <f>TabREP[[#This Row],[J20]]*Entrainement!$C10</f>
        <v>0</v>
      </c>
      <c r="W22" s="117">
        <f>TabREP[[#This Row],[J21]]*Entrainement!$C10</f>
        <v>375</v>
      </c>
      <c r="X22" s="117">
        <f>TabREP[[#This Row],[J22]]*Entrainement!$C10</f>
        <v>0</v>
      </c>
      <c r="Y22" s="117">
        <f>TabREP[[#This Row],[J23]]*Entrainement!$C10</f>
        <v>0</v>
      </c>
      <c r="Z22" s="117">
        <f>TabREP[[#This Row],[J24]]*Entrainement!$C10</f>
        <v>0</v>
      </c>
      <c r="AA22" s="117">
        <f>TabREP[[#This Row],[J25]]*Entrainement!$C10</f>
        <v>0</v>
      </c>
      <c r="AB22" s="117">
        <f>TabREP[[#This Row],[J26]]*Entrainement!$C10</f>
        <v>0</v>
      </c>
      <c r="AC22" s="117">
        <f>TabREP[[#This Row],[J27]]*Entrainement!$C10</f>
        <v>0</v>
      </c>
      <c r="AD22" s="117">
        <f>TabREP[[#This Row],[J28]]*Entrainement!$C10</f>
        <v>0</v>
      </c>
      <c r="AE22" s="117">
        <f>TabREP[[#This Row],[J29]]*Entrainement!$C10</f>
        <v>0</v>
      </c>
      <c r="AF22" s="117">
        <f>TabREP[[#This Row],[J30]]*Entrainement!$C10</f>
        <v>0</v>
      </c>
      <c r="AG22" s="250">
        <f>'Charges collective'!E14</f>
        <v>387.5</v>
      </c>
      <c r="AH22" s="49"/>
      <c r="AI22" s="48"/>
    </row>
    <row r="23" spans="2:35" ht="14.25">
      <c r="B23" s="248">
        <f>IF(INDEX(TabEntrainement[Seance],ROW()-18)&lt;&gt;0,INDEX(TabEntrainement[Seance],ROW()-18),"")</f>
        <v>43325</v>
      </c>
      <c r="C23" s="117">
        <f>TabREP[[#This Row],[J1]]*Entrainement!C11</f>
        <v>315</v>
      </c>
      <c r="D23" s="117">
        <f>TabREP[[#This Row],[J2]]*Entrainement!C11</f>
        <v>441</v>
      </c>
      <c r="E23" s="117">
        <f>TabREP[[#This Row],[J3]]*Entrainement!$C11</f>
        <v>315</v>
      </c>
      <c r="F23" s="117">
        <f>TabREP[[#This Row],[J4]]*Entrainement!$C11</f>
        <v>378</v>
      </c>
      <c r="G23" s="117">
        <f>TabREP[[#This Row],[J5]]*Entrainement!$C11</f>
        <v>0</v>
      </c>
      <c r="H23" s="117">
        <f>TabREP[[#This Row],[J6]]*Entrainement!$C11</f>
        <v>378</v>
      </c>
      <c r="I23" s="117">
        <f>TabREP[[#This Row],[J7]]*Entrainement!$C11</f>
        <v>252</v>
      </c>
      <c r="J23" s="117">
        <f>TabREP[[#This Row],[J8]]*Entrainement!$C11</f>
        <v>0</v>
      </c>
      <c r="K23" s="117">
        <f>TabREP[[#This Row],[J9]]*Entrainement!$C11</f>
        <v>0</v>
      </c>
      <c r="L23" s="117">
        <f>TabREP[[#This Row],[J10]]*Entrainement!$C11</f>
        <v>315</v>
      </c>
      <c r="M23" s="117">
        <f>TabREP[[#This Row],[J11]]*Entrainement!$C11</f>
        <v>0</v>
      </c>
      <c r="N23" s="117">
        <f>TabREP[[#This Row],[J12]]*Entrainement!$C11</f>
        <v>0</v>
      </c>
      <c r="O23" s="117">
        <f>TabREP[[#This Row],[J13]]*Entrainement!$C11</f>
        <v>0</v>
      </c>
      <c r="P23" s="117">
        <f>TabREP[[#This Row],[J14]]*Entrainement!$C11</f>
        <v>315</v>
      </c>
      <c r="Q23" s="117">
        <f>TabREP[[#This Row],[J15]]*Entrainement!$C11</f>
        <v>315</v>
      </c>
      <c r="R23" s="117">
        <f>TabREP[[#This Row],[J16]]*Entrainement!$C11</f>
        <v>0</v>
      </c>
      <c r="S23" s="117">
        <f>TabREP[[#This Row],[J17]]*Entrainement!$C11</f>
        <v>0</v>
      </c>
      <c r="T23" s="117">
        <f>TabREP[[#This Row],[J18]]*Entrainement!$C11</f>
        <v>441</v>
      </c>
      <c r="U23" s="117">
        <f>TabREP[[#This Row],[J19]]*Entrainement!$C11</f>
        <v>0</v>
      </c>
      <c r="V23" s="117">
        <f>TabREP[[#This Row],[J20]]*Entrainement!$C11</f>
        <v>0</v>
      </c>
      <c r="W23" s="117">
        <f>TabREP[[#This Row],[J21]]*Entrainement!$C11</f>
        <v>378</v>
      </c>
      <c r="X23" s="117">
        <f>TabREP[[#This Row],[J22]]*Entrainement!$C11</f>
        <v>0</v>
      </c>
      <c r="Y23" s="117">
        <f>TabREP[[#This Row],[J23]]*Entrainement!$C11</f>
        <v>0</v>
      </c>
      <c r="Z23" s="117">
        <f>TabREP[[#This Row],[J24]]*Entrainement!$C11</f>
        <v>0</v>
      </c>
      <c r="AA23" s="117">
        <f>TabREP[[#This Row],[J25]]*Entrainement!$C11</f>
        <v>0</v>
      </c>
      <c r="AB23" s="117">
        <f>TabREP[[#This Row],[J26]]*Entrainement!$C11</f>
        <v>0</v>
      </c>
      <c r="AC23" s="117">
        <f>TabREP[[#This Row],[J27]]*Entrainement!$C11</f>
        <v>0</v>
      </c>
      <c r="AD23" s="117">
        <f>TabREP[[#This Row],[J28]]*Entrainement!$C11</f>
        <v>0</v>
      </c>
      <c r="AE23" s="117">
        <f>TabREP[[#This Row],[J29]]*Entrainement!$C11</f>
        <v>0</v>
      </c>
      <c r="AF23" s="117">
        <f>TabREP[[#This Row],[J30]]*Entrainement!$C11</f>
        <v>0</v>
      </c>
      <c r="AG23" s="250">
        <f>'Charges collective'!E15</f>
        <v>349.36363636363637</v>
      </c>
      <c r="AH23" s="49"/>
      <c r="AI23" s="48"/>
    </row>
    <row r="24" spans="2:35" ht="14.25">
      <c r="B24" s="248">
        <f>IF(INDEX(TabEntrainement[Seance],ROW()-18)&lt;&gt;0,INDEX(TabEntrainement[Seance],ROW()-18),"")</f>
        <v>43326</v>
      </c>
      <c r="C24" s="117">
        <f>TabREP[[#This Row],[J1]]*Entrainement!C12</f>
        <v>355</v>
      </c>
      <c r="D24" s="117">
        <f>TabREP[[#This Row],[J2]]*Entrainement!C12</f>
        <v>568</v>
      </c>
      <c r="E24" s="117">
        <f>TabREP[[#This Row],[J3]]*Entrainement!$C12</f>
        <v>284</v>
      </c>
      <c r="F24" s="117">
        <f>TabREP[[#This Row],[J4]]*Entrainement!$C12</f>
        <v>0</v>
      </c>
      <c r="G24" s="117">
        <f>TabREP[[#This Row],[J5]]*Entrainement!$C12</f>
        <v>0</v>
      </c>
      <c r="H24" s="117">
        <f>TabREP[[#This Row],[J6]]*Entrainement!$C12</f>
        <v>213</v>
      </c>
      <c r="I24" s="117">
        <f>TabREP[[#This Row],[J7]]*Entrainement!$C12</f>
        <v>284</v>
      </c>
      <c r="J24" s="117">
        <f>TabREP[[#This Row],[J8]]*Entrainement!$C12</f>
        <v>284</v>
      </c>
      <c r="K24" s="117">
        <f>TabREP[[#This Row],[J9]]*Entrainement!$C12</f>
        <v>0</v>
      </c>
      <c r="L24" s="117">
        <f>TabREP[[#This Row],[J10]]*Entrainement!$C12</f>
        <v>284</v>
      </c>
      <c r="M24" s="117">
        <f>TabREP[[#This Row],[J11]]*Entrainement!$C12</f>
        <v>0</v>
      </c>
      <c r="N24" s="117">
        <f>TabREP[[#This Row],[J12]]*Entrainement!$C12</f>
        <v>497</v>
      </c>
      <c r="O24" s="117">
        <f>TabREP[[#This Row],[J13]]*Entrainement!$C12</f>
        <v>0</v>
      </c>
      <c r="P24" s="117">
        <f>TabREP[[#This Row],[J14]]*Entrainement!$C12</f>
        <v>284</v>
      </c>
      <c r="Q24" s="117">
        <f>TabREP[[#This Row],[J15]]*Entrainement!$C12</f>
        <v>284</v>
      </c>
      <c r="R24" s="117">
        <f>TabREP[[#This Row],[J16]]*Entrainement!$C12</f>
        <v>0</v>
      </c>
      <c r="S24" s="117">
        <f>TabREP[[#This Row],[J17]]*Entrainement!$C12</f>
        <v>0</v>
      </c>
      <c r="T24" s="117">
        <f>TabREP[[#This Row],[J18]]*Entrainement!$C12</f>
        <v>284</v>
      </c>
      <c r="U24" s="117">
        <f>TabREP[[#This Row],[J19]]*Entrainement!$C12</f>
        <v>0</v>
      </c>
      <c r="V24" s="117">
        <f>TabREP[[#This Row],[J20]]*Entrainement!$C12</f>
        <v>0</v>
      </c>
      <c r="W24" s="117">
        <f>TabREP[[#This Row],[J21]]*Entrainement!$C12</f>
        <v>355</v>
      </c>
      <c r="X24" s="117">
        <f>TabREP[[#This Row],[J22]]*Entrainement!$C12</f>
        <v>0</v>
      </c>
      <c r="Y24" s="117">
        <f>TabREP[[#This Row],[J23]]*Entrainement!$C12</f>
        <v>0</v>
      </c>
      <c r="Z24" s="117">
        <f>TabREP[[#This Row],[J24]]*Entrainement!$C12</f>
        <v>0</v>
      </c>
      <c r="AA24" s="117">
        <f>TabREP[[#This Row],[J25]]*Entrainement!$C12</f>
        <v>0</v>
      </c>
      <c r="AB24" s="117">
        <f>TabREP[[#This Row],[J26]]*Entrainement!$C12</f>
        <v>0</v>
      </c>
      <c r="AC24" s="117">
        <f>TabREP[[#This Row],[J27]]*Entrainement!$C12</f>
        <v>0</v>
      </c>
      <c r="AD24" s="117">
        <f>TabREP[[#This Row],[J28]]*Entrainement!$C12</f>
        <v>0</v>
      </c>
      <c r="AE24" s="117">
        <f>TabREP[[#This Row],[J29]]*Entrainement!$C12</f>
        <v>0</v>
      </c>
      <c r="AF24" s="117">
        <f>TabREP[[#This Row],[J30]]*Entrainement!$C12</f>
        <v>0</v>
      </c>
      <c r="AG24" s="250">
        <f>'Charges collective'!E16</f>
        <v>331.33333333333337</v>
      </c>
      <c r="AH24" s="49"/>
      <c r="AI24" s="48"/>
    </row>
    <row r="25" spans="2:35" ht="14.25">
      <c r="B25" s="248">
        <f>IF(INDEX(TabEntrainement[Seance],ROW()-18)&lt;&gt;0,INDEX(TabEntrainement[Seance],ROW()-18),"")</f>
        <v>43327</v>
      </c>
      <c r="C25" s="117">
        <f>TabREP[[#This Row],[J1]]*Entrainement!C13</f>
        <v>165</v>
      </c>
      <c r="D25" s="117">
        <f>TabREP[[#This Row],[J2]]*Entrainement!C13</f>
        <v>0</v>
      </c>
      <c r="E25" s="117">
        <f>TabREP[[#This Row],[J3]]*Entrainement!$C13</f>
        <v>165</v>
      </c>
      <c r="F25" s="117">
        <f>TabREP[[#This Row],[J4]]*Entrainement!$C13</f>
        <v>0</v>
      </c>
      <c r="G25" s="117">
        <f>TabREP[[#This Row],[J5]]*Entrainement!$C13</f>
        <v>0</v>
      </c>
      <c r="H25" s="117">
        <f>TabREP[[#This Row],[J6]]*Entrainement!$C13</f>
        <v>165</v>
      </c>
      <c r="I25" s="117">
        <f>TabREP[[#This Row],[J7]]*Entrainement!$C13</f>
        <v>0</v>
      </c>
      <c r="J25" s="117">
        <f>TabREP[[#This Row],[J8]]*Entrainement!$C13</f>
        <v>0</v>
      </c>
      <c r="K25" s="117">
        <f>TabREP[[#This Row],[J9]]*Entrainement!$C13</f>
        <v>0</v>
      </c>
      <c r="L25" s="117">
        <f>TabREP[[#This Row],[J10]]*Entrainement!$C13</f>
        <v>0</v>
      </c>
      <c r="M25" s="117">
        <f>TabREP[[#This Row],[J11]]*Entrainement!$C13</f>
        <v>0</v>
      </c>
      <c r="N25" s="117">
        <f>TabREP[[#This Row],[J12]]*Entrainement!$C13</f>
        <v>275</v>
      </c>
      <c r="O25" s="117">
        <f>TabREP[[#This Row],[J13]]*Entrainement!$C13</f>
        <v>0</v>
      </c>
      <c r="P25" s="117">
        <f>TabREP[[#This Row],[J14]]*Entrainement!$C13</f>
        <v>165</v>
      </c>
      <c r="Q25" s="117">
        <f>TabREP[[#This Row],[J15]]*Entrainement!$C13</f>
        <v>165</v>
      </c>
      <c r="R25" s="117">
        <f>TabREP[[#This Row],[J16]]*Entrainement!$C13</f>
        <v>0</v>
      </c>
      <c r="S25" s="117">
        <f>TabREP[[#This Row],[J17]]*Entrainement!$C13</f>
        <v>0</v>
      </c>
      <c r="T25" s="117">
        <f>TabREP[[#This Row],[J18]]*Entrainement!$C13</f>
        <v>0</v>
      </c>
      <c r="U25" s="117">
        <f>TabREP[[#This Row],[J19]]*Entrainement!$C13</f>
        <v>0</v>
      </c>
      <c r="V25" s="117">
        <f>TabREP[[#This Row],[J20]]*Entrainement!$C13</f>
        <v>0</v>
      </c>
      <c r="W25" s="117">
        <f>TabREP[[#This Row],[J21]]*Entrainement!$C13</f>
        <v>220</v>
      </c>
      <c r="X25" s="117">
        <f>TabREP[[#This Row],[J22]]*Entrainement!$C13</f>
        <v>0</v>
      </c>
      <c r="Y25" s="117">
        <f>TabREP[[#This Row],[J23]]*Entrainement!$C13</f>
        <v>0</v>
      </c>
      <c r="Z25" s="117">
        <f>TabREP[[#This Row],[J24]]*Entrainement!$C13</f>
        <v>0</v>
      </c>
      <c r="AA25" s="117">
        <f>TabREP[[#This Row],[J25]]*Entrainement!$C13</f>
        <v>0</v>
      </c>
      <c r="AB25" s="117">
        <f>TabREP[[#This Row],[J26]]*Entrainement!$C13</f>
        <v>0</v>
      </c>
      <c r="AC25" s="117">
        <f>TabREP[[#This Row],[J27]]*Entrainement!$C13</f>
        <v>0</v>
      </c>
      <c r="AD25" s="117">
        <f>TabREP[[#This Row],[J28]]*Entrainement!$C13</f>
        <v>0</v>
      </c>
      <c r="AE25" s="117">
        <f>TabREP[[#This Row],[J29]]*Entrainement!$C13</f>
        <v>0</v>
      </c>
      <c r="AF25" s="117">
        <f>TabREP[[#This Row],[J30]]*Entrainement!$C13</f>
        <v>0</v>
      </c>
      <c r="AG25" s="250">
        <f>'Charges collective'!E17</f>
        <v>188.57142857142856</v>
      </c>
      <c r="AH25" s="49"/>
      <c r="AI25" s="48"/>
    </row>
    <row r="26" spans="2:35" ht="14.25">
      <c r="B26" s="248">
        <f>IF(INDEX(TabEntrainement[Seance],ROW()-18)&lt;&gt;0,INDEX(TabEntrainement[Seance],ROW()-18),"")</f>
        <v>43328</v>
      </c>
      <c r="C26" s="117">
        <f>TabREP[[#This Row],[J1]]*Entrainement!C14</f>
        <v>268</v>
      </c>
      <c r="D26" s="117">
        <f>TabREP[[#This Row],[J2]]*Entrainement!C14</f>
        <v>268</v>
      </c>
      <c r="E26" s="117">
        <f>TabREP[[#This Row],[J3]]*Entrainement!$C14</f>
        <v>201</v>
      </c>
      <c r="F26" s="117">
        <f>TabREP[[#This Row],[J4]]*Entrainement!$C14</f>
        <v>335</v>
      </c>
      <c r="G26" s="117">
        <f>TabREP[[#This Row],[J5]]*Entrainement!$C14</f>
        <v>0</v>
      </c>
      <c r="H26" s="117">
        <f>TabREP[[#This Row],[J6]]*Entrainement!$C14</f>
        <v>201</v>
      </c>
      <c r="I26" s="117">
        <f>TabREP[[#This Row],[J7]]*Entrainement!$C14</f>
        <v>268</v>
      </c>
      <c r="J26" s="117">
        <f>TabREP[[#This Row],[J8]]*Entrainement!$C14</f>
        <v>201</v>
      </c>
      <c r="K26" s="117">
        <f>TabREP[[#This Row],[J9]]*Entrainement!$C14</f>
        <v>0</v>
      </c>
      <c r="L26" s="117">
        <f>TabREP[[#This Row],[J10]]*Entrainement!$C14</f>
        <v>402</v>
      </c>
      <c r="M26" s="117">
        <f>TabREP[[#This Row],[J11]]*Entrainement!$C14</f>
        <v>0</v>
      </c>
      <c r="N26" s="117">
        <f>TabREP[[#This Row],[J12]]*Entrainement!$C14</f>
        <v>335</v>
      </c>
      <c r="O26" s="117">
        <f>TabREP[[#This Row],[J13]]*Entrainement!$C14</f>
        <v>0</v>
      </c>
      <c r="P26" s="117">
        <f>TabREP[[#This Row],[J14]]*Entrainement!$C14</f>
        <v>268</v>
      </c>
      <c r="Q26" s="117">
        <f>TabREP[[#This Row],[J15]]*Entrainement!$C14</f>
        <v>268</v>
      </c>
      <c r="R26" s="117">
        <f>TabREP[[#This Row],[J16]]*Entrainement!$C14</f>
        <v>0</v>
      </c>
      <c r="S26" s="117">
        <f>TabREP[[#This Row],[J17]]*Entrainement!$C14</f>
        <v>0</v>
      </c>
      <c r="T26" s="117">
        <f>TabREP[[#This Row],[J18]]*Entrainement!$C14</f>
        <v>201</v>
      </c>
      <c r="U26" s="117">
        <f>TabREP[[#This Row],[J19]]*Entrainement!$C14</f>
        <v>0</v>
      </c>
      <c r="V26" s="117">
        <f>TabREP[[#This Row],[J20]]*Entrainement!$C14</f>
        <v>0</v>
      </c>
      <c r="W26" s="117">
        <f>TabREP[[#This Row],[J21]]*Entrainement!$C14</f>
        <v>402</v>
      </c>
      <c r="X26" s="117">
        <f>TabREP[[#This Row],[J22]]*Entrainement!$C14</f>
        <v>0</v>
      </c>
      <c r="Y26" s="117">
        <f>TabREP[[#This Row],[J23]]*Entrainement!$C14</f>
        <v>0</v>
      </c>
      <c r="Z26" s="117">
        <f>TabREP[[#This Row],[J24]]*Entrainement!$C14</f>
        <v>0</v>
      </c>
      <c r="AA26" s="117">
        <f>TabREP[[#This Row],[J25]]*Entrainement!$C14</f>
        <v>0</v>
      </c>
      <c r="AB26" s="117">
        <f>TabREP[[#This Row],[J26]]*Entrainement!$C14</f>
        <v>0</v>
      </c>
      <c r="AC26" s="117">
        <f>TabREP[[#This Row],[J27]]*Entrainement!$C14</f>
        <v>0</v>
      </c>
      <c r="AD26" s="117">
        <f>TabREP[[#This Row],[J28]]*Entrainement!$C14</f>
        <v>0</v>
      </c>
      <c r="AE26" s="117">
        <f>TabREP[[#This Row],[J29]]*Entrainement!$C14</f>
        <v>0</v>
      </c>
      <c r="AF26" s="117">
        <f>TabREP[[#This Row],[J30]]*Entrainement!$C14</f>
        <v>0</v>
      </c>
      <c r="AG26" s="250">
        <f>'Charges collective'!E18</f>
        <v>278.30769230769232</v>
      </c>
      <c r="AH26" s="49"/>
      <c r="AI26" s="48"/>
    </row>
    <row r="27" spans="2:35" ht="14.25">
      <c r="B27" s="248">
        <f>IF(INDEX(TabEntrainement[Seance],ROW()-18)&lt;&gt;0,INDEX(TabEntrainement[Seance],ROW()-18),"")</f>
        <v>43329</v>
      </c>
      <c r="C27" s="117">
        <f>TabREP[[#This Row],[J1]]*Entrainement!C15</f>
        <v>366</v>
      </c>
      <c r="D27" s="117">
        <f>TabREP[[#This Row],[J2]]*Entrainement!C15</f>
        <v>0</v>
      </c>
      <c r="E27" s="117">
        <f>TabREP[[#This Row],[J3]]*Entrainement!$C15</f>
        <v>488</v>
      </c>
      <c r="F27" s="117">
        <f>TabREP[[#This Row],[J4]]*Entrainement!$C15</f>
        <v>427</v>
      </c>
      <c r="G27" s="117">
        <f>TabREP[[#This Row],[J5]]*Entrainement!$C15</f>
        <v>0</v>
      </c>
      <c r="H27" s="117">
        <f>TabREP[[#This Row],[J6]]*Entrainement!$C15</f>
        <v>0</v>
      </c>
      <c r="I27" s="117">
        <f>TabREP[[#This Row],[J7]]*Entrainement!$C15</f>
        <v>244</v>
      </c>
      <c r="J27" s="117">
        <f>TabREP[[#This Row],[J8]]*Entrainement!$C15</f>
        <v>305</v>
      </c>
      <c r="K27" s="117">
        <f>TabREP[[#This Row],[J9]]*Entrainement!$C15</f>
        <v>0</v>
      </c>
      <c r="L27" s="117">
        <f>TabREP[[#This Row],[J10]]*Entrainement!$C15</f>
        <v>0</v>
      </c>
      <c r="M27" s="117">
        <f>TabREP[[#This Row],[J11]]*Entrainement!$C15</f>
        <v>0</v>
      </c>
      <c r="N27" s="117">
        <f>TabREP[[#This Row],[J12]]*Entrainement!$C15</f>
        <v>488</v>
      </c>
      <c r="O27" s="117">
        <f>TabREP[[#This Row],[J13]]*Entrainement!$C15</f>
        <v>0</v>
      </c>
      <c r="P27" s="117">
        <f>TabREP[[#This Row],[J14]]*Entrainement!$C15</f>
        <v>183</v>
      </c>
      <c r="Q27" s="117">
        <f>TabREP[[#This Row],[J15]]*Entrainement!$C15</f>
        <v>366</v>
      </c>
      <c r="R27" s="117">
        <f>TabREP[[#This Row],[J16]]*Entrainement!$C15</f>
        <v>0</v>
      </c>
      <c r="S27" s="117">
        <f>TabREP[[#This Row],[J17]]*Entrainement!$C15</f>
        <v>0</v>
      </c>
      <c r="T27" s="117">
        <f>TabREP[[#This Row],[J18]]*Entrainement!$C15</f>
        <v>244</v>
      </c>
      <c r="U27" s="117">
        <f>TabREP[[#This Row],[J19]]*Entrainement!$C15</f>
        <v>0</v>
      </c>
      <c r="V27" s="117">
        <f>TabREP[[#This Row],[J20]]*Entrainement!$C15</f>
        <v>0</v>
      </c>
      <c r="W27" s="117">
        <f>TabREP[[#This Row],[J21]]*Entrainement!$C15</f>
        <v>305</v>
      </c>
      <c r="X27" s="117">
        <f>TabREP[[#This Row],[J22]]*Entrainement!$C15</f>
        <v>0</v>
      </c>
      <c r="Y27" s="117">
        <f>TabREP[[#This Row],[J23]]*Entrainement!$C15</f>
        <v>0</v>
      </c>
      <c r="Z27" s="117">
        <f>TabREP[[#This Row],[J24]]*Entrainement!$C15</f>
        <v>0</v>
      </c>
      <c r="AA27" s="117">
        <f>TabREP[[#This Row],[J25]]*Entrainement!$C15</f>
        <v>0</v>
      </c>
      <c r="AB27" s="117">
        <f>TabREP[[#This Row],[J26]]*Entrainement!$C15</f>
        <v>0</v>
      </c>
      <c r="AC27" s="117">
        <f>TabREP[[#This Row],[J27]]*Entrainement!$C15</f>
        <v>0</v>
      </c>
      <c r="AD27" s="117">
        <f>TabREP[[#This Row],[J28]]*Entrainement!$C15</f>
        <v>0</v>
      </c>
      <c r="AE27" s="117">
        <f>TabREP[[#This Row],[J29]]*Entrainement!$C15</f>
        <v>0</v>
      </c>
      <c r="AF27" s="117">
        <f>TabREP[[#This Row],[J30]]*Entrainement!$C15</f>
        <v>0</v>
      </c>
      <c r="AG27" s="250">
        <f>'Charges collective'!E19</f>
        <v>341.59999999999997</v>
      </c>
      <c r="AH27" s="49"/>
      <c r="AI27" s="48"/>
    </row>
    <row r="28" spans="2:35" ht="14.25">
      <c r="B28" s="248">
        <f>IF(INDEX(TabEntrainement[Seance],ROW()-18)&lt;&gt;0,INDEX(TabEntrainement[Seance],ROW()-18),"")</f>
        <v>43330</v>
      </c>
      <c r="C28" s="117">
        <f>TabREP[[#This Row],[J1]]*Entrainement!C16</f>
        <v>280</v>
      </c>
      <c r="D28" s="117">
        <f>TabREP[[#This Row],[J2]]*Entrainement!C16</f>
        <v>0</v>
      </c>
      <c r="E28" s="117">
        <f>TabREP[[#This Row],[J3]]*Entrainement!$C16</f>
        <v>280</v>
      </c>
      <c r="F28" s="117">
        <f>TabREP[[#This Row],[J4]]*Entrainement!$C16</f>
        <v>280</v>
      </c>
      <c r="G28" s="117">
        <f>TabREP[[#This Row],[J5]]*Entrainement!$C16</f>
        <v>0</v>
      </c>
      <c r="H28" s="117">
        <f>TabREP[[#This Row],[J6]]*Entrainement!$C16</f>
        <v>280</v>
      </c>
      <c r="I28" s="117">
        <f>TabREP[[#This Row],[J7]]*Entrainement!$C16</f>
        <v>280</v>
      </c>
      <c r="J28" s="117">
        <f>TabREP[[#This Row],[J8]]*Entrainement!$C16</f>
        <v>210</v>
      </c>
      <c r="K28" s="117">
        <f>TabREP[[#This Row],[J9]]*Entrainement!$C16</f>
        <v>0</v>
      </c>
      <c r="L28" s="117">
        <f>TabREP[[#This Row],[J10]]*Entrainement!$C16</f>
        <v>280</v>
      </c>
      <c r="M28" s="117">
        <f>TabREP[[#This Row],[J11]]*Entrainement!$C16</f>
        <v>0</v>
      </c>
      <c r="N28" s="117">
        <f>TabREP[[#This Row],[J12]]*Entrainement!$C16</f>
        <v>350</v>
      </c>
      <c r="O28" s="117">
        <f>TabREP[[#This Row],[J13]]*Entrainement!$C16</f>
        <v>0</v>
      </c>
      <c r="P28" s="117">
        <f>TabREP[[#This Row],[J14]]*Entrainement!$C16</f>
        <v>210</v>
      </c>
      <c r="Q28" s="117">
        <f>TabREP[[#This Row],[J15]]*Entrainement!$C16</f>
        <v>280</v>
      </c>
      <c r="R28" s="117">
        <f>TabREP[[#This Row],[J16]]*Entrainement!$C16</f>
        <v>0</v>
      </c>
      <c r="S28" s="117">
        <f>TabREP[[#This Row],[J17]]*Entrainement!$C16</f>
        <v>0</v>
      </c>
      <c r="T28" s="117">
        <f>TabREP[[#This Row],[J18]]*Entrainement!$C16</f>
        <v>210</v>
      </c>
      <c r="U28" s="117">
        <f>TabREP[[#This Row],[J19]]*Entrainement!$C16</f>
        <v>0</v>
      </c>
      <c r="V28" s="117">
        <f>TabREP[[#This Row],[J20]]*Entrainement!$C16</f>
        <v>0</v>
      </c>
      <c r="W28" s="117">
        <f>TabREP[[#This Row],[J21]]*Entrainement!$C16</f>
        <v>350</v>
      </c>
      <c r="X28" s="117">
        <f>TabREP[[#This Row],[J22]]*Entrainement!$C16</f>
        <v>0</v>
      </c>
      <c r="Y28" s="117">
        <f>TabREP[[#This Row],[J23]]*Entrainement!$C16</f>
        <v>0</v>
      </c>
      <c r="Z28" s="117">
        <f>TabREP[[#This Row],[J24]]*Entrainement!$C16</f>
        <v>0</v>
      </c>
      <c r="AA28" s="117">
        <f>TabREP[[#This Row],[J25]]*Entrainement!$C16</f>
        <v>0</v>
      </c>
      <c r="AB28" s="117">
        <f>TabREP[[#This Row],[J26]]*Entrainement!$C16</f>
        <v>0</v>
      </c>
      <c r="AC28" s="117">
        <f>TabREP[[#This Row],[J27]]*Entrainement!$C16</f>
        <v>0</v>
      </c>
      <c r="AD28" s="117">
        <f>TabREP[[#This Row],[J28]]*Entrainement!$C16</f>
        <v>0</v>
      </c>
      <c r="AE28" s="117">
        <f>TabREP[[#This Row],[J29]]*Entrainement!$C16</f>
        <v>0</v>
      </c>
      <c r="AF28" s="117">
        <f>TabREP[[#This Row],[J30]]*Entrainement!$C16</f>
        <v>0</v>
      </c>
      <c r="AG28" s="250">
        <f>'Charges collective'!E20</f>
        <v>274.16666666666663</v>
      </c>
      <c r="AH28" s="49"/>
      <c r="AI28" s="48"/>
    </row>
    <row r="29" spans="2:35" ht="14.25">
      <c r="B29" s="248">
        <f>IF(INDEX(TabEntrainement[Seance],ROW()-18)&lt;&gt;0,INDEX(TabEntrainement[Seance],ROW()-18),"")</f>
        <v>43332</v>
      </c>
      <c r="C29" s="117">
        <f>TabREP[[#This Row],[J1]]*Entrainement!C17</f>
        <v>483</v>
      </c>
      <c r="D29" s="117">
        <f>TabREP[[#This Row],[J2]]*Entrainement!C17</f>
        <v>483</v>
      </c>
      <c r="E29" s="117">
        <f>TabREP[[#This Row],[J3]]*Entrainement!$C17</f>
        <v>552</v>
      </c>
      <c r="F29" s="117">
        <f>TabREP[[#This Row],[J4]]*Entrainement!$C17</f>
        <v>483</v>
      </c>
      <c r="G29" s="117">
        <f>TabREP[[#This Row],[J5]]*Entrainement!$C17</f>
        <v>0</v>
      </c>
      <c r="H29" s="117">
        <f>TabREP[[#This Row],[J6]]*Entrainement!$C17</f>
        <v>0</v>
      </c>
      <c r="I29" s="117">
        <f>TabREP[[#This Row],[J7]]*Entrainement!$C17</f>
        <v>0</v>
      </c>
      <c r="J29" s="117">
        <f>TabREP[[#This Row],[J8]]*Entrainement!$C17</f>
        <v>0</v>
      </c>
      <c r="K29" s="117">
        <f>TabREP[[#This Row],[J9]]*Entrainement!$C17</f>
        <v>552</v>
      </c>
      <c r="L29" s="117">
        <f>TabREP[[#This Row],[J10]]*Entrainement!$C17</f>
        <v>552</v>
      </c>
      <c r="M29" s="117">
        <f>TabREP[[#This Row],[J11]]*Entrainement!$C17</f>
        <v>483</v>
      </c>
      <c r="N29" s="117">
        <f>TabREP[[#This Row],[J12]]*Entrainement!$C17</f>
        <v>621</v>
      </c>
      <c r="O29" s="117">
        <f>TabREP[[#This Row],[J13]]*Entrainement!$C17</f>
        <v>0</v>
      </c>
      <c r="P29" s="117">
        <f>TabREP[[#This Row],[J14]]*Entrainement!$C17</f>
        <v>414</v>
      </c>
      <c r="Q29" s="117">
        <f>TabREP[[#This Row],[J15]]*Entrainement!$C17</f>
        <v>414</v>
      </c>
      <c r="R29" s="117">
        <f>TabREP[[#This Row],[J16]]*Entrainement!$C17</f>
        <v>414</v>
      </c>
      <c r="S29" s="117">
        <f>TabREP[[#This Row],[J17]]*Entrainement!$C17</f>
        <v>552</v>
      </c>
      <c r="T29" s="117">
        <f>TabREP[[#This Row],[J18]]*Entrainement!$C17</f>
        <v>552</v>
      </c>
      <c r="U29" s="117">
        <f>TabREP[[#This Row],[J19]]*Entrainement!$C17</f>
        <v>0</v>
      </c>
      <c r="V29" s="117">
        <f>TabREP[[#This Row],[J20]]*Entrainement!$C17</f>
        <v>0</v>
      </c>
      <c r="W29" s="117">
        <f>TabREP[[#This Row],[J21]]*Entrainement!$C17</f>
        <v>552</v>
      </c>
      <c r="X29" s="117">
        <f>TabREP[[#This Row],[J22]]*Entrainement!$C17</f>
        <v>0</v>
      </c>
      <c r="Y29" s="117">
        <f>TabREP[[#This Row],[J23]]*Entrainement!$C17</f>
        <v>0</v>
      </c>
      <c r="Z29" s="117">
        <f>TabREP[[#This Row],[J24]]*Entrainement!$C17</f>
        <v>0</v>
      </c>
      <c r="AA29" s="117">
        <f>TabREP[[#This Row],[J25]]*Entrainement!$C17</f>
        <v>0</v>
      </c>
      <c r="AB29" s="117">
        <f>TabREP[[#This Row],[J26]]*Entrainement!$C17</f>
        <v>0</v>
      </c>
      <c r="AC29" s="117">
        <f>TabREP[[#This Row],[J27]]*Entrainement!$C17</f>
        <v>0</v>
      </c>
      <c r="AD29" s="117">
        <f>TabREP[[#This Row],[J28]]*Entrainement!$C17</f>
        <v>0</v>
      </c>
      <c r="AE29" s="117">
        <f>TabREP[[#This Row],[J29]]*Entrainement!$C17</f>
        <v>0</v>
      </c>
      <c r="AF29" s="117">
        <f>TabREP[[#This Row],[J30]]*Entrainement!$C17</f>
        <v>0</v>
      </c>
      <c r="AG29" s="250">
        <f>'Charges collective'!E21</f>
        <v>507.64285714285711</v>
      </c>
      <c r="AH29" s="49"/>
      <c r="AI29" s="48"/>
    </row>
    <row r="30" spans="2:35" ht="14.25">
      <c r="B30" s="248">
        <f>IF(INDEX(TabEntrainement[Seance],ROW()-18)&lt;&gt;0,INDEX(TabEntrainement[Seance],ROW()-18),"")</f>
        <v>43333</v>
      </c>
      <c r="C30" s="117">
        <f>TabREP[[#This Row],[J1]]*Entrainement!C18</f>
        <v>300</v>
      </c>
      <c r="D30" s="117">
        <f>TabREP[[#This Row],[J2]]*Entrainement!C18</f>
        <v>150</v>
      </c>
      <c r="E30" s="117">
        <f>TabREP[[#This Row],[J3]]*Entrainement!$C18</f>
        <v>400</v>
      </c>
      <c r="F30" s="117">
        <f>TabREP[[#This Row],[J4]]*Entrainement!$C18</f>
        <v>0</v>
      </c>
      <c r="G30" s="117">
        <f>TabREP[[#This Row],[J5]]*Entrainement!$C18</f>
        <v>0</v>
      </c>
      <c r="H30" s="117">
        <f>TabREP[[#This Row],[J6]]*Entrainement!$C18</f>
        <v>300</v>
      </c>
      <c r="I30" s="117">
        <f>TabREP[[#This Row],[J7]]*Entrainement!$C18</f>
        <v>0</v>
      </c>
      <c r="J30" s="117">
        <f>TabREP[[#This Row],[J8]]*Entrainement!$C18</f>
        <v>250</v>
      </c>
      <c r="K30" s="117">
        <f>TabREP[[#This Row],[J9]]*Entrainement!$C18</f>
        <v>300</v>
      </c>
      <c r="L30" s="117">
        <f>TabREP[[#This Row],[J10]]*Entrainement!$C18</f>
        <v>200</v>
      </c>
      <c r="M30" s="117">
        <f>TabREP[[#This Row],[J11]]*Entrainement!$C18</f>
        <v>0</v>
      </c>
      <c r="N30" s="117">
        <f>TabREP[[#This Row],[J12]]*Entrainement!$C18</f>
        <v>0</v>
      </c>
      <c r="O30" s="117">
        <f>TabREP[[#This Row],[J13]]*Entrainement!$C18</f>
        <v>0</v>
      </c>
      <c r="P30" s="117">
        <f>TabREP[[#This Row],[J14]]*Entrainement!$C18</f>
        <v>300</v>
      </c>
      <c r="Q30" s="117">
        <f>TabREP[[#This Row],[J15]]*Entrainement!$C18</f>
        <v>300</v>
      </c>
      <c r="R30" s="117">
        <f>TabREP[[#This Row],[J16]]*Entrainement!$C18</f>
        <v>300</v>
      </c>
      <c r="S30" s="117">
        <f>TabREP[[#This Row],[J17]]*Entrainement!$C18</f>
        <v>300</v>
      </c>
      <c r="T30" s="117">
        <f>TabREP[[#This Row],[J18]]*Entrainement!$C18</f>
        <v>200</v>
      </c>
      <c r="U30" s="117">
        <f>TabREP[[#This Row],[J19]]*Entrainement!$C18</f>
        <v>0</v>
      </c>
      <c r="V30" s="117">
        <f>TabREP[[#This Row],[J20]]*Entrainement!$C18</f>
        <v>0</v>
      </c>
      <c r="W30" s="117">
        <f>TabREP[[#This Row],[J21]]*Entrainement!$C18</f>
        <v>250</v>
      </c>
      <c r="X30" s="117">
        <f>TabREP[[#This Row],[J22]]*Entrainement!$C18</f>
        <v>0</v>
      </c>
      <c r="Y30" s="117">
        <f>TabREP[[#This Row],[J23]]*Entrainement!$C18</f>
        <v>0</v>
      </c>
      <c r="Z30" s="117">
        <f>TabREP[[#This Row],[J24]]*Entrainement!$C18</f>
        <v>0</v>
      </c>
      <c r="AA30" s="117">
        <f>TabREP[[#This Row],[J25]]*Entrainement!$C18</f>
        <v>0</v>
      </c>
      <c r="AB30" s="117">
        <f>TabREP[[#This Row],[J26]]*Entrainement!$C18</f>
        <v>0</v>
      </c>
      <c r="AC30" s="117">
        <f>TabREP[[#This Row],[J27]]*Entrainement!$C18</f>
        <v>0</v>
      </c>
      <c r="AD30" s="117">
        <f>TabREP[[#This Row],[J28]]*Entrainement!$C18</f>
        <v>0</v>
      </c>
      <c r="AE30" s="117">
        <f>TabREP[[#This Row],[J29]]*Entrainement!$C18</f>
        <v>0</v>
      </c>
      <c r="AF30" s="117">
        <f>TabREP[[#This Row],[J30]]*Entrainement!$C18</f>
        <v>0</v>
      </c>
      <c r="AG30" s="250">
        <f>'Charges collective'!E22</f>
        <v>273.07692307692309</v>
      </c>
      <c r="AH30" s="49"/>
      <c r="AI30" s="48"/>
    </row>
    <row r="31" spans="2:35" ht="14.25">
      <c r="B31" s="248">
        <f>IF(INDEX(TabEntrainement[Seance],ROW()-18)&lt;&gt;0,INDEX(TabEntrainement[Seance],ROW()-18),"")</f>
        <v>43335</v>
      </c>
      <c r="C31" s="117">
        <f>TabREP[[#This Row],[J1]]*Entrainement!C19</f>
        <v>165</v>
      </c>
      <c r="D31" s="117">
        <f>TabREP[[#This Row],[J2]]*Entrainement!C19</f>
        <v>110</v>
      </c>
      <c r="E31" s="117">
        <f>TabREP[[#This Row],[J3]]*Entrainement!$C19</f>
        <v>0</v>
      </c>
      <c r="F31" s="117">
        <f>TabREP[[#This Row],[J4]]*Entrainement!$C19</f>
        <v>110</v>
      </c>
      <c r="G31" s="117">
        <f>TabREP[[#This Row],[J5]]*Entrainement!$C19</f>
        <v>0</v>
      </c>
      <c r="H31" s="117">
        <f>TabREP[[#This Row],[J6]]*Entrainement!$C19</f>
        <v>55</v>
      </c>
      <c r="I31" s="117">
        <f>TabREP[[#This Row],[J7]]*Entrainement!$C19</f>
        <v>220</v>
      </c>
      <c r="J31" s="117">
        <f>TabREP[[#This Row],[J8]]*Entrainement!$C19</f>
        <v>0</v>
      </c>
      <c r="K31" s="117">
        <f>TabREP[[#This Row],[J9]]*Entrainement!$C19</f>
        <v>220</v>
      </c>
      <c r="L31" s="117">
        <f>TabREP[[#This Row],[J10]]*Entrainement!$C19</f>
        <v>165</v>
      </c>
      <c r="M31" s="117">
        <f>TabREP[[#This Row],[J11]]*Entrainement!$C19</f>
        <v>165</v>
      </c>
      <c r="N31" s="117">
        <f>TabREP[[#This Row],[J12]]*Entrainement!$C19</f>
        <v>110</v>
      </c>
      <c r="O31" s="117">
        <f>TabREP[[#This Row],[J13]]*Entrainement!$C19</f>
        <v>0</v>
      </c>
      <c r="P31" s="117">
        <f>TabREP[[#This Row],[J14]]*Entrainement!$C19</f>
        <v>165</v>
      </c>
      <c r="Q31" s="117">
        <f>TabREP[[#This Row],[J15]]*Entrainement!$C19</f>
        <v>165</v>
      </c>
      <c r="R31" s="117">
        <f>TabREP[[#This Row],[J16]]*Entrainement!$C19</f>
        <v>0</v>
      </c>
      <c r="S31" s="117">
        <f>TabREP[[#This Row],[J17]]*Entrainement!$C19</f>
        <v>165</v>
      </c>
      <c r="T31" s="117">
        <f>TabREP[[#This Row],[J18]]*Entrainement!$C19</f>
        <v>110</v>
      </c>
      <c r="U31" s="117">
        <f>TabREP[[#This Row],[J19]]*Entrainement!$C19</f>
        <v>0</v>
      </c>
      <c r="V31" s="117">
        <f>TabREP[[#This Row],[J20]]*Entrainement!$C19</f>
        <v>0</v>
      </c>
      <c r="W31" s="117">
        <f>TabREP[[#This Row],[J21]]*Entrainement!$C19</f>
        <v>110</v>
      </c>
      <c r="X31" s="117">
        <f>TabREP[[#This Row],[J22]]*Entrainement!$C19</f>
        <v>0</v>
      </c>
      <c r="Y31" s="117">
        <f>TabREP[[#This Row],[J23]]*Entrainement!$C19</f>
        <v>0</v>
      </c>
      <c r="Z31" s="117">
        <f>TabREP[[#This Row],[J24]]*Entrainement!$C19</f>
        <v>0</v>
      </c>
      <c r="AA31" s="117">
        <f>TabREP[[#This Row],[J25]]*Entrainement!$C19</f>
        <v>0</v>
      </c>
      <c r="AB31" s="117">
        <f>TabREP[[#This Row],[J26]]*Entrainement!$C19</f>
        <v>0</v>
      </c>
      <c r="AC31" s="117">
        <f>TabREP[[#This Row],[J27]]*Entrainement!$C19</f>
        <v>0</v>
      </c>
      <c r="AD31" s="117">
        <f>TabREP[[#This Row],[J28]]*Entrainement!$C19</f>
        <v>0</v>
      </c>
      <c r="AE31" s="117">
        <f>TabREP[[#This Row],[J29]]*Entrainement!$C19</f>
        <v>0</v>
      </c>
      <c r="AF31" s="117">
        <f>TabREP[[#This Row],[J30]]*Entrainement!$C19</f>
        <v>0</v>
      </c>
      <c r="AG31" s="250">
        <f>'Charges collective'!E23</f>
        <v>145.35714285714286</v>
      </c>
      <c r="AH31" s="49"/>
      <c r="AI31" s="48"/>
    </row>
    <row r="32" spans="2:35" ht="14.25">
      <c r="B32" s="248">
        <f>IF(INDEX(TabEntrainement[Seance],ROW()-18)&lt;&gt;0,INDEX(TabEntrainement[Seance],ROW()-18),"")</f>
        <v>43336</v>
      </c>
      <c r="C32" s="117">
        <f>TabREP[[#This Row],[J1]]*Entrainement!C20</f>
        <v>210</v>
      </c>
      <c r="D32" s="117">
        <f>TabREP[[#This Row],[J2]]*Entrainement!C20</f>
        <v>210</v>
      </c>
      <c r="E32" s="117">
        <f>TabREP[[#This Row],[J3]]*Entrainement!$C20</f>
        <v>140</v>
      </c>
      <c r="F32" s="117">
        <f>TabREP[[#This Row],[J4]]*Entrainement!$C20</f>
        <v>210</v>
      </c>
      <c r="G32" s="117">
        <f>TabREP[[#This Row],[J5]]*Entrainement!$C20</f>
        <v>210</v>
      </c>
      <c r="H32" s="117">
        <f>TabREP[[#This Row],[J6]]*Entrainement!$C20</f>
        <v>210</v>
      </c>
      <c r="I32" s="117">
        <f>TabREP[[#This Row],[J7]]*Entrainement!$C20</f>
        <v>210</v>
      </c>
      <c r="J32" s="117">
        <f>TabREP[[#This Row],[J8]]*Entrainement!$C20</f>
        <v>280</v>
      </c>
      <c r="K32" s="117">
        <f>TabREP[[#This Row],[J9]]*Entrainement!$C20</f>
        <v>0</v>
      </c>
      <c r="L32" s="117">
        <f>TabREP[[#This Row],[J10]]*Entrainement!$C20</f>
        <v>0</v>
      </c>
      <c r="M32" s="117">
        <f>TabREP[[#This Row],[J11]]*Entrainement!$C20</f>
        <v>420</v>
      </c>
      <c r="N32" s="117">
        <f>TabREP[[#This Row],[J12]]*Entrainement!$C20</f>
        <v>350</v>
      </c>
      <c r="O32" s="117">
        <f>TabREP[[#This Row],[J13]]*Entrainement!$C20</f>
        <v>210</v>
      </c>
      <c r="P32" s="117">
        <f>TabREP[[#This Row],[J14]]*Entrainement!$C20</f>
        <v>210</v>
      </c>
      <c r="Q32" s="117">
        <f>TabREP[[#This Row],[J15]]*Entrainement!$C20</f>
        <v>210</v>
      </c>
      <c r="R32" s="117">
        <f>TabREP[[#This Row],[J16]]*Entrainement!$C20</f>
        <v>280</v>
      </c>
      <c r="S32" s="117">
        <f>TabREP[[#This Row],[J17]]*Entrainement!$C20</f>
        <v>350</v>
      </c>
      <c r="T32" s="117">
        <f>TabREP[[#This Row],[J18]]*Entrainement!$C20</f>
        <v>210</v>
      </c>
      <c r="U32" s="117">
        <f>TabREP[[#This Row],[J19]]*Entrainement!$C20</f>
        <v>0</v>
      </c>
      <c r="V32" s="117">
        <f>TabREP[[#This Row],[J20]]*Entrainement!$C20</f>
        <v>0</v>
      </c>
      <c r="W32" s="117">
        <f>TabREP[[#This Row],[J21]]*Entrainement!$C20</f>
        <v>210</v>
      </c>
      <c r="X32" s="117">
        <f>TabREP[[#This Row],[J22]]*Entrainement!$C20</f>
        <v>0</v>
      </c>
      <c r="Y32" s="117">
        <f>TabREP[[#This Row],[J23]]*Entrainement!$C20</f>
        <v>0</v>
      </c>
      <c r="Z32" s="117">
        <f>TabREP[[#This Row],[J24]]*Entrainement!$C20</f>
        <v>0</v>
      </c>
      <c r="AA32" s="117">
        <f>TabREP[[#This Row],[J25]]*Entrainement!$C20</f>
        <v>0</v>
      </c>
      <c r="AB32" s="117">
        <f>TabREP[[#This Row],[J26]]*Entrainement!$C20</f>
        <v>0</v>
      </c>
      <c r="AC32" s="117">
        <f>TabREP[[#This Row],[J27]]*Entrainement!$C20</f>
        <v>0</v>
      </c>
      <c r="AD32" s="117">
        <f>TabREP[[#This Row],[J28]]*Entrainement!$C20</f>
        <v>0</v>
      </c>
      <c r="AE32" s="117">
        <f>TabREP[[#This Row],[J29]]*Entrainement!$C20</f>
        <v>0</v>
      </c>
      <c r="AF32" s="117">
        <f>TabREP[[#This Row],[J30]]*Entrainement!$C20</f>
        <v>0</v>
      </c>
      <c r="AG32" s="250">
        <f>'Charges collective'!E24</f>
        <v>242.94117647058823</v>
      </c>
      <c r="AH32" s="49"/>
      <c r="AI32" s="48"/>
    </row>
    <row r="33" spans="2:35" ht="14.25">
      <c r="B33" s="248">
        <f>IF(INDEX(TabEntrainement[Seance],ROW()-18)&lt;&gt;0,INDEX(TabEntrainement[Seance],ROW()-18),"")</f>
        <v>43339</v>
      </c>
      <c r="C33" s="117">
        <f>TabREP[[#This Row],[J1]]*Entrainement!C21</f>
        <v>384</v>
      </c>
      <c r="D33" s="117">
        <f>TabREP[[#This Row],[J2]]*Entrainement!C21</f>
        <v>320</v>
      </c>
      <c r="E33" s="117">
        <f>TabREP[[#This Row],[J3]]*Entrainement!$C21</f>
        <v>384</v>
      </c>
      <c r="F33" s="117">
        <f>TabREP[[#This Row],[J4]]*Entrainement!$C21</f>
        <v>384</v>
      </c>
      <c r="G33" s="117">
        <f>TabREP[[#This Row],[J5]]*Entrainement!$C21</f>
        <v>0</v>
      </c>
      <c r="H33" s="117">
        <f>TabREP[[#This Row],[J6]]*Entrainement!$C21</f>
        <v>256</v>
      </c>
      <c r="I33" s="117">
        <f>TabREP[[#This Row],[J7]]*Entrainement!$C21</f>
        <v>384</v>
      </c>
      <c r="J33" s="117">
        <f>TabREP[[#This Row],[J8]]*Entrainement!$C21</f>
        <v>0</v>
      </c>
      <c r="K33" s="117">
        <f>TabREP[[#This Row],[J9]]*Entrainement!$C21</f>
        <v>384</v>
      </c>
      <c r="L33" s="117">
        <f>TabREP[[#This Row],[J10]]*Entrainement!$C21</f>
        <v>384</v>
      </c>
      <c r="M33" s="117">
        <f>TabREP[[#This Row],[J11]]*Entrainement!$C21</f>
        <v>0</v>
      </c>
      <c r="N33" s="117">
        <f>TabREP[[#This Row],[J12]]*Entrainement!$C21</f>
        <v>384</v>
      </c>
      <c r="O33" s="117">
        <f>TabREP[[#This Row],[J13]]*Entrainement!$C21</f>
        <v>256</v>
      </c>
      <c r="P33" s="117">
        <f>TabREP[[#This Row],[J14]]*Entrainement!$C21</f>
        <v>256</v>
      </c>
      <c r="Q33" s="117">
        <f>TabREP[[#This Row],[J15]]*Entrainement!$C21</f>
        <v>256</v>
      </c>
      <c r="R33" s="117">
        <f>TabREP[[#This Row],[J16]]*Entrainement!$C21</f>
        <v>0</v>
      </c>
      <c r="S33" s="117">
        <f>TabREP[[#This Row],[J17]]*Entrainement!$C21</f>
        <v>320</v>
      </c>
      <c r="T33" s="117">
        <f>TabREP[[#This Row],[J18]]*Entrainement!$C21</f>
        <v>256</v>
      </c>
      <c r="U33" s="117">
        <f>TabREP[[#This Row],[J19]]*Entrainement!$C21</f>
        <v>0</v>
      </c>
      <c r="V33" s="117">
        <f>TabREP[[#This Row],[J20]]*Entrainement!$C21</f>
        <v>0</v>
      </c>
      <c r="W33" s="117">
        <f>TabREP[[#This Row],[J21]]*Entrainement!$C21</f>
        <v>320</v>
      </c>
      <c r="X33" s="117">
        <f>TabREP[[#This Row],[J22]]*Entrainement!$C21</f>
        <v>0</v>
      </c>
      <c r="Y33" s="117">
        <f>TabREP[[#This Row],[J23]]*Entrainement!$C21</f>
        <v>0</v>
      </c>
      <c r="Z33" s="117">
        <f>TabREP[[#This Row],[J24]]*Entrainement!$C21</f>
        <v>0</v>
      </c>
      <c r="AA33" s="117">
        <f>TabREP[[#This Row],[J25]]*Entrainement!$C21</f>
        <v>0</v>
      </c>
      <c r="AB33" s="117">
        <f>TabREP[[#This Row],[J26]]*Entrainement!$C21</f>
        <v>0</v>
      </c>
      <c r="AC33" s="117">
        <f>TabREP[[#This Row],[J27]]*Entrainement!$C21</f>
        <v>0</v>
      </c>
      <c r="AD33" s="117">
        <f>TabREP[[#This Row],[J28]]*Entrainement!$C21</f>
        <v>0</v>
      </c>
      <c r="AE33" s="117">
        <f>TabREP[[#This Row],[J29]]*Entrainement!$C21</f>
        <v>0</v>
      </c>
      <c r="AF33" s="117">
        <f>TabREP[[#This Row],[J30]]*Entrainement!$C21</f>
        <v>0</v>
      </c>
      <c r="AG33" s="250">
        <f>'Charges collective'!E25</f>
        <v>328.53333333333336</v>
      </c>
      <c r="AH33" s="49"/>
      <c r="AI33" s="48"/>
    </row>
    <row r="34" spans="2:35" ht="14.25">
      <c r="B34" s="248">
        <f>IF(INDEX(TabEntrainement[Seance],ROW()-18)&lt;&gt;0,INDEX(TabEntrainement[Seance],ROW()-18),"")</f>
        <v>43340</v>
      </c>
      <c r="C34" s="117">
        <f>TabREP[[#This Row],[J1]]*Entrainement!C22</f>
        <v>300</v>
      </c>
      <c r="D34" s="117">
        <f>TabREP[[#This Row],[J2]]*Entrainement!C22</f>
        <v>300</v>
      </c>
      <c r="E34" s="117">
        <f>TabREP[[#This Row],[J3]]*Entrainement!$C22</f>
        <v>300</v>
      </c>
      <c r="F34" s="117">
        <f>TabREP[[#This Row],[J4]]*Entrainement!$C22</f>
        <v>300</v>
      </c>
      <c r="G34" s="117">
        <f>TabREP[[#This Row],[J5]]*Entrainement!$C22</f>
        <v>0</v>
      </c>
      <c r="H34" s="117">
        <f>TabREP[[#This Row],[J6]]*Entrainement!$C22</f>
        <v>240</v>
      </c>
      <c r="I34" s="117">
        <f>TabREP[[#This Row],[J7]]*Entrainement!$C22</f>
        <v>240</v>
      </c>
      <c r="J34" s="117">
        <f>TabREP[[#This Row],[J8]]*Entrainement!$C22</f>
        <v>300</v>
      </c>
      <c r="K34" s="117">
        <f>TabREP[[#This Row],[J9]]*Entrainement!$C22</f>
        <v>0</v>
      </c>
      <c r="L34" s="117">
        <f>TabREP[[#This Row],[J10]]*Entrainement!$C22</f>
        <v>240</v>
      </c>
      <c r="M34" s="117">
        <f>TabREP[[#This Row],[J11]]*Entrainement!$C22</f>
        <v>300</v>
      </c>
      <c r="N34" s="117">
        <f>TabREP[[#This Row],[J12]]*Entrainement!$C22</f>
        <v>300</v>
      </c>
      <c r="O34" s="117">
        <f>TabREP[[#This Row],[J13]]*Entrainement!$C22</f>
        <v>300</v>
      </c>
      <c r="P34" s="117">
        <f>TabREP[[#This Row],[J14]]*Entrainement!$C22</f>
        <v>240</v>
      </c>
      <c r="Q34" s="117">
        <f>TabREP[[#This Row],[J15]]*Entrainement!$C22</f>
        <v>300</v>
      </c>
      <c r="R34" s="117">
        <f>TabREP[[#This Row],[J16]]*Entrainement!$C22</f>
        <v>300</v>
      </c>
      <c r="S34" s="117">
        <f>TabREP[[#This Row],[J17]]*Entrainement!$C22</f>
        <v>0</v>
      </c>
      <c r="T34" s="117">
        <f>TabREP[[#This Row],[J18]]*Entrainement!$C22</f>
        <v>120</v>
      </c>
      <c r="U34" s="117">
        <f>TabREP[[#This Row],[J19]]*Entrainement!$C22</f>
        <v>300</v>
      </c>
      <c r="V34" s="117">
        <f>TabREP[[#This Row],[J20]]*Entrainement!$C22</f>
        <v>0</v>
      </c>
      <c r="W34" s="117">
        <f>TabREP[[#This Row],[J21]]*Entrainement!$C22</f>
        <v>300</v>
      </c>
      <c r="X34" s="117">
        <f>TabREP[[#This Row],[J22]]*Entrainement!$C22</f>
        <v>0</v>
      </c>
      <c r="Y34" s="117">
        <f>TabREP[[#This Row],[J23]]*Entrainement!$C22</f>
        <v>0</v>
      </c>
      <c r="Z34" s="117">
        <f>TabREP[[#This Row],[J24]]*Entrainement!$C22</f>
        <v>0</v>
      </c>
      <c r="AA34" s="117">
        <f>TabREP[[#This Row],[J25]]*Entrainement!$C22</f>
        <v>0</v>
      </c>
      <c r="AB34" s="117">
        <f>TabREP[[#This Row],[J26]]*Entrainement!$C22</f>
        <v>0</v>
      </c>
      <c r="AC34" s="117">
        <f>TabREP[[#This Row],[J27]]*Entrainement!$C22</f>
        <v>0</v>
      </c>
      <c r="AD34" s="117">
        <f>TabREP[[#This Row],[J28]]*Entrainement!$C22</f>
        <v>0</v>
      </c>
      <c r="AE34" s="117">
        <f>TabREP[[#This Row],[J29]]*Entrainement!$C22</f>
        <v>0</v>
      </c>
      <c r="AF34" s="117">
        <f>TabREP[[#This Row],[J30]]*Entrainement!$C22</f>
        <v>0</v>
      </c>
      <c r="AG34" s="250">
        <f>'Charges collective'!E26</f>
        <v>275.29411764705878</v>
      </c>
      <c r="AH34" s="49"/>
      <c r="AI34" s="48"/>
    </row>
    <row r="35" spans="2:35" ht="14.25">
      <c r="B35" s="248">
        <f>IF(INDEX(TabEntrainement[Seance],ROW()-18)&lt;&gt;0,INDEX(TabEntrainement[Seance],ROW()-18),"")</f>
        <v>43342</v>
      </c>
      <c r="C35" s="117">
        <f>TabREP[[#This Row],[J1]]*Entrainement!C23</f>
        <v>285</v>
      </c>
      <c r="D35" s="117">
        <f>TabREP[[#This Row],[J2]]*Entrainement!C23</f>
        <v>342</v>
      </c>
      <c r="E35" s="117">
        <f>TabREP[[#This Row],[J3]]*Entrainement!$C23</f>
        <v>228</v>
      </c>
      <c r="F35" s="117">
        <f>TabREP[[#This Row],[J4]]*Entrainement!$C23</f>
        <v>285</v>
      </c>
      <c r="G35" s="117">
        <f>TabREP[[#This Row],[J5]]*Entrainement!$C23</f>
        <v>171</v>
      </c>
      <c r="H35" s="117">
        <f>TabREP[[#This Row],[J6]]*Entrainement!$C23</f>
        <v>285</v>
      </c>
      <c r="I35" s="117">
        <f>TabREP[[#This Row],[J7]]*Entrainement!$C23</f>
        <v>171</v>
      </c>
      <c r="J35" s="117">
        <f>TabREP[[#This Row],[J8]]*Entrainement!$C23</f>
        <v>228</v>
      </c>
      <c r="K35" s="117">
        <f>TabREP[[#This Row],[J9]]*Entrainement!$C23</f>
        <v>228</v>
      </c>
      <c r="L35" s="117">
        <f>TabREP[[#This Row],[J10]]*Entrainement!$C23</f>
        <v>228</v>
      </c>
      <c r="M35" s="117">
        <f>TabREP[[#This Row],[J11]]*Entrainement!$C23</f>
        <v>285</v>
      </c>
      <c r="N35" s="117">
        <f>TabREP[[#This Row],[J12]]*Entrainement!$C23</f>
        <v>342</v>
      </c>
      <c r="O35" s="117">
        <f>TabREP[[#This Row],[J13]]*Entrainement!$C23</f>
        <v>285</v>
      </c>
      <c r="P35" s="117">
        <f>TabREP[[#This Row],[J14]]*Entrainement!$C23</f>
        <v>228</v>
      </c>
      <c r="Q35" s="117">
        <f>TabREP[[#This Row],[J15]]*Entrainement!$C23</f>
        <v>285</v>
      </c>
      <c r="R35" s="117">
        <f>TabREP[[#This Row],[J16]]*Entrainement!$C23</f>
        <v>228</v>
      </c>
      <c r="S35" s="117">
        <f>TabREP[[#This Row],[J17]]*Entrainement!$C23</f>
        <v>285</v>
      </c>
      <c r="T35" s="117">
        <f>TabREP[[#This Row],[J18]]*Entrainement!$C23</f>
        <v>228</v>
      </c>
      <c r="U35" s="117">
        <f>TabREP[[#This Row],[J19]]*Entrainement!$C23</f>
        <v>342</v>
      </c>
      <c r="V35" s="117">
        <f>TabREP[[#This Row],[J20]]*Entrainement!$C23</f>
        <v>0</v>
      </c>
      <c r="W35" s="117">
        <f>TabREP[[#This Row],[J21]]*Entrainement!$C23</f>
        <v>285</v>
      </c>
      <c r="X35" s="117">
        <f>TabREP[[#This Row],[J22]]*Entrainement!$C23</f>
        <v>0</v>
      </c>
      <c r="Y35" s="117">
        <f>TabREP[[#This Row],[J23]]*Entrainement!$C23</f>
        <v>0</v>
      </c>
      <c r="Z35" s="117">
        <f>TabREP[[#This Row],[J24]]*Entrainement!$C23</f>
        <v>0</v>
      </c>
      <c r="AA35" s="117">
        <f>TabREP[[#This Row],[J25]]*Entrainement!$C23</f>
        <v>0</v>
      </c>
      <c r="AB35" s="117">
        <f>TabREP[[#This Row],[J26]]*Entrainement!$C23</f>
        <v>0</v>
      </c>
      <c r="AC35" s="117">
        <f>TabREP[[#This Row],[J27]]*Entrainement!$C23</f>
        <v>0</v>
      </c>
      <c r="AD35" s="117">
        <f>TabREP[[#This Row],[J28]]*Entrainement!$C23</f>
        <v>0</v>
      </c>
      <c r="AE35" s="117">
        <f>TabREP[[#This Row],[J29]]*Entrainement!$C23</f>
        <v>0</v>
      </c>
      <c r="AF35" s="117">
        <f>TabREP[[#This Row],[J30]]*Entrainement!$C23</f>
        <v>0</v>
      </c>
      <c r="AG35" s="250">
        <f>'Charges collective'!E27</f>
        <v>262.2</v>
      </c>
      <c r="AH35" s="49"/>
      <c r="AI35" s="48"/>
    </row>
    <row r="36" spans="2:35" ht="14.25">
      <c r="B36" s="248">
        <f>IF(INDEX(TabEntrainement[Seance],ROW()-18)&lt;&gt;0,INDEX(TabEntrainement[Seance],ROW()-18),"")</f>
        <v>43343</v>
      </c>
      <c r="C36" s="117">
        <f>TabREP[[#This Row],[J1]]*Entrainement!C24</f>
        <v>150</v>
      </c>
      <c r="D36" s="117">
        <f>TabREP[[#This Row],[J2]]*Entrainement!C24</f>
        <v>200</v>
      </c>
      <c r="E36" s="117">
        <f>TabREP[[#This Row],[J3]]*Entrainement!$C24</f>
        <v>0</v>
      </c>
      <c r="F36" s="117">
        <f>TabREP[[#This Row],[J4]]*Entrainement!$C24</f>
        <v>150</v>
      </c>
      <c r="G36" s="117">
        <f>TabREP[[#This Row],[J5]]*Entrainement!$C24</f>
        <v>0</v>
      </c>
      <c r="H36" s="117">
        <f>TabREP[[#This Row],[J6]]*Entrainement!$C24</f>
        <v>100</v>
      </c>
      <c r="I36" s="117">
        <f>TabREP[[#This Row],[J7]]*Entrainement!$C24</f>
        <v>150</v>
      </c>
      <c r="J36" s="117">
        <f>TabREP[[#This Row],[J8]]*Entrainement!$C24</f>
        <v>150</v>
      </c>
      <c r="K36" s="117">
        <f>TabREP[[#This Row],[J9]]*Entrainement!$C24</f>
        <v>250</v>
      </c>
      <c r="L36" s="117">
        <f>TabREP[[#This Row],[J10]]*Entrainement!$C24</f>
        <v>0</v>
      </c>
      <c r="M36" s="117">
        <f>TabREP[[#This Row],[J11]]*Entrainement!$C24</f>
        <v>200</v>
      </c>
      <c r="N36" s="117">
        <f>TabREP[[#This Row],[J12]]*Entrainement!$C24</f>
        <v>250</v>
      </c>
      <c r="O36" s="117">
        <f>TabREP[[#This Row],[J13]]*Entrainement!$C24</f>
        <v>150</v>
      </c>
      <c r="P36" s="117">
        <f>TabREP[[#This Row],[J14]]*Entrainement!$C24</f>
        <v>250</v>
      </c>
      <c r="Q36" s="117">
        <f>TabREP[[#This Row],[J15]]*Entrainement!$C24</f>
        <v>150</v>
      </c>
      <c r="R36" s="117">
        <f>TabREP[[#This Row],[J16]]*Entrainement!$C24</f>
        <v>150</v>
      </c>
      <c r="S36" s="117">
        <f>TabREP[[#This Row],[J17]]*Entrainement!$C24</f>
        <v>200</v>
      </c>
      <c r="T36" s="117">
        <f>TabREP[[#This Row],[J18]]*Entrainement!$C24</f>
        <v>0</v>
      </c>
      <c r="U36" s="117">
        <f>TabREP[[#This Row],[J19]]*Entrainement!$C24</f>
        <v>200</v>
      </c>
      <c r="V36" s="117">
        <f>TabREP[[#This Row],[J20]]*Entrainement!$C24</f>
        <v>0</v>
      </c>
      <c r="W36" s="117">
        <f>TabREP[[#This Row],[J21]]*Entrainement!$C24</f>
        <v>250</v>
      </c>
      <c r="X36" s="117">
        <f>TabREP[[#This Row],[J22]]*Entrainement!$C24</f>
        <v>0</v>
      </c>
      <c r="Y36" s="117">
        <f>TabREP[[#This Row],[J23]]*Entrainement!$C24</f>
        <v>0</v>
      </c>
      <c r="Z36" s="117">
        <f>TabREP[[#This Row],[J24]]*Entrainement!$C24</f>
        <v>0</v>
      </c>
      <c r="AA36" s="117">
        <f>TabREP[[#This Row],[J25]]*Entrainement!$C24</f>
        <v>0</v>
      </c>
      <c r="AB36" s="117">
        <f>TabREP[[#This Row],[J26]]*Entrainement!$C24</f>
        <v>0</v>
      </c>
      <c r="AC36" s="117">
        <f>TabREP[[#This Row],[J27]]*Entrainement!$C24</f>
        <v>0</v>
      </c>
      <c r="AD36" s="117">
        <f>TabREP[[#This Row],[J28]]*Entrainement!$C24</f>
        <v>0</v>
      </c>
      <c r="AE36" s="117">
        <f>TabREP[[#This Row],[J29]]*Entrainement!$C24</f>
        <v>0</v>
      </c>
      <c r="AF36" s="117">
        <f>TabREP[[#This Row],[J30]]*Entrainement!$C24</f>
        <v>0</v>
      </c>
      <c r="AG36" s="250">
        <f>'Charges collective'!E28</f>
        <v>184.375</v>
      </c>
      <c r="AH36" s="49"/>
      <c r="AI36" s="48"/>
    </row>
    <row r="37" spans="2:35" ht="14.25">
      <c r="B37" s="248">
        <f>IF(INDEX(TabEntrainement[Seance],ROW()-18)&lt;&gt;0,INDEX(TabEntrainement[Seance],ROW()-18),"")</f>
        <v>43347</v>
      </c>
      <c r="C37" s="117">
        <f>TabREP[[#This Row],[J1]]*Entrainement!C25</f>
        <v>260</v>
      </c>
      <c r="D37" s="117">
        <f>TabREP[[#This Row],[J2]]*Entrainement!C25</f>
        <v>260</v>
      </c>
      <c r="E37" s="117">
        <f>TabREP[[#This Row],[J3]]*Entrainement!$C25</f>
        <v>195</v>
      </c>
      <c r="F37" s="117">
        <f>TabREP[[#This Row],[J4]]*Entrainement!$C25</f>
        <v>0</v>
      </c>
      <c r="G37" s="117">
        <f>TabREP[[#This Row],[J5]]*Entrainement!$C25</f>
        <v>0</v>
      </c>
      <c r="H37" s="117">
        <f>TabREP[[#This Row],[J6]]*Entrainement!$C25</f>
        <v>0</v>
      </c>
      <c r="I37" s="117">
        <f>TabREP[[#This Row],[J7]]*Entrainement!$C25</f>
        <v>0</v>
      </c>
      <c r="J37" s="117">
        <f>TabREP[[#This Row],[J8]]*Entrainement!$C25</f>
        <v>0</v>
      </c>
      <c r="K37" s="117">
        <f>TabREP[[#This Row],[J9]]*Entrainement!$C25</f>
        <v>260</v>
      </c>
      <c r="L37" s="117">
        <f>TabREP[[#This Row],[J10]]*Entrainement!$C25</f>
        <v>325</v>
      </c>
      <c r="M37" s="117">
        <f>TabREP[[#This Row],[J11]]*Entrainement!$C25</f>
        <v>260</v>
      </c>
      <c r="N37" s="117">
        <f>TabREP[[#This Row],[J12]]*Entrainement!$C25</f>
        <v>325</v>
      </c>
      <c r="O37" s="117">
        <f>TabREP[[#This Row],[J13]]*Entrainement!$C25</f>
        <v>325</v>
      </c>
      <c r="P37" s="117">
        <f>TabREP[[#This Row],[J14]]*Entrainement!$C25</f>
        <v>260</v>
      </c>
      <c r="Q37" s="117">
        <f>TabREP[[#This Row],[J15]]*Entrainement!$C25</f>
        <v>260</v>
      </c>
      <c r="R37" s="117">
        <f>TabREP[[#This Row],[J16]]*Entrainement!$C25</f>
        <v>195</v>
      </c>
      <c r="S37" s="117">
        <f>TabREP[[#This Row],[J17]]*Entrainement!$C25</f>
        <v>0</v>
      </c>
      <c r="T37" s="117">
        <f>TabREP[[#This Row],[J18]]*Entrainement!$C25</f>
        <v>325</v>
      </c>
      <c r="U37" s="117">
        <f>TabREP[[#This Row],[J19]]*Entrainement!$C25</f>
        <v>0</v>
      </c>
      <c r="V37" s="117">
        <f>TabREP[[#This Row],[J20]]*Entrainement!$C25</f>
        <v>325</v>
      </c>
      <c r="W37" s="117">
        <f>TabREP[[#This Row],[J21]]*Entrainement!$C25</f>
        <v>325</v>
      </c>
      <c r="X37" s="117">
        <f>TabREP[[#This Row],[J22]]*Entrainement!$C25</f>
        <v>0</v>
      </c>
      <c r="Y37" s="117">
        <f>TabREP[[#This Row],[J23]]*Entrainement!$C25</f>
        <v>0</v>
      </c>
      <c r="Z37" s="117">
        <f>TabREP[[#This Row],[J24]]*Entrainement!$C25</f>
        <v>0</v>
      </c>
      <c r="AA37" s="117">
        <f>TabREP[[#This Row],[J25]]*Entrainement!$C25</f>
        <v>0</v>
      </c>
      <c r="AB37" s="117">
        <f>TabREP[[#This Row],[J26]]*Entrainement!$C25</f>
        <v>0</v>
      </c>
      <c r="AC37" s="117">
        <f>TabREP[[#This Row],[J27]]*Entrainement!$C25</f>
        <v>0</v>
      </c>
      <c r="AD37" s="117">
        <f>TabREP[[#This Row],[J28]]*Entrainement!$C25</f>
        <v>0</v>
      </c>
      <c r="AE37" s="117">
        <f>TabREP[[#This Row],[J29]]*Entrainement!$C25</f>
        <v>0</v>
      </c>
      <c r="AF37" s="117">
        <f>TabREP[[#This Row],[J30]]*Entrainement!$C25</f>
        <v>0</v>
      </c>
      <c r="AG37" s="250">
        <f>'Charges collective'!E29</f>
        <v>278.57142857142856</v>
      </c>
      <c r="AH37" s="49"/>
      <c r="AI37" s="48"/>
    </row>
    <row r="38" spans="2:35" ht="14.25">
      <c r="B38" s="248">
        <f>IF(INDEX(TabEntrainement[Seance],ROW()-18)&lt;&gt;0,INDEX(TabEntrainement[Seance],ROW()-18),"")</f>
        <v>43349</v>
      </c>
      <c r="C38" s="117">
        <f>TabREP[[#This Row],[J1]]*Entrainement!C26</f>
        <v>280</v>
      </c>
      <c r="D38" s="117">
        <f>TabREP[[#This Row],[J2]]*Entrainement!C26</f>
        <v>280</v>
      </c>
      <c r="E38" s="117">
        <f>TabREP[[#This Row],[J3]]*Entrainement!$C26</f>
        <v>210</v>
      </c>
      <c r="F38" s="117">
        <f>TabREP[[#This Row],[J4]]*Entrainement!$C26</f>
        <v>0</v>
      </c>
      <c r="G38" s="117">
        <f>TabREP[[#This Row],[J5]]*Entrainement!$C26</f>
        <v>280</v>
      </c>
      <c r="H38" s="117">
        <f>TabREP[[#This Row],[J6]]*Entrainement!$C26</f>
        <v>0</v>
      </c>
      <c r="I38" s="117">
        <f>TabREP[[#This Row],[J7]]*Entrainement!$C26</f>
        <v>210</v>
      </c>
      <c r="J38" s="117">
        <f>TabREP[[#This Row],[J8]]*Entrainement!$C26</f>
        <v>210</v>
      </c>
      <c r="K38" s="117">
        <f>TabREP[[#This Row],[J9]]*Entrainement!$C26</f>
        <v>280</v>
      </c>
      <c r="L38" s="117">
        <f>TabREP[[#This Row],[J10]]*Entrainement!$C26</f>
        <v>420</v>
      </c>
      <c r="M38" s="117">
        <f>TabREP[[#This Row],[J11]]*Entrainement!$C26</f>
        <v>280</v>
      </c>
      <c r="N38" s="117">
        <f>TabREP[[#This Row],[J12]]*Entrainement!$C26</f>
        <v>350</v>
      </c>
      <c r="O38" s="117">
        <f>TabREP[[#This Row],[J13]]*Entrainement!$C26</f>
        <v>350</v>
      </c>
      <c r="P38" s="117">
        <f>TabREP[[#This Row],[J14]]*Entrainement!$C26</f>
        <v>280</v>
      </c>
      <c r="Q38" s="117">
        <f>TabREP[[#This Row],[J15]]*Entrainement!$C26</f>
        <v>280</v>
      </c>
      <c r="R38" s="117">
        <f>TabREP[[#This Row],[J16]]*Entrainement!$C26</f>
        <v>210</v>
      </c>
      <c r="S38" s="117">
        <f>TabREP[[#This Row],[J17]]*Entrainement!$C26</f>
        <v>350</v>
      </c>
      <c r="T38" s="117">
        <f>TabREP[[#This Row],[J18]]*Entrainement!$C26</f>
        <v>420</v>
      </c>
      <c r="U38" s="117">
        <f>TabREP[[#This Row],[J19]]*Entrainement!$C26</f>
        <v>0</v>
      </c>
      <c r="V38" s="117">
        <f>TabREP[[#This Row],[J20]]*Entrainement!$C26</f>
        <v>280</v>
      </c>
      <c r="W38" s="117">
        <f>TabREP[[#This Row],[J21]]*Entrainement!$C26</f>
        <v>280</v>
      </c>
      <c r="X38" s="117">
        <f>TabREP[[#This Row],[J22]]*Entrainement!$C26</f>
        <v>0</v>
      </c>
      <c r="Y38" s="117">
        <f>TabREP[[#This Row],[J23]]*Entrainement!$C26</f>
        <v>0</v>
      </c>
      <c r="Z38" s="117">
        <f>TabREP[[#This Row],[J24]]*Entrainement!$C26</f>
        <v>0</v>
      </c>
      <c r="AA38" s="117">
        <f>TabREP[[#This Row],[J25]]*Entrainement!$C26</f>
        <v>0</v>
      </c>
      <c r="AB38" s="117">
        <f>TabREP[[#This Row],[J26]]*Entrainement!$C26</f>
        <v>0</v>
      </c>
      <c r="AC38" s="117">
        <f>TabREP[[#This Row],[J27]]*Entrainement!$C26</f>
        <v>0</v>
      </c>
      <c r="AD38" s="117">
        <f>TabREP[[#This Row],[J28]]*Entrainement!$C26</f>
        <v>0</v>
      </c>
      <c r="AE38" s="117">
        <f>TabREP[[#This Row],[J29]]*Entrainement!$C26</f>
        <v>0</v>
      </c>
      <c r="AF38" s="117">
        <f>TabREP[[#This Row],[J30]]*Entrainement!$C26</f>
        <v>0</v>
      </c>
      <c r="AG38" s="250">
        <f>'Charges collective'!E30</f>
        <v>291.66666666666669</v>
      </c>
      <c r="AH38" s="49"/>
      <c r="AI38" s="48"/>
    </row>
    <row r="39" spans="2:35" ht="14.25">
      <c r="B39" s="248">
        <f>IF(INDEX(TabEntrainement[Seance],ROW()-18)&lt;&gt;0,INDEX(TabEntrainement[Seance],ROW()-18),"")</f>
        <v>43350</v>
      </c>
      <c r="C39" s="117">
        <f>TabREP[[#This Row],[J1]]*Entrainement!C27</f>
        <v>135</v>
      </c>
      <c r="D39" s="117">
        <f>TabREP[[#This Row],[J2]]*Entrainement!C27</f>
        <v>135</v>
      </c>
      <c r="E39" s="117">
        <f>TabREP[[#This Row],[J3]]*Entrainement!$C27</f>
        <v>0</v>
      </c>
      <c r="F39" s="117">
        <f>TabREP[[#This Row],[J4]]*Entrainement!$C27</f>
        <v>0</v>
      </c>
      <c r="G39" s="117">
        <f>TabREP[[#This Row],[J5]]*Entrainement!$C27</f>
        <v>0</v>
      </c>
      <c r="H39" s="117">
        <f>TabREP[[#This Row],[J6]]*Entrainement!$C27</f>
        <v>135</v>
      </c>
      <c r="I39" s="117">
        <f>TabREP[[#This Row],[J7]]*Entrainement!$C27</f>
        <v>135</v>
      </c>
      <c r="J39" s="117">
        <f>TabREP[[#This Row],[J8]]*Entrainement!$C27</f>
        <v>135</v>
      </c>
      <c r="K39" s="117">
        <f>TabREP[[#This Row],[J9]]*Entrainement!$C27</f>
        <v>0</v>
      </c>
      <c r="L39" s="117">
        <f>TabREP[[#This Row],[J10]]*Entrainement!$C27</f>
        <v>0</v>
      </c>
      <c r="M39" s="117">
        <f>TabREP[[#This Row],[J11]]*Entrainement!$C27</f>
        <v>0</v>
      </c>
      <c r="N39" s="117">
        <f>TabREP[[#This Row],[J12]]*Entrainement!$C27</f>
        <v>0</v>
      </c>
      <c r="O39" s="117">
        <f>TabREP[[#This Row],[J13]]*Entrainement!$C27</f>
        <v>135</v>
      </c>
      <c r="P39" s="117">
        <f>TabREP[[#This Row],[J14]]*Entrainement!$C27</f>
        <v>180</v>
      </c>
      <c r="Q39" s="117">
        <f>TabREP[[#This Row],[J15]]*Entrainement!$C27</f>
        <v>180</v>
      </c>
      <c r="R39" s="117">
        <f>TabREP[[#This Row],[J16]]*Entrainement!$C27</f>
        <v>0</v>
      </c>
      <c r="S39" s="117">
        <f>TabREP[[#This Row],[J17]]*Entrainement!$C27</f>
        <v>0</v>
      </c>
      <c r="T39" s="117">
        <f>TabREP[[#This Row],[J18]]*Entrainement!$C27</f>
        <v>180</v>
      </c>
      <c r="U39" s="117">
        <f>TabREP[[#This Row],[J19]]*Entrainement!$C27</f>
        <v>180</v>
      </c>
      <c r="V39" s="117">
        <f>TabREP[[#This Row],[J20]]*Entrainement!$C27</f>
        <v>90</v>
      </c>
      <c r="W39" s="117">
        <f>TabREP[[#This Row],[J21]]*Entrainement!$C27</f>
        <v>180</v>
      </c>
      <c r="X39" s="117">
        <f>TabREP[[#This Row],[J22]]*Entrainement!$C27</f>
        <v>0</v>
      </c>
      <c r="Y39" s="117">
        <f>TabREP[[#This Row],[J23]]*Entrainement!$C27</f>
        <v>0</v>
      </c>
      <c r="Z39" s="117">
        <f>TabREP[[#This Row],[J24]]*Entrainement!$C27</f>
        <v>0</v>
      </c>
      <c r="AA39" s="117">
        <f>TabREP[[#This Row],[J25]]*Entrainement!$C27</f>
        <v>0</v>
      </c>
      <c r="AB39" s="117">
        <f>TabREP[[#This Row],[J26]]*Entrainement!$C27</f>
        <v>0</v>
      </c>
      <c r="AC39" s="117">
        <f>TabREP[[#This Row],[J27]]*Entrainement!$C27</f>
        <v>0</v>
      </c>
      <c r="AD39" s="117">
        <f>TabREP[[#This Row],[J28]]*Entrainement!$C27</f>
        <v>0</v>
      </c>
      <c r="AE39" s="117">
        <f>TabREP[[#This Row],[J29]]*Entrainement!$C27</f>
        <v>0</v>
      </c>
      <c r="AF39" s="117">
        <f>TabREP[[#This Row],[J30]]*Entrainement!$C27</f>
        <v>0</v>
      </c>
      <c r="AG39" s="250">
        <f>'Charges collective'!E31</f>
        <v>150</v>
      </c>
      <c r="AH39" s="49"/>
      <c r="AI39" s="48"/>
    </row>
    <row r="40" spans="2:35" ht="14.25">
      <c r="B40" s="248">
        <f>IF(INDEX(TabEntrainement[Seance],ROW()-18)&lt;&gt;0,INDEX(TabEntrainement[Seance],ROW()-18),"")</f>
        <v>43354</v>
      </c>
      <c r="C40" s="117">
        <f>TabREP[[#This Row],[J1]]*Entrainement!C28</f>
        <v>240</v>
      </c>
      <c r="D40" s="117">
        <f>TabREP[[#This Row],[J2]]*Entrainement!C28</f>
        <v>0</v>
      </c>
      <c r="E40" s="117">
        <f>TabREP[[#This Row],[J3]]*Entrainement!$C28</f>
        <v>240</v>
      </c>
      <c r="F40" s="117">
        <f>TabREP[[#This Row],[J4]]*Entrainement!$C28</f>
        <v>300</v>
      </c>
      <c r="G40" s="117">
        <f>TabREP[[#This Row],[J5]]*Entrainement!$C28</f>
        <v>0</v>
      </c>
      <c r="H40" s="117">
        <f>TabREP[[#This Row],[J6]]*Entrainement!$C28</f>
        <v>0</v>
      </c>
      <c r="I40" s="117">
        <f>TabREP[[#This Row],[J7]]*Entrainement!$C28</f>
        <v>0</v>
      </c>
      <c r="J40" s="117">
        <f>TabREP[[#This Row],[J8]]*Entrainement!$C28</f>
        <v>0</v>
      </c>
      <c r="K40" s="117">
        <f>TabREP[[#This Row],[J9]]*Entrainement!$C28</f>
        <v>300</v>
      </c>
      <c r="L40" s="117">
        <f>TabREP[[#This Row],[J10]]*Entrainement!$C28</f>
        <v>360</v>
      </c>
      <c r="M40" s="117">
        <f>TabREP[[#This Row],[J11]]*Entrainement!$C28</f>
        <v>0</v>
      </c>
      <c r="N40" s="117">
        <f>TabREP[[#This Row],[J12]]*Entrainement!$C28</f>
        <v>300</v>
      </c>
      <c r="O40" s="117">
        <f>TabREP[[#This Row],[J13]]*Entrainement!$C28</f>
        <v>360</v>
      </c>
      <c r="P40" s="117">
        <f>TabREP[[#This Row],[J14]]*Entrainement!$C28</f>
        <v>240</v>
      </c>
      <c r="Q40" s="117">
        <f>TabREP[[#This Row],[J15]]*Entrainement!$C28</f>
        <v>300</v>
      </c>
      <c r="R40" s="117">
        <f>TabREP[[#This Row],[J16]]*Entrainement!$C28</f>
        <v>0</v>
      </c>
      <c r="S40" s="117">
        <f>TabREP[[#This Row],[J17]]*Entrainement!$C28</f>
        <v>240</v>
      </c>
      <c r="T40" s="117">
        <f>TabREP[[#This Row],[J18]]*Entrainement!$C28</f>
        <v>300</v>
      </c>
      <c r="U40" s="117">
        <f>TabREP[[#This Row],[J19]]*Entrainement!$C28</f>
        <v>0</v>
      </c>
      <c r="V40" s="117">
        <f>TabREP[[#This Row],[J20]]*Entrainement!$C28</f>
        <v>120</v>
      </c>
      <c r="W40" s="117">
        <f>TabREP[[#This Row],[J21]]*Entrainement!$C28</f>
        <v>0</v>
      </c>
      <c r="X40" s="117">
        <f>TabREP[[#This Row],[J22]]*Entrainement!$C28</f>
        <v>0</v>
      </c>
      <c r="Y40" s="117">
        <f>TabREP[[#This Row],[J23]]*Entrainement!$C28</f>
        <v>0</v>
      </c>
      <c r="Z40" s="117">
        <f>TabREP[[#This Row],[J24]]*Entrainement!$C28</f>
        <v>0</v>
      </c>
      <c r="AA40" s="117">
        <f>TabREP[[#This Row],[J25]]*Entrainement!$C28</f>
        <v>0</v>
      </c>
      <c r="AB40" s="117">
        <f>TabREP[[#This Row],[J26]]*Entrainement!$C28</f>
        <v>0</v>
      </c>
      <c r="AC40" s="117">
        <f>TabREP[[#This Row],[J27]]*Entrainement!$C28</f>
        <v>0</v>
      </c>
      <c r="AD40" s="117">
        <f>TabREP[[#This Row],[J28]]*Entrainement!$C28</f>
        <v>0</v>
      </c>
      <c r="AE40" s="117">
        <f>TabREP[[#This Row],[J29]]*Entrainement!$C28</f>
        <v>0</v>
      </c>
      <c r="AF40" s="117">
        <f>TabREP[[#This Row],[J30]]*Entrainement!$C28</f>
        <v>0</v>
      </c>
      <c r="AG40" s="250">
        <f>'Charges collective'!E32</f>
        <v>275</v>
      </c>
      <c r="AH40" s="49"/>
      <c r="AI40" s="48"/>
    </row>
    <row r="41" spans="2:35" ht="14.25">
      <c r="B41" s="248">
        <f>IF(INDEX(TabEntrainement[Seance],ROW()-18)&lt;&gt;0,INDEX(TabEntrainement[Seance],ROW()-18),"")</f>
        <v>43357</v>
      </c>
      <c r="C41" s="117">
        <f>TabREP[[#This Row],[J1]]*Entrainement!C29</f>
        <v>370</v>
      </c>
      <c r="D41" s="117">
        <f>TabREP[[#This Row],[J2]]*Entrainement!C29</f>
        <v>0</v>
      </c>
      <c r="E41" s="117">
        <f>TabREP[[#This Row],[J3]]*Entrainement!$C29</f>
        <v>296</v>
      </c>
      <c r="F41" s="117">
        <f>TabREP[[#This Row],[J4]]*Entrainement!$C29</f>
        <v>296</v>
      </c>
      <c r="G41" s="117">
        <f>TabREP[[#This Row],[J5]]*Entrainement!$C29</f>
        <v>0</v>
      </c>
      <c r="H41" s="117">
        <f>TabREP[[#This Row],[J6]]*Entrainement!$C29</f>
        <v>0</v>
      </c>
      <c r="I41" s="117">
        <f>TabREP[[#This Row],[J7]]*Entrainement!$C29</f>
        <v>0</v>
      </c>
      <c r="J41" s="117">
        <f>TabREP[[#This Row],[J8]]*Entrainement!$C29</f>
        <v>222</v>
      </c>
      <c r="K41" s="117">
        <f>TabREP[[#This Row],[J9]]*Entrainement!$C29</f>
        <v>444</v>
      </c>
      <c r="L41" s="117">
        <f>TabREP[[#This Row],[J10]]*Entrainement!$C29</f>
        <v>444</v>
      </c>
      <c r="M41" s="117">
        <f>TabREP[[#This Row],[J11]]*Entrainement!$C29</f>
        <v>444</v>
      </c>
      <c r="N41" s="117">
        <f>TabREP[[#This Row],[J12]]*Entrainement!$C29</f>
        <v>444</v>
      </c>
      <c r="O41" s="117">
        <f>TabREP[[#This Row],[J13]]*Entrainement!$C29</f>
        <v>444</v>
      </c>
      <c r="P41" s="117">
        <f>TabREP[[#This Row],[J14]]*Entrainement!$C29</f>
        <v>296</v>
      </c>
      <c r="Q41" s="117">
        <f>TabREP[[#This Row],[J15]]*Entrainement!$C29</f>
        <v>370</v>
      </c>
      <c r="R41" s="117">
        <f>TabREP[[#This Row],[J16]]*Entrainement!$C29</f>
        <v>296</v>
      </c>
      <c r="S41" s="117">
        <f>TabREP[[#This Row],[J17]]*Entrainement!$C29</f>
        <v>370</v>
      </c>
      <c r="T41" s="117">
        <f>TabREP[[#This Row],[J18]]*Entrainement!$C29</f>
        <v>296</v>
      </c>
      <c r="U41" s="117">
        <f>TabREP[[#This Row],[J19]]*Entrainement!$C29</f>
        <v>0</v>
      </c>
      <c r="V41" s="117">
        <f>TabREP[[#This Row],[J20]]*Entrainement!$C29</f>
        <v>74</v>
      </c>
      <c r="W41" s="117">
        <f>TabREP[[#This Row],[J21]]*Entrainement!$C29</f>
        <v>0</v>
      </c>
      <c r="X41" s="117">
        <f>TabREP[[#This Row],[J22]]*Entrainement!$C29</f>
        <v>0</v>
      </c>
      <c r="Y41" s="117">
        <f>TabREP[[#This Row],[J23]]*Entrainement!$C29</f>
        <v>0</v>
      </c>
      <c r="Z41" s="117">
        <f>TabREP[[#This Row],[J24]]*Entrainement!$C29</f>
        <v>0</v>
      </c>
      <c r="AA41" s="117">
        <f>TabREP[[#This Row],[J25]]*Entrainement!$C29</f>
        <v>0</v>
      </c>
      <c r="AB41" s="117">
        <f>TabREP[[#This Row],[J26]]*Entrainement!$C29</f>
        <v>0</v>
      </c>
      <c r="AC41" s="117">
        <f>TabREP[[#This Row],[J27]]*Entrainement!$C29</f>
        <v>0</v>
      </c>
      <c r="AD41" s="117">
        <f>TabREP[[#This Row],[J28]]*Entrainement!$C29</f>
        <v>0</v>
      </c>
      <c r="AE41" s="117">
        <f>TabREP[[#This Row],[J29]]*Entrainement!$C29</f>
        <v>0</v>
      </c>
      <c r="AF41" s="117">
        <f>TabREP[[#This Row],[J30]]*Entrainement!$C29</f>
        <v>0</v>
      </c>
      <c r="AG41" s="250">
        <f>'Charges collective'!E33</f>
        <v>340.4</v>
      </c>
      <c r="AH41" s="49"/>
      <c r="AI41" s="48"/>
    </row>
    <row r="42" spans="2:35" ht="14.25">
      <c r="B42" s="248">
        <f>IF(INDEX(TabEntrainement[Seance],ROW()-18)&lt;&gt;0,INDEX(TabEntrainement[Seance],ROW()-18),"")</f>
        <v>43358</v>
      </c>
      <c r="C42" s="117">
        <f>TabREP[[#This Row],[J1]]*Entrainement!C30</f>
        <v>108</v>
      </c>
      <c r="D42" s="117">
        <f>TabREP[[#This Row],[J2]]*Entrainement!C30</f>
        <v>0</v>
      </c>
      <c r="E42" s="117">
        <f>TabREP[[#This Row],[J3]]*Entrainement!$C30</f>
        <v>144</v>
      </c>
      <c r="F42" s="117">
        <f>TabREP[[#This Row],[J4]]*Entrainement!$C30</f>
        <v>0</v>
      </c>
      <c r="G42" s="117">
        <f>TabREP[[#This Row],[J5]]*Entrainement!$C30</f>
        <v>0</v>
      </c>
      <c r="H42" s="117">
        <f>TabREP[[#This Row],[J6]]*Entrainement!$C30</f>
        <v>108</v>
      </c>
      <c r="I42" s="117">
        <f>TabREP[[#This Row],[J7]]*Entrainement!$C30</f>
        <v>0</v>
      </c>
      <c r="J42" s="117">
        <f>TabREP[[#This Row],[J8]]*Entrainement!$C30</f>
        <v>108</v>
      </c>
      <c r="K42" s="117">
        <f>TabREP[[#This Row],[J9]]*Entrainement!$C30</f>
        <v>0</v>
      </c>
      <c r="L42" s="117">
        <f>TabREP[[#This Row],[J10]]*Entrainement!$C30</f>
        <v>0</v>
      </c>
      <c r="M42" s="117">
        <f>TabREP[[#This Row],[J11]]*Entrainement!$C30</f>
        <v>144</v>
      </c>
      <c r="N42" s="117">
        <f>TabREP[[#This Row],[J12]]*Entrainement!$C30</f>
        <v>144</v>
      </c>
      <c r="O42" s="117">
        <f>TabREP[[#This Row],[J13]]*Entrainement!$C30</f>
        <v>0</v>
      </c>
      <c r="P42" s="117">
        <f>TabREP[[#This Row],[J14]]*Entrainement!$C30</f>
        <v>108</v>
      </c>
      <c r="Q42" s="117">
        <f>TabREP[[#This Row],[J15]]*Entrainement!$C30</f>
        <v>108</v>
      </c>
      <c r="R42" s="117">
        <f>TabREP[[#This Row],[J16]]*Entrainement!$C30</f>
        <v>108</v>
      </c>
      <c r="S42" s="117">
        <f>TabREP[[#This Row],[J17]]*Entrainement!$C30</f>
        <v>0</v>
      </c>
      <c r="T42" s="117">
        <f>TabREP[[#This Row],[J18]]*Entrainement!$C30</f>
        <v>0</v>
      </c>
      <c r="U42" s="117">
        <f>TabREP[[#This Row],[J19]]*Entrainement!$C30</f>
        <v>144</v>
      </c>
      <c r="V42" s="117">
        <f>TabREP[[#This Row],[J20]]*Entrainement!$C30</f>
        <v>108</v>
      </c>
      <c r="W42" s="117">
        <f>TabREP[[#This Row],[J21]]*Entrainement!$C30</f>
        <v>0</v>
      </c>
      <c r="X42" s="117">
        <f>TabREP[[#This Row],[J22]]*Entrainement!$C30</f>
        <v>0</v>
      </c>
      <c r="Y42" s="117">
        <f>TabREP[[#This Row],[J23]]*Entrainement!$C30</f>
        <v>0</v>
      </c>
      <c r="Z42" s="117">
        <f>TabREP[[#This Row],[J24]]*Entrainement!$C30</f>
        <v>0</v>
      </c>
      <c r="AA42" s="117">
        <f>TabREP[[#This Row],[J25]]*Entrainement!$C30</f>
        <v>0</v>
      </c>
      <c r="AB42" s="117">
        <f>TabREP[[#This Row],[J26]]*Entrainement!$C30</f>
        <v>0</v>
      </c>
      <c r="AC42" s="117">
        <f>TabREP[[#This Row],[J27]]*Entrainement!$C30</f>
        <v>0</v>
      </c>
      <c r="AD42" s="117">
        <f>TabREP[[#This Row],[J28]]*Entrainement!$C30</f>
        <v>0</v>
      </c>
      <c r="AE42" s="117">
        <f>TabREP[[#This Row],[J29]]*Entrainement!$C30</f>
        <v>0</v>
      </c>
      <c r="AF42" s="117">
        <f>TabREP[[#This Row],[J30]]*Entrainement!$C30</f>
        <v>0</v>
      </c>
      <c r="AG42" s="250">
        <f>'Charges collective'!E34</f>
        <v>121.09090909090909</v>
      </c>
      <c r="AH42" s="49"/>
      <c r="AI42" s="48"/>
    </row>
    <row r="43" spans="2:35" ht="14.25">
      <c r="B43" s="248" t="str">
        <f>IF(INDEX(TabEntrainement[Seance],ROW()-18)&lt;&gt;0,INDEX(TabEntrainement[Seance],ROW()-18),"")</f>
        <v/>
      </c>
      <c r="C43" s="117" t="e">
        <f>TabREP[[#This Row],[J1]]*Entrainement!C31</f>
        <v>#VALUE!</v>
      </c>
      <c r="D43" s="117" t="e">
        <f>TabREP[[#This Row],[J2]]*Entrainement!C31</f>
        <v>#VALUE!</v>
      </c>
      <c r="E43" s="117" t="e">
        <f>TabREP[[#This Row],[J3]]*Entrainement!$C31</f>
        <v>#VALUE!</v>
      </c>
      <c r="F43" s="117" t="e">
        <f>TabREP[[#This Row],[J4]]*Entrainement!$C31</f>
        <v>#VALUE!</v>
      </c>
      <c r="G43" s="117" t="e">
        <f>TabREP[[#This Row],[J5]]*Entrainement!$C31</f>
        <v>#VALUE!</v>
      </c>
      <c r="H43" s="117" t="e">
        <f>TabREP[[#This Row],[J6]]*Entrainement!$C31</f>
        <v>#VALUE!</v>
      </c>
      <c r="I43" s="117" t="e">
        <f>TabREP[[#This Row],[J7]]*Entrainement!$C31</f>
        <v>#VALUE!</v>
      </c>
      <c r="J43" s="117" t="e">
        <f>TabREP[[#This Row],[J8]]*Entrainement!$C31</f>
        <v>#VALUE!</v>
      </c>
      <c r="K43" s="117" t="e">
        <f>TabREP[[#This Row],[J9]]*Entrainement!$C31</f>
        <v>#VALUE!</v>
      </c>
      <c r="L43" s="117" t="e">
        <f>TabREP[[#This Row],[J10]]*Entrainement!$C31</f>
        <v>#VALUE!</v>
      </c>
      <c r="M43" s="117" t="e">
        <f>TabREP[[#This Row],[J11]]*Entrainement!$C31</f>
        <v>#VALUE!</v>
      </c>
      <c r="N43" s="117" t="e">
        <f>TabREP[[#This Row],[J12]]*Entrainement!$C31</f>
        <v>#VALUE!</v>
      </c>
      <c r="O43" s="117" t="e">
        <f>TabREP[[#This Row],[J13]]*Entrainement!$C31</f>
        <v>#VALUE!</v>
      </c>
      <c r="P43" s="117" t="e">
        <f>TabREP[[#This Row],[J14]]*Entrainement!$C31</f>
        <v>#VALUE!</v>
      </c>
      <c r="Q43" s="117" t="e">
        <f>TabREP[[#This Row],[J15]]*Entrainement!$C31</f>
        <v>#VALUE!</v>
      </c>
      <c r="R43" s="117" t="e">
        <f>TabREP[[#This Row],[J16]]*Entrainement!$C31</f>
        <v>#VALUE!</v>
      </c>
      <c r="S43" s="117" t="e">
        <f>TabREP[[#This Row],[J17]]*Entrainement!$C31</f>
        <v>#VALUE!</v>
      </c>
      <c r="T43" s="117" t="e">
        <f>TabREP[[#This Row],[J18]]*Entrainement!$C31</f>
        <v>#VALUE!</v>
      </c>
      <c r="U43" s="117" t="e">
        <f>TabREP[[#This Row],[J19]]*Entrainement!$C31</f>
        <v>#VALUE!</v>
      </c>
      <c r="V43" s="117" t="e">
        <f>TabREP[[#This Row],[J20]]*Entrainement!$C31</f>
        <v>#VALUE!</v>
      </c>
      <c r="W43" s="117" t="e">
        <f>TabREP[[#This Row],[J21]]*Entrainement!$C31</f>
        <v>#VALUE!</v>
      </c>
      <c r="X43" s="117" t="e">
        <f>TabREP[[#This Row],[J22]]*Entrainement!$C31</f>
        <v>#VALUE!</v>
      </c>
      <c r="Y43" s="117" t="e">
        <f>TabREP[[#This Row],[J23]]*Entrainement!$C31</f>
        <v>#VALUE!</v>
      </c>
      <c r="Z43" s="117" t="e">
        <f>TabREP[[#This Row],[J24]]*Entrainement!$C31</f>
        <v>#VALUE!</v>
      </c>
      <c r="AA43" s="117" t="e">
        <f>TabREP[[#This Row],[J25]]*Entrainement!$C31</f>
        <v>#VALUE!</v>
      </c>
      <c r="AB43" s="117" t="e">
        <f>TabREP[[#This Row],[J26]]*Entrainement!$C31</f>
        <v>#VALUE!</v>
      </c>
      <c r="AC43" s="117" t="e">
        <f>TabREP[[#This Row],[J27]]*Entrainement!$C31</f>
        <v>#VALUE!</v>
      </c>
      <c r="AD43" s="117" t="e">
        <f>TabREP[[#This Row],[J28]]*Entrainement!$C31</f>
        <v>#VALUE!</v>
      </c>
      <c r="AE43" s="117" t="e">
        <f>TabREP[[#This Row],[J29]]*Entrainement!$C31</f>
        <v>#VALUE!</v>
      </c>
      <c r="AF43" s="117" t="e">
        <f>TabREP[[#This Row],[J30]]*Entrainement!$C31</f>
        <v>#VALUE!</v>
      </c>
      <c r="AG43" s="250" t="str">
        <f>'Charges collective'!E35</f>
        <v/>
      </c>
      <c r="AH43" s="49"/>
      <c r="AI43" s="48"/>
    </row>
    <row r="44" spans="2:35" ht="14.25">
      <c r="B44" s="248" t="str">
        <f>IF(INDEX(TabEntrainement[Seance],ROW()-18)&lt;&gt;0,INDEX(TabEntrainement[Seance],ROW()-18),"")</f>
        <v/>
      </c>
      <c r="C44" s="117" t="e">
        <f>TabREP[[#This Row],[J1]]*Entrainement!C32</f>
        <v>#VALUE!</v>
      </c>
      <c r="D44" s="117" t="e">
        <f>TabREP[[#This Row],[J2]]*Entrainement!C32</f>
        <v>#VALUE!</v>
      </c>
      <c r="E44" s="117" t="e">
        <f>TabREP[[#This Row],[J3]]*Entrainement!$C32</f>
        <v>#VALUE!</v>
      </c>
      <c r="F44" s="117" t="e">
        <f>TabREP[[#This Row],[J4]]*Entrainement!$C32</f>
        <v>#VALUE!</v>
      </c>
      <c r="G44" s="117" t="e">
        <f>TabREP[[#This Row],[J5]]*Entrainement!$C32</f>
        <v>#VALUE!</v>
      </c>
      <c r="H44" s="117" t="e">
        <f>TabREP[[#This Row],[J6]]*Entrainement!$C32</f>
        <v>#VALUE!</v>
      </c>
      <c r="I44" s="117" t="e">
        <f>TabREP[[#This Row],[J7]]*Entrainement!$C32</f>
        <v>#VALUE!</v>
      </c>
      <c r="J44" s="117" t="e">
        <f>TabREP[[#This Row],[J8]]*Entrainement!$C32</f>
        <v>#VALUE!</v>
      </c>
      <c r="K44" s="117" t="e">
        <f>TabREP[[#This Row],[J9]]*Entrainement!$C32</f>
        <v>#VALUE!</v>
      </c>
      <c r="L44" s="117" t="e">
        <f>TabREP[[#This Row],[J10]]*Entrainement!$C32</f>
        <v>#VALUE!</v>
      </c>
      <c r="M44" s="117" t="e">
        <f>TabREP[[#This Row],[J11]]*Entrainement!$C32</f>
        <v>#VALUE!</v>
      </c>
      <c r="N44" s="117" t="e">
        <f>TabREP[[#This Row],[J12]]*Entrainement!$C32</f>
        <v>#VALUE!</v>
      </c>
      <c r="O44" s="117" t="e">
        <f>TabREP[[#This Row],[J13]]*Entrainement!$C32</f>
        <v>#VALUE!</v>
      </c>
      <c r="P44" s="117" t="e">
        <f>TabREP[[#This Row],[J14]]*Entrainement!$C32</f>
        <v>#VALUE!</v>
      </c>
      <c r="Q44" s="117" t="e">
        <f>TabREP[[#This Row],[J15]]*Entrainement!$C32</f>
        <v>#VALUE!</v>
      </c>
      <c r="R44" s="117" t="e">
        <f>TabREP[[#This Row],[J16]]*Entrainement!$C32</f>
        <v>#VALUE!</v>
      </c>
      <c r="S44" s="117" t="e">
        <f>TabREP[[#This Row],[J17]]*Entrainement!$C32</f>
        <v>#VALUE!</v>
      </c>
      <c r="T44" s="117" t="e">
        <f>TabREP[[#This Row],[J18]]*Entrainement!$C32</f>
        <v>#VALUE!</v>
      </c>
      <c r="U44" s="117" t="e">
        <f>TabREP[[#This Row],[J19]]*Entrainement!$C32</f>
        <v>#VALUE!</v>
      </c>
      <c r="V44" s="117" t="e">
        <f>TabREP[[#This Row],[J20]]*Entrainement!$C32</f>
        <v>#VALUE!</v>
      </c>
      <c r="W44" s="117" t="e">
        <f>TabREP[[#This Row],[J21]]*Entrainement!$C32</f>
        <v>#VALUE!</v>
      </c>
      <c r="X44" s="117" t="e">
        <f>TabREP[[#This Row],[J22]]*Entrainement!$C32</f>
        <v>#VALUE!</v>
      </c>
      <c r="Y44" s="117" t="e">
        <f>TabREP[[#This Row],[J23]]*Entrainement!$C32</f>
        <v>#VALUE!</v>
      </c>
      <c r="Z44" s="117" t="e">
        <f>TabREP[[#This Row],[J24]]*Entrainement!$C32</f>
        <v>#VALUE!</v>
      </c>
      <c r="AA44" s="117" t="e">
        <f>TabREP[[#This Row],[J25]]*Entrainement!$C32</f>
        <v>#VALUE!</v>
      </c>
      <c r="AB44" s="117" t="e">
        <f>TabREP[[#This Row],[J26]]*Entrainement!$C32</f>
        <v>#VALUE!</v>
      </c>
      <c r="AC44" s="117" t="e">
        <f>TabREP[[#This Row],[J27]]*Entrainement!$C32</f>
        <v>#VALUE!</v>
      </c>
      <c r="AD44" s="117" t="e">
        <f>TabREP[[#This Row],[J28]]*Entrainement!$C32</f>
        <v>#VALUE!</v>
      </c>
      <c r="AE44" s="117" t="e">
        <f>TabREP[[#This Row],[J29]]*Entrainement!$C32</f>
        <v>#VALUE!</v>
      </c>
      <c r="AF44" s="117" t="e">
        <f>TabREP[[#This Row],[J30]]*Entrainement!$C32</f>
        <v>#VALUE!</v>
      </c>
      <c r="AG44" s="250" t="str">
        <f>'Charges collective'!E36</f>
        <v/>
      </c>
      <c r="AH44" s="49"/>
      <c r="AI44" s="48"/>
    </row>
    <row r="45" spans="2:35" ht="14.25">
      <c r="B45" s="248" t="str">
        <f>IF(INDEX(TabEntrainement[Seance],ROW()-18)&lt;&gt;0,INDEX(TabEntrainement[Seance],ROW()-18),"")</f>
        <v/>
      </c>
      <c r="C45" s="117" t="e">
        <f>TabREP[[#This Row],[J1]]*Entrainement!C33</f>
        <v>#VALUE!</v>
      </c>
      <c r="D45" s="117" t="e">
        <f>TabREP[[#This Row],[J2]]*Entrainement!C33</f>
        <v>#VALUE!</v>
      </c>
      <c r="E45" s="117" t="e">
        <f>TabREP[[#This Row],[J3]]*Entrainement!$C33</f>
        <v>#VALUE!</v>
      </c>
      <c r="F45" s="117" t="e">
        <f>TabREP[[#This Row],[J4]]*Entrainement!$C33</f>
        <v>#VALUE!</v>
      </c>
      <c r="G45" s="117" t="e">
        <f>TabREP[[#This Row],[J5]]*Entrainement!$C33</f>
        <v>#VALUE!</v>
      </c>
      <c r="H45" s="117" t="e">
        <f>TabREP[[#This Row],[J6]]*Entrainement!$C33</f>
        <v>#VALUE!</v>
      </c>
      <c r="I45" s="117" t="e">
        <f>TabREP[[#This Row],[J7]]*Entrainement!$C33</f>
        <v>#VALUE!</v>
      </c>
      <c r="J45" s="117" t="e">
        <f>TabREP[[#This Row],[J8]]*Entrainement!$C33</f>
        <v>#VALUE!</v>
      </c>
      <c r="K45" s="117" t="e">
        <f>TabREP[[#This Row],[J9]]*Entrainement!$C33</f>
        <v>#VALUE!</v>
      </c>
      <c r="L45" s="117" t="e">
        <f>TabREP[[#This Row],[J10]]*Entrainement!$C33</f>
        <v>#VALUE!</v>
      </c>
      <c r="M45" s="117" t="e">
        <f>TabREP[[#This Row],[J11]]*Entrainement!$C33</f>
        <v>#VALUE!</v>
      </c>
      <c r="N45" s="117" t="e">
        <f>TabREP[[#This Row],[J12]]*Entrainement!$C33</f>
        <v>#VALUE!</v>
      </c>
      <c r="O45" s="117" t="e">
        <f>TabREP[[#This Row],[J13]]*Entrainement!$C33</f>
        <v>#VALUE!</v>
      </c>
      <c r="P45" s="117" t="e">
        <f>TabREP[[#This Row],[J14]]*Entrainement!$C33</f>
        <v>#VALUE!</v>
      </c>
      <c r="Q45" s="117" t="e">
        <f>TabREP[[#This Row],[J15]]*Entrainement!$C33</f>
        <v>#VALUE!</v>
      </c>
      <c r="R45" s="117" t="e">
        <f>TabREP[[#This Row],[J16]]*Entrainement!$C33</f>
        <v>#VALUE!</v>
      </c>
      <c r="S45" s="117" t="e">
        <f>TabREP[[#This Row],[J17]]*Entrainement!$C33</f>
        <v>#VALUE!</v>
      </c>
      <c r="T45" s="117" t="e">
        <f>TabREP[[#This Row],[J18]]*Entrainement!$C33</f>
        <v>#VALUE!</v>
      </c>
      <c r="U45" s="117" t="e">
        <f>TabREP[[#This Row],[J19]]*Entrainement!$C33</f>
        <v>#VALUE!</v>
      </c>
      <c r="V45" s="117" t="e">
        <f>TabREP[[#This Row],[J20]]*Entrainement!$C33</f>
        <v>#VALUE!</v>
      </c>
      <c r="W45" s="117" t="e">
        <f>TabREP[[#This Row],[J21]]*Entrainement!$C33</f>
        <v>#VALUE!</v>
      </c>
      <c r="X45" s="117" t="e">
        <f>TabREP[[#This Row],[J22]]*Entrainement!$C33</f>
        <v>#VALUE!</v>
      </c>
      <c r="Y45" s="117" t="e">
        <f>TabREP[[#This Row],[J23]]*Entrainement!$C33</f>
        <v>#VALUE!</v>
      </c>
      <c r="Z45" s="117" t="e">
        <f>TabREP[[#This Row],[J24]]*Entrainement!$C33</f>
        <v>#VALUE!</v>
      </c>
      <c r="AA45" s="117" t="e">
        <f>TabREP[[#This Row],[J25]]*Entrainement!$C33</f>
        <v>#VALUE!</v>
      </c>
      <c r="AB45" s="117" t="e">
        <f>TabREP[[#This Row],[J26]]*Entrainement!$C33</f>
        <v>#VALUE!</v>
      </c>
      <c r="AC45" s="117" t="e">
        <f>TabREP[[#This Row],[J27]]*Entrainement!$C33</f>
        <v>#VALUE!</v>
      </c>
      <c r="AD45" s="117" t="e">
        <f>TabREP[[#This Row],[J28]]*Entrainement!$C33</f>
        <v>#VALUE!</v>
      </c>
      <c r="AE45" s="117" t="e">
        <f>TabREP[[#This Row],[J29]]*Entrainement!$C33</f>
        <v>#VALUE!</v>
      </c>
      <c r="AF45" s="117" t="e">
        <f>TabREP[[#This Row],[J30]]*Entrainement!$C33</f>
        <v>#VALUE!</v>
      </c>
      <c r="AG45" s="250" t="str">
        <f>'Charges collective'!E37</f>
        <v/>
      </c>
      <c r="AH45" s="49"/>
      <c r="AI45" s="48"/>
    </row>
    <row r="46" spans="2:35" ht="14.25">
      <c r="B46" s="248" t="str">
        <f>IF(INDEX(TabEntrainement[Seance],ROW()-18)&lt;&gt;0,INDEX(TabEntrainement[Seance],ROW()-18),"")</f>
        <v/>
      </c>
      <c r="C46" s="117" t="e">
        <f>TabREP[[#This Row],[J1]]*Entrainement!C34</f>
        <v>#VALUE!</v>
      </c>
      <c r="D46" s="117" t="e">
        <f>TabREP[[#This Row],[J2]]*Entrainement!C34</f>
        <v>#VALUE!</v>
      </c>
      <c r="E46" s="117" t="e">
        <f>TabREP[[#This Row],[J3]]*Entrainement!$C34</f>
        <v>#VALUE!</v>
      </c>
      <c r="F46" s="117" t="e">
        <f>TabREP[[#This Row],[J4]]*Entrainement!$C34</f>
        <v>#VALUE!</v>
      </c>
      <c r="G46" s="117" t="e">
        <f>TabREP[[#This Row],[J5]]*Entrainement!$C34</f>
        <v>#VALUE!</v>
      </c>
      <c r="H46" s="117" t="e">
        <f>TabREP[[#This Row],[J6]]*Entrainement!$C34</f>
        <v>#VALUE!</v>
      </c>
      <c r="I46" s="117" t="e">
        <f>TabREP[[#This Row],[J7]]*Entrainement!$C34</f>
        <v>#VALUE!</v>
      </c>
      <c r="J46" s="117" t="e">
        <f>TabREP[[#This Row],[J8]]*Entrainement!$C34</f>
        <v>#VALUE!</v>
      </c>
      <c r="K46" s="117" t="e">
        <f>TabREP[[#This Row],[J9]]*Entrainement!$C34</f>
        <v>#VALUE!</v>
      </c>
      <c r="L46" s="117" t="e">
        <f>TabREP[[#This Row],[J10]]*Entrainement!$C34</f>
        <v>#VALUE!</v>
      </c>
      <c r="M46" s="117" t="e">
        <f>TabREP[[#This Row],[J11]]*Entrainement!$C34</f>
        <v>#VALUE!</v>
      </c>
      <c r="N46" s="117" t="e">
        <f>TabREP[[#This Row],[J12]]*Entrainement!$C34</f>
        <v>#VALUE!</v>
      </c>
      <c r="O46" s="117" t="e">
        <f>TabREP[[#This Row],[J13]]*Entrainement!$C34</f>
        <v>#VALUE!</v>
      </c>
      <c r="P46" s="117" t="e">
        <f>TabREP[[#This Row],[J14]]*Entrainement!$C34</f>
        <v>#VALUE!</v>
      </c>
      <c r="Q46" s="117" t="e">
        <f>TabREP[[#This Row],[J15]]*Entrainement!$C34</f>
        <v>#VALUE!</v>
      </c>
      <c r="R46" s="117" t="e">
        <f>TabREP[[#This Row],[J16]]*Entrainement!$C34</f>
        <v>#VALUE!</v>
      </c>
      <c r="S46" s="117" t="e">
        <f>TabREP[[#This Row],[J17]]*Entrainement!$C34</f>
        <v>#VALUE!</v>
      </c>
      <c r="T46" s="117" t="e">
        <f>TabREP[[#This Row],[J18]]*Entrainement!$C34</f>
        <v>#VALUE!</v>
      </c>
      <c r="U46" s="117" t="e">
        <f>TabREP[[#This Row],[J19]]*Entrainement!$C34</f>
        <v>#VALUE!</v>
      </c>
      <c r="V46" s="117" t="e">
        <f>TabREP[[#This Row],[J20]]*Entrainement!$C34</f>
        <v>#VALUE!</v>
      </c>
      <c r="W46" s="117" t="e">
        <f>TabREP[[#This Row],[J21]]*Entrainement!$C34</f>
        <v>#VALUE!</v>
      </c>
      <c r="X46" s="117" t="e">
        <f>TabREP[[#This Row],[J22]]*Entrainement!$C34</f>
        <v>#VALUE!</v>
      </c>
      <c r="Y46" s="117" t="e">
        <f>TabREP[[#This Row],[J23]]*Entrainement!$C34</f>
        <v>#VALUE!</v>
      </c>
      <c r="Z46" s="117" t="e">
        <f>TabREP[[#This Row],[J24]]*Entrainement!$C34</f>
        <v>#VALUE!</v>
      </c>
      <c r="AA46" s="117" t="e">
        <f>TabREP[[#This Row],[J25]]*Entrainement!$C34</f>
        <v>#VALUE!</v>
      </c>
      <c r="AB46" s="117" t="e">
        <f>TabREP[[#This Row],[J26]]*Entrainement!$C34</f>
        <v>#VALUE!</v>
      </c>
      <c r="AC46" s="117" t="e">
        <f>TabREP[[#This Row],[J27]]*Entrainement!$C34</f>
        <v>#VALUE!</v>
      </c>
      <c r="AD46" s="117" t="e">
        <f>TabREP[[#This Row],[J28]]*Entrainement!$C34</f>
        <v>#VALUE!</v>
      </c>
      <c r="AE46" s="117" t="e">
        <f>TabREP[[#This Row],[J29]]*Entrainement!$C34</f>
        <v>#VALUE!</v>
      </c>
      <c r="AF46" s="117" t="e">
        <f>TabREP[[#This Row],[J30]]*Entrainement!$C34</f>
        <v>#VALUE!</v>
      </c>
      <c r="AG46" s="250" t="str">
        <f>'Charges collective'!E38</f>
        <v/>
      </c>
      <c r="AH46" s="49"/>
      <c r="AI46" s="48"/>
    </row>
    <row r="47" spans="2:35" ht="14.25">
      <c r="B47" s="248" t="str">
        <f>IF(INDEX(TabEntrainement[Seance],ROW()-18)&lt;&gt;0,INDEX(TabEntrainement[Seance],ROW()-18),"")</f>
        <v/>
      </c>
      <c r="C47" s="117" t="e">
        <f>TabREP[[#This Row],[J1]]*Entrainement!C35</f>
        <v>#VALUE!</v>
      </c>
      <c r="D47" s="117" t="e">
        <f>TabREP[[#This Row],[J2]]*Entrainement!C35</f>
        <v>#VALUE!</v>
      </c>
      <c r="E47" s="117" t="e">
        <f>TabREP[[#This Row],[J3]]*Entrainement!$C35</f>
        <v>#VALUE!</v>
      </c>
      <c r="F47" s="117" t="e">
        <f>TabREP[[#This Row],[J4]]*Entrainement!$C35</f>
        <v>#VALUE!</v>
      </c>
      <c r="G47" s="117" t="e">
        <f>TabREP[[#This Row],[J5]]*Entrainement!$C35</f>
        <v>#VALUE!</v>
      </c>
      <c r="H47" s="117" t="e">
        <f>TabREP[[#This Row],[J6]]*Entrainement!$C35</f>
        <v>#VALUE!</v>
      </c>
      <c r="I47" s="117" t="e">
        <f>TabREP[[#This Row],[J7]]*Entrainement!$C35</f>
        <v>#VALUE!</v>
      </c>
      <c r="J47" s="117" t="e">
        <f>TabREP[[#This Row],[J8]]*Entrainement!$C35</f>
        <v>#VALUE!</v>
      </c>
      <c r="K47" s="117" t="e">
        <f>TabREP[[#This Row],[J9]]*Entrainement!$C35</f>
        <v>#VALUE!</v>
      </c>
      <c r="L47" s="117" t="e">
        <f>TabREP[[#This Row],[J10]]*Entrainement!$C35</f>
        <v>#VALUE!</v>
      </c>
      <c r="M47" s="117" t="e">
        <f>TabREP[[#This Row],[J11]]*Entrainement!$C35</f>
        <v>#VALUE!</v>
      </c>
      <c r="N47" s="117" t="e">
        <f>TabREP[[#This Row],[J12]]*Entrainement!$C35</f>
        <v>#VALUE!</v>
      </c>
      <c r="O47" s="117" t="e">
        <f>TabREP[[#This Row],[J13]]*Entrainement!$C35</f>
        <v>#VALUE!</v>
      </c>
      <c r="P47" s="117" t="e">
        <f>TabREP[[#This Row],[J14]]*Entrainement!$C35</f>
        <v>#VALUE!</v>
      </c>
      <c r="Q47" s="117" t="e">
        <f>TabREP[[#This Row],[J15]]*Entrainement!$C35</f>
        <v>#VALUE!</v>
      </c>
      <c r="R47" s="117" t="e">
        <f>TabREP[[#This Row],[J16]]*Entrainement!$C35</f>
        <v>#VALUE!</v>
      </c>
      <c r="S47" s="117" t="e">
        <f>TabREP[[#This Row],[J17]]*Entrainement!$C35</f>
        <v>#VALUE!</v>
      </c>
      <c r="T47" s="117" t="e">
        <f>TabREP[[#This Row],[J18]]*Entrainement!$C35</f>
        <v>#VALUE!</v>
      </c>
      <c r="U47" s="117" t="e">
        <f>TabREP[[#This Row],[J19]]*Entrainement!$C35</f>
        <v>#VALUE!</v>
      </c>
      <c r="V47" s="117" t="e">
        <f>TabREP[[#This Row],[J20]]*Entrainement!$C35</f>
        <v>#VALUE!</v>
      </c>
      <c r="W47" s="117" t="e">
        <f>TabREP[[#This Row],[J21]]*Entrainement!$C35</f>
        <v>#VALUE!</v>
      </c>
      <c r="X47" s="117" t="e">
        <f>TabREP[[#This Row],[J22]]*Entrainement!$C35</f>
        <v>#VALUE!</v>
      </c>
      <c r="Y47" s="117" t="e">
        <f>TabREP[[#This Row],[J23]]*Entrainement!$C35</f>
        <v>#VALUE!</v>
      </c>
      <c r="Z47" s="117" t="e">
        <f>TabREP[[#This Row],[J24]]*Entrainement!$C35</f>
        <v>#VALUE!</v>
      </c>
      <c r="AA47" s="117" t="e">
        <f>TabREP[[#This Row],[J25]]*Entrainement!$C35</f>
        <v>#VALUE!</v>
      </c>
      <c r="AB47" s="117" t="e">
        <f>TabREP[[#This Row],[J26]]*Entrainement!$C35</f>
        <v>#VALUE!</v>
      </c>
      <c r="AC47" s="117" t="e">
        <f>TabREP[[#This Row],[J27]]*Entrainement!$C35</f>
        <v>#VALUE!</v>
      </c>
      <c r="AD47" s="117" t="e">
        <f>TabREP[[#This Row],[J28]]*Entrainement!$C35</f>
        <v>#VALUE!</v>
      </c>
      <c r="AE47" s="117" t="e">
        <f>TabREP[[#This Row],[J29]]*Entrainement!$C35</f>
        <v>#VALUE!</v>
      </c>
      <c r="AF47" s="117" t="e">
        <f>TabREP[[#This Row],[J30]]*Entrainement!$C35</f>
        <v>#VALUE!</v>
      </c>
      <c r="AG47" s="250" t="str">
        <f>'Charges collective'!E39</f>
        <v/>
      </c>
      <c r="AH47" s="49"/>
      <c r="AI47" s="48"/>
    </row>
    <row r="48" spans="2:35" ht="14.25">
      <c r="B48" s="248" t="str">
        <f>IF(INDEX(TabEntrainement[Seance],ROW()-18)&lt;&gt;0,INDEX(TabEntrainement[Seance],ROW()-18),"")</f>
        <v/>
      </c>
      <c r="C48" s="117" t="e">
        <f>TabREP[[#This Row],[J1]]*Entrainement!C36</f>
        <v>#VALUE!</v>
      </c>
      <c r="D48" s="117" t="e">
        <f>TabREP[[#This Row],[J2]]*Entrainement!C36</f>
        <v>#VALUE!</v>
      </c>
      <c r="E48" s="117" t="e">
        <f>TabREP[[#This Row],[J3]]*Entrainement!$C36</f>
        <v>#VALUE!</v>
      </c>
      <c r="F48" s="117" t="e">
        <f>TabREP[[#This Row],[J4]]*Entrainement!$C36</f>
        <v>#VALUE!</v>
      </c>
      <c r="G48" s="117" t="e">
        <f>TabREP[[#This Row],[J5]]*Entrainement!$C36</f>
        <v>#VALUE!</v>
      </c>
      <c r="H48" s="117" t="e">
        <f>TabREP[[#This Row],[J6]]*Entrainement!$C36</f>
        <v>#VALUE!</v>
      </c>
      <c r="I48" s="117" t="e">
        <f>TabREP[[#This Row],[J7]]*Entrainement!$C36</f>
        <v>#VALUE!</v>
      </c>
      <c r="J48" s="117" t="e">
        <f>TabREP[[#This Row],[J8]]*Entrainement!$C36</f>
        <v>#VALUE!</v>
      </c>
      <c r="K48" s="117" t="e">
        <f>TabREP[[#This Row],[J9]]*Entrainement!$C36</f>
        <v>#VALUE!</v>
      </c>
      <c r="L48" s="117" t="e">
        <f>TabREP[[#This Row],[J10]]*Entrainement!$C36</f>
        <v>#VALUE!</v>
      </c>
      <c r="M48" s="117" t="e">
        <f>TabREP[[#This Row],[J11]]*Entrainement!$C36</f>
        <v>#VALUE!</v>
      </c>
      <c r="N48" s="117" t="e">
        <f>TabREP[[#This Row],[J12]]*Entrainement!$C36</f>
        <v>#VALUE!</v>
      </c>
      <c r="O48" s="117" t="e">
        <f>TabREP[[#This Row],[J13]]*Entrainement!$C36</f>
        <v>#VALUE!</v>
      </c>
      <c r="P48" s="117" t="e">
        <f>TabREP[[#This Row],[J14]]*Entrainement!$C36</f>
        <v>#VALUE!</v>
      </c>
      <c r="Q48" s="117" t="e">
        <f>TabREP[[#This Row],[J15]]*Entrainement!$C36</f>
        <v>#VALUE!</v>
      </c>
      <c r="R48" s="117" t="e">
        <f>TabREP[[#This Row],[J16]]*Entrainement!$C36</f>
        <v>#VALUE!</v>
      </c>
      <c r="S48" s="117" t="e">
        <f>TabREP[[#This Row],[J17]]*Entrainement!$C36</f>
        <v>#VALUE!</v>
      </c>
      <c r="T48" s="117" t="e">
        <f>TabREP[[#This Row],[J18]]*Entrainement!$C36</f>
        <v>#VALUE!</v>
      </c>
      <c r="U48" s="117" t="e">
        <f>TabREP[[#This Row],[J19]]*Entrainement!$C36</f>
        <v>#VALUE!</v>
      </c>
      <c r="V48" s="117" t="e">
        <f>TabREP[[#This Row],[J20]]*Entrainement!$C36</f>
        <v>#VALUE!</v>
      </c>
      <c r="W48" s="117" t="e">
        <f>TabREP[[#This Row],[J21]]*Entrainement!$C36</f>
        <v>#VALUE!</v>
      </c>
      <c r="X48" s="117" t="e">
        <f>TabREP[[#This Row],[J22]]*Entrainement!$C36</f>
        <v>#VALUE!</v>
      </c>
      <c r="Y48" s="117" t="e">
        <f>TabREP[[#This Row],[J23]]*Entrainement!$C36</f>
        <v>#VALUE!</v>
      </c>
      <c r="Z48" s="117" t="e">
        <f>TabREP[[#This Row],[J24]]*Entrainement!$C36</f>
        <v>#VALUE!</v>
      </c>
      <c r="AA48" s="117" t="e">
        <f>TabREP[[#This Row],[J25]]*Entrainement!$C36</f>
        <v>#VALUE!</v>
      </c>
      <c r="AB48" s="117" t="e">
        <f>TabREP[[#This Row],[J26]]*Entrainement!$C36</f>
        <v>#VALUE!</v>
      </c>
      <c r="AC48" s="117" t="e">
        <f>TabREP[[#This Row],[J27]]*Entrainement!$C36</f>
        <v>#VALUE!</v>
      </c>
      <c r="AD48" s="117" t="e">
        <f>TabREP[[#This Row],[J28]]*Entrainement!$C36</f>
        <v>#VALUE!</v>
      </c>
      <c r="AE48" s="117" t="e">
        <f>TabREP[[#This Row],[J29]]*Entrainement!$C36</f>
        <v>#VALUE!</v>
      </c>
      <c r="AF48" s="117" t="e">
        <f>TabREP[[#This Row],[J30]]*Entrainement!$C36</f>
        <v>#VALUE!</v>
      </c>
      <c r="AG48" s="250" t="str">
        <f>'Charges collective'!E40</f>
        <v/>
      </c>
      <c r="AH48" s="49"/>
      <c r="AI48" s="48"/>
    </row>
    <row r="49" spans="2:35" ht="14.25">
      <c r="B49" s="248" t="str">
        <f>IF(INDEX(TabEntrainement[Seance],ROW()-18)&lt;&gt;0,INDEX(TabEntrainement[Seance],ROW()-18),"")</f>
        <v/>
      </c>
      <c r="C49" s="117" t="e">
        <f>TabREP[[#This Row],[J1]]*Entrainement!C37</f>
        <v>#VALUE!</v>
      </c>
      <c r="D49" s="117" t="e">
        <f>TabREP[[#This Row],[J2]]*Entrainement!C37</f>
        <v>#VALUE!</v>
      </c>
      <c r="E49" s="117" t="e">
        <f>TabREP[[#This Row],[J3]]*Entrainement!$C37</f>
        <v>#VALUE!</v>
      </c>
      <c r="F49" s="117" t="e">
        <f>TabREP[[#This Row],[J4]]*Entrainement!$C37</f>
        <v>#VALUE!</v>
      </c>
      <c r="G49" s="117" t="e">
        <f>TabREP[[#This Row],[J5]]*Entrainement!$C37</f>
        <v>#VALUE!</v>
      </c>
      <c r="H49" s="117" t="e">
        <f>TabREP[[#This Row],[J6]]*Entrainement!$C37</f>
        <v>#VALUE!</v>
      </c>
      <c r="I49" s="117" t="e">
        <f>TabREP[[#This Row],[J7]]*Entrainement!$C37</f>
        <v>#VALUE!</v>
      </c>
      <c r="J49" s="117" t="e">
        <f>TabREP[[#This Row],[J8]]*Entrainement!$C37</f>
        <v>#VALUE!</v>
      </c>
      <c r="K49" s="117" t="e">
        <f>TabREP[[#This Row],[J9]]*Entrainement!$C37</f>
        <v>#VALUE!</v>
      </c>
      <c r="L49" s="117" t="e">
        <f>TabREP[[#This Row],[J10]]*Entrainement!$C37</f>
        <v>#VALUE!</v>
      </c>
      <c r="M49" s="117" t="e">
        <f>TabREP[[#This Row],[J11]]*Entrainement!$C37</f>
        <v>#VALUE!</v>
      </c>
      <c r="N49" s="117" t="e">
        <f>TabREP[[#This Row],[J12]]*Entrainement!$C37</f>
        <v>#VALUE!</v>
      </c>
      <c r="O49" s="117" t="e">
        <f>TabREP[[#This Row],[J13]]*Entrainement!$C37</f>
        <v>#VALUE!</v>
      </c>
      <c r="P49" s="117" t="e">
        <f>TabREP[[#This Row],[J14]]*Entrainement!$C37</f>
        <v>#VALUE!</v>
      </c>
      <c r="Q49" s="117" t="e">
        <f>TabREP[[#This Row],[J15]]*Entrainement!$C37</f>
        <v>#VALUE!</v>
      </c>
      <c r="R49" s="117" t="e">
        <f>TabREP[[#This Row],[J16]]*Entrainement!$C37</f>
        <v>#VALUE!</v>
      </c>
      <c r="S49" s="117" t="e">
        <f>TabREP[[#This Row],[J17]]*Entrainement!$C37</f>
        <v>#VALUE!</v>
      </c>
      <c r="T49" s="117" t="e">
        <f>TabREP[[#This Row],[J18]]*Entrainement!$C37</f>
        <v>#VALUE!</v>
      </c>
      <c r="U49" s="117" t="e">
        <f>TabREP[[#This Row],[J19]]*Entrainement!$C37</f>
        <v>#VALUE!</v>
      </c>
      <c r="V49" s="117" t="e">
        <f>TabREP[[#This Row],[J20]]*Entrainement!$C37</f>
        <v>#VALUE!</v>
      </c>
      <c r="W49" s="117" t="e">
        <f>TabREP[[#This Row],[J21]]*Entrainement!$C37</f>
        <v>#VALUE!</v>
      </c>
      <c r="X49" s="117" t="e">
        <f>TabREP[[#This Row],[J22]]*Entrainement!$C37</f>
        <v>#VALUE!</v>
      </c>
      <c r="Y49" s="117" t="e">
        <f>TabREP[[#This Row],[J23]]*Entrainement!$C37</f>
        <v>#VALUE!</v>
      </c>
      <c r="Z49" s="117" t="e">
        <f>TabREP[[#This Row],[J24]]*Entrainement!$C37</f>
        <v>#VALUE!</v>
      </c>
      <c r="AA49" s="117" t="e">
        <f>TabREP[[#This Row],[J25]]*Entrainement!$C37</f>
        <v>#VALUE!</v>
      </c>
      <c r="AB49" s="117" t="e">
        <f>TabREP[[#This Row],[J26]]*Entrainement!$C37</f>
        <v>#VALUE!</v>
      </c>
      <c r="AC49" s="117" t="e">
        <f>TabREP[[#This Row],[J27]]*Entrainement!$C37</f>
        <v>#VALUE!</v>
      </c>
      <c r="AD49" s="117" t="e">
        <f>TabREP[[#This Row],[J28]]*Entrainement!$C37</f>
        <v>#VALUE!</v>
      </c>
      <c r="AE49" s="117" t="e">
        <f>TabREP[[#This Row],[J29]]*Entrainement!$C37</f>
        <v>#VALUE!</v>
      </c>
      <c r="AF49" s="117" t="e">
        <f>TabREP[[#This Row],[J30]]*Entrainement!$C37</f>
        <v>#VALUE!</v>
      </c>
      <c r="AG49" s="250" t="str">
        <f>'Charges collective'!E41</f>
        <v/>
      </c>
      <c r="AH49" s="49"/>
      <c r="AI49" s="48"/>
    </row>
    <row r="50" spans="2:35" ht="14.25">
      <c r="B50" s="248" t="str">
        <f>IF(INDEX(TabEntrainement[Seance],ROW()-18)&lt;&gt;0,INDEX(TabEntrainement[Seance],ROW()-18),"")</f>
        <v/>
      </c>
      <c r="C50" s="117" t="e">
        <f>TabREP[[#This Row],[J1]]*Entrainement!C38</f>
        <v>#VALUE!</v>
      </c>
      <c r="D50" s="117" t="e">
        <f>TabREP[[#This Row],[J2]]*Entrainement!C38</f>
        <v>#VALUE!</v>
      </c>
      <c r="E50" s="117" t="e">
        <f>TabREP[[#This Row],[J3]]*Entrainement!$C38</f>
        <v>#VALUE!</v>
      </c>
      <c r="F50" s="117" t="e">
        <f>TabREP[[#This Row],[J4]]*Entrainement!$C38</f>
        <v>#VALUE!</v>
      </c>
      <c r="G50" s="117" t="e">
        <f>TabREP[[#This Row],[J5]]*Entrainement!$C38</f>
        <v>#VALUE!</v>
      </c>
      <c r="H50" s="117" t="e">
        <f>TabREP[[#This Row],[J6]]*Entrainement!$C38</f>
        <v>#VALUE!</v>
      </c>
      <c r="I50" s="117" t="e">
        <f>TabREP[[#This Row],[J7]]*Entrainement!$C38</f>
        <v>#VALUE!</v>
      </c>
      <c r="J50" s="117" t="e">
        <f>TabREP[[#This Row],[J8]]*Entrainement!$C38</f>
        <v>#VALUE!</v>
      </c>
      <c r="K50" s="117" t="e">
        <f>TabREP[[#This Row],[J9]]*Entrainement!$C38</f>
        <v>#VALUE!</v>
      </c>
      <c r="L50" s="117" t="e">
        <f>TabREP[[#This Row],[J10]]*Entrainement!$C38</f>
        <v>#VALUE!</v>
      </c>
      <c r="M50" s="117" t="e">
        <f>TabREP[[#This Row],[J11]]*Entrainement!$C38</f>
        <v>#VALUE!</v>
      </c>
      <c r="N50" s="117" t="e">
        <f>TabREP[[#This Row],[J12]]*Entrainement!$C38</f>
        <v>#VALUE!</v>
      </c>
      <c r="O50" s="117" t="e">
        <f>TabREP[[#This Row],[J13]]*Entrainement!$C38</f>
        <v>#VALUE!</v>
      </c>
      <c r="P50" s="117" t="e">
        <f>TabREP[[#This Row],[J14]]*Entrainement!$C38</f>
        <v>#VALUE!</v>
      </c>
      <c r="Q50" s="117" t="e">
        <f>TabREP[[#This Row],[J15]]*Entrainement!$C38</f>
        <v>#VALUE!</v>
      </c>
      <c r="R50" s="117" t="e">
        <f>TabREP[[#This Row],[J16]]*Entrainement!$C38</f>
        <v>#VALUE!</v>
      </c>
      <c r="S50" s="117" t="e">
        <f>TabREP[[#This Row],[J17]]*Entrainement!$C38</f>
        <v>#VALUE!</v>
      </c>
      <c r="T50" s="117" t="e">
        <f>TabREP[[#This Row],[J18]]*Entrainement!$C38</f>
        <v>#VALUE!</v>
      </c>
      <c r="U50" s="117" t="e">
        <f>TabREP[[#This Row],[J19]]*Entrainement!$C38</f>
        <v>#VALUE!</v>
      </c>
      <c r="V50" s="117" t="e">
        <f>TabREP[[#This Row],[J20]]*Entrainement!$C38</f>
        <v>#VALUE!</v>
      </c>
      <c r="W50" s="117" t="e">
        <f>TabREP[[#This Row],[J21]]*Entrainement!$C38</f>
        <v>#VALUE!</v>
      </c>
      <c r="X50" s="117" t="e">
        <f>TabREP[[#This Row],[J22]]*Entrainement!$C38</f>
        <v>#VALUE!</v>
      </c>
      <c r="Y50" s="117" t="e">
        <f>TabREP[[#This Row],[J23]]*Entrainement!$C38</f>
        <v>#VALUE!</v>
      </c>
      <c r="Z50" s="117" t="e">
        <f>TabREP[[#This Row],[J24]]*Entrainement!$C38</f>
        <v>#VALUE!</v>
      </c>
      <c r="AA50" s="117" t="e">
        <f>TabREP[[#This Row],[J25]]*Entrainement!$C38</f>
        <v>#VALUE!</v>
      </c>
      <c r="AB50" s="117" t="e">
        <f>TabREP[[#This Row],[J26]]*Entrainement!$C38</f>
        <v>#VALUE!</v>
      </c>
      <c r="AC50" s="117" t="e">
        <f>TabREP[[#This Row],[J27]]*Entrainement!$C38</f>
        <v>#VALUE!</v>
      </c>
      <c r="AD50" s="117" t="e">
        <f>TabREP[[#This Row],[J28]]*Entrainement!$C38</f>
        <v>#VALUE!</v>
      </c>
      <c r="AE50" s="117" t="e">
        <f>TabREP[[#This Row],[J29]]*Entrainement!$C38</f>
        <v>#VALUE!</v>
      </c>
      <c r="AF50" s="117" t="e">
        <f>TabREP[[#This Row],[J30]]*Entrainement!$C38</f>
        <v>#VALUE!</v>
      </c>
      <c r="AG50" s="250" t="str">
        <f>'Charges collective'!E42</f>
        <v/>
      </c>
      <c r="AH50" s="49"/>
      <c r="AI50" s="48"/>
    </row>
    <row r="51" spans="2:35" ht="14.25">
      <c r="B51" s="248" t="str">
        <f>IF(INDEX(TabEntrainement[Seance],ROW()-18)&lt;&gt;0,INDEX(TabEntrainement[Seance],ROW()-18),"")</f>
        <v/>
      </c>
      <c r="C51" s="117" t="e">
        <f>TabREP[[#This Row],[J1]]*Entrainement!C39</f>
        <v>#VALUE!</v>
      </c>
      <c r="D51" s="117" t="e">
        <f>TabREP[[#This Row],[J2]]*Entrainement!C39</f>
        <v>#VALUE!</v>
      </c>
      <c r="E51" s="117" t="e">
        <f>TabREP[[#This Row],[J3]]*Entrainement!$C39</f>
        <v>#VALUE!</v>
      </c>
      <c r="F51" s="117" t="e">
        <f>TabREP[[#This Row],[J4]]*Entrainement!$C39</f>
        <v>#VALUE!</v>
      </c>
      <c r="G51" s="117" t="e">
        <f>TabREP[[#This Row],[J5]]*Entrainement!$C39</f>
        <v>#VALUE!</v>
      </c>
      <c r="H51" s="117" t="e">
        <f>TabREP[[#This Row],[J6]]*Entrainement!$C39</f>
        <v>#VALUE!</v>
      </c>
      <c r="I51" s="117" t="e">
        <f>TabREP[[#This Row],[J7]]*Entrainement!$C39</f>
        <v>#VALUE!</v>
      </c>
      <c r="J51" s="117" t="e">
        <f>TabREP[[#This Row],[J8]]*Entrainement!$C39</f>
        <v>#VALUE!</v>
      </c>
      <c r="K51" s="117" t="e">
        <f>TabREP[[#This Row],[J9]]*Entrainement!$C39</f>
        <v>#VALUE!</v>
      </c>
      <c r="L51" s="117" t="e">
        <f>TabREP[[#This Row],[J10]]*Entrainement!$C39</f>
        <v>#VALUE!</v>
      </c>
      <c r="M51" s="117" t="e">
        <f>TabREP[[#This Row],[J11]]*Entrainement!$C39</f>
        <v>#VALUE!</v>
      </c>
      <c r="N51" s="117" t="e">
        <f>TabREP[[#This Row],[J12]]*Entrainement!$C39</f>
        <v>#VALUE!</v>
      </c>
      <c r="O51" s="117" t="e">
        <f>TabREP[[#This Row],[J13]]*Entrainement!$C39</f>
        <v>#VALUE!</v>
      </c>
      <c r="P51" s="117" t="e">
        <f>TabREP[[#This Row],[J14]]*Entrainement!$C39</f>
        <v>#VALUE!</v>
      </c>
      <c r="Q51" s="117" t="e">
        <f>TabREP[[#This Row],[J15]]*Entrainement!$C39</f>
        <v>#VALUE!</v>
      </c>
      <c r="R51" s="117" t="e">
        <f>TabREP[[#This Row],[J16]]*Entrainement!$C39</f>
        <v>#VALUE!</v>
      </c>
      <c r="S51" s="117" t="e">
        <f>TabREP[[#This Row],[J17]]*Entrainement!$C39</f>
        <v>#VALUE!</v>
      </c>
      <c r="T51" s="117" t="e">
        <f>TabREP[[#This Row],[J18]]*Entrainement!$C39</f>
        <v>#VALUE!</v>
      </c>
      <c r="U51" s="117" t="e">
        <f>TabREP[[#This Row],[J19]]*Entrainement!$C39</f>
        <v>#VALUE!</v>
      </c>
      <c r="V51" s="117" t="e">
        <f>TabREP[[#This Row],[J20]]*Entrainement!$C39</f>
        <v>#VALUE!</v>
      </c>
      <c r="W51" s="117" t="e">
        <f>TabREP[[#This Row],[J21]]*Entrainement!$C39</f>
        <v>#VALUE!</v>
      </c>
      <c r="X51" s="117" t="e">
        <f>TabREP[[#This Row],[J22]]*Entrainement!$C39</f>
        <v>#VALUE!</v>
      </c>
      <c r="Y51" s="117" t="e">
        <f>TabREP[[#This Row],[J23]]*Entrainement!$C39</f>
        <v>#VALUE!</v>
      </c>
      <c r="Z51" s="117" t="e">
        <f>TabREP[[#This Row],[J24]]*Entrainement!$C39</f>
        <v>#VALUE!</v>
      </c>
      <c r="AA51" s="117" t="e">
        <f>TabREP[[#This Row],[J25]]*Entrainement!$C39</f>
        <v>#VALUE!</v>
      </c>
      <c r="AB51" s="117" t="e">
        <f>TabREP[[#This Row],[J26]]*Entrainement!$C39</f>
        <v>#VALUE!</v>
      </c>
      <c r="AC51" s="117" t="e">
        <f>TabREP[[#This Row],[J27]]*Entrainement!$C39</f>
        <v>#VALUE!</v>
      </c>
      <c r="AD51" s="117" t="e">
        <f>TabREP[[#This Row],[J28]]*Entrainement!$C39</f>
        <v>#VALUE!</v>
      </c>
      <c r="AE51" s="117" t="e">
        <f>TabREP[[#This Row],[J29]]*Entrainement!$C39</f>
        <v>#VALUE!</v>
      </c>
      <c r="AF51" s="117" t="e">
        <f>TabREP[[#This Row],[J30]]*Entrainement!$C39</f>
        <v>#VALUE!</v>
      </c>
      <c r="AG51" s="250" t="str">
        <f>'Charges collective'!E43</f>
        <v/>
      </c>
      <c r="AH51" s="49"/>
      <c r="AI51" s="48"/>
    </row>
    <row r="52" spans="2:35" ht="14.25">
      <c r="B52" s="248" t="str">
        <f>IF(INDEX(TabEntrainement[Seance],ROW()-18)&lt;&gt;0,INDEX(TabEntrainement[Seance],ROW()-18),"")</f>
        <v/>
      </c>
      <c r="C52" s="117" t="e">
        <f>TabREP[[#This Row],[J1]]*Entrainement!C40</f>
        <v>#VALUE!</v>
      </c>
      <c r="D52" s="117" t="e">
        <f>TabREP[[#This Row],[J2]]*Entrainement!C40</f>
        <v>#VALUE!</v>
      </c>
      <c r="E52" s="117" t="e">
        <f>TabREP[[#This Row],[J3]]*Entrainement!$C40</f>
        <v>#VALUE!</v>
      </c>
      <c r="F52" s="117" t="e">
        <f>TabREP[[#This Row],[J4]]*Entrainement!$C40</f>
        <v>#VALUE!</v>
      </c>
      <c r="G52" s="117" t="e">
        <f>TabREP[[#This Row],[J5]]*Entrainement!$C40</f>
        <v>#VALUE!</v>
      </c>
      <c r="H52" s="117" t="e">
        <f>TabREP[[#This Row],[J6]]*Entrainement!$C40</f>
        <v>#VALUE!</v>
      </c>
      <c r="I52" s="117" t="e">
        <f>TabREP[[#This Row],[J7]]*Entrainement!$C40</f>
        <v>#VALUE!</v>
      </c>
      <c r="J52" s="117" t="e">
        <f>TabREP[[#This Row],[J8]]*Entrainement!$C40</f>
        <v>#VALUE!</v>
      </c>
      <c r="K52" s="117" t="e">
        <f>TabREP[[#This Row],[J9]]*Entrainement!$C40</f>
        <v>#VALUE!</v>
      </c>
      <c r="L52" s="117" t="e">
        <f>TabREP[[#This Row],[J10]]*Entrainement!$C40</f>
        <v>#VALUE!</v>
      </c>
      <c r="M52" s="117" t="e">
        <f>TabREP[[#This Row],[J11]]*Entrainement!$C40</f>
        <v>#VALUE!</v>
      </c>
      <c r="N52" s="117" t="e">
        <f>TabREP[[#This Row],[J12]]*Entrainement!$C40</f>
        <v>#VALUE!</v>
      </c>
      <c r="O52" s="117" t="e">
        <f>TabREP[[#This Row],[J13]]*Entrainement!$C40</f>
        <v>#VALUE!</v>
      </c>
      <c r="P52" s="117" t="e">
        <f>TabREP[[#This Row],[J14]]*Entrainement!$C40</f>
        <v>#VALUE!</v>
      </c>
      <c r="Q52" s="117" t="e">
        <f>TabREP[[#This Row],[J15]]*Entrainement!$C40</f>
        <v>#VALUE!</v>
      </c>
      <c r="R52" s="117" t="e">
        <f>TabREP[[#This Row],[J16]]*Entrainement!$C40</f>
        <v>#VALUE!</v>
      </c>
      <c r="S52" s="117" t="e">
        <f>TabREP[[#This Row],[J17]]*Entrainement!$C40</f>
        <v>#VALUE!</v>
      </c>
      <c r="T52" s="117" t="e">
        <f>TabREP[[#This Row],[J18]]*Entrainement!$C40</f>
        <v>#VALUE!</v>
      </c>
      <c r="U52" s="117" t="e">
        <f>TabREP[[#This Row],[J19]]*Entrainement!$C40</f>
        <v>#VALUE!</v>
      </c>
      <c r="V52" s="117" t="e">
        <f>TabREP[[#This Row],[J20]]*Entrainement!$C40</f>
        <v>#VALUE!</v>
      </c>
      <c r="W52" s="117" t="e">
        <f>TabREP[[#This Row],[J21]]*Entrainement!$C40</f>
        <v>#VALUE!</v>
      </c>
      <c r="X52" s="117" t="e">
        <f>TabREP[[#This Row],[J22]]*Entrainement!$C40</f>
        <v>#VALUE!</v>
      </c>
      <c r="Y52" s="117" t="e">
        <f>TabREP[[#This Row],[J23]]*Entrainement!$C40</f>
        <v>#VALUE!</v>
      </c>
      <c r="Z52" s="117" t="e">
        <f>TabREP[[#This Row],[J24]]*Entrainement!$C40</f>
        <v>#VALUE!</v>
      </c>
      <c r="AA52" s="117" t="e">
        <f>TabREP[[#This Row],[J25]]*Entrainement!$C40</f>
        <v>#VALUE!</v>
      </c>
      <c r="AB52" s="117" t="e">
        <f>TabREP[[#This Row],[J26]]*Entrainement!$C40</f>
        <v>#VALUE!</v>
      </c>
      <c r="AC52" s="117" t="e">
        <f>TabREP[[#This Row],[J27]]*Entrainement!$C40</f>
        <v>#VALUE!</v>
      </c>
      <c r="AD52" s="117" t="e">
        <f>TabREP[[#This Row],[J28]]*Entrainement!$C40</f>
        <v>#VALUE!</v>
      </c>
      <c r="AE52" s="117" t="e">
        <f>TabREP[[#This Row],[J29]]*Entrainement!$C40</f>
        <v>#VALUE!</v>
      </c>
      <c r="AF52" s="117" t="e">
        <f>TabREP[[#This Row],[J30]]*Entrainement!$C40</f>
        <v>#VALUE!</v>
      </c>
      <c r="AG52" s="250" t="str">
        <f>'Charges collective'!E44</f>
        <v/>
      </c>
      <c r="AH52" s="49"/>
      <c r="AI52" s="48"/>
    </row>
    <row r="53" spans="2:35" ht="14.25">
      <c r="B53" s="248" t="str">
        <f>IF(INDEX(TabEntrainement[Seance],ROW()-18)&lt;&gt;0,INDEX(TabEntrainement[Seance],ROW()-18),"")</f>
        <v/>
      </c>
      <c r="C53" s="117" t="e">
        <f>TabREP[[#This Row],[J1]]*Entrainement!C41</f>
        <v>#VALUE!</v>
      </c>
      <c r="D53" s="117" t="e">
        <f>TabREP[[#This Row],[J2]]*Entrainement!C41</f>
        <v>#VALUE!</v>
      </c>
      <c r="E53" s="117" t="e">
        <f>TabREP[[#This Row],[J3]]*Entrainement!$C41</f>
        <v>#VALUE!</v>
      </c>
      <c r="F53" s="117" t="e">
        <f>TabREP[[#This Row],[J4]]*Entrainement!$C41</f>
        <v>#VALUE!</v>
      </c>
      <c r="G53" s="117" t="e">
        <f>TabREP[[#This Row],[J5]]*Entrainement!$C41</f>
        <v>#VALUE!</v>
      </c>
      <c r="H53" s="117" t="e">
        <f>TabREP[[#This Row],[J6]]*Entrainement!$C41</f>
        <v>#VALUE!</v>
      </c>
      <c r="I53" s="117" t="e">
        <f>TabREP[[#This Row],[J7]]*Entrainement!$C41</f>
        <v>#VALUE!</v>
      </c>
      <c r="J53" s="117" t="e">
        <f>TabREP[[#This Row],[J8]]*Entrainement!$C41</f>
        <v>#VALUE!</v>
      </c>
      <c r="K53" s="117" t="e">
        <f>TabREP[[#This Row],[J9]]*Entrainement!$C41</f>
        <v>#VALUE!</v>
      </c>
      <c r="L53" s="117" t="e">
        <f>TabREP[[#This Row],[J10]]*Entrainement!$C41</f>
        <v>#VALUE!</v>
      </c>
      <c r="M53" s="117" t="e">
        <f>TabREP[[#This Row],[J11]]*Entrainement!$C41</f>
        <v>#VALUE!</v>
      </c>
      <c r="N53" s="117" t="e">
        <f>TabREP[[#This Row],[J12]]*Entrainement!$C41</f>
        <v>#VALUE!</v>
      </c>
      <c r="O53" s="117" t="e">
        <f>TabREP[[#This Row],[J13]]*Entrainement!$C41</f>
        <v>#VALUE!</v>
      </c>
      <c r="P53" s="117" t="e">
        <f>TabREP[[#This Row],[J14]]*Entrainement!$C41</f>
        <v>#VALUE!</v>
      </c>
      <c r="Q53" s="117" t="e">
        <f>TabREP[[#This Row],[J15]]*Entrainement!$C41</f>
        <v>#VALUE!</v>
      </c>
      <c r="R53" s="117" t="e">
        <f>TabREP[[#This Row],[J16]]*Entrainement!$C41</f>
        <v>#VALUE!</v>
      </c>
      <c r="S53" s="117" t="e">
        <f>TabREP[[#This Row],[J17]]*Entrainement!$C41</f>
        <v>#VALUE!</v>
      </c>
      <c r="T53" s="117" t="e">
        <f>TabREP[[#This Row],[J18]]*Entrainement!$C41</f>
        <v>#VALUE!</v>
      </c>
      <c r="U53" s="117" t="e">
        <f>TabREP[[#This Row],[J19]]*Entrainement!$C41</f>
        <v>#VALUE!</v>
      </c>
      <c r="V53" s="117" t="e">
        <f>TabREP[[#This Row],[J20]]*Entrainement!$C41</f>
        <v>#VALUE!</v>
      </c>
      <c r="W53" s="117" t="e">
        <f>TabREP[[#This Row],[J21]]*Entrainement!$C41</f>
        <v>#VALUE!</v>
      </c>
      <c r="X53" s="117" t="e">
        <f>TabREP[[#This Row],[J22]]*Entrainement!$C41</f>
        <v>#VALUE!</v>
      </c>
      <c r="Y53" s="117" t="e">
        <f>TabREP[[#This Row],[J23]]*Entrainement!$C41</f>
        <v>#VALUE!</v>
      </c>
      <c r="Z53" s="117" t="e">
        <f>TabREP[[#This Row],[J24]]*Entrainement!$C41</f>
        <v>#VALUE!</v>
      </c>
      <c r="AA53" s="117" t="e">
        <f>TabREP[[#This Row],[J25]]*Entrainement!$C41</f>
        <v>#VALUE!</v>
      </c>
      <c r="AB53" s="117" t="e">
        <f>TabREP[[#This Row],[J26]]*Entrainement!$C41</f>
        <v>#VALUE!</v>
      </c>
      <c r="AC53" s="117" t="e">
        <f>TabREP[[#This Row],[J27]]*Entrainement!$C41</f>
        <v>#VALUE!</v>
      </c>
      <c r="AD53" s="117" t="e">
        <f>TabREP[[#This Row],[J28]]*Entrainement!$C41</f>
        <v>#VALUE!</v>
      </c>
      <c r="AE53" s="117" t="e">
        <f>TabREP[[#This Row],[J29]]*Entrainement!$C41</f>
        <v>#VALUE!</v>
      </c>
      <c r="AF53" s="117" t="e">
        <f>TabREP[[#This Row],[J30]]*Entrainement!$C41</f>
        <v>#VALUE!</v>
      </c>
      <c r="AG53" s="250" t="str">
        <f>'Charges collective'!E45</f>
        <v/>
      </c>
      <c r="AH53" s="49"/>
      <c r="AI53" s="48"/>
    </row>
    <row r="54" spans="2:35" ht="14.25">
      <c r="B54" s="248" t="str">
        <f>IF(INDEX(TabEntrainement[Seance],ROW()-18)&lt;&gt;0,INDEX(TabEntrainement[Seance],ROW()-18),"")</f>
        <v/>
      </c>
      <c r="C54" s="117" t="e">
        <f>TabREP[[#This Row],[J1]]*Entrainement!C42</f>
        <v>#VALUE!</v>
      </c>
      <c r="D54" s="117" t="e">
        <f>TabREP[[#This Row],[J2]]*Entrainement!C42</f>
        <v>#VALUE!</v>
      </c>
      <c r="E54" s="117" t="e">
        <f>TabREP[[#This Row],[J3]]*Entrainement!$C42</f>
        <v>#VALUE!</v>
      </c>
      <c r="F54" s="117" t="e">
        <f>TabREP[[#This Row],[J4]]*Entrainement!$C42</f>
        <v>#VALUE!</v>
      </c>
      <c r="G54" s="117" t="e">
        <f>TabREP[[#This Row],[J5]]*Entrainement!$C42</f>
        <v>#VALUE!</v>
      </c>
      <c r="H54" s="117" t="e">
        <f>TabREP[[#This Row],[J6]]*Entrainement!$C42</f>
        <v>#VALUE!</v>
      </c>
      <c r="I54" s="117" t="e">
        <f>TabREP[[#This Row],[J7]]*Entrainement!$C42</f>
        <v>#VALUE!</v>
      </c>
      <c r="J54" s="117" t="e">
        <f>TabREP[[#This Row],[J8]]*Entrainement!$C42</f>
        <v>#VALUE!</v>
      </c>
      <c r="K54" s="117" t="e">
        <f>TabREP[[#This Row],[J9]]*Entrainement!$C42</f>
        <v>#VALUE!</v>
      </c>
      <c r="L54" s="117" t="e">
        <f>TabREP[[#This Row],[J10]]*Entrainement!$C42</f>
        <v>#VALUE!</v>
      </c>
      <c r="M54" s="117" t="e">
        <f>TabREP[[#This Row],[J11]]*Entrainement!$C42</f>
        <v>#VALUE!</v>
      </c>
      <c r="N54" s="117" t="e">
        <f>TabREP[[#This Row],[J12]]*Entrainement!$C42</f>
        <v>#VALUE!</v>
      </c>
      <c r="O54" s="117" t="e">
        <f>TabREP[[#This Row],[J13]]*Entrainement!$C42</f>
        <v>#VALUE!</v>
      </c>
      <c r="P54" s="117" t="e">
        <f>TabREP[[#This Row],[J14]]*Entrainement!$C42</f>
        <v>#VALUE!</v>
      </c>
      <c r="Q54" s="117" t="e">
        <f>TabREP[[#This Row],[J15]]*Entrainement!$C42</f>
        <v>#VALUE!</v>
      </c>
      <c r="R54" s="117" t="e">
        <f>TabREP[[#This Row],[J16]]*Entrainement!$C42</f>
        <v>#VALUE!</v>
      </c>
      <c r="S54" s="117" t="e">
        <f>TabREP[[#This Row],[J17]]*Entrainement!$C42</f>
        <v>#VALUE!</v>
      </c>
      <c r="T54" s="117" t="e">
        <f>TabREP[[#This Row],[J18]]*Entrainement!$C42</f>
        <v>#VALUE!</v>
      </c>
      <c r="U54" s="117" t="e">
        <f>TabREP[[#This Row],[J19]]*Entrainement!$C42</f>
        <v>#VALUE!</v>
      </c>
      <c r="V54" s="117" t="e">
        <f>TabREP[[#This Row],[J20]]*Entrainement!$C42</f>
        <v>#VALUE!</v>
      </c>
      <c r="W54" s="117" t="e">
        <f>TabREP[[#This Row],[J21]]*Entrainement!$C42</f>
        <v>#VALUE!</v>
      </c>
      <c r="X54" s="117" t="e">
        <f>TabREP[[#This Row],[J22]]*Entrainement!$C42</f>
        <v>#VALUE!</v>
      </c>
      <c r="Y54" s="117" t="e">
        <f>TabREP[[#This Row],[J23]]*Entrainement!$C42</f>
        <v>#VALUE!</v>
      </c>
      <c r="Z54" s="117" t="e">
        <f>TabREP[[#This Row],[J24]]*Entrainement!$C42</f>
        <v>#VALUE!</v>
      </c>
      <c r="AA54" s="117" t="e">
        <f>TabREP[[#This Row],[J25]]*Entrainement!$C42</f>
        <v>#VALUE!</v>
      </c>
      <c r="AB54" s="117" t="e">
        <f>TabREP[[#This Row],[J26]]*Entrainement!$C42</f>
        <v>#VALUE!</v>
      </c>
      <c r="AC54" s="117" t="e">
        <f>TabREP[[#This Row],[J27]]*Entrainement!$C42</f>
        <v>#VALUE!</v>
      </c>
      <c r="AD54" s="117" t="e">
        <f>TabREP[[#This Row],[J28]]*Entrainement!$C42</f>
        <v>#VALUE!</v>
      </c>
      <c r="AE54" s="117" t="e">
        <f>TabREP[[#This Row],[J29]]*Entrainement!$C42</f>
        <v>#VALUE!</v>
      </c>
      <c r="AF54" s="117" t="e">
        <f>TabREP[[#This Row],[J30]]*Entrainement!$C42</f>
        <v>#VALUE!</v>
      </c>
      <c r="AG54" s="250" t="str">
        <f>'Charges collective'!E46</f>
        <v/>
      </c>
      <c r="AH54" s="49"/>
      <c r="AI54" s="48"/>
    </row>
    <row r="55" spans="2:35" ht="14.25">
      <c r="B55" s="248" t="str">
        <f>IF(INDEX(TabEntrainement[Seance],ROW()-18)&lt;&gt;0,INDEX(TabEntrainement[Seance],ROW()-18),"")</f>
        <v/>
      </c>
      <c r="C55" s="117" t="e">
        <f>TabREP[[#This Row],[J1]]*Entrainement!C43</f>
        <v>#VALUE!</v>
      </c>
      <c r="D55" s="117" t="e">
        <f>TabREP[[#This Row],[J2]]*Entrainement!C43</f>
        <v>#VALUE!</v>
      </c>
      <c r="E55" s="117" t="e">
        <f>TabREP[[#This Row],[J3]]*Entrainement!$C43</f>
        <v>#VALUE!</v>
      </c>
      <c r="F55" s="117" t="e">
        <f>TabREP[[#This Row],[J4]]*Entrainement!$C43</f>
        <v>#VALUE!</v>
      </c>
      <c r="G55" s="117" t="e">
        <f>TabREP[[#This Row],[J5]]*Entrainement!$C43</f>
        <v>#VALUE!</v>
      </c>
      <c r="H55" s="117" t="e">
        <f>TabREP[[#This Row],[J6]]*Entrainement!$C43</f>
        <v>#VALUE!</v>
      </c>
      <c r="I55" s="117" t="e">
        <f>TabREP[[#This Row],[J7]]*Entrainement!$C43</f>
        <v>#VALUE!</v>
      </c>
      <c r="J55" s="117" t="e">
        <f>TabREP[[#This Row],[J8]]*Entrainement!$C43</f>
        <v>#VALUE!</v>
      </c>
      <c r="K55" s="117" t="e">
        <f>TabREP[[#This Row],[J9]]*Entrainement!$C43</f>
        <v>#VALUE!</v>
      </c>
      <c r="L55" s="117" t="e">
        <f>TabREP[[#This Row],[J10]]*Entrainement!$C43</f>
        <v>#VALUE!</v>
      </c>
      <c r="M55" s="117" t="e">
        <f>TabREP[[#This Row],[J11]]*Entrainement!$C43</f>
        <v>#VALUE!</v>
      </c>
      <c r="N55" s="117" t="e">
        <f>TabREP[[#This Row],[J12]]*Entrainement!$C43</f>
        <v>#VALUE!</v>
      </c>
      <c r="O55" s="117" t="e">
        <f>TabREP[[#This Row],[J13]]*Entrainement!$C43</f>
        <v>#VALUE!</v>
      </c>
      <c r="P55" s="117" t="e">
        <f>TabREP[[#This Row],[J14]]*Entrainement!$C43</f>
        <v>#VALUE!</v>
      </c>
      <c r="Q55" s="117" t="e">
        <f>TabREP[[#This Row],[J15]]*Entrainement!$C43</f>
        <v>#VALUE!</v>
      </c>
      <c r="R55" s="117" t="e">
        <f>TabREP[[#This Row],[J16]]*Entrainement!$C43</f>
        <v>#VALUE!</v>
      </c>
      <c r="S55" s="117" t="e">
        <f>TabREP[[#This Row],[J17]]*Entrainement!$C43</f>
        <v>#VALUE!</v>
      </c>
      <c r="T55" s="117" t="e">
        <f>TabREP[[#This Row],[J18]]*Entrainement!$C43</f>
        <v>#VALUE!</v>
      </c>
      <c r="U55" s="117" t="e">
        <f>TabREP[[#This Row],[J19]]*Entrainement!$C43</f>
        <v>#VALUE!</v>
      </c>
      <c r="V55" s="117" t="e">
        <f>TabREP[[#This Row],[J20]]*Entrainement!$C43</f>
        <v>#VALUE!</v>
      </c>
      <c r="W55" s="117" t="e">
        <f>TabREP[[#This Row],[J21]]*Entrainement!$C43</f>
        <v>#VALUE!</v>
      </c>
      <c r="X55" s="117" t="e">
        <f>TabREP[[#This Row],[J22]]*Entrainement!$C43</f>
        <v>#VALUE!</v>
      </c>
      <c r="Y55" s="117" t="e">
        <f>TabREP[[#This Row],[J23]]*Entrainement!$C43</f>
        <v>#VALUE!</v>
      </c>
      <c r="Z55" s="117" t="e">
        <f>TabREP[[#This Row],[J24]]*Entrainement!$C43</f>
        <v>#VALUE!</v>
      </c>
      <c r="AA55" s="117" t="e">
        <f>TabREP[[#This Row],[J25]]*Entrainement!$C43</f>
        <v>#VALUE!</v>
      </c>
      <c r="AB55" s="117" t="e">
        <f>TabREP[[#This Row],[J26]]*Entrainement!$C43</f>
        <v>#VALUE!</v>
      </c>
      <c r="AC55" s="117" t="e">
        <f>TabREP[[#This Row],[J27]]*Entrainement!$C43</f>
        <v>#VALUE!</v>
      </c>
      <c r="AD55" s="117" t="e">
        <f>TabREP[[#This Row],[J28]]*Entrainement!$C43</f>
        <v>#VALUE!</v>
      </c>
      <c r="AE55" s="117" t="e">
        <f>TabREP[[#This Row],[J29]]*Entrainement!$C43</f>
        <v>#VALUE!</v>
      </c>
      <c r="AF55" s="117" t="e">
        <f>TabREP[[#This Row],[J30]]*Entrainement!$C43</f>
        <v>#VALUE!</v>
      </c>
      <c r="AG55" s="250" t="str">
        <f>'Charges collective'!E47</f>
        <v/>
      </c>
      <c r="AH55" s="49"/>
      <c r="AI55" s="48"/>
    </row>
    <row r="56" spans="2:35" ht="14.25">
      <c r="B56" s="248" t="str">
        <f>IF(INDEX(TabEntrainement[Seance],ROW()-18)&lt;&gt;0,INDEX(TabEntrainement[Seance],ROW()-18),"")</f>
        <v/>
      </c>
      <c r="C56" s="117" t="e">
        <f>TabREP[[#This Row],[J1]]*Entrainement!C44</f>
        <v>#VALUE!</v>
      </c>
      <c r="D56" s="117" t="e">
        <f>TabREP[[#This Row],[J2]]*Entrainement!C44</f>
        <v>#VALUE!</v>
      </c>
      <c r="E56" s="117" t="e">
        <f>TabREP[[#This Row],[J3]]*Entrainement!$C44</f>
        <v>#VALUE!</v>
      </c>
      <c r="F56" s="117" t="e">
        <f>TabREP[[#This Row],[J4]]*Entrainement!$C44</f>
        <v>#VALUE!</v>
      </c>
      <c r="G56" s="117" t="e">
        <f>TabREP[[#This Row],[J5]]*Entrainement!$C44</f>
        <v>#VALUE!</v>
      </c>
      <c r="H56" s="117" t="e">
        <f>TabREP[[#This Row],[J6]]*Entrainement!$C44</f>
        <v>#VALUE!</v>
      </c>
      <c r="I56" s="117" t="e">
        <f>TabREP[[#This Row],[J7]]*Entrainement!$C44</f>
        <v>#VALUE!</v>
      </c>
      <c r="J56" s="117" t="e">
        <f>TabREP[[#This Row],[J8]]*Entrainement!$C44</f>
        <v>#VALUE!</v>
      </c>
      <c r="K56" s="117" t="e">
        <f>TabREP[[#This Row],[J9]]*Entrainement!$C44</f>
        <v>#VALUE!</v>
      </c>
      <c r="L56" s="117" t="e">
        <f>TabREP[[#This Row],[J10]]*Entrainement!$C44</f>
        <v>#VALUE!</v>
      </c>
      <c r="M56" s="117" t="e">
        <f>TabREP[[#This Row],[J11]]*Entrainement!$C44</f>
        <v>#VALUE!</v>
      </c>
      <c r="N56" s="117" t="e">
        <f>TabREP[[#This Row],[J12]]*Entrainement!$C44</f>
        <v>#VALUE!</v>
      </c>
      <c r="O56" s="117" t="e">
        <f>TabREP[[#This Row],[J13]]*Entrainement!$C44</f>
        <v>#VALUE!</v>
      </c>
      <c r="P56" s="117" t="e">
        <f>TabREP[[#This Row],[J14]]*Entrainement!$C44</f>
        <v>#VALUE!</v>
      </c>
      <c r="Q56" s="117" t="e">
        <f>TabREP[[#This Row],[J15]]*Entrainement!$C44</f>
        <v>#VALUE!</v>
      </c>
      <c r="R56" s="117" t="e">
        <f>TabREP[[#This Row],[J16]]*Entrainement!$C44</f>
        <v>#VALUE!</v>
      </c>
      <c r="S56" s="117" t="e">
        <f>TabREP[[#This Row],[J17]]*Entrainement!$C44</f>
        <v>#VALUE!</v>
      </c>
      <c r="T56" s="117" t="e">
        <f>TabREP[[#This Row],[J18]]*Entrainement!$C44</f>
        <v>#VALUE!</v>
      </c>
      <c r="U56" s="117" t="e">
        <f>TabREP[[#This Row],[J19]]*Entrainement!$C44</f>
        <v>#VALUE!</v>
      </c>
      <c r="V56" s="117" t="e">
        <f>TabREP[[#This Row],[J20]]*Entrainement!$C44</f>
        <v>#VALUE!</v>
      </c>
      <c r="W56" s="117" t="e">
        <f>TabREP[[#This Row],[J21]]*Entrainement!$C44</f>
        <v>#VALUE!</v>
      </c>
      <c r="X56" s="117" t="e">
        <f>TabREP[[#This Row],[J22]]*Entrainement!$C44</f>
        <v>#VALUE!</v>
      </c>
      <c r="Y56" s="117" t="e">
        <f>TabREP[[#This Row],[J23]]*Entrainement!$C44</f>
        <v>#VALUE!</v>
      </c>
      <c r="Z56" s="117" t="e">
        <f>TabREP[[#This Row],[J24]]*Entrainement!$C44</f>
        <v>#VALUE!</v>
      </c>
      <c r="AA56" s="117" t="e">
        <f>TabREP[[#This Row],[J25]]*Entrainement!$C44</f>
        <v>#VALUE!</v>
      </c>
      <c r="AB56" s="117" t="e">
        <f>TabREP[[#This Row],[J26]]*Entrainement!$C44</f>
        <v>#VALUE!</v>
      </c>
      <c r="AC56" s="117" t="e">
        <f>TabREP[[#This Row],[J27]]*Entrainement!$C44</f>
        <v>#VALUE!</v>
      </c>
      <c r="AD56" s="117" t="e">
        <f>TabREP[[#This Row],[J28]]*Entrainement!$C44</f>
        <v>#VALUE!</v>
      </c>
      <c r="AE56" s="117" t="e">
        <f>TabREP[[#This Row],[J29]]*Entrainement!$C44</f>
        <v>#VALUE!</v>
      </c>
      <c r="AF56" s="117" t="e">
        <f>TabREP[[#This Row],[J30]]*Entrainement!$C44</f>
        <v>#VALUE!</v>
      </c>
      <c r="AG56" s="250" t="str">
        <f>'Charges collective'!E48</f>
        <v/>
      </c>
      <c r="AH56" s="49"/>
      <c r="AI56" s="48"/>
    </row>
    <row r="57" spans="2:35" ht="14.25">
      <c r="B57" s="248" t="str">
        <f>IF(INDEX(TabEntrainement[Seance],ROW()-18)&lt;&gt;0,INDEX(TabEntrainement[Seance],ROW()-18),"")</f>
        <v/>
      </c>
      <c r="C57" s="117" t="e">
        <f>TabREP[[#This Row],[J1]]*Entrainement!C45</f>
        <v>#VALUE!</v>
      </c>
      <c r="D57" s="117" t="e">
        <f>TabREP[[#This Row],[J2]]*Entrainement!C45</f>
        <v>#VALUE!</v>
      </c>
      <c r="E57" s="117" t="e">
        <f>TabREP[[#This Row],[J3]]*Entrainement!$C45</f>
        <v>#VALUE!</v>
      </c>
      <c r="F57" s="117" t="e">
        <f>TabREP[[#This Row],[J4]]*Entrainement!$C45</f>
        <v>#VALUE!</v>
      </c>
      <c r="G57" s="117" t="e">
        <f>TabREP[[#This Row],[J5]]*Entrainement!$C45</f>
        <v>#VALUE!</v>
      </c>
      <c r="H57" s="117" t="e">
        <f>TabREP[[#This Row],[J6]]*Entrainement!$C45</f>
        <v>#VALUE!</v>
      </c>
      <c r="I57" s="117" t="e">
        <f>TabREP[[#This Row],[J7]]*Entrainement!$C45</f>
        <v>#VALUE!</v>
      </c>
      <c r="J57" s="117" t="e">
        <f>TabREP[[#This Row],[J8]]*Entrainement!$C45</f>
        <v>#VALUE!</v>
      </c>
      <c r="K57" s="117" t="e">
        <f>TabREP[[#This Row],[J9]]*Entrainement!$C45</f>
        <v>#VALUE!</v>
      </c>
      <c r="L57" s="117" t="e">
        <f>TabREP[[#This Row],[J10]]*Entrainement!$C45</f>
        <v>#VALUE!</v>
      </c>
      <c r="M57" s="117" t="e">
        <f>TabREP[[#This Row],[J11]]*Entrainement!$C45</f>
        <v>#VALUE!</v>
      </c>
      <c r="N57" s="117" t="e">
        <f>TabREP[[#This Row],[J12]]*Entrainement!$C45</f>
        <v>#VALUE!</v>
      </c>
      <c r="O57" s="117" t="e">
        <f>TabREP[[#This Row],[J13]]*Entrainement!$C45</f>
        <v>#VALUE!</v>
      </c>
      <c r="P57" s="117" t="e">
        <f>TabREP[[#This Row],[J14]]*Entrainement!$C45</f>
        <v>#VALUE!</v>
      </c>
      <c r="Q57" s="117" t="e">
        <f>TabREP[[#This Row],[J15]]*Entrainement!$C45</f>
        <v>#VALUE!</v>
      </c>
      <c r="R57" s="117" t="e">
        <f>TabREP[[#This Row],[J16]]*Entrainement!$C45</f>
        <v>#VALUE!</v>
      </c>
      <c r="S57" s="117" t="e">
        <f>TabREP[[#This Row],[J17]]*Entrainement!$C45</f>
        <v>#VALUE!</v>
      </c>
      <c r="T57" s="117" t="e">
        <f>TabREP[[#This Row],[J18]]*Entrainement!$C45</f>
        <v>#VALUE!</v>
      </c>
      <c r="U57" s="117" t="e">
        <f>TabREP[[#This Row],[J19]]*Entrainement!$C45</f>
        <v>#VALUE!</v>
      </c>
      <c r="V57" s="117" t="e">
        <f>TabREP[[#This Row],[J20]]*Entrainement!$C45</f>
        <v>#VALUE!</v>
      </c>
      <c r="W57" s="117" t="e">
        <f>TabREP[[#This Row],[J21]]*Entrainement!$C45</f>
        <v>#VALUE!</v>
      </c>
      <c r="X57" s="117" t="e">
        <f>TabREP[[#This Row],[J22]]*Entrainement!$C45</f>
        <v>#VALUE!</v>
      </c>
      <c r="Y57" s="117" t="e">
        <f>TabREP[[#This Row],[J23]]*Entrainement!$C45</f>
        <v>#VALUE!</v>
      </c>
      <c r="Z57" s="117" t="e">
        <f>TabREP[[#This Row],[J24]]*Entrainement!$C45</f>
        <v>#VALUE!</v>
      </c>
      <c r="AA57" s="117" t="e">
        <f>TabREP[[#This Row],[J25]]*Entrainement!$C45</f>
        <v>#VALUE!</v>
      </c>
      <c r="AB57" s="117" t="e">
        <f>TabREP[[#This Row],[J26]]*Entrainement!$C45</f>
        <v>#VALUE!</v>
      </c>
      <c r="AC57" s="117" t="e">
        <f>TabREP[[#This Row],[J27]]*Entrainement!$C45</f>
        <v>#VALUE!</v>
      </c>
      <c r="AD57" s="117" t="e">
        <f>TabREP[[#This Row],[J28]]*Entrainement!$C45</f>
        <v>#VALUE!</v>
      </c>
      <c r="AE57" s="117" t="e">
        <f>TabREP[[#This Row],[J29]]*Entrainement!$C45</f>
        <v>#VALUE!</v>
      </c>
      <c r="AF57" s="117" t="e">
        <f>TabREP[[#This Row],[J30]]*Entrainement!$C45</f>
        <v>#VALUE!</v>
      </c>
      <c r="AG57" s="250" t="str">
        <f>'Charges collective'!E49</f>
        <v/>
      </c>
      <c r="AH57" s="49"/>
      <c r="AI57" s="48"/>
    </row>
    <row r="58" spans="2:35" ht="14.25">
      <c r="B58" s="248" t="str">
        <f>IF(INDEX(TabEntrainement[Seance],ROW()-18)&lt;&gt;0,INDEX(TabEntrainement[Seance],ROW()-18),"")</f>
        <v/>
      </c>
      <c r="C58" s="117" t="e">
        <f>TabREP[[#This Row],[J1]]*Entrainement!C46</f>
        <v>#VALUE!</v>
      </c>
      <c r="D58" s="117" t="e">
        <f>TabREP[[#This Row],[J2]]*Entrainement!C46</f>
        <v>#VALUE!</v>
      </c>
      <c r="E58" s="117" t="e">
        <f>TabREP[[#This Row],[J3]]*Entrainement!$C46</f>
        <v>#VALUE!</v>
      </c>
      <c r="F58" s="117" t="e">
        <f>TabREP[[#This Row],[J4]]*Entrainement!$C46</f>
        <v>#VALUE!</v>
      </c>
      <c r="G58" s="117" t="e">
        <f>TabREP[[#This Row],[J5]]*Entrainement!$C46</f>
        <v>#VALUE!</v>
      </c>
      <c r="H58" s="117" t="e">
        <f>TabREP[[#This Row],[J6]]*Entrainement!$C46</f>
        <v>#VALUE!</v>
      </c>
      <c r="I58" s="117" t="e">
        <f>TabREP[[#This Row],[J7]]*Entrainement!$C46</f>
        <v>#VALUE!</v>
      </c>
      <c r="J58" s="117" t="e">
        <f>TabREP[[#This Row],[J8]]*Entrainement!$C46</f>
        <v>#VALUE!</v>
      </c>
      <c r="K58" s="117" t="e">
        <f>TabREP[[#This Row],[J9]]*Entrainement!$C46</f>
        <v>#VALUE!</v>
      </c>
      <c r="L58" s="117" t="e">
        <f>TabREP[[#This Row],[J10]]*Entrainement!$C46</f>
        <v>#VALUE!</v>
      </c>
      <c r="M58" s="117" t="e">
        <f>TabREP[[#This Row],[J11]]*Entrainement!$C46</f>
        <v>#VALUE!</v>
      </c>
      <c r="N58" s="117" t="e">
        <f>TabREP[[#This Row],[J12]]*Entrainement!$C46</f>
        <v>#VALUE!</v>
      </c>
      <c r="O58" s="117" t="e">
        <f>TabREP[[#This Row],[J13]]*Entrainement!$C46</f>
        <v>#VALUE!</v>
      </c>
      <c r="P58" s="117" t="e">
        <f>TabREP[[#This Row],[J14]]*Entrainement!$C46</f>
        <v>#VALUE!</v>
      </c>
      <c r="Q58" s="117" t="e">
        <f>TabREP[[#This Row],[J15]]*Entrainement!$C46</f>
        <v>#VALUE!</v>
      </c>
      <c r="R58" s="117" t="e">
        <f>TabREP[[#This Row],[J16]]*Entrainement!$C46</f>
        <v>#VALUE!</v>
      </c>
      <c r="S58" s="117" t="e">
        <f>TabREP[[#This Row],[J17]]*Entrainement!$C46</f>
        <v>#VALUE!</v>
      </c>
      <c r="T58" s="117" t="e">
        <f>TabREP[[#This Row],[J18]]*Entrainement!$C46</f>
        <v>#VALUE!</v>
      </c>
      <c r="U58" s="117" t="e">
        <f>TabREP[[#This Row],[J19]]*Entrainement!$C46</f>
        <v>#VALUE!</v>
      </c>
      <c r="V58" s="117" t="e">
        <f>TabREP[[#This Row],[J20]]*Entrainement!$C46</f>
        <v>#VALUE!</v>
      </c>
      <c r="W58" s="117" t="e">
        <f>TabREP[[#This Row],[J21]]*Entrainement!$C46</f>
        <v>#VALUE!</v>
      </c>
      <c r="X58" s="117" t="e">
        <f>TabREP[[#This Row],[J22]]*Entrainement!$C46</f>
        <v>#VALUE!</v>
      </c>
      <c r="Y58" s="117" t="e">
        <f>TabREP[[#This Row],[J23]]*Entrainement!$C46</f>
        <v>#VALUE!</v>
      </c>
      <c r="Z58" s="117" t="e">
        <f>TabREP[[#This Row],[J24]]*Entrainement!$C46</f>
        <v>#VALUE!</v>
      </c>
      <c r="AA58" s="117" t="e">
        <f>TabREP[[#This Row],[J25]]*Entrainement!$C46</f>
        <v>#VALUE!</v>
      </c>
      <c r="AB58" s="117" t="e">
        <f>TabREP[[#This Row],[J26]]*Entrainement!$C46</f>
        <v>#VALUE!</v>
      </c>
      <c r="AC58" s="117" t="e">
        <f>TabREP[[#This Row],[J27]]*Entrainement!$C46</f>
        <v>#VALUE!</v>
      </c>
      <c r="AD58" s="117" t="e">
        <f>TabREP[[#This Row],[J28]]*Entrainement!$C46</f>
        <v>#VALUE!</v>
      </c>
      <c r="AE58" s="117" t="e">
        <f>TabREP[[#This Row],[J29]]*Entrainement!$C46</f>
        <v>#VALUE!</v>
      </c>
      <c r="AF58" s="117" t="e">
        <f>TabREP[[#This Row],[J30]]*Entrainement!$C46</f>
        <v>#VALUE!</v>
      </c>
      <c r="AG58" s="250" t="str">
        <f>'Charges collective'!E50</f>
        <v/>
      </c>
      <c r="AH58" s="49"/>
      <c r="AI58" s="48"/>
    </row>
    <row r="59" spans="2:35" ht="14.25">
      <c r="B59" s="248" t="str">
        <f>IF(INDEX(TabEntrainement[Seance],ROW()-18)&lt;&gt;0,INDEX(TabEntrainement[Seance],ROW()-18),"")</f>
        <v/>
      </c>
      <c r="C59" s="117" t="e">
        <f>TabREP[[#This Row],[J1]]*Entrainement!C47</f>
        <v>#VALUE!</v>
      </c>
      <c r="D59" s="117" t="e">
        <f>TabREP[[#This Row],[J2]]*Entrainement!C47</f>
        <v>#VALUE!</v>
      </c>
      <c r="E59" s="117" t="e">
        <f>TabREP[[#This Row],[J3]]*Entrainement!$C47</f>
        <v>#VALUE!</v>
      </c>
      <c r="F59" s="117" t="e">
        <f>TabREP[[#This Row],[J4]]*Entrainement!$C47</f>
        <v>#VALUE!</v>
      </c>
      <c r="G59" s="117" t="e">
        <f>TabREP[[#This Row],[J5]]*Entrainement!$C47</f>
        <v>#VALUE!</v>
      </c>
      <c r="H59" s="117" t="e">
        <f>TabREP[[#This Row],[J6]]*Entrainement!$C47</f>
        <v>#VALUE!</v>
      </c>
      <c r="I59" s="117" t="e">
        <f>TabREP[[#This Row],[J7]]*Entrainement!$C47</f>
        <v>#VALUE!</v>
      </c>
      <c r="J59" s="117" t="e">
        <f>TabREP[[#This Row],[J8]]*Entrainement!$C47</f>
        <v>#VALUE!</v>
      </c>
      <c r="K59" s="117" t="e">
        <f>TabREP[[#This Row],[J9]]*Entrainement!$C47</f>
        <v>#VALUE!</v>
      </c>
      <c r="L59" s="117" t="e">
        <f>TabREP[[#This Row],[J10]]*Entrainement!$C47</f>
        <v>#VALUE!</v>
      </c>
      <c r="M59" s="117" t="e">
        <f>TabREP[[#This Row],[J11]]*Entrainement!$C47</f>
        <v>#VALUE!</v>
      </c>
      <c r="N59" s="117" t="e">
        <f>TabREP[[#This Row],[J12]]*Entrainement!$C47</f>
        <v>#VALUE!</v>
      </c>
      <c r="O59" s="117" t="e">
        <f>TabREP[[#This Row],[J13]]*Entrainement!$C47</f>
        <v>#VALUE!</v>
      </c>
      <c r="P59" s="117" t="e">
        <f>TabREP[[#This Row],[J14]]*Entrainement!$C47</f>
        <v>#VALUE!</v>
      </c>
      <c r="Q59" s="117" t="e">
        <f>TabREP[[#This Row],[J15]]*Entrainement!$C47</f>
        <v>#VALUE!</v>
      </c>
      <c r="R59" s="117" t="e">
        <f>TabREP[[#This Row],[J16]]*Entrainement!$C47</f>
        <v>#VALUE!</v>
      </c>
      <c r="S59" s="117" t="e">
        <f>TabREP[[#This Row],[J17]]*Entrainement!$C47</f>
        <v>#VALUE!</v>
      </c>
      <c r="T59" s="117" t="e">
        <f>TabREP[[#This Row],[J18]]*Entrainement!$C47</f>
        <v>#VALUE!</v>
      </c>
      <c r="U59" s="117" t="e">
        <f>TabREP[[#This Row],[J19]]*Entrainement!$C47</f>
        <v>#VALUE!</v>
      </c>
      <c r="V59" s="117" t="e">
        <f>TabREP[[#This Row],[J20]]*Entrainement!$C47</f>
        <v>#VALUE!</v>
      </c>
      <c r="W59" s="117" t="e">
        <f>TabREP[[#This Row],[J21]]*Entrainement!$C47</f>
        <v>#VALUE!</v>
      </c>
      <c r="X59" s="117" t="e">
        <f>TabREP[[#This Row],[J22]]*Entrainement!$C47</f>
        <v>#VALUE!</v>
      </c>
      <c r="Y59" s="117" t="e">
        <f>TabREP[[#This Row],[J23]]*Entrainement!$C47</f>
        <v>#VALUE!</v>
      </c>
      <c r="Z59" s="117" t="e">
        <f>TabREP[[#This Row],[J24]]*Entrainement!$C47</f>
        <v>#VALUE!</v>
      </c>
      <c r="AA59" s="117" t="e">
        <f>TabREP[[#This Row],[J25]]*Entrainement!$C47</f>
        <v>#VALUE!</v>
      </c>
      <c r="AB59" s="117" t="e">
        <f>TabREP[[#This Row],[J26]]*Entrainement!$C47</f>
        <v>#VALUE!</v>
      </c>
      <c r="AC59" s="117" t="e">
        <f>TabREP[[#This Row],[J27]]*Entrainement!$C47</f>
        <v>#VALUE!</v>
      </c>
      <c r="AD59" s="117" t="e">
        <f>TabREP[[#This Row],[J28]]*Entrainement!$C47</f>
        <v>#VALUE!</v>
      </c>
      <c r="AE59" s="117" t="e">
        <f>TabREP[[#This Row],[J29]]*Entrainement!$C47</f>
        <v>#VALUE!</v>
      </c>
      <c r="AF59" s="117" t="e">
        <f>TabREP[[#This Row],[J30]]*Entrainement!$C47</f>
        <v>#VALUE!</v>
      </c>
      <c r="AG59" s="250" t="str">
        <f>'Charges collective'!E51</f>
        <v/>
      </c>
      <c r="AH59" s="49"/>
      <c r="AI59" s="48"/>
    </row>
    <row r="60" spans="2:35" ht="14.25">
      <c r="B60" s="248" t="str">
        <f>IF(INDEX(TabEntrainement[Seance],ROW()-18)&lt;&gt;0,INDEX(TabEntrainement[Seance],ROW()-18),"")</f>
        <v/>
      </c>
      <c r="C60" s="117" t="e">
        <f>TabREP[[#This Row],[J1]]*Entrainement!C48</f>
        <v>#VALUE!</v>
      </c>
      <c r="D60" s="117" t="e">
        <f>TabREP[[#This Row],[J2]]*Entrainement!C48</f>
        <v>#VALUE!</v>
      </c>
      <c r="E60" s="117" t="e">
        <f>TabREP[[#This Row],[J3]]*Entrainement!$C48</f>
        <v>#VALUE!</v>
      </c>
      <c r="F60" s="117" t="e">
        <f>TabREP[[#This Row],[J4]]*Entrainement!$C48</f>
        <v>#VALUE!</v>
      </c>
      <c r="G60" s="117" t="e">
        <f>TabREP[[#This Row],[J5]]*Entrainement!$C48</f>
        <v>#VALUE!</v>
      </c>
      <c r="H60" s="117" t="e">
        <f>TabREP[[#This Row],[J6]]*Entrainement!$C48</f>
        <v>#VALUE!</v>
      </c>
      <c r="I60" s="117" t="e">
        <f>TabREP[[#This Row],[J7]]*Entrainement!$C48</f>
        <v>#VALUE!</v>
      </c>
      <c r="J60" s="117" t="e">
        <f>TabREP[[#This Row],[J8]]*Entrainement!$C48</f>
        <v>#VALUE!</v>
      </c>
      <c r="K60" s="117" t="e">
        <f>TabREP[[#This Row],[J9]]*Entrainement!$C48</f>
        <v>#VALUE!</v>
      </c>
      <c r="L60" s="117" t="e">
        <f>TabREP[[#This Row],[J10]]*Entrainement!$C48</f>
        <v>#VALUE!</v>
      </c>
      <c r="M60" s="117" t="e">
        <f>TabREP[[#This Row],[J11]]*Entrainement!$C48</f>
        <v>#VALUE!</v>
      </c>
      <c r="N60" s="117" t="e">
        <f>TabREP[[#This Row],[J12]]*Entrainement!$C48</f>
        <v>#VALUE!</v>
      </c>
      <c r="O60" s="117" t="e">
        <f>TabREP[[#This Row],[J13]]*Entrainement!$C48</f>
        <v>#VALUE!</v>
      </c>
      <c r="P60" s="117" t="e">
        <f>TabREP[[#This Row],[J14]]*Entrainement!$C48</f>
        <v>#VALUE!</v>
      </c>
      <c r="Q60" s="117" t="e">
        <f>TabREP[[#This Row],[J15]]*Entrainement!$C48</f>
        <v>#VALUE!</v>
      </c>
      <c r="R60" s="117" t="e">
        <f>TabREP[[#This Row],[J16]]*Entrainement!$C48</f>
        <v>#VALUE!</v>
      </c>
      <c r="S60" s="117" t="e">
        <f>TabREP[[#This Row],[J17]]*Entrainement!$C48</f>
        <v>#VALUE!</v>
      </c>
      <c r="T60" s="117" t="e">
        <f>TabREP[[#This Row],[J18]]*Entrainement!$C48</f>
        <v>#VALUE!</v>
      </c>
      <c r="U60" s="117" t="e">
        <f>TabREP[[#This Row],[J19]]*Entrainement!$C48</f>
        <v>#VALUE!</v>
      </c>
      <c r="V60" s="117" t="e">
        <f>TabREP[[#This Row],[J20]]*Entrainement!$C48</f>
        <v>#VALUE!</v>
      </c>
      <c r="W60" s="117" t="e">
        <f>TabREP[[#This Row],[J21]]*Entrainement!$C48</f>
        <v>#VALUE!</v>
      </c>
      <c r="X60" s="117" t="e">
        <f>TabREP[[#This Row],[J22]]*Entrainement!$C48</f>
        <v>#VALUE!</v>
      </c>
      <c r="Y60" s="117" t="e">
        <f>TabREP[[#This Row],[J23]]*Entrainement!$C48</f>
        <v>#VALUE!</v>
      </c>
      <c r="Z60" s="117" t="e">
        <f>TabREP[[#This Row],[J24]]*Entrainement!$C48</f>
        <v>#VALUE!</v>
      </c>
      <c r="AA60" s="117" t="e">
        <f>TabREP[[#This Row],[J25]]*Entrainement!$C48</f>
        <v>#VALUE!</v>
      </c>
      <c r="AB60" s="117" t="e">
        <f>TabREP[[#This Row],[J26]]*Entrainement!$C48</f>
        <v>#VALUE!</v>
      </c>
      <c r="AC60" s="117" t="e">
        <f>TabREP[[#This Row],[J27]]*Entrainement!$C48</f>
        <v>#VALUE!</v>
      </c>
      <c r="AD60" s="117" t="e">
        <f>TabREP[[#This Row],[J28]]*Entrainement!$C48</f>
        <v>#VALUE!</v>
      </c>
      <c r="AE60" s="117" t="e">
        <f>TabREP[[#This Row],[J29]]*Entrainement!$C48</f>
        <v>#VALUE!</v>
      </c>
      <c r="AF60" s="117" t="e">
        <f>TabREP[[#This Row],[J30]]*Entrainement!$C48</f>
        <v>#VALUE!</v>
      </c>
      <c r="AG60" s="250" t="str">
        <f>'Charges collective'!E52</f>
        <v/>
      </c>
      <c r="AH60" s="49"/>
      <c r="AI60" s="48"/>
    </row>
    <row r="61" spans="2:35" ht="14.25">
      <c r="B61" s="248" t="str">
        <f>IF(INDEX(TabEntrainement[Seance],ROW()-18)&lt;&gt;0,INDEX(TabEntrainement[Seance],ROW()-18),"")</f>
        <v/>
      </c>
      <c r="C61" s="117" t="e">
        <f>TabREP[[#This Row],[J1]]*Entrainement!C49</f>
        <v>#VALUE!</v>
      </c>
      <c r="D61" s="117" t="e">
        <f>TabREP[[#This Row],[J2]]*Entrainement!C49</f>
        <v>#VALUE!</v>
      </c>
      <c r="E61" s="117" t="e">
        <f>TabREP[[#This Row],[J3]]*Entrainement!$C49</f>
        <v>#VALUE!</v>
      </c>
      <c r="F61" s="117" t="e">
        <f>TabREP[[#This Row],[J4]]*Entrainement!$C49</f>
        <v>#VALUE!</v>
      </c>
      <c r="G61" s="117" t="e">
        <f>TabREP[[#This Row],[J5]]*Entrainement!$C49</f>
        <v>#VALUE!</v>
      </c>
      <c r="H61" s="117" t="e">
        <f>TabREP[[#This Row],[J6]]*Entrainement!$C49</f>
        <v>#VALUE!</v>
      </c>
      <c r="I61" s="117" t="e">
        <f>TabREP[[#This Row],[J7]]*Entrainement!$C49</f>
        <v>#VALUE!</v>
      </c>
      <c r="J61" s="117" t="e">
        <f>TabREP[[#This Row],[J8]]*Entrainement!$C49</f>
        <v>#VALUE!</v>
      </c>
      <c r="K61" s="117" t="e">
        <f>TabREP[[#This Row],[J9]]*Entrainement!$C49</f>
        <v>#VALUE!</v>
      </c>
      <c r="L61" s="117" t="e">
        <f>TabREP[[#This Row],[J10]]*Entrainement!$C49</f>
        <v>#VALUE!</v>
      </c>
      <c r="M61" s="117" t="e">
        <f>TabREP[[#This Row],[J11]]*Entrainement!$C49</f>
        <v>#VALUE!</v>
      </c>
      <c r="N61" s="117" t="e">
        <f>TabREP[[#This Row],[J12]]*Entrainement!$C49</f>
        <v>#VALUE!</v>
      </c>
      <c r="O61" s="117" t="e">
        <f>TabREP[[#This Row],[J13]]*Entrainement!$C49</f>
        <v>#VALUE!</v>
      </c>
      <c r="P61" s="117" t="e">
        <f>TabREP[[#This Row],[J14]]*Entrainement!$C49</f>
        <v>#VALUE!</v>
      </c>
      <c r="Q61" s="117" t="e">
        <f>TabREP[[#This Row],[J15]]*Entrainement!$C49</f>
        <v>#VALUE!</v>
      </c>
      <c r="R61" s="117" t="e">
        <f>TabREP[[#This Row],[J16]]*Entrainement!$C49</f>
        <v>#VALUE!</v>
      </c>
      <c r="S61" s="117" t="e">
        <f>TabREP[[#This Row],[J17]]*Entrainement!$C49</f>
        <v>#VALUE!</v>
      </c>
      <c r="T61" s="117" t="e">
        <f>TabREP[[#This Row],[J18]]*Entrainement!$C49</f>
        <v>#VALUE!</v>
      </c>
      <c r="U61" s="117" t="e">
        <f>TabREP[[#This Row],[J19]]*Entrainement!$C49</f>
        <v>#VALUE!</v>
      </c>
      <c r="V61" s="117" t="e">
        <f>TabREP[[#This Row],[J20]]*Entrainement!$C49</f>
        <v>#VALUE!</v>
      </c>
      <c r="W61" s="117" t="e">
        <f>TabREP[[#This Row],[J21]]*Entrainement!$C49</f>
        <v>#VALUE!</v>
      </c>
      <c r="X61" s="117" t="e">
        <f>TabREP[[#This Row],[J22]]*Entrainement!$C49</f>
        <v>#VALUE!</v>
      </c>
      <c r="Y61" s="117" t="e">
        <f>TabREP[[#This Row],[J23]]*Entrainement!$C49</f>
        <v>#VALUE!</v>
      </c>
      <c r="Z61" s="117" t="e">
        <f>TabREP[[#This Row],[J24]]*Entrainement!$C49</f>
        <v>#VALUE!</v>
      </c>
      <c r="AA61" s="117" t="e">
        <f>TabREP[[#This Row],[J25]]*Entrainement!$C49</f>
        <v>#VALUE!</v>
      </c>
      <c r="AB61" s="117" t="e">
        <f>TabREP[[#This Row],[J26]]*Entrainement!$C49</f>
        <v>#VALUE!</v>
      </c>
      <c r="AC61" s="117" t="e">
        <f>TabREP[[#This Row],[J27]]*Entrainement!$C49</f>
        <v>#VALUE!</v>
      </c>
      <c r="AD61" s="117" t="e">
        <f>TabREP[[#This Row],[J28]]*Entrainement!$C49</f>
        <v>#VALUE!</v>
      </c>
      <c r="AE61" s="117" t="e">
        <f>TabREP[[#This Row],[J29]]*Entrainement!$C49</f>
        <v>#VALUE!</v>
      </c>
      <c r="AF61" s="117" t="e">
        <f>TabREP[[#This Row],[J30]]*Entrainement!$C49</f>
        <v>#VALUE!</v>
      </c>
      <c r="AG61" s="250" t="str">
        <f>'Charges collective'!E53</f>
        <v/>
      </c>
      <c r="AH61" s="49"/>
      <c r="AI61" s="48"/>
    </row>
    <row r="62" spans="2:35" ht="14.25">
      <c r="B62" s="248" t="str">
        <f>IF(INDEX(TabEntrainement[Seance],ROW()-18)&lt;&gt;0,INDEX(TabEntrainement[Seance],ROW()-18),"")</f>
        <v/>
      </c>
      <c r="C62" s="117" t="e">
        <f>TabREP[[#This Row],[J1]]*Entrainement!C50</f>
        <v>#VALUE!</v>
      </c>
      <c r="D62" s="117" t="e">
        <f>TabREP[[#This Row],[J2]]*Entrainement!C50</f>
        <v>#VALUE!</v>
      </c>
      <c r="E62" s="117" t="e">
        <f>TabREP[[#This Row],[J3]]*Entrainement!$C50</f>
        <v>#VALUE!</v>
      </c>
      <c r="F62" s="117" t="e">
        <f>TabREP[[#This Row],[J4]]*Entrainement!$C50</f>
        <v>#VALUE!</v>
      </c>
      <c r="G62" s="117" t="e">
        <f>TabREP[[#This Row],[J5]]*Entrainement!$C50</f>
        <v>#VALUE!</v>
      </c>
      <c r="H62" s="117" t="e">
        <f>TabREP[[#This Row],[J6]]*Entrainement!$C50</f>
        <v>#VALUE!</v>
      </c>
      <c r="I62" s="117" t="e">
        <f>TabREP[[#This Row],[J7]]*Entrainement!$C50</f>
        <v>#VALUE!</v>
      </c>
      <c r="J62" s="117" t="e">
        <f>TabREP[[#This Row],[J8]]*Entrainement!$C50</f>
        <v>#VALUE!</v>
      </c>
      <c r="K62" s="117" t="e">
        <f>TabREP[[#This Row],[J9]]*Entrainement!$C50</f>
        <v>#VALUE!</v>
      </c>
      <c r="L62" s="117" t="e">
        <f>TabREP[[#This Row],[J10]]*Entrainement!$C50</f>
        <v>#VALUE!</v>
      </c>
      <c r="M62" s="117" t="e">
        <f>TabREP[[#This Row],[J11]]*Entrainement!$C50</f>
        <v>#VALUE!</v>
      </c>
      <c r="N62" s="117" t="e">
        <f>TabREP[[#This Row],[J12]]*Entrainement!$C50</f>
        <v>#VALUE!</v>
      </c>
      <c r="O62" s="117" t="e">
        <f>TabREP[[#This Row],[J13]]*Entrainement!$C50</f>
        <v>#VALUE!</v>
      </c>
      <c r="P62" s="117" t="e">
        <f>TabREP[[#This Row],[J14]]*Entrainement!$C50</f>
        <v>#VALUE!</v>
      </c>
      <c r="Q62" s="117" t="e">
        <f>TabREP[[#This Row],[J15]]*Entrainement!$C50</f>
        <v>#VALUE!</v>
      </c>
      <c r="R62" s="117" t="e">
        <f>TabREP[[#This Row],[J16]]*Entrainement!$C50</f>
        <v>#VALUE!</v>
      </c>
      <c r="S62" s="117" t="e">
        <f>TabREP[[#This Row],[J17]]*Entrainement!$C50</f>
        <v>#VALUE!</v>
      </c>
      <c r="T62" s="117" t="e">
        <f>TabREP[[#This Row],[J18]]*Entrainement!$C50</f>
        <v>#VALUE!</v>
      </c>
      <c r="U62" s="117" t="e">
        <f>TabREP[[#This Row],[J19]]*Entrainement!$C50</f>
        <v>#VALUE!</v>
      </c>
      <c r="V62" s="117" t="e">
        <f>TabREP[[#This Row],[J20]]*Entrainement!$C50</f>
        <v>#VALUE!</v>
      </c>
      <c r="W62" s="117" t="e">
        <f>TabREP[[#This Row],[J21]]*Entrainement!$C50</f>
        <v>#VALUE!</v>
      </c>
      <c r="X62" s="117" t="e">
        <f>TabREP[[#This Row],[J22]]*Entrainement!$C50</f>
        <v>#VALUE!</v>
      </c>
      <c r="Y62" s="117" t="e">
        <f>TabREP[[#This Row],[J23]]*Entrainement!$C50</f>
        <v>#VALUE!</v>
      </c>
      <c r="Z62" s="117" t="e">
        <f>TabREP[[#This Row],[J24]]*Entrainement!$C50</f>
        <v>#VALUE!</v>
      </c>
      <c r="AA62" s="117" t="e">
        <f>TabREP[[#This Row],[J25]]*Entrainement!$C50</f>
        <v>#VALUE!</v>
      </c>
      <c r="AB62" s="117" t="e">
        <f>TabREP[[#This Row],[J26]]*Entrainement!$C50</f>
        <v>#VALUE!</v>
      </c>
      <c r="AC62" s="117" t="e">
        <f>TabREP[[#This Row],[J27]]*Entrainement!$C50</f>
        <v>#VALUE!</v>
      </c>
      <c r="AD62" s="117" t="e">
        <f>TabREP[[#This Row],[J28]]*Entrainement!$C50</f>
        <v>#VALUE!</v>
      </c>
      <c r="AE62" s="117" t="e">
        <f>TabREP[[#This Row],[J29]]*Entrainement!$C50</f>
        <v>#VALUE!</v>
      </c>
      <c r="AF62" s="117" t="e">
        <f>TabREP[[#This Row],[J30]]*Entrainement!$C50</f>
        <v>#VALUE!</v>
      </c>
      <c r="AG62" s="250" t="str">
        <f>'Charges collective'!E54</f>
        <v/>
      </c>
      <c r="AH62" s="49"/>
      <c r="AI62" s="48"/>
    </row>
    <row r="63" spans="2:35" ht="14.25">
      <c r="B63" s="248" t="str">
        <f>IF(INDEX(TabEntrainement[Seance],ROW()-18)&lt;&gt;0,INDEX(TabEntrainement[Seance],ROW()-18),"")</f>
        <v/>
      </c>
      <c r="C63" s="117" t="e">
        <f>TabREP[[#This Row],[J1]]*Entrainement!C51</f>
        <v>#VALUE!</v>
      </c>
      <c r="D63" s="117" t="e">
        <f>TabREP[[#This Row],[J2]]*Entrainement!C51</f>
        <v>#VALUE!</v>
      </c>
      <c r="E63" s="117" t="e">
        <f>TabREP[[#This Row],[J3]]*Entrainement!$C51</f>
        <v>#VALUE!</v>
      </c>
      <c r="F63" s="117" t="e">
        <f>TabREP[[#This Row],[J4]]*Entrainement!$C51</f>
        <v>#VALUE!</v>
      </c>
      <c r="G63" s="117" t="e">
        <f>TabREP[[#This Row],[J5]]*Entrainement!$C51</f>
        <v>#VALUE!</v>
      </c>
      <c r="H63" s="117" t="e">
        <f>TabREP[[#This Row],[J6]]*Entrainement!$C51</f>
        <v>#VALUE!</v>
      </c>
      <c r="I63" s="117" t="e">
        <f>TabREP[[#This Row],[J7]]*Entrainement!$C51</f>
        <v>#VALUE!</v>
      </c>
      <c r="J63" s="117" t="e">
        <f>TabREP[[#This Row],[J8]]*Entrainement!$C51</f>
        <v>#VALUE!</v>
      </c>
      <c r="K63" s="117" t="e">
        <f>TabREP[[#This Row],[J9]]*Entrainement!$C51</f>
        <v>#VALUE!</v>
      </c>
      <c r="L63" s="117" t="e">
        <f>TabREP[[#This Row],[J10]]*Entrainement!$C51</f>
        <v>#VALUE!</v>
      </c>
      <c r="M63" s="117" t="e">
        <f>TabREP[[#This Row],[J11]]*Entrainement!$C51</f>
        <v>#VALUE!</v>
      </c>
      <c r="N63" s="117" t="e">
        <f>TabREP[[#This Row],[J12]]*Entrainement!$C51</f>
        <v>#VALUE!</v>
      </c>
      <c r="O63" s="117" t="e">
        <f>TabREP[[#This Row],[J13]]*Entrainement!$C51</f>
        <v>#VALUE!</v>
      </c>
      <c r="P63" s="117" t="e">
        <f>TabREP[[#This Row],[J14]]*Entrainement!$C51</f>
        <v>#VALUE!</v>
      </c>
      <c r="Q63" s="117" t="e">
        <f>TabREP[[#This Row],[J15]]*Entrainement!$C51</f>
        <v>#VALUE!</v>
      </c>
      <c r="R63" s="117" t="e">
        <f>TabREP[[#This Row],[J16]]*Entrainement!$C51</f>
        <v>#VALUE!</v>
      </c>
      <c r="S63" s="117" t="e">
        <f>TabREP[[#This Row],[J17]]*Entrainement!$C51</f>
        <v>#VALUE!</v>
      </c>
      <c r="T63" s="117" t="e">
        <f>TabREP[[#This Row],[J18]]*Entrainement!$C51</f>
        <v>#VALUE!</v>
      </c>
      <c r="U63" s="117" t="e">
        <f>TabREP[[#This Row],[J19]]*Entrainement!$C51</f>
        <v>#VALUE!</v>
      </c>
      <c r="V63" s="117" t="e">
        <f>TabREP[[#This Row],[J20]]*Entrainement!$C51</f>
        <v>#VALUE!</v>
      </c>
      <c r="W63" s="117" t="e">
        <f>TabREP[[#This Row],[J21]]*Entrainement!$C51</f>
        <v>#VALUE!</v>
      </c>
      <c r="X63" s="117" t="e">
        <f>TabREP[[#This Row],[J22]]*Entrainement!$C51</f>
        <v>#VALUE!</v>
      </c>
      <c r="Y63" s="117" t="e">
        <f>TabREP[[#This Row],[J23]]*Entrainement!$C51</f>
        <v>#VALUE!</v>
      </c>
      <c r="Z63" s="117" t="e">
        <f>TabREP[[#This Row],[J24]]*Entrainement!$C51</f>
        <v>#VALUE!</v>
      </c>
      <c r="AA63" s="117" t="e">
        <f>TabREP[[#This Row],[J25]]*Entrainement!$C51</f>
        <v>#VALUE!</v>
      </c>
      <c r="AB63" s="117" t="e">
        <f>TabREP[[#This Row],[J26]]*Entrainement!$C51</f>
        <v>#VALUE!</v>
      </c>
      <c r="AC63" s="117" t="e">
        <f>TabREP[[#This Row],[J27]]*Entrainement!$C51</f>
        <v>#VALUE!</v>
      </c>
      <c r="AD63" s="117" t="e">
        <f>TabREP[[#This Row],[J28]]*Entrainement!$C51</f>
        <v>#VALUE!</v>
      </c>
      <c r="AE63" s="117" t="e">
        <f>TabREP[[#This Row],[J29]]*Entrainement!$C51</f>
        <v>#VALUE!</v>
      </c>
      <c r="AF63" s="117" t="e">
        <f>TabREP[[#This Row],[J30]]*Entrainement!$C51</f>
        <v>#VALUE!</v>
      </c>
      <c r="AG63" s="250" t="str">
        <f>'Charges collective'!E55</f>
        <v/>
      </c>
      <c r="AH63" s="49"/>
      <c r="AI63" s="48"/>
    </row>
    <row r="64" spans="2:35" ht="14.25">
      <c r="B64" s="248" t="str">
        <f>IF(INDEX(TabEntrainement[Seance],ROW()-18)&lt;&gt;0,INDEX(TabEntrainement[Seance],ROW()-18),"")</f>
        <v/>
      </c>
      <c r="C64" s="117" t="e">
        <f>TabREP[[#This Row],[J1]]*Entrainement!C52</f>
        <v>#VALUE!</v>
      </c>
      <c r="D64" s="117" t="e">
        <f>TabREP[[#This Row],[J2]]*Entrainement!C52</f>
        <v>#VALUE!</v>
      </c>
      <c r="E64" s="117" t="e">
        <f>TabREP[[#This Row],[J3]]*Entrainement!$C52</f>
        <v>#VALUE!</v>
      </c>
      <c r="F64" s="117" t="e">
        <f>TabREP[[#This Row],[J4]]*Entrainement!$C52</f>
        <v>#VALUE!</v>
      </c>
      <c r="G64" s="117" t="e">
        <f>TabREP[[#This Row],[J5]]*Entrainement!$C52</f>
        <v>#VALUE!</v>
      </c>
      <c r="H64" s="117" t="e">
        <f>TabREP[[#This Row],[J6]]*Entrainement!$C52</f>
        <v>#VALUE!</v>
      </c>
      <c r="I64" s="117" t="e">
        <f>TabREP[[#This Row],[J7]]*Entrainement!$C52</f>
        <v>#VALUE!</v>
      </c>
      <c r="J64" s="117" t="e">
        <f>TabREP[[#This Row],[J8]]*Entrainement!$C52</f>
        <v>#VALUE!</v>
      </c>
      <c r="K64" s="117" t="e">
        <f>TabREP[[#This Row],[J9]]*Entrainement!$C52</f>
        <v>#VALUE!</v>
      </c>
      <c r="L64" s="117" t="e">
        <f>TabREP[[#This Row],[J10]]*Entrainement!$C52</f>
        <v>#VALUE!</v>
      </c>
      <c r="M64" s="117" t="e">
        <f>TabREP[[#This Row],[J11]]*Entrainement!$C52</f>
        <v>#VALUE!</v>
      </c>
      <c r="N64" s="117" t="e">
        <f>TabREP[[#This Row],[J12]]*Entrainement!$C52</f>
        <v>#VALUE!</v>
      </c>
      <c r="O64" s="117" t="e">
        <f>TabREP[[#This Row],[J13]]*Entrainement!$C52</f>
        <v>#VALUE!</v>
      </c>
      <c r="P64" s="117" t="e">
        <f>TabREP[[#This Row],[J14]]*Entrainement!$C52</f>
        <v>#VALUE!</v>
      </c>
      <c r="Q64" s="117" t="e">
        <f>TabREP[[#This Row],[J15]]*Entrainement!$C52</f>
        <v>#VALUE!</v>
      </c>
      <c r="R64" s="117" t="e">
        <f>TabREP[[#This Row],[J16]]*Entrainement!$C52</f>
        <v>#VALUE!</v>
      </c>
      <c r="S64" s="117" t="e">
        <f>TabREP[[#This Row],[J17]]*Entrainement!$C52</f>
        <v>#VALUE!</v>
      </c>
      <c r="T64" s="117" t="e">
        <f>TabREP[[#This Row],[J18]]*Entrainement!$C52</f>
        <v>#VALUE!</v>
      </c>
      <c r="U64" s="117" t="e">
        <f>TabREP[[#This Row],[J19]]*Entrainement!$C52</f>
        <v>#VALUE!</v>
      </c>
      <c r="V64" s="117" t="e">
        <f>TabREP[[#This Row],[J20]]*Entrainement!$C52</f>
        <v>#VALUE!</v>
      </c>
      <c r="W64" s="117" t="e">
        <f>TabREP[[#This Row],[J21]]*Entrainement!$C52</f>
        <v>#VALUE!</v>
      </c>
      <c r="X64" s="117" t="e">
        <f>TabREP[[#This Row],[J22]]*Entrainement!$C52</f>
        <v>#VALUE!</v>
      </c>
      <c r="Y64" s="117" t="e">
        <f>TabREP[[#This Row],[J23]]*Entrainement!$C52</f>
        <v>#VALUE!</v>
      </c>
      <c r="Z64" s="117" t="e">
        <f>TabREP[[#This Row],[J24]]*Entrainement!$C52</f>
        <v>#VALUE!</v>
      </c>
      <c r="AA64" s="117" t="e">
        <f>TabREP[[#This Row],[J25]]*Entrainement!$C52</f>
        <v>#VALUE!</v>
      </c>
      <c r="AB64" s="117" t="e">
        <f>TabREP[[#This Row],[J26]]*Entrainement!$C52</f>
        <v>#VALUE!</v>
      </c>
      <c r="AC64" s="117" t="e">
        <f>TabREP[[#This Row],[J27]]*Entrainement!$C52</f>
        <v>#VALUE!</v>
      </c>
      <c r="AD64" s="117" t="e">
        <f>TabREP[[#This Row],[J28]]*Entrainement!$C52</f>
        <v>#VALUE!</v>
      </c>
      <c r="AE64" s="117" t="e">
        <f>TabREP[[#This Row],[J29]]*Entrainement!$C52</f>
        <v>#VALUE!</v>
      </c>
      <c r="AF64" s="117" t="e">
        <f>TabREP[[#This Row],[J30]]*Entrainement!$C52</f>
        <v>#VALUE!</v>
      </c>
      <c r="AG64" s="250" t="str">
        <f>'Charges collective'!E56</f>
        <v/>
      </c>
      <c r="AH64" s="49"/>
      <c r="AI64" s="48"/>
    </row>
    <row r="65" spans="2:35" ht="14.25">
      <c r="B65" s="248" t="str">
        <f>IF(INDEX(TabEntrainement[Seance],ROW()-18)&lt;&gt;0,INDEX(TabEntrainement[Seance],ROW()-18),"")</f>
        <v/>
      </c>
      <c r="C65" s="117" t="e">
        <f>TabREP[[#This Row],[J1]]*Entrainement!C53</f>
        <v>#VALUE!</v>
      </c>
      <c r="D65" s="117" t="e">
        <f>TabREP[[#This Row],[J2]]*Entrainement!C53</f>
        <v>#VALUE!</v>
      </c>
      <c r="E65" s="117" t="e">
        <f>TabREP[[#This Row],[J3]]*Entrainement!$C53</f>
        <v>#VALUE!</v>
      </c>
      <c r="F65" s="117" t="e">
        <f>TabREP[[#This Row],[J4]]*Entrainement!$C53</f>
        <v>#VALUE!</v>
      </c>
      <c r="G65" s="117" t="e">
        <f>TabREP[[#This Row],[J5]]*Entrainement!$C53</f>
        <v>#VALUE!</v>
      </c>
      <c r="H65" s="117" t="e">
        <f>TabREP[[#This Row],[J6]]*Entrainement!$C53</f>
        <v>#VALUE!</v>
      </c>
      <c r="I65" s="117" t="e">
        <f>TabREP[[#This Row],[J7]]*Entrainement!$C53</f>
        <v>#VALUE!</v>
      </c>
      <c r="J65" s="117" t="e">
        <f>TabREP[[#This Row],[J8]]*Entrainement!$C53</f>
        <v>#VALUE!</v>
      </c>
      <c r="K65" s="117" t="e">
        <f>TabREP[[#This Row],[J9]]*Entrainement!$C53</f>
        <v>#VALUE!</v>
      </c>
      <c r="L65" s="117" t="e">
        <f>TabREP[[#This Row],[J10]]*Entrainement!$C53</f>
        <v>#VALUE!</v>
      </c>
      <c r="M65" s="117" t="e">
        <f>TabREP[[#This Row],[J11]]*Entrainement!$C53</f>
        <v>#VALUE!</v>
      </c>
      <c r="N65" s="117" t="e">
        <f>TabREP[[#This Row],[J12]]*Entrainement!$C53</f>
        <v>#VALUE!</v>
      </c>
      <c r="O65" s="117" t="e">
        <f>TabREP[[#This Row],[J13]]*Entrainement!$C53</f>
        <v>#VALUE!</v>
      </c>
      <c r="P65" s="117" t="e">
        <f>TabREP[[#This Row],[J14]]*Entrainement!$C53</f>
        <v>#VALUE!</v>
      </c>
      <c r="Q65" s="117" t="e">
        <f>TabREP[[#This Row],[J15]]*Entrainement!$C53</f>
        <v>#VALUE!</v>
      </c>
      <c r="R65" s="117" t="e">
        <f>TabREP[[#This Row],[J16]]*Entrainement!$C53</f>
        <v>#VALUE!</v>
      </c>
      <c r="S65" s="117" t="e">
        <f>TabREP[[#This Row],[J17]]*Entrainement!$C53</f>
        <v>#VALUE!</v>
      </c>
      <c r="T65" s="117" t="e">
        <f>TabREP[[#This Row],[J18]]*Entrainement!$C53</f>
        <v>#VALUE!</v>
      </c>
      <c r="U65" s="117" t="e">
        <f>TabREP[[#This Row],[J19]]*Entrainement!$C53</f>
        <v>#VALUE!</v>
      </c>
      <c r="V65" s="117" t="e">
        <f>TabREP[[#This Row],[J20]]*Entrainement!$C53</f>
        <v>#VALUE!</v>
      </c>
      <c r="W65" s="117" t="e">
        <f>TabREP[[#This Row],[J21]]*Entrainement!$C53</f>
        <v>#VALUE!</v>
      </c>
      <c r="X65" s="117" t="e">
        <f>TabREP[[#This Row],[J22]]*Entrainement!$C53</f>
        <v>#VALUE!</v>
      </c>
      <c r="Y65" s="117" t="e">
        <f>TabREP[[#This Row],[J23]]*Entrainement!$C53</f>
        <v>#VALUE!</v>
      </c>
      <c r="Z65" s="117" t="e">
        <f>TabREP[[#This Row],[J24]]*Entrainement!$C53</f>
        <v>#VALUE!</v>
      </c>
      <c r="AA65" s="117" t="e">
        <f>TabREP[[#This Row],[J25]]*Entrainement!$C53</f>
        <v>#VALUE!</v>
      </c>
      <c r="AB65" s="117" t="e">
        <f>TabREP[[#This Row],[J26]]*Entrainement!$C53</f>
        <v>#VALUE!</v>
      </c>
      <c r="AC65" s="117" t="e">
        <f>TabREP[[#This Row],[J27]]*Entrainement!$C53</f>
        <v>#VALUE!</v>
      </c>
      <c r="AD65" s="117" t="e">
        <f>TabREP[[#This Row],[J28]]*Entrainement!$C53</f>
        <v>#VALUE!</v>
      </c>
      <c r="AE65" s="117" t="e">
        <f>TabREP[[#This Row],[J29]]*Entrainement!$C53</f>
        <v>#VALUE!</v>
      </c>
      <c r="AF65" s="117" t="e">
        <f>TabREP[[#This Row],[J30]]*Entrainement!$C53</f>
        <v>#VALUE!</v>
      </c>
      <c r="AG65" s="250" t="str">
        <f>'Charges collective'!E57</f>
        <v/>
      </c>
      <c r="AH65" s="49"/>
      <c r="AI65" s="48"/>
    </row>
    <row r="66" spans="2:35" ht="14.25">
      <c r="B66" s="248" t="str">
        <f>IF(INDEX(TabEntrainement[Seance],ROW()-18)&lt;&gt;0,INDEX(TabEntrainement[Seance],ROW()-18),"")</f>
        <v/>
      </c>
      <c r="C66" s="117" t="e">
        <f>TabREP[[#This Row],[J1]]*Entrainement!C54</f>
        <v>#VALUE!</v>
      </c>
      <c r="D66" s="117" t="e">
        <f>TabREP[[#This Row],[J2]]*Entrainement!C54</f>
        <v>#VALUE!</v>
      </c>
      <c r="E66" s="117" t="e">
        <f>TabREP[[#This Row],[J3]]*Entrainement!$C54</f>
        <v>#VALUE!</v>
      </c>
      <c r="F66" s="117" t="e">
        <f>TabREP[[#This Row],[J4]]*Entrainement!$C54</f>
        <v>#VALUE!</v>
      </c>
      <c r="G66" s="117" t="e">
        <f>TabREP[[#This Row],[J5]]*Entrainement!$C54</f>
        <v>#VALUE!</v>
      </c>
      <c r="H66" s="117" t="e">
        <f>TabREP[[#This Row],[J6]]*Entrainement!$C54</f>
        <v>#VALUE!</v>
      </c>
      <c r="I66" s="117" t="e">
        <f>TabREP[[#This Row],[J7]]*Entrainement!$C54</f>
        <v>#VALUE!</v>
      </c>
      <c r="J66" s="117" t="e">
        <f>TabREP[[#This Row],[J8]]*Entrainement!$C54</f>
        <v>#VALUE!</v>
      </c>
      <c r="K66" s="117" t="e">
        <f>TabREP[[#This Row],[J9]]*Entrainement!$C54</f>
        <v>#VALUE!</v>
      </c>
      <c r="L66" s="117" t="e">
        <f>TabREP[[#This Row],[J10]]*Entrainement!$C54</f>
        <v>#VALUE!</v>
      </c>
      <c r="M66" s="117" t="e">
        <f>TabREP[[#This Row],[J11]]*Entrainement!$C54</f>
        <v>#VALUE!</v>
      </c>
      <c r="N66" s="117" t="e">
        <f>TabREP[[#This Row],[J12]]*Entrainement!$C54</f>
        <v>#VALUE!</v>
      </c>
      <c r="O66" s="117" t="e">
        <f>TabREP[[#This Row],[J13]]*Entrainement!$C54</f>
        <v>#VALUE!</v>
      </c>
      <c r="P66" s="117" t="e">
        <f>TabREP[[#This Row],[J14]]*Entrainement!$C54</f>
        <v>#VALUE!</v>
      </c>
      <c r="Q66" s="117" t="e">
        <f>TabREP[[#This Row],[J15]]*Entrainement!$C54</f>
        <v>#VALUE!</v>
      </c>
      <c r="R66" s="117" t="e">
        <f>TabREP[[#This Row],[J16]]*Entrainement!$C54</f>
        <v>#VALUE!</v>
      </c>
      <c r="S66" s="117" t="e">
        <f>TabREP[[#This Row],[J17]]*Entrainement!$C54</f>
        <v>#VALUE!</v>
      </c>
      <c r="T66" s="117" t="e">
        <f>TabREP[[#This Row],[J18]]*Entrainement!$C54</f>
        <v>#VALUE!</v>
      </c>
      <c r="U66" s="117" t="e">
        <f>TabREP[[#This Row],[J19]]*Entrainement!$C54</f>
        <v>#VALUE!</v>
      </c>
      <c r="V66" s="117" t="e">
        <f>TabREP[[#This Row],[J20]]*Entrainement!$C54</f>
        <v>#VALUE!</v>
      </c>
      <c r="W66" s="117" t="e">
        <f>TabREP[[#This Row],[J21]]*Entrainement!$C54</f>
        <v>#VALUE!</v>
      </c>
      <c r="X66" s="117" t="e">
        <f>TabREP[[#This Row],[J22]]*Entrainement!$C54</f>
        <v>#VALUE!</v>
      </c>
      <c r="Y66" s="117" t="e">
        <f>TabREP[[#This Row],[J23]]*Entrainement!$C54</f>
        <v>#VALUE!</v>
      </c>
      <c r="Z66" s="117" t="e">
        <f>TabREP[[#This Row],[J24]]*Entrainement!$C54</f>
        <v>#VALUE!</v>
      </c>
      <c r="AA66" s="117" t="e">
        <f>TabREP[[#This Row],[J25]]*Entrainement!$C54</f>
        <v>#VALUE!</v>
      </c>
      <c r="AB66" s="117" t="e">
        <f>TabREP[[#This Row],[J26]]*Entrainement!$C54</f>
        <v>#VALUE!</v>
      </c>
      <c r="AC66" s="117" t="e">
        <f>TabREP[[#This Row],[J27]]*Entrainement!$C54</f>
        <v>#VALUE!</v>
      </c>
      <c r="AD66" s="117" t="e">
        <f>TabREP[[#This Row],[J28]]*Entrainement!$C54</f>
        <v>#VALUE!</v>
      </c>
      <c r="AE66" s="117" t="e">
        <f>TabREP[[#This Row],[J29]]*Entrainement!$C54</f>
        <v>#VALUE!</v>
      </c>
      <c r="AF66" s="117" t="e">
        <f>TabREP[[#This Row],[J30]]*Entrainement!$C54</f>
        <v>#VALUE!</v>
      </c>
      <c r="AG66" s="250" t="str">
        <f>'Charges collective'!E58</f>
        <v/>
      </c>
      <c r="AH66" s="49"/>
      <c r="AI66" s="48"/>
    </row>
    <row r="67" spans="2:35" ht="14.25">
      <c r="B67" s="248" t="str">
        <f>IF(INDEX(TabEntrainement[Seance],ROW()-18)&lt;&gt;0,INDEX(TabEntrainement[Seance],ROW()-18),"")</f>
        <v/>
      </c>
      <c r="C67" s="117" t="e">
        <f>TabREP[[#This Row],[J1]]*Entrainement!C55</f>
        <v>#VALUE!</v>
      </c>
      <c r="D67" s="117" t="e">
        <f>TabREP[[#This Row],[J2]]*Entrainement!C55</f>
        <v>#VALUE!</v>
      </c>
      <c r="E67" s="117" t="e">
        <f>TabREP[[#This Row],[J3]]*Entrainement!$C55</f>
        <v>#VALUE!</v>
      </c>
      <c r="F67" s="117" t="e">
        <f>TabREP[[#This Row],[J4]]*Entrainement!$C55</f>
        <v>#VALUE!</v>
      </c>
      <c r="G67" s="117" t="e">
        <f>TabREP[[#This Row],[J5]]*Entrainement!$C55</f>
        <v>#VALUE!</v>
      </c>
      <c r="H67" s="117" t="e">
        <f>TabREP[[#This Row],[J6]]*Entrainement!$C55</f>
        <v>#VALUE!</v>
      </c>
      <c r="I67" s="117" t="e">
        <f>TabREP[[#This Row],[J7]]*Entrainement!$C55</f>
        <v>#VALUE!</v>
      </c>
      <c r="J67" s="117" t="e">
        <f>TabREP[[#This Row],[J8]]*Entrainement!$C55</f>
        <v>#VALUE!</v>
      </c>
      <c r="K67" s="117" t="e">
        <f>TabREP[[#This Row],[J9]]*Entrainement!$C55</f>
        <v>#VALUE!</v>
      </c>
      <c r="L67" s="117" t="e">
        <f>TabREP[[#This Row],[J10]]*Entrainement!$C55</f>
        <v>#VALUE!</v>
      </c>
      <c r="M67" s="117" t="e">
        <f>TabREP[[#This Row],[J11]]*Entrainement!$C55</f>
        <v>#VALUE!</v>
      </c>
      <c r="N67" s="117" t="e">
        <f>TabREP[[#This Row],[J12]]*Entrainement!$C55</f>
        <v>#VALUE!</v>
      </c>
      <c r="O67" s="117" t="e">
        <f>TabREP[[#This Row],[J13]]*Entrainement!$C55</f>
        <v>#VALUE!</v>
      </c>
      <c r="P67" s="117" t="e">
        <f>TabREP[[#This Row],[J14]]*Entrainement!$C55</f>
        <v>#VALUE!</v>
      </c>
      <c r="Q67" s="117" t="e">
        <f>TabREP[[#This Row],[J15]]*Entrainement!$C55</f>
        <v>#VALUE!</v>
      </c>
      <c r="R67" s="117" t="e">
        <f>TabREP[[#This Row],[J16]]*Entrainement!$C55</f>
        <v>#VALUE!</v>
      </c>
      <c r="S67" s="117" t="e">
        <f>TabREP[[#This Row],[J17]]*Entrainement!$C55</f>
        <v>#VALUE!</v>
      </c>
      <c r="T67" s="117" t="e">
        <f>TabREP[[#This Row],[J18]]*Entrainement!$C55</f>
        <v>#VALUE!</v>
      </c>
      <c r="U67" s="117" t="e">
        <f>TabREP[[#This Row],[J19]]*Entrainement!$C55</f>
        <v>#VALUE!</v>
      </c>
      <c r="V67" s="117" t="e">
        <f>TabREP[[#This Row],[J20]]*Entrainement!$C55</f>
        <v>#VALUE!</v>
      </c>
      <c r="W67" s="117" t="e">
        <f>TabREP[[#This Row],[J21]]*Entrainement!$C55</f>
        <v>#VALUE!</v>
      </c>
      <c r="X67" s="117" t="e">
        <f>TabREP[[#This Row],[J22]]*Entrainement!$C55</f>
        <v>#VALUE!</v>
      </c>
      <c r="Y67" s="117" t="e">
        <f>TabREP[[#This Row],[J23]]*Entrainement!$C55</f>
        <v>#VALUE!</v>
      </c>
      <c r="Z67" s="117" t="e">
        <f>TabREP[[#This Row],[J24]]*Entrainement!$C55</f>
        <v>#VALUE!</v>
      </c>
      <c r="AA67" s="117" t="e">
        <f>TabREP[[#This Row],[J25]]*Entrainement!$C55</f>
        <v>#VALUE!</v>
      </c>
      <c r="AB67" s="117" t="e">
        <f>TabREP[[#This Row],[J26]]*Entrainement!$C55</f>
        <v>#VALUE!</v>
      </c>
      <c r="AC67" s="117" t="e">
        <f>TabREP[[#This Row],[J27]]*Entrainement!$C55</f>
        <v>#VALUE!</v>
      </c>
      <c r="AD67" s="117" t="e">
        <f>TabREP[[#This Row],[J28]]*Entrainement!$C55</f>
        <v>#VALUE!</v>
      </c>
      <c r="AE67" s="117" t="e">
        <f>TabREP[[#This Row],[J29]]*Entrainement!$C55</f>
        <v>#VALUE!</v>
      </c>
      <c r="AF67" s="117" t="e">
        <f>TabREP[[#This Row],[J30]]*Entrainement!$C55</f>
        <v>#VALUE!</v>
      </c>
      <c r="AG67" s="250" t="str">
        <f>'Charges collective'!E59</f>
        <v/>
      </c>
      <c r="AH67" s="49"/>
      <c r="AI67" s="48"/>
    </row>
    <row r="68" spans="2:35" ht="14.25">
      <c r="B68" s="248" t="str">
        <f>IF(INDEX(TabEntrainement[Seance],ROW()-18)&lt;&gt;0,INDEX(TabEntrainement[Seance],ROW()-18),"")</f>
        <v/>
      </c>
      <c r="C68" s="117" t="e">
        <f>TabREP[[#This Row],[J1]]*Entrainement!C56</f>
        <v>#VALUE!</v>
      </c>
      <c r="D68" s="117" t="e">
        <f>TabREP[[#This Row],[J2]]*Entrainement!C56</f>
        <v>#VALUE!</v>
      </c>
      <c r="E68" s="117" t="e">
        <f>TabREP[[#This Row],[J3]]*Entrainement!$C56</f>
        <v>#VALUE!</v>
      </c>
      <c r="F68" s="117" t="e">
        <f>TabREP[[#This Row],[J4]]*Entrainement!$C56</f>
        <v>#VALUE!</v>
      </c>
      <c r="G68" s="117" t="e">
        <f>TabREP[[#This Row],[J5]]*Entrainement!$C56</f>
        <v>#VALUE!</v>
      </c>
      <c r="H68" s="117" t="e">
        <f>TabREP[[#This Row],[J6]]*Entrainement!$C56</f>
        <v>#VALUE!</v>
      </c>
      <c r="I68" s="117" t="e">
        <f>TabREP[[#This Row],[J7]]*Entrainement!$C56</f>
        <v>#VALUE!</v>
      </c>
      <c r="J68" s="117" t="e">
        <f>TabREP[[#This Row],[J8]]*Entrainement!$C56</f>
        <v>#VALUE!</v>
      </c>
      <c r="K68" s="117" t="e">
        <f>TabREP[[#This Row],[J9]]*Entrainement!$C56</f>
        <v>#VALUE!</v>
      </c>
      <c r="L68" s="117" t="e">
        <f>TabREP[[#This Row],[J10]]*Entrainement!$C56</f>
        <v>#VALUE!</v>
      </c>
      <c r="M68" s="117" t="e">
        <f>TabREP[[#This Row],[J11]]*Entrainement!$C56</f>
        <v>#VALUE!</v>
      </c>
      <c r="N68" s="117" t="e">
        <f>TabREP[[#This Row],[J12]]*Entrainement!$C56</f>
        <v>#VALUE!</v>
      </c>
      <c r="O68" s="117" t="e">
        <f>TabREP[[#This Row],[J13]]*Entrainement!$C56</f>
        <v>#VALUE!</v>
      </c>
      <c r="P68" s="117" t="e">
        <f>TabREP[[#This Row],[J14]]*Entrainement!$C56</f>
        <v>#VALUE!</v>
      </c>
      <c r="Q68" s="117" t="e">
        <f>TabREP[[#This Row],[J15]]*Entrainement!$C56</f>
        <v>#VALUE!</v>
      </c>
      <c r="R68" s="117" t="e">
        <f>TabREP[[#This Row],[J16]]*Entrainement!$C56</f>
        <v>#VALUE!</v>
      </c>
      <c r="S68" s="117" t="e">
        <f>TabREP[[#This Row],[J17]]*Entrainement!$C56</f>
        <v>#VALUE!</v>
      </c>
      <c r="T68" s="117" t="e">
        <f>TabREP[[#This Row],[J18]]*Entrainement!$C56</f>
        <v>#VALUE!</v>
      </c>
      <c r="U68" s="117" t="e">
        <f>TabREP[[#This Row],[J19]]*Entrainement!$C56</f>
        <v>#VALUE!</v>
      </c>
      <c r="V68" s="117" t="e">
        <f>TabREP[[#This Row],[J20]]*Entrainement!$C56</f>
        <v>#VALUE!</v>
      </c>
      <c r="W68" s="117" t="e">
        <f>TabREP[[#This Row],[J21]]*Entrainement!$C56</f>
        <v>#VALUE!</v>
      </c>
      <c r="X68" s="117" t="e">
        <f>TabREP[[#This Row],[J22]]*Entrainement!$C56</f>
        <v>#VALUE!</v>
      </c>
      <c r="Y68" s="117" t="e">
        <f>TabREP[[#This Row],[J23]]*Entrainement!$C56</f>
        <v>#VALUE!</v>
      </c>
      <c r="Z68" s="117" t="e">
        <f>TabREP[[#This Row],[J24]]*Entrainement!$C56</f>
        <v>#VALUE!</v>
      </c>
      <c r="AA68" s="117" t="e">
        <f>TabREP[[#This Row],[J25]]*Entrainement!$C56</f>
        <v>#VALUE!</v>
      </c>
      <c r="AB68" s="117" t="e">
        <f>TabREP[[#This Row],[J26]]*Entrainement!$C56</f>
        <v>#VALUE!</v>
      </c>
      <c r="AC68" s="117" t="e">
        <f>TabREP[[#This Row],[J27]]*Entrainement!$C56</f>
        <v>#VALUE!</v>
      </c>
      <c r="AD68" s="117" t="e">
        <f>TabREP[[#This Row],[J28]]*Entrainement!$C56</f>
        <v>#VALUE!</v>
      </c>
      <c r="AE68" s="117" t="e">
        <f>TabREP[[#This Row],[J29]]*Entrainement!$C56</f>
        <v>#VALUE!</v>
      </c>
      <c r="AF68" s="117" t="e">
        <f>TabREP[[#This Row],[J30]]*Entrainement!$C56</f>
        <v>#VALUE!</v>
      </c>
      <c r="AG68" s="250" t="str">
        <f>'Charges collective'!E60</f>
        <v/>
      </c>
      <c r="AH68" s="49"/>
      <c r="AI68" s="48"/>
    </row>
    <row r="69" spans="2:35" ht="14.25">
      <c r="B69" s="248" t="str">
        <f>IF(INDEX(TabEntrainement[Seance],ROW()-18)&lt;&gt;0,INDEX(TabEntrainement[Seance],ROW()-18),"")</f>
        <v/>
      </c>
      <c r="C69" s="117" t="e">
        <f>TabREP[[#This Row],[J1]]*Entrainement!C57</f>
        <v>#VALUE!</v>
      </c>
      <c r="D69" s="117" t="e">
        <f>TabREP[[#This Row],[J2]]*Entrainement!C57</f>
        <v>#VALUE!</v>
      </c>
      <c r="E69" s="117" t="e">
        <f>TabREP[[#This Row],[J3]]*Entrainement!$C57</f>
        <v>#VALUE!</v>
      </c>
      <c r="F69" s="117" t="e">
        <f>TabREP[[#This Row],[J4]]*Entrainement!$C57</f>
        <v>#VALUE!</v>
      </c>
      <c r="G69" s="117" t="e">
        <f>TabREP[[#This Row],[J5]]*Entrainement!$C57</f>
        <v>#VALUE!</v>
      </c>
      <c r="H69" s="117" t="e">
        <f>TabREP[[#This Row],[J6]]*Entrainement!$C57</f>
        <v>#VALUE!</v>
      </c>
      <c r="I69" s="117" t="e">
        <f>TabREP[[#This Row],[J7]]*Entrainement!$C57</f>
        <v>#VALUE!</v>
      </c>
      <c r="J69" s="117" t="e">
        <f>TabREP[[#This Row],[J8]]*Entrainement!$C57</f>
        <v>#VALUE!</v>
      </c>
      <c r="K69" s="117" t="e">
        <f>TabREP[[#This Row],[J9]]*Entrainement!$C57</f>
        <v>#VALUE!</v>
      </c>
      <c r="L69" s="117" t="e">
        <f>TabREP[[#This Row],[J10]]*Entrainement!$C57</f>
        <v>#VALUE!</v>
      </c>
      <c r="M69" s="117" t="e">
        <f>TabREP[[#This Row],[J11]]*Entrainement!$C57</f>
        <v>#VALUE!</v>
      </c>
      <c r="N69" s="117" t="e">
        <f>TabREP[[#This Row],[J12]]*Entrainement!$C57</f>
        <v>#VALUE!</v>
      </c>
      <c r="O69" s="117" t="e">
        <f>TabREP[[#This Row],[J13]]*Entrainement!$C57</f>
        <v>#VALUE!</v>
      </c>
      <c r="P69" s="117" t="e">
        <f>TabREP[[#This Row],[J14]]*Entrainement!$C57</f>
        <v>#VALUE!</v>
      </c>
      <c r="Q69" s="117" t="e">
        <f>TabREP[[#This Row],[J15]]*Entrainement!$C57</f>
        <v>#VALUE!</v>
      </c>
      <c r="R69" s="117" t="e">
        <f>TabREP[[#This Row],[J16]]*Entrainement!$C57</f>
        <v>#VALUE!</v>
      </c>
      <c r="S69" s="117" t="e">
        <f>TabREP[[#This Row],[J17]]*Entrainement!$C57</f>
        <v>#VALUE!</v>
      </c>
      <c r="T69" s="117" t="e">
        <f>TabREP[[#This Row],[J18]]*Entrainement!$C57</f>
        <v>#VALUE!</v>
      </c>
      <c r="U69" s="117" t="e">
        <f>TabREP[[#This Row],[J19]]*Entrainement!$C57</f>
        <v>#VALUE!</v>
      </c>
      <c r="V69" s="117" t="e">
        <f>TabREP[[#This Row],[J20]]*Entrainement!$C57</f>
        <v>#VALUE!</v>
      </c>
      <c r="W69" s="117" t="e">
        <f>TabREP[[#This Row],[J21]]*Entrainement!$C57</f>
        <v>#VALUE!</v>
      </c>
      <c r="X69" s="117" t="e">
        <f>TabREP[[#This Row],[J22]]*Entrainement!$C57</f>
        <v>#VALUE!</v>
      </c>
      <c r="Y69" s="117" t="e">
        <f>TabREP[[#This Row],[J23]]*Entrainement!$C57</f>
        <v>#VALUE!</v>
      </c>
      <c r="Z69" s="117" t="e">
        <f>TabREP[[#This Row],[J24]]*Entrainement!$C57</f>
        <v>#VALUE!</v>
      </c>
      <c r="AA69" s="117" t="e">
        <f>TabREP[[#This Row],[J25]]*Entrainement!$C57</f>
        <v>#VALUE!</v>
      </c>
      <c r="AB69" s="117" t="e">
        <f>TabREP[[#This Row],[J26]]*Entrainement!$C57</f>
        <v>#VALUE!</v>
      </c>
      <c r="AC69" s="117" t="e">
        <f>TabREP[[#This Row],[J27]]*Entrainement!$C57</f>
        <v>#VALUE!</v>
      </c>
      <c r="AD69" s="117" t="e">
        <f>TabREP[[#This Row],[J28]]*Entrainement!$C57</f>
        <v>#VALUE!</v>
      </c>
      <c r="AE69" s="117" t="e">
        <f>TabREP[[#This Row],[J29]]*Entrainement!$C57</f>
        <v>#VALUE!</v>
      </c>
      <c r="AF69" s="117" t="e">
        <f>TabREP[[#This Row],[J30]]*Entrainement!$C57</f>
        <v>#VALUE!</v>
      </c>
      <c r="AG69" s="250" t="str">
        <f>'Charges collective'!E61</f>
        <v/>
      </c>
      <c r="AH69" s="49"/>
      <c r="AI69" s="48"/>
    </row>
    <row r="70" spans="2:35" ht="14.25">
      <c r="B70" s="248" t="str">
        <f>IF(INDEX(TabEntrainement[Seance],ROW()-18)&lt;&gt;0,INDEX(TabEntrainement[Seance],ROW()-18),"")</f>
        <v/>
      </c>
      <c r="C70" s="117" t="e">
        <f>TabREP[[#This Row],[J1]]*Entrainement!C58</f>
        <v>#VALUE!</v>
      </c>
      <c r="D70" s="117" t="e">
        <f>TabREP[[#This Row],[J2]]*Entrainement!C58</f>
        <v>#VALUE!</v>
      </c>
      <c r="E70" s="117" t="e">
        <f>TabREP[[#This Row],[J3]]*Entrainement!$C58</f>
        <v>#VALUE!</v>
      </c>
      <c r="F70" s="117" t="e">
        <f>TabREP[[#This Row],[J4]]*Entrainement!$C58</f>
        <v>#VALUE!</v>
      </c>
      <c r="G70" s="117" t="e">
        <f>TabREP[[#This Row],[J5]]*Entrainement!$C58</f>
        <v>#VALUE!</v>
      </c>
      <c r="H70" s="117" t="e">
        <f>TabREP[[#This Row],[J6]]*Entrainement!$C58</f>
        <v>#VALUE!</v>
      </c>
      <c r="I70" s="117" t="e">
        <f>TabREP[[#This Row],[J7]]*Entrainement!$C58</f>
        <v>#VALUE!</v>
      </c>
      <c r="J70" s="117" t="e">
        <f>TabREP[[#This Row],[J8]]*Entrainement!$C58</f>
        <v>#VALUE!</v>
      </c>
      <c r="K70" s="117" t="e">
        <f>TabREP[[#This Row],[J9]]*Entrainement!$C58</f>
        <v>#VALUE!</v>
      </c>
      <c r="L70" s="117" t="e">
        <f>TabREP[[#This Row],[J10]]*Entrainement!$C58</f>
        <v>#VALUE!</v>
      </c>
      <c r="M70" s="117" t="e">
        <f>TabREP[[#This Row],[J11]]*Entrainement!$C58</f>
        <v>#VALUE!</v>
      </c>
      <c r="N70" s="117" t="e">
        <f>TabREP[[#This Row],[J12]]*Entrainement!$C58</f>
        <v>#VALUE!</v>
      </c>
      <c r="O70" s="117" t="e">
        <f>TabREP[[#This Row],[J13]]*Entrainement!$C58</f>
        <v>#VALUE!</v>
      </c>
      <c r="P70" s="117" t="e">
        <f>TabREP[[#This Row],[J14]]*Entrainement!$C58</f>
        <v>#VALUE!</v>
      </c>
      <c r="Q70" s="117" t="e">
        <f>TabREP[[#This Row],[J15]]*Entrainement!$C58</f>
        <v>#VALUE!</v>
      </c>
      <c r="R70" s="117" t="e">
        <f>TabREP[[#This Row],[J16]]*Entrainement!$C58</f>
        <v>#VALUE!</v>
      </c>
      <c r="S70" s="117" t="e">
        <f>TabREP[[#This Row],[J17]]*Entrainement!$C58</f>
        <v>#VALUE!</v>
      </c>
      <c r="T70" s="117" t="e">
        <f>TabREP[[#This Row],[J18]]*Entrainement!$C58</f>
        <v>#VALUE!</v>
      </c>
      <c r="U70" s="117" t="e">
        <f>TabREP[[#This Row],[J19]]*Entrainement!$C58</f>
        <v>#VALUE!</v>
      </c>
      <c r="V70" s="117" t="e">
        <f>TabREP[[#This Row],[J20]]*Entrainement!$C58</f>
        <v>#VALUE!</v>
      </c>
      <c r="W70" s="117" t="e">
        <f>TabREP[[#This Row],[J21]]*Entrainement!$C58</f>
        <v>#VALUE!</v>
      </c>
      <c r="X70" s="117" t="e">
        <f>TabREP[[#This Row],[J22]]*Entrainement!$C58</f>
        <v>#VALUE!</v>
      </c>
      <c r="Y70" s="117" t="e">
        <f>TabREP[[#This Row],[J23]]*Entrainement!$C58</f>
        <v>#VALUE!</v>
      </c>
      <c r="Z70" s="117" t="e">
        <f>TabREP[[#This Row],[J24]]*Entrainement!$C58</f>
        <v>#VALUE!</v>
      </c>
      <c r="AA70" s="117" t="e">
        <f>TabREP[[#This Row],[J25]]*Entrainement!$C58</f>
        <v>#VALUE!</v>
      </c>
      <c r="AB70" s="117" t="e">
        <f>TabREP[[#This Row],[J26]]*Entrainement!$C58</f>
        <v>#VALUE!</v>
      </c>
      <c r="AC70" s="117" t="e">
        <f>TabREP[[#This Row],[J27]]*Entrainement!$C58</f>
        <v>#VALUE!</v>
      </c>
      <c r="AD70" s="117" t="e">
        <f>TabREP[[#This Row],[J28]]*Entrainement!$C58</f>
        <v>#VALUE!</v>
      </c>
      <c r="AE70" s="117" t="e">
        <f>TabREP[[#This Row],[J29]]*Entrainement!$C58</f>
        <v>#VALUE!</v>
      </c>
      <c r="AF70" s="117" t="e">
        <f>TabREP[[#This Row],[J30]]*Entrainement!$C58</f>
        <v>#VALUE!</v>
      </c>
      <c r="AG70" s="250" t="str">
        <f>'Charges collective'!E62</f>
        <v/>
      </c>
      <c r="AH70" s="49"/>
      <c r="AI70" s="48"/>
    </row>
    <row r="71" spans="2:35" ht="14.25">
      <c r="B71" s="248" t="str">
        <f>IF(INDEX(TabEntrainement[Seance],ROW()-18)&lt;&gt;0,INDEX(TabEntrainement[Seance],ROW()-18),"")</f>
        <v/>
      </c>
      <c r="C71" s="117" t="e">
        <f>TabREP[[#This Row],[J1]]*Entrainement!C59</f>
        <v>#VALUE!</v>
      </c>
      <c r="D71" s="117" t="e">
        <f>TabREP[[#This Row],[J2]]*Entrainement!C59</f>
        <v>#VALUE!</v>
      </c>
      <c r="E71" s="117" t="e">
        <f>TabREP[[#This Row],[J3]]*Entrainement!$C59</f>
        <v>#VALUE!</v>
      </c>
      <c r="F71" s="117" t="e">
        <f>TabREP[[#This Row],[J4]]*Entrainement!$C59</f>
        <v>#VALUE!</v>
      </c>
      <c r="G71" s="117" t="e">
        <f>TabREP[[#This Row],[J5]]*Entrainement!$C59</f>
        <v>#VALUE!</v>
      </c>
      <c r="H71" s="117" t="e">
        <f>TabREP[[#This Row],[J6]]*Entrainement!$C59</f>
        <v>#VALUE!</v>
      </c>
      <c r="I71" s="117" t="e">
        <f>TabREP[[#This Row],[J7]]*Entrainement!$C59</f>
        <v>#VALUE!</v>
      </c>
      <c r="J71" s="117" t="e">
        <f>TabREP[[#This Row],[J8]]*Entrainement!$C59</f>
        <v>#VALUE!</v>
      </c>
      <c r="K71" s="117" t="e">
        <f>TabREP[[#This Row],[J9]]*Entrainement!$C59</f>
        <v>#VALUE!</v>
      </c>
      <c r="L71" s="117" t="e">
        <f>TabREP[[#This Row],[J10]]*Entrainement!$C59</f>
        <v>#VALUE!</v>
      </c>
      <c r="M71" s="117" t="e">
        <f>TabREP[[#This Row],[J11]]*Entrainement!$C59</f>
        <v>#VALUE!</v>
      </c>
      <c r="N71" s="117" t="e">
        <f>TabREP[[#This Row],[J12]]*Entrainement!$C59</f>
        <v>#VALUE!</v>
      </c>
      <c r="O71" s="117" t="e">
        <f>TabREP[[#This Row],[J13]]*Entrainement!$C59</f>
        <v>#VALUE!</v>
      </c>
      <c r="P71" s="117" t="e">
        <f>TabREP[[#This Row],[J14]]*Entrainement!$C59</f>
        <v>#VALUE!</v>
      </c>
      <c r="Q71" s="117" t="e">
        <f>TabREP[[#This Row],[J15]]*Entrainement!$C59</f>
        <v>#VALUE!</v>
      </c>
      <c r="R71" s="117" t="e">
        <f>TabREP[[#This Row],[J16]]*Entrainement!$C59</f>
        <v>#VALUE!</v>
      </c>
      <c r="S71" s="117" t="e">
        <f>TabREP[[#This Row],[J17]]*Entrainement!$C59</f>
        <v>#VALUE!</v>
      </c>
      <c r="T71" s="117" t="e">
        <f>TabREP[[#This Row],[J18]]*Entrainement!$C59</f>
        <v>#VALUE!</v>
      </c>
      <c r="U71" s="117" t="e">
        <f>TabREP[[#This Row],[J19]]*Entrainement!$C59</f>
        <v>#VALUE!</v>
      </c>
      <c r="V71" s="117" t="e">
        <f>TabREP[[#This Row],[J20]]*Entrainement!$C59</f>
        <v>#VALUE!</v>
      </c>
      <c r="W71" s="117" t="e">
        <f>TabREP[[#This Row],[J21]]*Entrainement!$C59</f>
        <v>#VALUE!</v>
      </c>
      <c r="X71" s="117" t="e">
        <f>TabREP[[#This Row],[J22]]*Entrainement!$C59</f>
        <v>#VALUE!</v>
      </c>
      <c r="Y71" s="117" t="e">
        <f>TabREP[[#This Row],[J23]]*Entrainement!$C59</f>
        <v>#VALUE!</v>
      </c>
      <c r="Z71" s="117" t="e">
        <f>TabREP[[#This Row],[J24]]*Entrainement!$C59</f>
        <v>#VALUE!</v>
      </c>
      <c r="AA71" s="117" t="e">
        <f>TabREP[[#This Row],[J25]]*Entrainement!$C59</f>
        <v>#VALUE!</v>
      </c>
      <c r="AB71" s="117" t="e">
        <f>TabREP[[#This Row],[J26]]*Entrainement!$C59</f>
        <v>#VALUE!</v>
      </c>
      <c r="AC71" s="117" t="e">
        <f>TabREP[[#This Row],[J27]]*Entrainement!$C59</f>
        <v>#VALUE!</v>
      </c>
      <c r="AD71" s="117" t="e">
        <f>TabREP[[#This Row],[J28]]*Entrainement!$C59</f>
        <v>#VALUE!</v>
      </c>
      <c r="AE71" s="117" t="e">
        <f>TabREP[[#This Row],[J29]]*Entrainement!$C59</f>
        <v>#VALUE!</v>
      </c>
      <c r="AF71" s="117" t="e">
        <f>TabREP[[#This Row],[J30]]*Entrainement!$C59</f>
        <v>#VALUE!</v>
      </c>
      <c r="AG71" s="250" t="str">
        <f>'Charges collective'!E63</f>
        <v/>
      </c>
      <c r="AH71" s="49"/>
      <c r="AI71" s="48"/>
    </row>
    <row r="72" spans="2:35" ht="14.25">
      <c r="B72" s="248" t="str">
        <f>IF(INDEX(TabEntrainement[Seance],ROW()-18)&lt;&gt;0,INDEX(TabEntrainement[Seance],ROW()-18),"")</f>
        <v/>
      </c>
      <c r="C72" s="117" t="e">
        <f>TabREP[[#This Row],[J1]]*Entrainement!C60</f>
        <v>#VALUE!</v>
      </c>
      <c r="D72" s="117" t="e">
        <f>TabREP[[#This Row],[J2]]*Entrainement!C60</f>
        <v>#VALUE!</v>
      </c>
      <c r="E72" s="117" t="e">
        <f>TabREP[[#This Row],[J3]]*Entrainement!$C60</f>
        <v>#VALUE!</v>
      </c>
      <c r="F72" s="117" t="e">
        <f>TabREP[[#This Row],[J4]]*Entrainement!$C60</f>
        <v>#VALUE!</v>
      </c>
      <c r="G72" s="117" t="e">
        <f>TabREP[[#This Row],[J5]]*Entrainement!$C60</f>
        <v>#VALUE!</v>
      </c>
      <c r="H72" s="117" t="e">
        <f>TabREP[[#This Row],[J6]]*Entrainement!$C60</f>
        <v>#VALUE!</v>
      </c>
      <c r="I72" s="117" t="e">
        <f>TabREP[[#This Row],[J7]]*Entrainement!$C60</f>
        <v>#VALUE!</v>
      </c>
      <c r="J72" s="117" t="e">
        <f>TabREP[[#This Row],[J8]]*Entrainement!$C60</f>
        <v>#VALUE!</v>
      </c>
      <c r="K72" s="117" t="e">
        <f>TabREP[[#This Row],[J9]]*Entrainement!$C60</f>
        <v>#VALUE!</v>
      </c>
      <c r="L72" s="117" t="e">
        <f>TabREP[[#This Row],[J10]]*Entrainement!$C60</f>
        <v>#VALUE!</v>
      </c>
      <c r="M72" s="117" t="e">
        <f>TabREP[[#This Row],[J11]]*Entrainement!$C60</f>
        <v>#VALUE!</v>
      </c>
      <c r="N72" s="117" t="e">
        <f>TabREP[[#This Row],[J12]]*Entrainement!$C60</f>
        <v>#VALUE!</v>
      </c>
      <c r="O72" s="117" t="e">
        <f>TabREP[[#This Row],[J13]]*Entrainement!$C60</f>
        <v>#VALUE!</v>
      </c>
      <c r="P72" s="117" t="e">
        <f>TabREP[[#This Row],[J14]]*Entrainement!$C60</f>
        <v>#VALUE!</v>
      </c>
      <c r="Q72" s="117" t="e">
        <f>TabREP[[#This Row],[J15]]*Entrainement!$C60</f>
        <v>#VALUE!</v>
      </c>
      <c r="R72" s="117" t="e">
        <f>TabREP[[#This Row],[J16]]*Entrainement!$C60</f>
        <v>#VALUE!</v>
      </c>
      <c r="S72" s="117" t="e">
        <f>TabREP[[#This Row],[J17]]*Entrainement!$C60</f>
        <v>#VALUE!</v>
      </c>
      <c r="T72" s="117" t="e">
        <f>TabREP[[#This Row],[J18]]*Entrainement!$C60</f>
        <v>#VALUE!</v>
      </c>
      <c r="U72" s="117" t="e">
        <f>TabREP[[#This Row],[J19]]*Entrainement!$C60</f>
        <v>#VALUE!</v>
      </c>
      <c r="V72" s="117" t="e">
        <f>TabREP[[#This Row],[J20]]*Entrainement!$C60</f>
        <v>#VALUE!</v>
      </c>
      <c r="W72" s="117" t="e">
        <f>TabREP[[#This Row],[J21]]*Entrainement!$C60</f>
        <v>#VALUE!</v>
      </c>
      <c r="X72" s="117" t="e">
        <f>TabREP[[#This Row],[J22]]*Entrainement!$C60</f>
        <v>#VALUE!</v>
      </c>
      <c r="Y72" s="117" t="e">
        <f>TabREP[[#This Row],[J23]]*Entrainement!$C60</f>
        <v>#VALUE!</v>
      </c>
      <c r="Z72" s="117" t="e">
        <f>TabREP[[#This Row],[J24]]*Entrainement!$C60</f>
        <v>#VALUE!</v>
      </c>
      <c r="AA72" s="117" t="e">
        <f>TabREP[[#This Row],[J25]]*Entrainement!$C60</f>
        <v>#VALUE!</v>
      </c>
      <c r="AB72" s="117" t="e">
        <f>TabREP[[#This Row],[J26]]*Entrainement!$C60</f>
        <v>#VALUE!</v>
      </c>
      <c r="AC72" s="117" t="e">
        <f>TabREP[[#This Row],[J27]]*Entrainement!$C60</f>
        <v>#VALUE!</v>
      </c>
      <c r="AD72" s="117" t="e">
        <f>TabREP[[#This Row],[J28]]*Entrainement!$C60</f>
        <v>#VALUE!</v>
      </c>
      <c r="AE72" s="117" t="e">
        <f>TabREP[[#This Row],[J29]]*Entrainement!$C60</f>
        <v>#VALUE!</v>
      </c>
      <c r="AF72" s="117" t="e">
        <f>TabREP[[#This Row],[J30]]*Entrainement!$C60</f>
        <v>#VALUE!</v>
      </c>
      <c r="AG72" s="250" t="str">
        <f>'Charges collective'!E64</f>
        <v/>
      </c>
      <c r="AH72" s="49"/>
      <c r="AI72" s="48"/>
    </row>
    <row r="73" spans="2:35" ht="14.25">
      <c r="B73" s="248" t="str">
        <f>IF(INDEX(TabEntrainement[Seance],ROW()-18)&lt;&gt;0,INDEX(TabEntrainement[Seance],ROW()-18),"")</f>
        <v/>
      </c>
      <c r="C73" s="117" t="e">
        <f>TabREP[[#This Row],[J1]]*Entrainement!C61</f>
        <v>#VALUE!</v>
      </c>
      <c r="D73" s="117" t="e">
        <f>TabREP[[#This Row],[J2]]*Entrainement!C61</f>
        <v>#VALUE!</v>
      </c>
      <c r="E73" s="117" t="e">
        <f>TabREP[[#This Row],[J3]]*Entrainement!$C61</f>
        <v>#VALUE!</v>
      </c>
      <c r="F73" s="117" t="e">
        <f>TabREP[[#This Row],[J4]]*Entrainement!$C61</f>
        <v>#VALUE!</v>
      </c>
      <c r="G73" s="117" t="e">
        <f>TabREP[[#This Row],[J5]]*Entrainement!$C61</f>
        <v>#VALUE!</v>
      </c>
      <c r="H73" s="117" t="e">
        <f>TabREP[[#This Row],[J6]]*Entrainement!$C61</f>
        <v>#VALUE!</v>
      </c>
      <c r="I73" s="117" t="e">
        <f>TabREP[[#This Row],[J7]]*Entrainement!$C61</f>
        <v>#VALUE!</v>
      </c>
      <c r="J73" s="117" t="e">
        <f>TabREP[[#This Row],[J8]]*Entrainement!$C61</f>
        <v>#VALUE!</v>
      </c>
      <c r="K73" s="117" t="e">
        <f>TabREP[[#This Row],[J9]]*Entrainement!$C61</f>
        <v>#VALUE!</v>
      </c>
      <c r="L73" s="117" t="e">
        <f>TabREP[[#This Row],[J10]]*Entrainement!$C61</f>
        <v>#VALUE!</v>
      </c>
      <c r="M73" s="117" t="e">
        <f>TabREP[[#This Row],[J11]]*Entrainement!$C61</f>
        <v>#VALUE!</v>
      </c>
      <c r="N73" s="117" t="e">
        <f>TabREP[[#This Row],[J12]]*Entrainement!$C61</f>
        <v>#VALUE!</v>
      </c>
      <c r="O73" s="117" t="e">
        <f>TabREP[[#This Row],[J13]]*Entrainement!$C61</f>
        <v>#VALUE!</v>
      </c>
      <c r="P73" s="117" t="e">
        <f>TabREP[[#This Row],[J14]]*Entrainement!$C61</f>
        <v>#VALUE!</v>
      </c>
      <c r="Q73" s="117" t="e">
        <f>TabREP[[#This Row],[J15]]*Entrainement!$C61</f>
        <v>#VALUE!</v>
      </c>
      <c r="R73" s="117" t="e">
        <f>TabREP[[#This Row],[J16]]*Entrainement!$C61</f>
        <v>#VALUE!</v>
      </c>
      <c r="S73" s="117" t="e">
        <f>TabREP[[#This Row],[J17]]*Entrainement!$C61</f>
        <v>#VALUE!</v>
      </c>
      <c r="T73" s="117" t="e">
        <f>TabREP[[#This Row],[J18]]*Entrainement!$C61</f>
        <v>#VALUE!</v>
      </c>
      <c r="U73" s="117" t="e">
        <f>TabREP[[#This Row],[J19]]*Entrainement!$C61</f>
        <v>#VALUE!</v>
      </c>
      <c r="V73" s="117" t="e">
        <f>TabREP[[#This Row],[J20]]*Entrainement!$C61</f>
        <v>#VALUE!</v>
      </c>
      <c r="W73" s="117" t="e">
        <f>TabREP[[#This Row],[J21]]*Entrainement!$C61</f>
        <v>#VALUE!</v>
      </c>
      <c r="X73" s="117" t="e">
        <f>TabREP[[#This Row],[J22]]*Entrainement!$C61</f>
        <v>#VALUE!</v>
      </c>
      <c r="Y73" s="117" t="e">
        <f>TabREP[[#This Row],[J23]]*Entrainement!$C61</f>
        <v>#VALUE!</v>
      </c>
      <c r="Z73" s="117" t="e">
        <f>TabREP[[#This Row],[J24]]*Entrainement!$C61</f>
        <v>#VALUE!</v>
      </c>
      <c r="AA73" s="117" t="e">
        <f>TabREP[[#This Row],[J25]]*Entrainement!$C61</f>
        <v>#VALUE!</v>
      </c>
      <c r="AB73" s="117" t="e">
        <f>TabREP[[#This Row],[J26]]*Entrainement!$C61</f>
        <v>#VALUE!</v>
      </c>
      <c r="AC73" s="117" t="e">
        <f>TabREP[[#This Row],[J27]]*Entrainement!$C61</f>
        <v>#VALUE!</v>
      </c>
      <c r="AD73" s="117" t="e">
        <f>TabREP[[#This Row],[J28]]*Entrainement!$C61</f>
        <v>#VALUE!</v>
      </c>
      <c r="AE73" s="117" t="e">
        <f>TabREP[[#This Row],[J29]]*Entrainement!$C61</f>
        <v>#VALUE!</v>
      </c>
      <c r="AF73" s="117" t="e">
        <f>TabREP[[#This Row],[J30]]*Entrainement!$C61</f>
        <v>#VALUE!</v>
      </c>
      <c r="AG73" s="250" t="str">
        <f>'Charges collective'!E65</f>
        <v/>
      </c>
      <c r="AH73" s="49"/>
      <c r="AI73" s="48"/>
    </row>
    <row r="74" spans="2:35" ht="14.25">
      <c r="B74" s="248" t="str">
        <f>IF(INDEX(TabEntrainement[Seance],ROW()-18)&lt;&gt;0,INDEX(TabEntrainement[Seance],ROW()-18),"")</f>
        <v/>
      </c>
      <c r="C74" s="117" t="e">
        <f>TabREP[[#This Row],[J1]]*Entrainement!C62</f>
        <v>#VALUE!</v>
      </c>
      <c r="D74" s="117" t="e">
        <f>TabREP[[#This Row],[J2]]*Entrainement!C62</f>
        <v>#VALUE!</v>
      </c>
      <c r="E74" s="117" t="e">
        <f>TabREP[[#This Row],[J3]]*Entrainement!$C62</f>
        <v>#VALUE!</v>
      </c>
      <c r="F74" s="117" t="e">
        <f>TabREP[[#This Row],[J4]]*Entrainement!$C62</f>
        <v>#VALUE!</v>
      </c>
      <c r="G74" s="117" t="e">
        <f>TabREP[[#This Row],[J5]]*Entrainement!$C62</f>
        <v>#VALUE!</v>
      </c>
      <c r="H74" s="117" t="e">
        <f>TabREP[[#This Row],[J6]]*Entrainement!$C62</f>
        <v>#VALUE!</v>
      </c>
      <c r="I74" s="117" t="e">
        <f>TabREP[[#This Row],[J7]]*Entrainement!$C62</f>
        <v>#VALUE!</v>
      </c>
      <c r="J74" s="117" t="e">
        <f>TabREP[[#This Row],[J8]]*Entrainement!$C62</f>
        <v>#VALUE!</v>
      </c>
      <c r="K74" s="117" t="e">
        <f>TabREP[[#This Row],[J9]]*Entrainement!$C62</f>
        <v>#VALUE!</v>
      </c>
      <c r="L74" s="117" t="e">
        <f>TabREP[[#This Row],[J10]]*Entrainement!$C62</f>
        <v>#VALUE!</v>
      </c>
      <c r="M74" s="117" t="e">
        <f>TabREP[[#This Row],[J11]]*Entrainement!$C62</f>
        <v>#VALUE!</v>
      </c>
      <c r="N74" s="117" t="e">
        <f>TabREP[[#This Row],[J12]]*Entrainement!$C62</f>
        <v>#VALUE!</v>
      </c>
      <c r="O74" s="117" t="e">
        <f>TabREP[[#This Row],[J13]]*Entrainement!$C62</f>
        <v>#VALUE!</v>
      </c>
      <c r="P74" s="117" t="e">
        <f>TabREP[[#This Row],[J14]]*Entrainement!$C62</f>
        <v>#VALUE!</v>
      </c>
      <c r="Q74" s="117" t="e">
        <f>TabREP[[#This Row],[J15]]*Entrainement!$C62</f>
        <v>#VALUE!</v>
      </c>
      <c r="R74" s="117" t="e">
        <f>TabREP[[#This Row],[J16]]*Entrainement!$C62</f>
        <v>#VALUE!</v>
      </c>
      <c r="S74" s="117" t="e">
        <f>TabREP[[#This Row],[J17]]*Entrainement!$C62</f>
        <v>#VALUE!</v>
      </c>
      <c r="T74" s="117" t="e">
        <f>TabREP[[#This Row],[J18]]*Entrainement!$C62</f>
        <v>#VALUE!</v>
      </c>
      <c r="U74" s="117" t="e">
        <f>TabREP[[#This Row],[J19]]*Entrainement!$C62</f>
        <v>#VALUE!</v>
      </c>
      <c r="V74" s="117" t="e">
        <f>TabREP[[#This Row],[J20]]*Entrainement!$C62</f>
        <v>#VALUE!</v>
      </c>
      <c r="W74" s="117" t="e">
        <f>TabREP[[#This Row],[J21]]*Entrainement!$C62</f>
        <v>#VALUE!</v>
      </c>
      <c r="X74" s="117" t="e">
        <f>TabREP[[#This Row],[J22]]*Entrainement!$C62</f>
        <v>#VALUE!</v>
      </c>
      <c r="Y74" s="117" t="e">
        <f>TabREP[[#This Row],[J23]]*Entrainement!$C62</f>
        <v>#VALUE!</v>
      </c>
      <c r="Z74" s="117" t="e">
        <f>TabREP[[#This Row],[J24]]*Entrainement!$C62</f>
        <v>#VALUE!</v>
      </c>
      <c r="AA74" s="117" t="e">
        <f>TabREP[[#This Row],[J25]]*Entrainement!$C62</f>
        <v>#VALUE!</v>
      </c>
      <c r="AB74" s="117" t="e">
        <f>TabREP[[#This Row],[J26]]*Entrainement!$C62</f>
        <v>#VALUE!</v>
      </c>
      <c r="AC74" s="117" t="e">
        <f>TabREP[[#This Row],[J27]]*Entrainement!$C62</f>
        <v>#VALUE!</v>
      </c>
      <c r="AD74" s="117" t="e">
        <f>TabREP[[#This Row],[J28]]*Entrainement!$C62</f>
        <v>#VALUE!</v>
      </c>
      <c r="AE74" s="117" t="e">
        <f>TabREP[[#This Row],[J29]]*Entrainement!$C62</f>
        <v>#VALUE!</v>
      </c>
      <c r="AF74" s="117" t="e">
        <f>TabREP[[#This Row],[J30]]*Entrainement!$C62</f>
        <v>#VALUE!</v>
      </c>
      <c r="AG74" s="250" t="str">
        <f>'Charges collective'!E66</f>
        <v/>
      </c>
      <c r="AH74" s="49"/>
      <c r="AI74" s="48"/>
    </row>
    <row r="75" spans="2:35" ht="14.25">
      <c r="B75" s="248" t="str">
        <f>IF(INDEX(TabEntrainement[Seance],ROW()-18)&lt;&gt;0,INDEX(TabEntrainement[Seance],ROW()-18),"")</f>
        <v/>
      </c>
      <c r="C75" s="117" t="e">
        <f>TabREP[[#This Row],[J1]]*Entrainement!C63</f>
        <v>#VALUE!</v>
      </c>
      <c r="D75" s="117" t="e">
        <f>TabREP[[#This Row],[J2]]*Entrainement!C63</f>
        <v>#VALUE!</v>
      </c>
      <c r="E75" s="117" t="e">
        <f>TabREP[[#This Row],[J3]]*Entrainement!$C63</f>
        <v>#VALUE!</v>
      </c>
      <c r="F75" s="117" t="e">
        <f>TabREP[[#This Row],[J4]]*Entrainement!$C63</f>
        <v>#VALUE!</v>
      </c>
      <c r="G75" s="117" t="e">
        <f>TabREP[[#This Row],[J5]]*Entrainement!$C63</f>
        <v>#VALUE!</v>
      </c>
      <c r="H75" s="117" t="e">
        <f>TabREP[[#This Row],[J6]]*Entrainement!$C63</f>
        <v>#VALUE!</v>
      </c>
      <c r="I75" s="117" t="e">
        <f>TabREP[[#This Row],[J7]]*Entrainement!$C63</f>
        <v>#VALUE!</v>
      </c>
      <c r="J75" s="117" t="e">
        <f>TabREP[[#This Row],[J8]]*Entrainement!$C63</f>
        <v>#VALUE!</v>
      </c>
      <c r="K75" s="117" t="e">
        <f>TabREP[[#This Row],[J9]]*Entrainement!$C63</f>
        <v>#VALUE!</v>
      </c>
      <c r="L75" s="117" t="e">
        <f>TabREP[[#This Row],[J10]]*Entrainement!$C63</f>
        <v>#VALUE!</v>
      </c>
      <c r="M75" s="117" t="e">
        <f>TabREP[[#This Row],[J11]]*Entrainement!$C63</f>
        <v>#VALUE!</v>
      </c>
      <c r="N75" s="117" t="e">
        <f>TabREP[[#This Row],[J12]]*Entrainement!$C63</f>
        <v>#VALUE!</v>
      </c>
      <c r="O75" s="117" t="e">
        <f>TabREP[[#This Row],[J13]]*Entrainement!$C63</f>
        <v>#VALUE!</v>
      </c>
      <c r="P75" s="117" t="e">
        <f>TabREP[[#This Row],[J14]]*Entrainement!$C63</f>
        <v>#VALUE!</v>
      </c>
      <c r="Q75" s="117" t="e">
        <f>TabREP[[#This Row],[J15]]*Entrainement!$C63</f>
        <v>#VALUE!</v>
      </c>
      <c r="R75" s="117" t="e">
        <f>TabREP[[#This Row],[J16]]*Entrainement!$C63</f>
        <v>#VALUE!</v>
      </c>
      <c r="S75" s="117" t="e">
        <f>TabREP[[#This Row],[J17]]*Entrainement!$C63</f>
        <v>#VALUE!</v>
      </c>
      <c r="T75" s="117" t="e">
        <f>TabREP[[#This Row],[J18]]*Entrainement!$C63</f>
        <v>#VALUE!</v>
      </c>
      <c r="U75" s="117" t="e">
        <f>TabREP[[#This Row],[J19]]*Entrainement!$C63</f>
        <v>#VALUE!</v>
      </c>
      <c r="V75" s="117" t="e">
        <f>TabREP[[#This Row],[J20]]*Entrainement!$C63</f>
        <v>#VALUE!</v>
      </c>
      <c r="W75" s="117" t="e">
        <f>TabREP[[#This Row],[J21]]*Entrainement!$C63</f>
        <v>#VALUE!</v>
      </c>
      <c r="X75" s="117" t="e">
        <f>TabREP[[#This Row],[J22]]*Entrainement!$C63</f>
        <v>#VALUE!</v>
      </c>
      <c r="Y75" s="117" t="e">
        <f>TabREP[[#This Row],[J23]]*Entrainement!$C63</f>
        <v>#VALUE!</v>
      </c>
      <c r="Z75" s="117" t="e">
        <f>TabREP[[#This Row],[J24]]*Entrainement!$C63</f>
        <v>#VALUE!</v>
      </c>
      <c r="AA75" s="117" t="e">
        <f>TabREP[[#This Row],[J25]]*Entrainement!$C63</f>
        <v>#VALUE!</v>
      </c>
      <c r="AB75" s="117" t="e">
        <f>TabREP[[#This Row],[J26]]*Entrainement!$C63</f>
        <v>#VALUE!</v>
      </c>
      <c r="AC75" s="117" t="e">
        <f>TabREP[[#This Row],[J27]]*Entrainement!$C63</f>
        <v>#VALUE!</v>
      </c>
      <c r="AD75" s="117" t="e">
        <f>TabREP[[#This Row],[J28]]*Entrainement!$C63</f>
        <v>#VALUE!</v>
      </c>
      <c r="AE75" s="117" t="e">
        <f>TabREP[[#This Row],[J29]]*Entrainement!$C63</f>
        <v>#VALUE!</v>
      </c>
      <c r="AF75" s="117" t="e">
        <f>TabREP[[#This Row],[J30]]*Entrainement!$C63</f>
        <v>#VALUE!</v>
      </c>
      <c r="AG75" s="250" t="str">
        <f>'Charges collective'!E67</f>
        <v/>
      </c>
      <c r="AH75" s="49"/>
      <c r="AI75" s="48"/>
    </row>
    <row r="76" spans="2:35" ht="14.25">
      <c r="B76" s="248" t="str">
        <f>IF(INDEX(TabEntrainement[Seance],ROW()-18)&lt;&gt;0,INDEX(TabEntrainement[Seance],ROW()-18),"")</f>
        <v/>
      </c>
      <c r="C76" s="117" t="e">
        <f>TabREP[[#This Row],[J1]]*Entrainement!C64</f>
        <v>#VALUE!</v>
      </c>
      <c r="D76" s="117" t="e">
        <f>TabREP[[#This Row],[J2]]*Entrainement!C64</f>
        <v>#VALUE!</v>
      </c>
      <c r="E76" s="117" t="e">
        <f>TabREP[[#This Row],[J3]]*Entrainement!$C64</f>
        <v>#VALUE!</v>
      </c>
      <c r="F76" s="117" t="e">
        <f>TabREP[[#This Row],[J4]]*Entrainement!$C64</f>
        <v>#VALUE!</v>
      </c>
      <c r="G76" s="117" t="e">
        <f>TabREP[[#This Row],[J5]]*Entrainement!$C64</f>
        <v>#VALUE!</v>
      </c>
      <c r="H76" s="117" t="e">
        <f>TabREP[[#This Row],[J6]]*Entrainement!$C64</f>
        <v>#VALUE!</v>
      </c>
      <c r="I76" s="117" t="e">
        <f>TabREP[[#This Row],[J7]]*Entrainement!$C64</f>
        <v>#VALUE!</v>
      </c>
      <c r="J76" s="117" t="e">
        <f>TabREP[[#This Row],[J8]]*Entrainement!$C64</f>
        <v>#VALUE!</v>
      </c>
      <c r="K76" s="117" t="e">
        <f>TabREP[[#This Row],[J9]]*Entrainement!$C64</f>
        <v>#VALUE!</v>
      </c>
      <c r="L76" s="117" t="e">
        <f>TabREP[[#This Row],[J10]]*Entrainement!$C64</f>
        <v>#VALUE!</v>
      </c>
      <c r="M76" s="117" t="e">
        <f>TabREP[[#This Row],[J11]]*Entrainement!$C64</f>
        <v>#VALUE!</v>
      </c>
      <c r="N76" s="117" t="e">
        <f>TabREP[[#This Row],[J12]]*Entrainement!$C64</f>
        <v>#VALUE!</v>
      </c>
      <c r="O76" s="117" t="e">
        <f>TabREP[[#This Row],[J13]]*Entrainement!$C64</f>
        <v>#VALUE!</v>
      </c>
      <c r="P76" s="117" t="e">
        <f>TabREP[[#This Row],[J14]]*Entrainement!$C64</f>
        <v>#VALUE!</v>
      </c>
      <c r="Q76" s="117" t="e">
        <f>TabREP[[#This Row],[J15]]*Entrainement!$C64</f>
        <v>#VALUE!</v>
      </c>
      <c r="R76" s="117" t="e">
        <f>TabREP[[#This Row],[J16]]*Entrainement!$C64</f>
        <v>#VALUE!</v>
      </c>
      <c r="S76" s="117" t="e">
        <f>TabREP[[#This Row],[J17]]*Entrainement!$C64</f>
        <v>#VALUE!</v>
      </c>
      <c r="T76" s="117" t="e">
        <f>TabREP[[#This Row],[J18]]*Entrainement!$C64</f>
        <v>#VALUE!</v>
      </c>
      <c r="U76" s="117" t="e">
        <f>TabREP[[#This Row],[J19]]*Entrainement!$C64</f>
        <v>#VALUE!</v>
      </c>
      <c r="V76" s="117" t="e">
        <f>TabREP[[#This Row],[J20]]*Entrainement!$C64</f>
        <v>#VALUE!</v>
      </c>
      <c r="W76" s="117" t="e">
        <f>TabREP[[#This Row],[J21]]*Entrainement!$C64</f>
        <v>#VALUE!</v>
      </c>
      <c r="X76" s="117" t="e">
        <f>TabREP[[#This Row],[J22]]*Entrainement!$C64</f>
        <v>#VALUE!</v>
      </c>
      <c r="Y76" s="117" t="e">
        <f>TabREP[[#This Row],[J23]]*Entrainement!$C64</f>
        <v>#VALUE!</v>
      </c>
      <c r="Z76" s="117" t="e">
        <f>TabREP[[#This Row],[J24]]*Entrainement!$C64</f>
        <v>#VALUE!</v>
      </c>
      <c r="AA76" s="117" t="e">
        <f>TabREP[[#This Row],[J25]]*Entrainement!$C64</f>
        <v>#VALUE!</v>
      </c>
      <c r="AB76" s="117" t="e">
        <f>TabREP[[#This Row],[J26]]*Entrainement!$C64</f>
        <v>#VALUE!</v>
      </c>
      <c r="AC76" s="117" t="e">
        <f>TabREP[[#This Row],[J27]]*Entrainement!$C64</f>
        <v>#VALUE!</v>
      </c>
      <c r="AD76" s="117" t="e">
        <f>TabREP[[#This Row],[J28]]*Entrainement!$C64</f>
        <v>#VALUE!</v>
      </c>
      <c r="AE76" s="117" t="e">
        <f>TabREP[[#This Row],[J29]]*Entrainement!$C64</f>
        <v>#VALUE!</v>
      </c>
      <c r="AF76" s="117" t="e">
        <f>TabREP[[#This Row],[J30]]*Entrainement!$C64</f>
        <v>#VALUE!</v>
      </c>
      <c r="AG76" s="250" t="str">
        <f>'Charges collective'!E68</f>
        <v/>
      </c>
      <c r="AH76" s="49"/>
      <c r="AI76" s="48"/>
    </row>
    <row r="77" spans="2:35" ht="14.25">
      <c r="B77" s="248" t="str">
        <f>IF(INDEX(TabEntrainement[Seance],ROW()-18)&lt;&gt;0,INDEX(TabEntrainement[Seance],ROW()-18),"")</f>
        <v/>
      </c>
      <c r="C77" s="117" t="e">
        <f>TabREP[[#This Row],[J1]]*Entrainement!C65</f>
        <v>#VALUE!</v>
      </c>
      <c r="D77" s="117" t="e">
        <f>TabREP[[#This Row],[J2]]*Entrainement!C65</f>
        <v>#VALUE!</v>
      </c>
      <c r="E77" s="117" t="e">
        <f>TabREP[[#This Row],[J3]]*Entrainement!$C65</f>
        <v>#VALUE!</v>
      </c>
      <c r="F77" s="117" t="e">
        <f>TabREP[[#This Row],[J4]]*Entrainement!$C65</f>
        <v>#VALUE!</v>
      </c>
      <c r="G77" s="117" t="e">
        <f>TabREP[[#This Row],[J5]]*Entrainement!$C65</f>
        <v>#VALUE!</v>
      </c>
      <c r="H77" s="117" t="e">
        <f>TabREP[[#This Row],[J6]]*Entrainement!$C65</f>
        <v>#VALUE!</v>
      </c>
      <c r="I77" s="117" t="e">
        <f>TabREP[[#This Row],[J7]]*Entrainement!$C65</f>
        <v>#VALUE!</v>
      </c>
      <c r="J77" s="117" t="e">
        <f>TabREP[[#This Row],[J8]]*Entrainement!$C65</f>
        <v>#VALUE!</v>
      </c>
      <c r="K77" s="117" t="e">
        <f>TabREP[[#This Row],[J9]]*Entrainement!$C65</f>
        <v>#VALUE!</v>
      </c>
      <c r="L77" s="117" t="e">
        <f>TabREP[[#This Row],[J10]]*Entrainement!$C65</f>
        <v>#VALUE!</v>
      </c>
      <c r="M77" s="117" t="e">
        <f>TabREP[[#This Row],[J11]]*Entrainement!$C65</f>
        <v>#VALUE!</v>
      </c>
      <c r="N77" s="117" t="e">
        <f>TabREP[[#This Row],[J12]]*Entrainement!$C65</f>
        <v>#VALUE!</v>
      </c>
      <c r="O77" s="117" t="e">
        <f>TabREP[[#This Row],[J13]]*Entrainement!$C65</f>
        <v>#VALUE!</v>
      </c>
      <c r="P77" s="117" t="e">
        <f>TabREP[[#This Row],[J14]]*Entrainement!$C65</f>
        <v>#VALUE!</v>
      </c>
      <c r="Q77" s="117" t="e">
        <f>TabREP[[#This Row],[J15]]*Entrainement!$C65</f>
        <v>#VALUE!</v>
      </c>
      <c r="R77" s="117" t="e">
        <f>TabREP[[#This Row],[J16]]*Entrainement!$C65</f>
        <v>#VALUE!</v>
      </c>
      <c r="S77" s="117" t="e">
        <f>TabREP[[#This Row],[J17]]*Entrainement!$C65</f>
        <v>#VALUE!</v>
      </c>
      <c r="T77" s="117" t="e">
        <f>TabREP[[#This Row],[J18]]*Entrainement!$C65</f>
        <v>#VALUE!</v>
      </c>
      <c r="U77" s="117" t="e">
        <f>TabREP[[#This Row],[J19]]*Entrainement!$C65</f>
        <v>#VALUE!</v>
      </c>
      <c r="V77" s="117" t="e">
        <f>TabREP[[#This Row],[J20]]*Entrainement!$C65</f>
        <v>#VALUE!</v>
      </c>
      <c r="W77" s="117" t="e">
        <f>TabREP[[#This Row],[J21]]*Entrainement!$C65</f>
        <v>#VALUE!</v>
      </c>
      <c r="X77" s="117" t="e">
        <f>TabREP[[#This Row],[J22]]*Entrainement!$C65</f>
        <v>#VALUE!</v>
      </c>
      <c r="Y77" s="117" t="e">
        <f>TabREP[[#This Row],[J23]]*Entrainement!$C65</f>
        <v>#VALUE!</v>
      </c>
      <c r="Z77" s="117" t="e">
        <f>TabREP[[#This Row],[J24]]*Entrainement!$C65</f>
        <v>#VALUE!</v>
      </c>
      <c r="AA77" s="117" t="e">
        <f>TabREP[[#This Row],[J25]]*Entrainement!$C65</f>
        <v>#VALUE!</v>
      </c>
      <c r="AB77" s="117" t="e">
        <f>TabREP[[#This Row],[J26]]*Entrainement!$C65</f>
        <v>#VALUE!</v>
      </c>
      <c r="AC77" s="117" t="e">
        <f>TabREP[[#This Row],[J27]]*Entrainement!$C65</f>
        <v>#VALUE!</v>
      </c>
      <c r="AD77" s="117" t="e">
        <f>TabREP[[#This Row],[J28]]*Entrainement!$C65</f>
        <v>#VALUE!</v>
      </c>
      <c r="AE77" s="117" t="e">
        <f>TabREP[[#This Row],[J29]]*Entrainement!$C65</f>
        <v>#VALUE!</v>
      </c>
      <c r="AF77" s="117" t="e">
        <f>TabREP[[#This Row],[J30]]*Entrainement!$C65</f>
        <v>#VALUE!</v>
      </c>
      <c r="AG77" s="250" t="str">
        <f>'Charges collective'!E69</f>
        <v/>
      </c>
      <c r="AH77" s="49"/>
      <c r="AI77" s="48"/>
    </row>
    <row r="78" spans="2:35" ht="14.25">
      <c r="B78" s="248" t="str">
        <f>IF(INDEX(TabEntrainement[Seance],ROW()-18)&lt;&gt;0,INDEX(TabEntrainement[Seance],ROW()-18),"")</f>
        <v/>
      </c>
      <c r="C78" s="117" t="e">
        <f>TabREP[[#This Row],[J1]]*Entrainement!C66</f>
        <v>#VALUE!</v>
      </c>
      <c r="D78" s="117" t="e">
        <f>TabREP[[#This Row],[J2]]*Entrainement!C66</f>
        <v>#VALUE!</v>
      </c>
      <c r="E78" s="117" t="e">
        <f>TabREP[[#This Row],[J3]]*Entrainement!$C66</f>
        <v>#VALUE!</v>
      </c>
      <c r="F78" s="117" t="e">
        <f>TabREP[[#This Row],[J4]]*Entrainement!$C66</f>
        <v>#VALUE!</v>
      </c>
      <c r="G78" s="117" t="e">
        <f>TabREP[[#This Row],[J5]]*Entrainement!$C66</f>
        <v>#VALUE!</v>
      </c>
      <c r="H78" s="117" t="e">
        <f>TabREP[[#This Row],[J6]]*Entrainement!$C66</f>
        <v>#VALUE!</v>
      </c>
      <c r="I78" s="117" t="e">
        <f>TabREP[[#This Row],[J7]]*Entrainement!$C66</f>
        <v>#VALUE!</v>
      </c>
      <c r="J78" s="117" t="e">
        <f>TabREP[[#This Row],[J8]]*Entrainement!$C66</f>
        <v>#VALUE!</v>
      </c>
      <c r="K78" s="117" t="e">
        <f>TabREP[[#This Row],[J9]]*Entrainement!$C66</f>
        <v>#VALUE!</v>
      </c>
      <c r="L78" s="117" t="e">
        <f>TabREP[[#This Row],[J10]]*Entrainement!$C66</f>
        <v>#VALUE!</v>
      </c>
      <c r="M78" s="117" t="e">
        <f>TabREP[[#This Row],[J11]]*Entrainement!$C66</f>
        <v>#VALUE!</v>
      </c>
      <c r="N78" s="117" t="e">
        <f>TabREP[[#This Row],[J12]]*Entrainement!$C66</f>
        <v>#VALUE!</v>
      </c>
      <c r="O78" s="117" t="e">
        <f>TabREP[[#This Row],[J13]]*Entrainement!$C66</f>
        <v>#VALUE!</v>
      </c>
      <c r="P78" s="117" t="e">
        <f>TabREP[[#This Row],[J14]]*Entrainement!$C66</f>
        <v>#VALUE!</v>
      </c>
      <c r="Q78" s="117" t="e">
        <f>TabREP[[#This Row],[J15]]*Entrainement!$C66</f>
        <v>#VALUE!</v>
      </c>
      <c r="R78" s="117" t="e">
        <f>TabREP[[#This Row],[J16]]*Entrainement!$C66</f>
        <v>#VALUE!</v>
      </c>
      <c r="S78" s="117" t="e">
        <f>TabREP[[#This Row],[J17]]*Entrainement!$C66</f>
        <v>#VALUE!</v>
      </c>
      <c r="T78" s="117" t="e">
        <f>TabREP[[#This Row],[J18]]*Entrainement!$C66</f>
        <v>#VALUE!</v>
      </c>
      <c r="U78" s="117" t="e">
        <f>TabREP[[#This Row],[J19]]*Entrainement!$C66</f>
        <v>#VALUE!</v>
      </c>
      <c r="V78" s="117" t="e">
        <f>TabREP[[#This Row],[J20]]*Entrainement!$C66</f>
        <v>#VALUE!</v>
      </c>
      <c r="W78" s="117" t="e">
        <f>TabREP[[#This Row],[J21]]*Entrainement!$C66</f>
        <v>#VALUE!</v>
      </c>
      <c r="X78" s="117" t="e">
        <f>TabREP[[#This Row],[J22]]*Entrainement!$C66</f>
        <v>#VALUE!</v>
      </c>
      <c r="Y78" s="117" t="e">
        <f>TabREP[[#This Row],[J23]]*Entrainement!$C66</f>
        <v>#VALUE!</v>
      </c>
      <c r="Z78" s="117" t="e">
        <f>TabREP[[#This Row],[J24]]*Entrainement!$C66</f>
        <v>#VALUE!</v>
      </c>
      <c r="AA78" s="117" t="e">
        <f>TabREP[[#This Row],[J25]]*Entrainement!$C66</f>
        <v>#VALUE!</v>
      </c>
      <c r="AB78" s="117" t="e">
        <f>TabREP[[#This Row],[J26]]*Entrainement!$C66</f>
        <v>#VALUE!</v>
      </c>
      <c r="AC78" s="117" t="e">
        <f>TabREP[[#This Row],[J27]]*Entrainement!$C66</f>
        <v>#VALUE!</v>
      </c>
      <c r="AD78" s="117" t="e">
        <f>TabREP[[#This Row],[J28]]*Entrainement!$C66</f>
        <v>#VALUE!</v>
      </c>
      <c r="AE78" s="117" t="e">
        <f>TabREP[[#This Row],[J29]]*Entrainement!$C66</f>
        <v>#VALUE!</v>
      </c>
      <c r="AF78" s="117" t="e">
        <f>TabREP[[#This Row],[J30]]*Entrainement!$C66</f>
        <v>#VALUE!</v>
      </c>
      <c r="AG78" s="250" t="str">
        <f>'Charges collective'!E70</f>
        <v/>
      </c>
      <c r="AH78" s="49"/>
      <c r="AI78" s="48"/>
    </row>
    <row r="79" spans="2:35" ht="14.25">
      <c r="B79" s="248" t="str">
        <f>IF(INDEX(TabEntrainement[Seance],ROW()-18)&lt;&gt;0,INDEX(TabEntrainement[Seance],ROW()-18),"")</f>
        <v/>
      </c>
      <c r="C79" s="117" t="e">
        <f>TabREP[[#This Row],[J1]]*Entrainement!C67</f>
        <v>#VALUE!</v>
      </c>
      <c r="D79" s="117" t="e">
        <f>TabREP[[#This Row],[J2]]*Entrainement!C67</f>
        <v>#VALUE!</v>
      </c>
      <c r="E79" s="117" t="e">
        <f>TabREP[[#This Row],[J3]]*Entrainement!$C67</f>
        <v>#VALUE!</v>
      </c>
      <c r="F79" s="117" t="e">
        <f>TabREP[[#This Row],[J4]]*Entrainement!$C67</f>
        <v>#VALUE!</v>
      </c>
      <c r="G79" s="117" t="e">
        <f>TabREP[[#This Row],[J5]]*Entrainement!$C67</f>
        <v>#VALUE!</v>
      </c>
      <c r="H79" s="117" t="e">
        <f>TabREP[[#This Row],[J6]]*Entrainement!$C67</f>
        <v>#VALUE!</v>
      </c>
      <c r="I79" s="117" t="e">
        <f>TabREP[[#This Row],[J7]]*Entrainement!$C67</f>
        <v>#VALUE!</v>
      </c>
      <c r="J79" s="117" t="e">
        <f>TabREP[[#This Row],[J8]]*Entrainement!$C67</f>
        <v>#VALUE!</v>
      </c>
      <c r="K79" s="117" t="e">
        <f>TabREP[[#This Row],[J9]]*Entrainement!$C67</f>
        <v>#VALUE!</v>
      </c>
      <c r="L79" s="117" t="e">
        <f>TabREP[[#This Row],[J10]]*Entrainement!$C67</f>
        <v>#VALUE!</v>
      </c>
      <c r="M79" s="117" t="e">
        <f>TabREP[[#This Row],[J11]]*Entrainement!$C67</f>
        <v>#VALUE!</v>
      </c>
      <c r="N79" s="117" t="e">
        <f>TabREP[[#This Row],[J12]]*Entrainement!$C67</f>
        <v>#VALUE!</v>
      </c>
      <c r="O79" s="117" t="e">
        <f>TabREP[[#This Row],[J13]]*Entrainement!$C67</f>
        <v>#VALUE!</v>
      </c>
      <c r="P79" s="117" t="e">
        <f>TabREP[[#This Row],[J14]]*Entrainement!$C67</f>
        <v>#VALUE!</v>
      </c>
      <c r="Q79" s="117" t="e">
        <f>TabREP[[#This Row],[J15]]*Entrainement!$C67</f>
        <v>#VALUE!</v>
      </c>
      <c r="R79" s="117" t="e">
        <f>TabREP[[#This Row],[J16]]*Entrainement!$C67</f>
        <v>#VALUE!</v>
      </c>
      <c r="S79" s="117" t="e">
        <f>TabREP[[#This Row],[J17]]*Entrainement!$C67</f>
        <v>#VALUE!</v>
      </c>
      <c r="T79" s="117" t="e">
        <f>TabREP[[#This Row],[J18]]*Entrainement!$C67</f>
        <v>#VALUE!</v>
      </c>
      <c r="U79" s="117" t="e">
        <f>TabREP[[#This Row],[J19]]*Entrainement!$C67</f>
        <v>#VALUE!</v>
      </c>
      <c r="V79" s="117" t="e">
        <f>TabREP[[#This Row],[J20]]*Entrainement!$C67</f>
        <v>#VALUE!</v>
      </c>
      <c r="W79" s="117" t="e">
        <f>TabREP[[#This Row],[J21]]*Entrainement!$C67</f>
        <v>#VALUE!</v>
      </c>
      <c r="X79" s="117" t="e">
        <f>TabREP[[#This Row],[J22]]*Entrainement!$C67</f>
        <v>#VALUE!</v>
      </c>
      <c r="Y79" s="117" t="e">
        <f>TabREP[[#This Row],[J23]]*Entrainement!$C67</f>
        <v>#VALUE!</v>
      </c>
      <c r="Z79" s="117" t="e">
        <f>TabREP[[#This Row],[J24]]*Entrainement!$C67</f>
        <v>#VALUE!</v>
      </c>
      <c r="AA79" s="117" t="e">
        <f>TabREP[[#This Row],[J25]]*Entrainement!$C67</f>
        <v>#VALUE!</v>
      </c>
      <c r="AB79" s="117" t="e">
        <f>TabREP[[#This Row],[J26]]*Entrainement!$C67</f>
        <v>#VALUE!</v>
      </c>
      <c r="AC79" s="117" t="e">
        <f>TabREP[[#This Row],[J27]]*Entrainement!$C67</f>
        <v>#VALUE!</v>
      </c>
      <c r="AD79" s="117" t="e">
        <f>TabREP[[#This Row],[J28]]*Entrainement!$C67</f>
        <v>#VALUE!</v>
      </c>
      <c r="AE79" s="117" t="e">
        <f>TabREP[[#This Row],[J29]]*Entrainement!$C67</f>
        <v>#VALUE!</v>
      </c>
      <c r="AF79" s="117" t="e">
        <f>TabREP[[#This Row],[J30]]*Entrainement!$C67</f>
        <v>#VALUE!</v>
      </c>
      <c r="AG79" s="250" t="str">
        <f>'Charges collective'!E71</f>
        <v/>
      </c>
      <c r="AH79" s="49"/>
      <c r="AI79" s="48"/>
    </row>
    <row r="80" spans="2:35" ht="14.25">
      <c r="B80" s="248" t="str">
        <f>IF(INDEX(TabEntrainement[Seance],ROW()-18)&lt;&gt;0,INDEX(TabEntrainement[Seance],ROW()-18),"")</f>
        <v/>
      </c>
      <c r="C80" s="117" t="e">
        <f>TabREP[[#This Row],[J1]]*Entrainement!C68</f>
        <v>#VALUE!</v>
      </c>
      <c r="D80" s="117" t="e">
        <f>TabREP[[#This Row],[J2]]*Entrainement!C68</f>
        <v>#VALUE!</v>
      </c>
      <c r="E80" s="117" t="e">
        <f>TabREP[[#This Row],[J3]]*Entrainement!$C68</f>
        <v>#VALUE!</v>
      </c>
      <c r="F80" s="117" t="e">
        <f>TabREP[[#This Row],[J4]]*Entrainement!$C68</f>
        <v>#VALUE!</v>
      </c>
      <c r="G80" s="117" t="e">
        <f>TabREP[[#This Row],[J5]]*Entrainement!$C68</f>
        <v>#VALUE!</v>
      </c>
      <c r="H80" s="117" t="e">
        <f>TabREP[[#This Row],[J6]]*Entrainement!$C68</f>
        <v>#VALUE!</v>
      </c>
      <c r="I80" s="117" t="e">
        <f>TabREP[[#This Row],[J7]]*Entrainement!$C68</f>
        <v>#VALUE!</v>
      </c>
      <c r="J80" s="117" t="e">
        <f>TabREP[[#This Row],[J8]]*Entrainement!$C68</f>
        <v>#VALUE!</v>
      </c>
      <c r="K80" s="117" t="e">
        <f>TabREP[[#This Row],[J9]]*Entrainement!$C68</f>
        <v>#VALUE!</v>
      </c>
      <c r="L80" s="117" t="e">
        <f>TabREP[[#This Row],[J10]]*Entrainement!$C68</f>
        <v>#VALUE!</v>
      </c>
      <c r="M80" s="117" t="e">
        <f>TabREP[[#This Row],[J11]]*Entrainement!$C68</f>
        <v>#VALUE!</v>
      </c>
      <c r="N80" s="117" t="e">
        <f>TabREP[[#This Row],[J12]]*Entrainement!$C68</f>
        <v>#VALUE!</v>
      </c>
      <c r="O80" s="117" t="e">
        <f>TabREP[[#This Row],[J13]]*Entrainement!$C68</f>
        <v>#VALUE!</v>
      </c>
      <c r="P80" s="117" t="e">
        <f>TabREP[[#This Row],[J14]]*Entrainement!$C68</f>
        <v>#VALUE!</v>
      </c>
      <c r="Q80" s="117" t="e">
        <f>TabREP[[#This Row],[J15]]*Entrainement!$C68</f>
        <v>#VALUE!</v>
      </c>
      <c r="R80" s="117" t="e">
        <f>TabREP[[#This Row],[J16]]*Entrainement!$C68</f>
        <v>#VALUE!</v>
      </c>
      <c r="S80" s="117" t="e">
        <f>TabREP[[#This Row],[J17]]*Entrainement!$C68</f>
        <v>#VALUE!</v>
      </c>
      <c r="T80" s="117" t="e">
        <f>TabREP[[#This Row],[J18]]*Entrainement!$C68</f>
        <v>#VALUE!</v>
      </c>
      <c r="U80" s="117" t="e">
        <f>TabREP[[#This Row],[J19]]*Entrainement!$C68</f>
        <v>#VALUE!</v>
      </c>
      <c r="V80" s="117" t="e">
        <f>TabREP[[#This Row],[J20]]*Entrainement!$C68</f>
        <v>#VALUE!</v>
      </c>
      <c r="W80" s="117" t="e">
        <f>TabREP[[#This Row],[J21]]*Entrainement!$C68</f>
        <v>#VALUE!</v>
      </c>
      <c r="X80" s="117" t="e">
        <f>TabREP[[#This Row],[J22]]*Entrainement!$C68</f>
        <v>#VALUE!</v>
      </c>
      <c r="Y80" s="117" t="e">
        <f>TabREP[[#This Row],[J23]]*Entrainement!$C68</f>
        <v>#VALUE!</v>
      </c>
      <c r="Z80" s="117" t="e">
        <f>TabREP[[#This Row],[J24]]*Entrainement!$C68</f>
        <v>#VALUE!</v>
      </c>
      <c r="AA80" s="117" t="e">
        <f>TabREP[[#This Row],[J25]]*Entrainement!$C68</f>
        <v>#VALUE!</v>
      </c>
      <c r="AB80" s="117" t="e">
        <f>TabREP[[#This Row],[J26]]*Entrainement!$C68</f>
        <v>#VALUE!</v>
      </c>
      <c r="AC80" s="117" t="e">
        <f>TabREP[[#This Row],[J27]]*Entrainement!$C68</f>
        <v>#VALUE!</v>
      </c>
      <c r="AD80" s="117" t="e">
        <f>TabREP[[#This Row],[J28]]*Entrainement!$C68</f>
        <v>#VALUE!</v>
      </c>
      <c r="AE80" s="117" t="e">
        <f>TabREP[[#This Row],[J29]]*Entrainement!$C68</f>
        <v>#VALUE!</v>
      </c>
      <c r="AF80" s="117" t="e">
        <f>TabREP[[#This Row],[J30]]*Entrainement!$C68</f>
        <v>#VALUE!</v>
      </c>
      <c r="AG80" s="250" t="str">
        <f>'Charges collective'!E72</f>
        <v/>
      </c>
      <c r="AH80" s="49"/>
      <c r="AI80" s="48"/>
    </row>
    <row r="81" spans="2:35" ht="14.25">
      <c r="B81" s="248" t="str">
        <f>IF(INDEX(TabEntrainement[Seance],ROW()-18)&lt;&gt;0,INDEX(TabEntrainement[Seance],ROW()-18),"")</f>
        <v/>
      </c>
      <c r="C81" s="117" t="e">
        <f>TabREP[[#This Row],[J1]]*Entrainement!C69</f>
        <v>#VALUE!</v>
      </c>
      <c r="D81" s="117" t="e">
        <f>TabREP[[#This Row],[J2]]*Entrainement!C69</f>
        <v>#VALUE!</v>
      </c>
      <c r="E81" s="117" t="e">
        <f>TabREP[[#This Row],[J3]]*Entrainement!$C69</f>
        <v>#VALUE!</v>
      </c>
      <c r="F81" s="117" t="e">
        <f>TabREP[[#This Row],[J4]]*Entrainement!$C69</f>
        <v>#VALUE!</v>
      </c>
      <c r="G81" s="117" t="e">
        <f>TabREP[[#This Row],[J5]]*Entrainement!$C69</f>
        <v>#VALUE!</v>
      </c>
      <c r="H81" s="117" t="e">
        <f>TabREP[[#This Row],[J6]]*Entrainement!$C69</f>
        <v>#VALUE!</v>
      </c>
      <c r="I81" s="117" t="e">
        <f>TabREP[[#This Row],[J7]]*Entrainement!$C69</f>
        <v>#VALUE!</v>
      </c>
      <c r="J81" s="117" t="e">
        <f>TabREP[[#This Row],[J8]]*Entrainement!$C69</f>
        <v>#VALUE!</v>
      </c>
      <c r="K81" s="117" t="e">
        <f>TabREP[[#This Row],[J9]]*Entrainement!$C69</f>
        <v>#VALUE!</v>
      </c>
      <c r="L81" s="117" t="e">
        <f>TabREP[[#This Row],[J10]]*Entrainement!$C69</f>
        <v>#VALUE!</v>
      </c>
      <c r="M81" s="117" t="e">
        <f>TabREP[[#This Row],[J11]]*Entrainement!$C69</f>
        <v>#VALUE!</v>
      </c>
      <c r="N81" s="117" t="e">
        <f>TabREP[[#This Row],[J12]]*Entrainement!$C69</f>
        <v>#VALUE!</v>
      </c>
      <c r="O81" s="117" t="e">
        <f>TabREP[[#This Row],[J13]]*Entrainement!$C69</f>
        <v>#VALUE!</v>
      </c>
      <c r="P81" s="117" t="e">
        <f>TabREP[[#This Row],[J14]]*Entrainement!$C69</f>
        <v>#VALUE!</v>
      </c>
      <c r="Q81" s="117" t="e">
        <f>TabREP[[#This Row],[J15]]*Entrainement!$C69</f>
        <v>#VALUE!</v>
      </c>
      <c r="R81" s="117" t="e">
        <f>TabREP[[#This Row],[J16]]*Entrainement!$C69</f>
        <v>#VALUE!</v>
      </c>
      <c r="S81" s="117" t="e">
        <f>TabREP[[#This Row],[J17]]*Entrainement!$C69</f>
        <v>#VALUE!</v>
      </c>
      <c r="T81" s="117" t="e">
        <f>TabREP[[#This Row],[J18]]*Entrainement!$C69</f>
        <v>#VALUE!</v>
      </c>
      <c r="U81" s="117" t="e">
        <f>TabREP[[#This Row],[J19]]*Entrainement!$C69</f>
        <v>#VALUE!</v>
      </c>
      <c r="V81" s="117" t="e">
        <f>TabREP[[#This Row],[J20]]*Entrainement!$C69</f>
        <v>#VALUE!</v>
      </c>
      <c r="W81" s="117" t="e">
        <f>TabREP[[#This Row],[J21]]*Entrainement!$C69</f>
        <v>#VALUE!</v>
      </c>
      <c r="X81" s="117" t="e">
        <f>TabREP[[#This Row],[J22]]*Entrainement!$C69</f>
        <v>#VALUE!</v>
      </c>
      <c r="Y81" s="117" t="e">
        <f>TabREP[[#This Row],[J23]]*Entrainement!$C69</f>
        <v>#VALUE!</v>
      </c>
      <c r="Z81" s="117" t="e">
        <f>TabREP[[#This Row],[J24]]*Entrainement!$C69</f>
        <v>#VALUE!</v>
      </c>
      <c r="AA81" s="117" t="e">
        <f>TabREP[[#This Row],[J25]]*Entrainement!$C69</f>
        <v>#VALUE!</v>
      </c>
      <c r="AB81" s="117" t="e">
        <f>TabREP[[#This Row],[J26]]*Entrainement!$C69</f>
        <v>#VALUE!</v>
      </c>
      <c r="AC81" s="117" t="e">
        <f>TabREP[[#This Row],[J27]]*Entrainement!$C69</f>
        <v>#VALUE!</v>
      </c>
      <c r="AD81" s="117" t="e">
        <f>TabREP[[#This Row],[J28]]*Entrainement!$C69</f>
        <v>#VALUE!</v>
      </c>
      <c r="AE81" s="117" t="e">
        <f>TabREP[[#This Row],[J29]]*Entrainement!$C69</f>
        <v>#VALUE!</v>
      </c>
      <c r="AF81" s="117" t="e">
        <f>TabREP[[#This Row],[J30]]*Entrainement!$C69</f>
        <v>#VALUE!</v>
      </c>
      <c r="AG81" s="250" t="str">
        <f>'Charges collective'!E73</f>
        <v/>
      </c>
      <c r="AH81" s="49"/>
      <c r="AI81" s="48"/>
    </row>
    <row r="82" spans="2:35" ht="14.25">
      <c r="B82" s="248" t="str">
        <f>IF(INDEX(TabEntrainement[Seance],ROW()-18)&lt;&gt;0,INDEX(TabEntrainement[Seance],ROW()-18),"")</f>
        <v/>
      </c>
      <c r="C82" s="117" t="e">
        <f>TabREP[[#This Row],[J1]]*Entrainement!C70</f>
        <v>#VALUE!</v>
      </c>
      <c r="D82" s="117" t="e">
        <f>TabREP[[#This Row],[J2]]*Entrainement!C70</f>
        <v>#VALUE!</v>
      </c>
      <c r="E82" s="117" t="e">
        <f>TabREP[[#This Row],[J3]]*Entrainement!$C70</f>
        <v>#VALUE!</v>
      </c>
      <c r="F82" s="117" t="e">
        <f>TabREP[[#This Row],[J4]]*Entrainement!$C70</f>
        <v>#VALUE!</v>
      </c>
      <c r="G82" s="117" t="e">
        <f>TabREP[[#This Row],[J5]]*Entrainement!$C70</f>
        <v>#VALUE!</v>
      </c>
      <c r="H82" s="117" t="e">
        <f>TabREP[[#This Row],[J6]]*Entrainement!$C70</f>
        <v>#VALUE!</v>
      </c>
      <c r="I82" s="117" t="e">
        <f>TabREP[[#This Row],[J7]]*Entrainement!$C70</f>
        <v>#VALUE!</v>
      </c>
      <c r="J82" s="117" t="e">
        <f>TabREP[[#This Row],[J8]]*Entrainement!$C70</f>
        <v>#VALUE!</v>
      </c>
      <c r="K82" s="117" t="e">
        <f>TabREP[[#This Row],[J9]]*Entrainement!$C70</f>
        <v>#VALUE!</v>
      </c>
      <c r="L82" s="117" t="e">
        <f>TabREP[[#This Row],[J10]]*Entrainement!$C70</f>
        <v>#VALUE!</v>
      </c>
      <c r="M82" s="117" t="e">
        <f>TabREP[[#This Row],[J11]]*Entrainement!$C70</f>
        <v>#VALUE!</v>
      </c>
      <c r="N82" s="117" t="e">
        <f>TabREP[[#This Row],[J12]]*Entrainement!$C70</f>
        <v>#VALUE!</v>
      </c>
      <c r="O82" s="117" t="e">
        <f>TabREP[[#This Row],[J13]]*Entrainement!$C70</f>
        <v>#VALUE!</v>
      </c>
      <c r="P82" s="117" t="e">
        <f>TabREP[[#This Row],[J14]]*Entrainement!$C70</f>
        <v>#VALUE!</v>
      </c>
      <c r="Q82" s="117" t="e">
        <f>TabREP[[#This Row],[J15]]*Entrainement!$C70</f>
        <v>#VALUE!</v>
      </c>
      <c r="R82" s="117" t="e">
        <f>TabREP[[#This Row],[J16]]*Entrainement!$C70</f>
        <v>#VALUE!</v>
      </c>
      <c r="S82" s="117" t="e">
        <f>TabREP[[#This Row],[J17]]*Entrainement!$C70</f>
        <v>#VALUE!</v>
      </c>
      <c r="T82" s="117" t="e">
        <f>TabREP[[#This Row],[J18]]*Entrainement!$C70</f>
        <v>#VALUE!</v>
      </c>
      <c r="U82" s="117" t="e">
        <f>TabREP[[#This Row],[J19]]*Entrainement!$C70</f>
        <v>#VALUE!</v>
      </c>
      <c r="V82" s="117" t="e">
        <f>TabREP[[#This Row],[J20]]*Entrainement!$C70</f>
        <v>#VALUE!</v>
      </c>
      <c r="W82" s="117" t="e">
        <f>TabREP[[#This Row],[J21]]*Entrainement!$C70</f>
        <v>#VALUE!</v>
      </c>
      <c r="X82" s="117" t="e">
        <f>TabREP[[#This Row],[J22]]*Entrainement!$C70</f>
        <v>#VALUE!</v>
      </c>
      <c r="Y82" s="117" t="e">
        <f>TabREP[[#This Row],[J23]]*Entrainement!$C70</f>
        <v>#VALUE!</v>
      </c>
      <c r="Z82" s="117" t="e">
        <f>TabREP[[#This Row],[J24]]*Entrainement!$C70</f>
        <v>#VALUE!</v>
      </c>
      <c r="AA82" s="117" t="e">
        <f>TabREP[[#This Row],[J25]]*Entrainement!$C70</f>
        <v>#VALUE!</v>
      </c>
      <c r="AB82" s="117" t="e">
        <f>TabREP[[#This Row],[J26]]*Entrainement!$C70</f>
        <v>#VALUE!</v>
      </c>
      <c r="AC82" s="117" t="e">
        <f>TabREP[[#This Row],[J27]]*Entrainement!$C70</f>
        <v>#VALUE!</v>
      </c>
      <c r="AD82" s="117" t="e">
        <f>TabREP[[#This Row],[J28]]*Entrainement!$C70</f>
        <v>#VALUE!</v>
      </c>
      <c r="AE82" s="117" t="e">
        <f>TabREP[[#This Row],[J29]]*Entrainement!$C70</f>
        <v>#VALUE!</v>
      </c>
      <c r="AF82" s="117" t="e">
        <f>TabREP[[#This Row],[J30]]*Entrainement!$C70</f>
        <v>#VALUE!</v>
      </c>
      <c r="AG82" s="250" t="str">
        <f>'Charges collective'!E74</f>
        <v/>
      </c>
      <c r="AH82" s="49"/>
      <c r="AI82" s="48"/>
    </row>
    <row r="83" spans="2:35" ht="14.25">
      <c r="B83" s="248" t="str">
        <f>IF(INDEX(TabEntrainement[Seance],ROW()-18)&lt;&gt;0,INDEX(TabEntrainement[Seance],ROW()-18),"")</f>
        <v/>
      </c>
      <c r="C83" s="117" t="e">
        <f>TabREP[[#This Row],[J1]]*Entrainement!C71</f>
        <v>#VALUE!</v>
      </c>
      <c r="D83" s="117" t="e">
        <f>TabREP[[#This Row],[J2]]*Entrainement!C71</f>
        <v>#VALUE!</v>
      </c>
      <c r="E83" s="117" t="e">
        <f>TabREP[[#This Row],[J3]]*Entrainement!$C71</f>
        <v>#VALUE!</v>
      </c>
      <c r="F83" s="117" t="e">
        <f>TabREP[[#This Row],[J4]]*Entrainement!$C71</f>
        <v>#VALUE!</v>
      </c>
      <c r="G83" s="117" t="e">
        <f>TabREP[[#This Row],[J5]]*Entrainement!$C71</f>
        <v>#VALUE!</v>
      </c>
      <c r="H83" s="117" t="e">
        <f>TabREP[[#This Row],[J6]]*Entrainement!$C71</f>
        <v>#VALUE!</v>
      </c>
      <c r="I83" s="117" t="e">
        <f>TabREP[[#This Row],[J7]]*Entrainement!$C71</f>
        <v>#VALUE!</v>
      </c>
      <c r="J83" s="117" t="e">
        <f>TabREP[[#This Row],[J8]]*Entrainement!$C71</f>
        <v>#VALUE!</v>
      </c>
      <c r="K83" s="117" t="e">
        <f>TabREP[[#This Row],[J9]]*Entrainement!$C71</f>
        <v>#VALUE!</v>
      </c>
      <c r="L83" s="117" t="e">
        <f>TabREP[[#This Row],[J10]]*Entrainement!$C71</f>
        <v>#VALUE!</v>
      </c>
      <c r="M83" s="117" t="e">
        <f>TabREP[[#This Row],[J11]]*Entrainement!$C71</f>
        <v>#VALUE!</v>
      </c>
      <c r="N83" s="117" t="e">
        <f>TabREP[[#This Row],[J12]]*Entrainement!$C71</f>
        <v>#VALUE!</v>
      </c>
      <c r="O83" s="117" t="e">
        <f>TabREP[[#This Row],[J13]]*Entrainement!$C71</f>
        <v>#VALUE!</v>
      </c>
      <c r="P83" s="117" t="e">
        <f>TabREP[[#This Row],[J14]]*Entrainement!$C71</f>
        <v>#VALUE!</v>
      </c>
      <c r="Q83" s="117" t="e">
        <f>TabREP[[#This Row],[J15]]*Entrainement!$C71</f>
        <v>#VALUE!</v>
      </c>
      <c r="R83" s="117" t="e">
        <f>TabREP[[#This Row],[J16]]*Entrainement!$C71</f>
        <v>#VALUE!</v>
      </c>
      <c r="S83" s="117" t="e">
        <f>TabREP[[#This Row],[J17]]*Entrainement!$C71</f>
        <v>#VALUE!</v>
      </c>
      <c r="T83" s="117" t="e">
        <f>TabREP[[#This Row],[J18]]*Entrainement!$C71</f>
        <v>#VALUE!</v>
      </c>
      <c r="U83" s="117" t="e">
        <f>TabREP[[#This Row],[J19]]*Entrainement!$C71</f>
        <v>#VALUE!</v>
      </c>
      <c r="V83" s="117" t="e">
        <f>TabREP[[#This Row],[J20]]*Entrainement!$C71</f>
        <v>#VALUE!</v>
      </c>
      <c r="W83" s="117" t="e">
        <f>TabREP[[#This Row],[J21]]*Entrainement!$C71</f>
        <v>#VALUE!</v>
      </c>
      <c r="X83" s="117" t="e">
        <f>TabREP[[#This Row],[J22]]*Entrainement!$C71</f>
        <v>#VALUE!</v>
      </c>
      <c r="Y83" s="117" t="e">
        <f>TabREP[[#This Row],[J23]]*Entrainement!$C71</f>
        <v>#VALUE!</v>
      </c>
      <c r="Z83" s="117" t="e">
        <f>TabREP[[#This Row],[J24]]*Entrainement!$C71</f>
        <v>#VALUE!</v>
      </c>
      <c r="AA83" s="117" t="e">
        <f>TabREP[[#This Row],[J25]]*Entrainement!$C71</f>
        <v>#VALUE!</v>
      </c>
      <c r="AB83" s="117" t="e">
        <f>TabREP[[#This Row],[J26]]*Entrainement!$C71</f>
        <v>#VALUE!</v>
      </c>
      <c r="AC83" s="117" t="e">
        <f>TabREP[[#This Row],[J27]]*Entrainement!$C71</f>
        <v>#VALUE!</v>
      </c>
      <c r="AD83" s="117" t="e">
        <f>TabREP[[#This Row],[J28]]*Entrainement!$C71</f>
        <v>#VALUE!</v>
      </c>
      <c r="AE83" s="117" t="e">
        <f>TabREP[[#This Row],[J29]]*Entrainement!$C71</f>
        <v>#VALUE!</v>
      </c>
      <c r="AF83" s="117" t="e">
        <f>TabREP[[#This Row],[J30]]*Entrainement!$C71</f>
        <v>#VALUE!</v>
      </c>
      <c r="AG83" s="250" t="str">
        <f>'Charges collective'!E75</f>
        <v/>
      </c>
      <c r="AH83" s="49"/>
      <c r="AI83" s="48"/>
    </row>
    <row r="84" spans="2:35" ht="14.25">
      <c r="B84" s="248" t="str">
        <f>IF(INDEX(TabEntrainement[Seance],ROW()-18)&lt;&gt;0,INDEX(TabEntrainement[Seance],ROW()-18),"")</f>
        <v/>
      </c>
      <c r="C84" s="117" t="e">
        <f>TabREP[[#This Row],[J1]]*Entrainement!C72</f>
        <v>#VALUE!</v>
      </c>
      <c r="D84" s="117" t="e">
        <f>TabREP[[#This Row],[J2]]*Entrainement!C72</f>
        <v>#VALUE!</v>
      </c>
      <c r="E84" s="117" t="e">
        <f>TabREP[[#This Row],[J3]]*Entrainement!$C72</f>
        <v>#VALUE!</v>
      </c>
      <c r="F84" s="117" t="e">
        <f>TabREP[[#This Row],[J4]]*Entrainement!$C72</f>
        <v>#VALUE!</v>
      </c>
      <c r="G84" s="117" t="e">
        <f>TabREP[[#This Row],[J5]]*Entrainement!$C72</f>
        <v>#VALUE!</v>
      </c>
      <c r="H84" s="117" t="e">
        <f>TabREP[[#This Row],[J6]]*Entrainement!$C72</f>
        <v>#VALUE!</v>
      </c>
      <c r="I84" s="117" t="e">
        <f>TabREP[[#This Row],[J7]]*Entrainement!$C72</f>
        <v>#VALUE!</v>
      </c>
      <c r="J84" s="117" t="e">
        <f>TabREP[[#This Row],[J8]]*Entrainement!$C72</f>
        <v>#VALUE!</v>
      </c>
      <c r="K84" s="117" t="e">
        <f>TabREP[[#This Row],[J9]]*Entrainement!$C72</f>
        <v>#VALUE!</v>
      </c>
      <c r="L84" s="117" t="e">
        <f>TabREP[[#This Row],[J10]]*Entrainement!$C72</f>
        <v>#VALUE!</v>
      </c>
      <c r="M84" s="117" t="e">
        <f>TabREP[[#This Row],[J11]]*Entrainement!$C72</f>
        <v>#VALUE!</v>
      </c>
      <c r="N84" s="117" t="e">
        <f>TabREP[[#This Row],[J12]]*Entrainement!$C72</f>
        <v>#VALUE!</v>
      </c>
      <c r="O84" s="117" t="e">
        <f>TabREP[[#This Row],[J13]]*Entrainement!$C72</f>
        <v>#VALUE!</v>
      </c>
      <c r="P84" s="117" t="e">
        <f>TabREP[[#This Row],[J14]]*Entrainement!$C72</f>
        <v>#VALUE!</v>
      </c>
      <c r="Q84" s="117" t="e">
        <f>TabREP[[#This Row],[J15]]*Entrainement!$C72</f>
        <v>#VALUE!</v>
      </c>
      <c r="R84" s="117" t="e">
        <f>TabREP[[#This Row],[J16]]*Entrainement!$C72</f>
        <v>#VALUE!</v>
      </c>
      <c r="S84" s="117" t="e">
        <f>TabREP[[#This Row],[J17]]*Entrainement!$C72</f>
        <v>#VALUE!</v>
      </c>
      <c r="T84" s="117" t="e">
        <f>TabREP[[#This Row],[J18]]*Entrainement!$C72</f>
        <v>#VALUE!</v>
      </c>
      <c r="U84" s="117" t="e">
        <f>TabREP[[#This Row],[J19]]*Entrainement!$C72</f>
        <v>#VALUE!</v>
      </c>
      <c r="V84" s="117" t="e">
        <f>TabREP[[#This Row],[J20]]*Entrainement!$C72</f>
        <v>#VALUE!</v>
      </c>
      <c r="W84" s="117" t="e">
        <f>TabREP[[#This Row],[J21]]*Entrainement!$C72</f>
        <v>#VALUE!</v>
      </c>
      <c r="X84" s="117" t="e">
        <f>TabREP[[#This Row],[J22]]*Entrainement!$C72</f>
        <v>#VALUE!</v>
      </c>
      <c r="Y84" s="117" t="e">
        <f>TabREP[[#This Row],[J23]]*Entrainement!$C72</f>
        <v>#VALUE!</v>
      </c>
      <c r="Z84" s="117" t="e">
        <f>TabREP[[#This Row],[J24]]*Entrainement!$C72</f>
        <v>#VALUE!</v>
      </c>
      <c r="AA84" s="117" t="e">
        <f>TabREP[[#This Row],[J25]]*Entrainement!$C72</f>
        <v>#VALUE!</v>
      </c>
      <c r="AB84" s="117" t="e">
        <f>TabREP[[#This Row],[J26]]*Entrainement!$C72</f>
        <v>#VALUE!</v>
      </c>
      <c r="AC84" s="117" t="e">
        <f>TabREP[[#This Row],[J27]]*Entrainement!$C72</f>
        <v>#VALUE!</v>
      </c>
      <c r="AD84" s="117" t="e">
        <f>TabREP[[#This Row],[J28]]*Entrainement!$C72</f>
        <v>#VALUE!</v>
      </c>
      <c r="AE84" s="117" t="e">
        <f>TabREP[[#This Row],[J29]]*Entrainement!$C72</f>
        <v>#VALUE!</v>
      </c>
      <c r="AF84" s="117" t="e">
        <f>TabREP[[#This Row],[J30]]*Entrainement!$C72</f>
        <v>#VALUE!</v>
      </c>
      <c r="AG84" s="250" t="str">
        <f>'Charges collective'!E76</f>
        <v/>
      </c>
      <c r="AH84" s="49"/>
      <c r="AI84" s="48"/>
    </row>
    <row r="85" spans="2:35" ht="14.25">
      <c r="B85" s="248" t="str">
        <f>IF(INDEX(TabEntrainement[Seance],ROW()-18)&lt;&gt;0,INDEX(TabEntrainement[Seance],ROW()-18),"")</f>
        <v/>
      </c>
      <c r="C85" s="117" t="e">
        <f>TabREP[[#This Row],[J1]]*Entrainement!C73</f>
        <v>#VALUE!</v>
      </c>
      <c r="D85" s="117" t="e">
        <f>TabREP[[#This Row],[J2]]*Entrainement!C73</f>
        <v>#VALUE!</v>
      </c>
      <c r="E85" s="117" t="e">
        <f>TabREP[[#This Row],[J3]]*Entrainement!$C73</f>
        <v>#VALUE!</v>
      </c>
      <c r="F85" s="117" t="e">
        <f>TabREP[[#This Row],[J4]]*Entrainement!$C73</f>
        <v>#VALUE!</v>
      </c>
      <c r="G85" s="117" t="e">
        <f>TabREP[[#This Row],[J5]]*Entrainement!$C73</f>
        <v>#VALUE!</v>
      </c>
      <c r="H85" s="117" t="e">
        <f>TabREP[[#This Row],[J6]]*Entrainement!$C73</f>
        <v>#VALUE!</v>
      </c>
      <c r="I85" s="117" t="e">
        <f>TabREP[[#This Row],[J7]]*Entrainement!$C73</f>
        <v>#VALUE!</v>
      </c>
      <c r="J85" s="117" t="e">
        <f>TabREP[[#This Row],[J8]]*Entrainement!$C73</f>
        <v>#VALUE!</v>
      </c>
      <c r="K85" s="117" t="e">
        <f>TabREP[[#This Row],[J9]]*Entrainement!$C73</f>
        <v>#VALUE!</v>
      </c>
      <c r="L85" s="117" t="e">
        <f>TabREP[[#This Row],[J10]]*Entrainement!$C73</f>
        <v>#VALUE!</v>
      </c>
      <c r="M85" s="117" t="e">
        <f>TabREP[[#This Row],[J11]]*Entrainement!$C73</f>
        <v>#VALUE!</v>
      </c>
      <c r="N85" s="117" t="e">
        <f>TabREP[[#This Row],[J12]]*Entrainement!$C73</f>
        <v>#VALUE!</v>
      </c>
      <c r="O85" s="117" t="e">
        <f>TabREP[[#This Row],[J13]]*Entrainement!$C73</f>
        <v>#VALUE!</v>
      </c>
      <c r="P85" s="117" t="e">
        <f>TabREP[[#This Row],[J14]]*Entrainement!$C73</f>
        <v>#VALUE!</v>
      </c>
      <c r="Q85" s="117" t="e">
        <f>TabREP[[#This Row],[J15]]*Entrainement!$C73</f>
        <v>#VALUE!</v>
      </c>
      <c r="R85" s="117" t="e">
        <f>TabREP[[#This Row],[J16]]*Entrainement!$C73</f>
        <v>#VALUE!</v>
      </c>
      <c r="S85" s="117" t="e">
        <f>TabREP[[#This Row],[J17]]*Entrainement!$C73</f>
        <v>#VALUE!</v>
      </c>
      <c r="T85" s="117" t="e">
        <f>TabREP[[#This Row],[J18]]*Entrainement!$C73</f>
        <v>#VALUE!</v>
      </c>
      <c r="U85" s="117" t="e">
        <f>TabREP[[#This Row],[J19]]*Entrainement!$C73</f>
        <v>#VALUE!</v>
      </c>
      <c r="V85" s="117" t="e">
        <f>TabREP[[#This Row],[J20]]*Entrainement!$C73</f>
        <v>#VALUE!</v>
      </c>
      <c r="W85" s="117" t="e">
        <f>TabREP[[#This Row],[J21]]*Entrainement!$C73</f>
        <v>#VALUE!</v>
      </c>
      <c r="X85" s="117" t="e">
        <f>TabREP[[#This Row],[J22]]*Entrainement!$C73</f>
        <v>#VALUE!</v>
      </c>
      <c r="Y85" s="117" t="e">
        <f>TabREP[[#This Row],[J23]]*Entrainement!$C73</f>
        <v>#VALUE!</v>
      </c>
      <c r="Z85" s="117" t="e">
        <f>TabREP[[#This Row],[J24]]*Entrainement!$C73</f>
        <v>#VALUE!</v>
      </c>
      <c r="AA85" s="117" t="e">
        <f>TabREP[[#This Row],[J25]]*Entrainement!$C73</f>
        <v>#VALUE!</v>
      </c>
      <c r="AB85" s="117" t="e">
        <f>TabREP[[#This Row],[J26]]*Entrainement!$C73</f>
        <v>#VALUE!</v>
      </c>
      <c r="AC85" s="117" t="e">
        <f>TabREP[[#This Row],[J27]]*Entrainement!$C73</f>
        <v>#VALUE!</v>
      </c>
      <c r="AD85" s="117" t="e">
        <f>TabREP[[#This Row],[J28]]*Entrainement!$C73</f>
        <v>#VALUE!</v>
      </c>
      <c r="AE85" s="117" t="e">
        <f>TabREP[[#This Row],[J29]]*Entrainement!$C73</f>
        <v>#VALUE!</v>
      </c>
      <c r="AF85" s="117" t="e">
        <f>TabREP[[#This Row],[J30]]*Entrainement!$C73</f>
        <v>#VALUE!</v>
      </c>
      <c r="AG85" s="250" t="str">
        <f>'Charges collective'!E77</f>
        <v/>
      </c>
      <c r="AH85" s="49"/>
      <c r="AI85" s="48"/>
    </row>
    <row r="86" spans="2:35" ht="14.25">
      <c r="B86" s="248" t="str">
        <f>IF(INDEX(TabEntrainement[Seance],ROW()-18)&lt;&gt;0,INDEX(TabEntrainement[Seance],ROW()-18),"")</f>
        <v/>
      </c>
      <c r="C86" s="117" t="e">
        <f>TabREP[[#This Row],[J1]]*Entrainement!C74</f>
        <v>#VALUE!</v>
      </c>
      <c r="D86" s="117" t="e">
        <f>TabREP[[#This Row],[J2]]*Entrainement!C74</f>
        <v>#VALUE!</v>
      </c>
      <c r="E86" s="117" t="e">
        <f>TabREP[[#This Row],[J3]]*Entrainement!$C74</f>
        <v>#VALUE!</v>
      </c>
      <c r="F86" s="117" t="e">
        <f>TabREP[[#This Row],[J4]]*Entrainement!$C74</f>
        <v>#VALUE!</v>
      </c>
      <c r="G86" s="117" t="e">
        <f>TabREP[[#This Row],[J5]]*Entrainement!$C74</f>
        <v>#VALUE!</v>
      </c>
      <c r="H86" s="117" t="e">
        <f>TabREP[[#This Row],[J6]]*Entrainement!$C74</f>
        <v>#VALUE!</v>
      </c>
      <c r="I86" s="117" t="e">
        <f>TabREP[[#This Row],[J7]]*Entrainement!$C74</f>
        <v>#VALUE!</v>
      </c>
      <c r="J86" s="117" t="e">
        <f>TabREP[[#This Row],[J8]]*Entrainement!$C74</f>
        <v>#VALUE!</v>
      </c>
      <c r="K86" s="117" t="e">
        <f>TabREP[[#This Row],[J9]]*Entrainement!$C74</f>
        <v>#VALUE!</v>
      </c>
      <c r="L86" s="117" t="e">
        <f>TabREP[[#This Row],[J10]]*Entrainement!$C74</f>
        <v>#VALUE!</v>
      </c>
      <c r="M86" s="117" t="e">
        <f>TabREP[[#This Row],[J11]]*Entrainement!$C74</f>
        <v>#VALUE!</v>
      </c>
      <c r="N86" s="117" t="e">
        <f>TabREP[[#This Row],[J12]]*Entrainement!$C74</f>
        <v>#VALUE!</v>
      </c>
      <c r="O86" s="117" t="e">
        <f>TabREP[[#This Row],[J13]]*Entrainement!$C74</f>
        <v>#VALUE!</v>
      </c>
      <c r="P86" s="117" t="e">
        <f>TabREP[[#This Row],[J14]]*Entrainement!$C74</f>
        <v>#VALUE!</v>
      </c>
      <c r="Q86" s="117" t="e">
        <f>TabREP[[#This Row],[J15]]*Entrainement!$C74</f>
        <v>#VALUE!</v>
      </c>
      <c r="R86" s="117" t="e">
        <f>TabREP[[#This Row],[J16]]*Entrainement!$C74</f>
        <v>#VALUE!</v>
      </c>
      <c r="S86" s="117" t="e">
        <f>TabREP[[#This Row],[J17]]*Entrainement!$C74</f>
        <v>#VALUE!</v>
      </c>
      <c r="T86" s="117" t="e">
        <f>TabREP[[#This Row],[J18]]*Entrainement!$C74</f>
        <v>#VALUE!</v>
      </c>
      <c r="U86" s="117" t="e">
        <f>TabREP[[#This Row],[J19]]*Entrainement!$C74</f>
        <v>#VALUE!</v>
      </c>
      <c r="V86" s="117" t="e">
        <f>TabREP[[#This Row],[J20]]*Entrainement!$C74</f>
        <v>#VALUE!</v>
      </c>
      <c r="W86" s="117" t="e">
        <f>TabREP[[#This Row],[J21]]*Entrainement!$C74</f>
        <v>#VALUE!</v>
      </c>
      <c r="X86" s="117" t="e">
        <f>TabREP[[#This Row],[J22]]*Entrainement!$C74</f>
        <v>#VALUE!</v>
      </c>
      <c r="Y86" s="117" t="e">
        <f>TabREP[[#This Row],[J23]]*Entrainement!$C74</f>
        <v>#VALUE!</v>
      </c>
      <c r="Z86" s="117" t="e">
        <f>TabREP[[#This Row],[J24]]*Entrainement!$C74</f>
        <v>#VALUE!</v>
      </c>
      <c r="AA86" s="117" t="e">
        <f>TabREP[[#This Row],[J25]]*Entrainement!$C74</f>
        <v>#VALUE!</v>
      </c>
      <c r="AB86" s="117" t="e">
        <f>TabREP[[#This Row],[J26]]*Entrainement!$C74</f>
        <v>#VALUE!</v>
      </c>
      <c r="AC86" s="117" t="e">
        <f>TabREP[[#This Row],[J27]]*Entrainement!$C74</f>
        <v>#VALUE!</v>
      </c>
      <c r="AD86" s="117" t="e">
        <f>TabREP[[#This Row],[J28]]*Entrainement!$C74</f>
        <v>#VALUE!</v>
      </c>
      <c r="AE86" s="117" t="e">
        <f>TabREP[[#This Row],[J29]]*Entrainement!$C74</f>
        <v>#VALUE!</v>
      </c>
      <c r="AF86" s="117" t="e">
        <f>TabREP[[#This Row],[J30]]*Entrainement!$C74</f>
        <v>#VALUE!</v>
      </c>
      <c r="AG86" s="250" t="str">
        <f>'Charges collective'!E78</f>
        <v/>
      </c>
      <c r="AH86" s="49"/>
      <c r="AI86" s="48"/>
    </row>
    <row r="87" spans="2:35" ht="14.25">
      <c r="B87" s="248" t="str">
        <f>IF(INDEX(TabEntrainement[Seance],ROW()-18)&lt;&gt;0,INDEX(TabEntrainement[Seance],ROW()-18),"")</f>
        <v/>
      </c>
      <c r="C87" s="117" t="e">
        <f>TabREP[[#This Row],[J1]]*Entrainement!C75</f>
        <v>#VALUE!</v>
      </c>
      <c r="D87" s="117" t="e">
        <f>TabREP[[#This Row],[J2]]*Entrainement!C75</f>
        <v>#VALUE!</v>
      </c>
      <c r="E87" s="117" t="e">
        <f>TabREP[[#This Row],[J3]]*Entrainement!$C75</f>
        <v>#VALUE!</v>
      </c>
      <c r="F87" s="117" t="e">
        <f>TabREP[[#This Row],[J4]]*Entrainement!$C75</f>
        <v>#VALUE!</v>
      </c>
      <c r="G87" s="117" t="e">
        <f>TabREP[[#This Row],[J5]]*Entrainement!$C75</f>
        <v>#VALUE!</v>
      </c>
      <c r="H87" s="117" t="e">
        <f>TabREP[[#This Row],[J6]]*Entrainement!$C75</f>
        <v>#VALUE!</v>
      </c>
      <c r="I87" s="117" t="e">
        <f>TabREP[[#This Row],[J7]]*Entrainement!$C75</f>
        <v>#VALUE!</v>
      </c>
      <c r="J87" s="117" t="e">
        <f>TabREP[[#This Row],[J8]]*Entrainement!$C75</f>
        <v>#VALUE!</v>
      </c>
      <c r="K87" s="117" t="e">
        <f>TabREP[[#This Row],[J9]]*Entrainement!$C75</f>
        <v>#VALUE!</v>
      </c>
      <c r="L87" s="117" t="e">
        <f>TabREP[[#This Row],[J10]]*Entrainement!$C75</f>
        <v>#VALUE!</v>
      </c>
      <c r="M87" s="117" t="e">
        <f>TabREP[[#This Row],[J11]]*Entrainement!$C75</f>
        <v>#VALUE!</v>
      </c>
      <c r="N87" s="117" t="e">
        <f>TabREP[[#This Row],[J12]]*Entrainement!$C75</f>
        <v>#VALUE!</v>
      </c>
      <c r="O87" s="117" t="e">
        <f>TabREP[[#This Row],[J13]]*Entrainement!$C75</f>
        <v>#VALUE!</v>
      </c>
      <c r="P87" s="117" t="e">
        <f>TabREP[[#This Row],[J14]]*Entrainement!$C75</f>
        <v>#VALUE!</v>
      </c>
      <c r="Q87" s="117" t="e">
        <f>TabREP[[#This Row],[J15]]*Entrainement!$C75</f>
        <v>#VALUE!</v>
      </c>
      <c r="R87" s="117" t="e">
        <f>TabREP[[#This Row],[J16]]*Entrainement!$C75</f>
        <v>#VALUE!</v>
      </c>
      <c r="S87" s="117" t="e">
        <f>TabREP[[#This Row],[J17]]*Entrainement!$C75</f>
        <v>#VALUE!</v>
      </c>
      <c r="T87" s="117" t="e">
        <f>TabREP[[#This Row],[J18]]*Entrainement!$C75</f>
        <v>#VALUE!</v>
      </c>
      <c r="U87" s="117" t="e">
        <f>TabREP[[#This Row],[J19]]*Entrainement!$C75</f>
        <v>#VALUE!</v>
      </c>
      <c r="V87" s="117" t="e">
        <f>TabREP[[#This Row],[J20]]*Entrainement!$C75</f>
        <v>#VALUE!</v>
      </c>
      <c r="W87" s="117" t="e">
        <f>TabREP[[#This Row],[J21]]*Entrainement!$C75</f>
        <v>#VALUE!</v>
      </c>
      <c r="X87" s="117" t="e">
        <f>TabREP[[#This Row],[J22]]*Entrainement!$C75</f>
        <v>#VALUE!</v>
      </c>
      <c r="Y87" s="117" t="e">
        <f>TabREP[[#This Row],[J23]]*Entrainement!$C75</f>
        <v>#VALUE!</v>
      </c>
      <c r="Z87" s="117" t="e">
        <f>TabREP[[#This Row],[J24]]*Entrainement!$C75</f>
        <v>#VALUE!</v>
      </c>
      <c r="AA87" s="117" t="e">
        <f>TabREP[[#This Row],[J25]]*Entrainement!$C75</f>
        <v>#VALUE!</v>
      </c>
      <c r="AB87" s="117" t="e">
        <f>TabREP[[#This Row],[J26]]*Entrainement!$C75</f>
        <v>#VALUE!</v>
      </c>
      <c r="AC87" s="117" t="e">
        <f>TabREP[[#This Row],[J27]]*Entrainement!$C75</f>
        <v>#VALUE!</v>
      </c>
      <c r="AD87" s="117" t="e">
        <f>TabREP[[#This Row],[J28]]*Entrainement!$C75</f>
        <v>#VALUE!</v>
      </c>
      <c r="AE87" s="117" t="e">
        <f>TabREP[[#This Row],[J29]]*Entrainement!$C75</f>
        <v>#VALUE!</v>
      </c>
      <c r="AF87" s="117" t="e">
        <f>TabREP[[#This Row],[J30]]*Entrainement!$C75</f>
        <v>#VALUE!</v>
      </c>
      <c r="AG87" s="250" t="str">
        <f>'Charges collective'!E79</f>
        <v/>
      </c>
      <c r="AH87" s="49"/>
      <c r="AI87" s="48"/>
    </row>
    <row r="88" spans="2:35" ht="14.25">
      <c r="B88" s="248" t="str">
        <f>IF(INDEX(TabEntrainement[Seance],ROW()-18)&lt;&gt;0,INDEX(TabEntrainement[Seance],ROW()-18),"")</f>
        <v/>
      </c>
      <c r="C88" s="117" t="e">
        <f>TabREP[[#This Row],[J1]]*Entrainement!C76</f>
        <v>#VALUE!</v>
      </c>
      <c r="D88" s="117" t="e">
        <f>TabREP[[#This Row],[J2]]*Entrainement!C76</f>
        <v>#VALUE!</v>
      </c>
      <c r="E88" s="117" t="e">
        <f>TabREP[[#This Row],[J3]]*Entrainement!$C76</f>
        <v>#VALUE!</v>
      </c>
      <c r="F88" s="117" t="e">
        <f>TabREP[[#This Row],[J4]]*Entrainement!$C76</f>
        <v>#VALUE!</v>
      </c>
      <c r="G88" s="117" t="e">
        <f>TabREP[[#This Row],[J5]]*Entrainement!$C76</f>
        <v>#VALUE!</v>
      </c>
      <c r="H88" s="117" t="e">
        <f>TabREP[[#This Row],[J6]]*Entrainement!$C76</f>
        <v>#VALUE!</v>
      </c>
      <c r="I88" s="117" t="e">
        <f>TabREP[[#This Row],[J7]]*Entrainement!$C76</f>
        <v>#VALUE!</v>
      </c>
      <c r="J88" s="117" t="e">
        <f>TabREP[[#This Row],[J8]]*Entrainement!$C76</f>
        <v>#VALUE!</v>
      </c>
      <c r="K88" s="117" t="e">
        <f>TabREP[[#This Row],[J9]]*Entrainement!$C76</f>
        <v>#VALUE!</v>
      </c>
      <c r="L88" s="117" t="e">
        <f>TabREP[[#This Row],[J10]]*Entrainement!$C76</f>
        <v>#VALUE!</v>
      </c>
      <c r="M88" s="117" t="e">
        <f>TabREP[[#This Row],[J11]]*Entrainement!$C76</f>
        <v>#VALUE!</v>
      </c>
      <c r="N88" s="117" t="e">
        <f>TabREP[[#This Row],[J12]]*Entrainement!$C76</f>
        <v>#VALUE!</v>
      </c>
      <c r="O88" s="117" t="e">
        <f>TabREP[[#This Row],[J13]]*Entrainement!$C76</f>
        <v>#VALUE!</v>
      </c>
      <c r="P88" s="117" t="e">
        <f>TabREP[[#This Row],[J14]]*Entrainement!$C76</f>
        <v>#VALUE!</v>
      </c>
      <c r="Q88" s="117" t="e">
        <f>TabREP[[#This Row],[J15]]*Entrainement!$C76</f>
        <v>#VALUE!</v>
      </c>
      <c r="R88" s="117" t="e">
        <f>TabREP[[#This Row],[J16]]*Entrainement!$C76</f>
        <v>#VALUE!</v>
      </c>
      <c r="S88" s="117" t="e">
        <f>TabREP[[#This Row],[J17]]*Entrainement!$C76</f>
        <v>#VALUE!</v>
      </c>
      <c r="T88" s="117" t="e">
        <f>TabREP[[#This Row],[J18]]*Entrainement!$C76</f>
        <v>#VALUE!</v>
      </c>
      <c r="U88" s="117" t="e">
        <f>TabREP[[#This Row],[J19]]*Entrainement!$C76</f>
        <v>#VALUE!</v>
      </c>
      <c r="V88" s="117" t="e">
        <f>TabREP[[#This Row],[J20]]*Entrainement!$C76</f>
        <v>#VALUE!</v>
      </c>
      <c r="W88" s="117" t="e">
        <f>TabREP[[#This Row],[J21]]*Entrainement!$C76</f>
        <v>#VALUE!</v>
      </c>
      <c r="X88" s="117" t="e">
        <f>TabREP[[#This Row],[J22]]*Entrainement!$C76</f>
        <v>#VALUE!</v>
      </c>
      <c r="Y88" s="117" t="e">
        <f>TabREP[[#This Row],[J23]]*Entrainement!$C76</f>
        <v>#VALUE!</v>
      </c>
      <c r="Z88" s="117" t="e">
        <f>TabREP[[#This Row],[J24]]*Entrainement!$C76</f>
        <v>#VALUE!</v>
      </c>
      <c r="AA88" s="117" t="e">
        <f>TabREP[[#This Row],[J25]]*Entrainement!$C76</f>
        <v>#VALUE!</v>
      </c>
      <c r="AB88" s="117" t="e">
        <f>TabREP[[#This Row],[J26]]*Entrainement!$C76</f>
        <v>#VALUE!</v>
      </c>
      <c r="AC88" s="117" t="e">
        <f>TabREP[[#This Row],[J27]]*Entrainement!$C76</f>
        <v>#VALUE!</v>
      </c>
      <c r="AD88" s="117" t="e">
        <f>TabREP[[#This Row],[J28]]*Entrainement!$C76</f>
        <v>#VALUE!</v>
      </c>
      <c r="AE88" s="117" t="e">
        <f>TabREP[[#This Row],[J29]]*Entrainement!$C76</f>
        <v>#VALUE!</v>
      </c>
      <c r="AF88" s="117" t="e">
        <f>TabREP[[#This Row],[J30]]*Entrainement!$C76</f>
        <v>#VALUE!</v>
      </c>
      <c r="AG88" s="250" t="str">
        <f>'Charges collective'!E80</f>
        <v/>
      </c>
      <c r="AH88" s="49"/>
      <c r="AI88" s="48"/>
    </row>
    <row r="89" spans="2:35" ht="14.25">
      <c r="B89" s="248" t="str">
        <f>IF(INDEX(TabEntrainement[Seance],ROW()-18)&lt;&gt;0,INDEX(TabEntrainement[Seance],ROW()-18),"")</f>
        <v/>
      </c>
      <c r="C89" s="117" t="e">
        <f>TabREP[[#This Row],[J1]]*Entrainement!C77</f>
        <v>#VALUE!</v>
      </c>
      <c r="D89" s="117" t="e">
        <f>TabREP[[#This Row],[J2]]*Entrainement!C77</f>
        <v>#VALUE!</v>
      </c>
      <c r="E89" s="117" t="e">
        <f>TabREP[[#This Row],[J3]]*Entrainement!$C77</f>
        <v>#VALUE!</v>
      </c>
      <c r="F89" s="117" t="e">
        <f>TabREP[[#This Row],[J4]]*Entrainement!$C77</f>
        <v>#VALUE!</v>
      </c>
      <c r="G89" s="117" t="e">
        <f>TabREP[[#This Row],[J5]]*Entrainement!$C77</f>
        <v>#VALUE!</v>
      </c>
      <c r="H89" s="117" t="e">
        <f>TabREP[[#This Row],[J6]]*Entrainement!$C77</f>
        <v>#VALUE!</v>
      </c>
      <c r="I89" s="117" t="e">
        <f>TabREP[[#This Row],[J7]]*Entrainement!$C77</f>
        <v>#VALUE!</v>
      </c>
      <c r="J89" s="117" t="e">
        <f>TabREP[[#This Row],[J8]]*Entrainement!$C77</f>
        <v>#VALUE!</v>
      </c>
      <c r="K89" s="117" t="e">
        <f>TabREP[[#This Row],[J9]]*Entrainement!$C77</f>
        <v>#VALUE!</v>
      </c>
      <c r="L89" s="117" t="e">
        <f>TabREP[[#This Row],[J10]]*Entrainement!$C77</f>
        <v>#VALUE!</v>
      </c>
      <c r="M89" s="117" t="e">
        <f>TabREP[[#This Row],[J11]]*Entrainement!$C77</f>
        <v>#VALUE!</v>
      </c>
      <c r="N89" s="117" t="e">
        <f>TabREP[[#This Row],[J12]]*Entrainement!$C77</f>
        <v>#VALUE!</v>
      </c>
      <c r="O89" s="117" t="e">
        <f>TabREP[[#This Row],[J13]]*Entrainement!$C77</f>
        <v>#VALUE!</v>
      </c>
      <c r="P89" s="117" t="e">
        <f>TabREP[[#This Row],[J14]]*Entrainement!$C77</f>
        <v>#VALUE!</v>
      </c>
      <c r="Q89" s="117" t="e">
        <f>TabREP[[#This Row],[J15]]*Entrainement!$C77</f>
        <v>#VALUE!</v>
      </c>
      <c r="R89" s="117" t="e">
        <f>TabREP[[#This Row],[J16]]*Entrainement!$C77</f>
        <v>#VALUE!</v>
      </c>
      <c r="S89" s="117" t="e">
        <f>TabREP[[#This Row],[J17]]*Entrainement!$C77</f>
        <v>#VALUE!</v>
      </c>
      <c r="T89" s="117" t="e">
        <f>TabREP[[#This Row],[J18]]*Entrainement!$C77</f>
        <v>#VALUE!</v>
      </c>
      <c r="U89" s="117" t="e">
        <f>TabREP[[#This Row],[J19]]*Entrainement!$C77</f>
        <v>#VALUE!</v>
      </c>
      <c r="V89" s="117" t="e">
        <f>TabREP[[#This Row],[J20]]*Entrainement!$C77</f>
        <v>#VALUE!</v>
      </c>
      <c r="W89" s="117" t="e">
        <f>TabREP[[#This Row],[J21]]*Entrainement!$C77</f>
        <v>#VALUE!</v>
      </c>
      <c r="X89" s="117" t="e">
        <f>TabREP[[#This Row],[J22]]*Entrainement!$C77</f>
        <v>#VALUE!</v>
      </c>
      <c r="Y89" s="117" t="e">
        <f>TabREP[[#This Row],[J23]]*Entrainement!$C77</f>
        <v>#VALUE!</v>
      </c>
      <c r="Z89" s="117" t="e">
        <f>TabREP[[#This Row],[J24]]*Entrainement!$C77</f>
        <v>#VALUE!</v>
      </c>
      <c r="AA89" s="117" t="e">
        <f>TabREP[[#This Row],[J25]]*Entrainement!$C77</f>
        <v>#VALUE!</v>
      </c>
      <c r="AB89" s="117" t="e">
        <f>TabREP[[#This Row],[J26]]*Entrainement!$C77</f>
        <v>#VALUE!</v>
      </c>
      <c r="AC89" s="117" t="e">
        <f>TabREP[[#This Row],[J27]]*Entrainement!$C77</f>
        <v>#VALUE!</v>
      </c>
      <c r="AD89" s="117" t="e">
        <f>TabREP[[#This Row],[J28]]*Entrainement!$C77</f>
        <v>#VALUE!</v>
      </c>
      <c r="AE89" s="117" t="e">
        <f>TabREP[[#This Row],[J29]]*Entrainement!$C77</f>
        <v>#VALUE!</v>
      </c>
      <c r="AF89" s="117" t="e">
        <f>TabREP[[#This Row],[J30]]*Entrainement!$C77</f>
        <v>#VALUE!</v>
      </c>
      <c r="AG89" s="250" t="str">
        <f>'Charges collective'!E81</f>
        <v/>
      </c>
      <c r="AH89" s="49"/>
      <c r="AI89" s="48"/>
    </row>
    <row r="90" spans="2:35" ht="14.25">
      <c r="B90" s="248" t="str">
        <f>IF(INDEX(TabEntrainement[Seance],ROW()-18)&lt;&gt;0,INDEX(TabEntrainement[Seance],ROW()-18),"")</f>
        <v/>
      </c>
      <c r="C90" s="117" t="e">
        <f>TabREP[[#This Row],[J1]]*Entrainement!C78</f>
        <v>#VALUE!</v>
      </c>
      <c r="D90" s="117" t="e">
        <f>TabREP[[#This Row],[J2]]*Entrainement!C78</f>
        <v>#VALUE!</v>
      </c>
      <c r="E90" s="117" t="e">
        <f>TabREP[[#This Row],[J3]]*Entrainement!$C78</f>
        <v>#VALUE!</v>
      </c>
      <c r="F90" s="117" t="e">
        <f>TabREP[[#This Row],[J4]]*Entrainement!$C78</f>
        <v>#VALUE!</v>
      </c>
      <c r="G90" s="117" t="e">
        <f>TabREP[[#This Row],[J5]]*Entrainement!$C78</f>
        <v>#VALUE!</v>
      </c>
      <c r="H90" s="117" t="e">
        <f>TabREP[[#This Row],[J6]]*Entrainement!$C78</f>
        <v>#VALUE!</v>
      </c>
      <c r="I90" s="117" t="e">
        <f>TabREP[[#This Row],[J7]]*Entrainement!$C78</f>
        <v>#VALUE!</v>
      </c>
      <c r="J90" s="117" t="e">
        <f>TabREP[[#This Row],[J8]]*Entrainement!$C78</f>
        <v>#VALUE!</v>
      </c>
      <c r="K90" s="117" t="e">
        <f>TabREP[[#This Row],[J9]]*Entrainement!$C78</f>
        <v>#VALUE!</v>
      </c>
      <c r="L90" s="117" t="e">
        <f>TabREP[[#This Row],[J10]]*Entrainement!$C78</f>
        <v>#VALUE!</v>
      </c>
      <c r="M90" s="117" t="e">
        <f>TabREP[[#This Row],[J11]]*Entrainement!$C78</f>
        <v>#VALUE!</v>
      </c>
      <c r="N90" s="117" t="e">
        <f>TabREP[[#This Row],[J12]]*Entrainement!$C78</f>
        <v>#VALUE!</v>
      </c>
      <c r="O90" s="117" t="e">
        <f>TabREP[[#This Row],[J13]]*Entrainement!$C78</f>
        <v>#VALUE!</v>
      </c>
      <c r="P90" s="117" t="e">
        <f>TabREP[[#This Row],[J14]]*Entrainement!$C78</f>
        <v>#VALUE!</v>
      </c>
      <c r="Q90" s="117" t="e">
        <f>TabREP[[#This Row],[J15]]*Entrainement!$C78</f>
        <v>#VALUE!</v>
      </c>
      <c r="R90" s="117" t="e">
        <f>TabREP[[#This Row],[J16]]*Entrainement!$C78</f>
        <v>#VALUE!</v>
      </c>
      <c r="S90" s="117" t="e">
        <f>TabREP[[#This Row],[J17]]*Entrainement!$C78</f>
        <v>#VALUE!</v>
      </c>
      <c r="T90" s="117" t="e">
        <f>TabREP[[#This Row],[J18]]*Entrainement!$C78</f>
        <v>#VALUE!</v>
      </c>
      <c r="U90" s="117" t="e">
        <f>TabREP[[#This Row],[J19]]*Entrainement!$C78</f>
        <v>#VALUE!</v>
      </c>
      <c r="V90" s="117" t="e">
        <f>TabREP[[#This Row],[J20]]*Entrainement!$C78</f>
        <v>#VALUE!</v>
      </c>
      <c r="W90" s="117" t="e">
        <f>TabREP[[#This Row],[J21]]*Entrainement!$C78</f>
        <v>#VALUE!</v>
      </c>
      <c r="X90" s="117" t="e">
        <f>TabREP[[#This Row],[J22]]*Entrainement!$C78</f>
        <v>#VALUE!</v>
      </c>
      <c r="Y90" s="117" t="e">
        <f>TabREP[[#This Row],[J23]]*Entrainement!$C78</f>
        <v>#VALUE!</v>
      </c>
      <c r="Z90" s="117" t="e">
        <f>TabREP[[#This Row],[J24]]*Entrainement!$C78</f>
        <v>#VALUE!</v>
      </c>
      <c r="AA90" s="117" t="e">
        <f>TabREP[[#This Row],[J25]]*Entrainement!$C78</f>
        <v>#VALUE!</v>
      </c>
      <c r="AB90" s="117" t="e">
        <f>TabREP[[#This Row],[J26]]*Entrainement!$C78</f>
        <v>#VALUE!</v>
      </c>
      <c r="AC90" s="117" t="e">
        <f>TabREP[[#This Row],[J27]]*Entrainement!$C78</f>
        <v>#VALUE!</v>
      </c>
      <c r="AD90" s="117" t="e">
        <f>TabREP[[#This Row],[J28]]*Entrainement!$C78</f>
        <v>#VALUE!</v>
      </c>
      <c r="AE90" s="117" t="e">
        <f>TabREP[[#This Row],[J29]]*Entrainement!$C78</f>
        <v>#VALUE!</v>
      </c>
      <c r="AF90" s="117" t="e">
        <f>TabREP[[#This Row],[J30]]*Entrainement!$C78</f>
        <v>#VALUE!</v>
      </c>
      <c r="AG90" s="250" t="str">
        <f>'Charges collective'!E82</f>
        <v/>
      </c>
      <c r="AH90" s="49"/>
      <c r="AI90" s="48"/>
    </row>
    <row r="91" spans="2:35" ht="14.25">
      <c r="B91" s="248" t="str">
        <f>IF(INDEX(TabEntrainement[Seance],ROW()-18)&lt;&gt;0,INDEX(TabEntrainement[Seance],ROW()-18),"")</f>
        <v/>
      </c>
      <c r="C91" s="117" t="e">
        <f>TabREP[[#This Row],[J1]]*Entrainement!C79</f>
        <v>#VALUE!</v>
      </c>
      <c r="D91" s="117" t="e">
        <f>TabREP[[#This Row],[J2]]*Entrainement!C79</f>
        <v>#VALUE!</v>
      </c>
      <c r="E91" s="117" t="e">
        <f>TabREP[[#This Row],[J3]]*Entrainement!$C79</f>
        <v>#VALUE!</v>
      </c>
      <c r="F91" s="117" t="e">
        <f>TabREP[[#This Row],[J4]]*Entrainement!$C79</f>
        <v>#VALUE!</v>
      </c>
      <c r="G91" s="117" t="e">
        <f>TabREP[[#This Row],[J5]]*Entrainement!$C79</f>
        <v>#VALUE!</v>
      </c>
      <c r="H91" s="117" t="e">
        <f>TabREP[[#This Row],[J6]]*Entrainement!$C79</f>
        <v>#VALUE!</v>
      </c>
      <c r="I91" s="117" t="e">
        <f>TabREP[[#This Row],[J7]]*Entrainement!$C79</f>
        <v>#VALUE!</v>
      </c>
      <c r="J91" s="117" t="e">
        <f>TabREP[[#This Row],[J8]]*Entrainement!$C79</f>
        <v>#VALUE!</v>
      </c>
      <c r="K91" s="117" t="e">
        <f>TabREP[[#This Row],[J9]]*Entrainement!$C79</f>
        <v>#VALUE!</v>
      </c>
      <c r="L91" s="117" t="e">
        <f>TabREP[[#This Row],[J10]]*Entrainement!$C79</f>
        <v>#VALUE!</v>
      </c>
      <c r="M91" s="117" t="e">
        <f>TabREP[[#This Row],[J11]]*Entrainement!$C79</f>
        <v>#VALUE!</v>
      </c>
      <c r="N91" s="117" t="e">
        <f>TabREP[[#This Row],[J12]]*Entrainement!$C79</f>
        <v>#VALUE!</v>
      </c>
      <c r="O91" s="117" t="e">
        <f>TabREP[[#This Row],[J13]]*Entrainement!$C79</f>
        <v>#VALUE!</v>
      </c>
      <c r="P91" s="117" t="e">
        <f>TabREP[[#This Row],[J14]]*Entrainement!$C79</f>
        <v>#VALUE!</v>
      </c>
      <c r="Q91" s="117" t="e">
        <f>TabREP[[#This Row],[J15]]*Entrainement!$C79</f>
        <v>#VALUE!</v>
      </c>
      <c r="R91" s="117" t="e">
        <f>TabREP[[#This Row],[J16]]*Entrainement!$C79</f>
        <v>#VALUE!</v>
      </c>
      <c r="S91" s="117" t="e">
        <f>TabREP[[#This Row],[J17]]*Entrainement!$C79</f>
        <v>#VALUE!</v>
      </c>
      <c r="T91" s="117" t="e">
        <f>TabREP[[#This Row],[J18]]*Entrainement!$C79</f>
        <v>#VALUE!</v>
      </c>
      <c r="U91" s="117" t="e">
        <f>TabREP[[#This Row],[J19]]*Entrainement!$C79</f>
        <v>#VALUE!</v>
      </c>
      <c r="V91" s="117" t="e">
        <f>TabREP[[#This Row],[J20]]*Entrainement!$C79</f>
        <v>#VALUE!</v>
      </c>
      <c r="W91" s="117" t="e">
        <f>TabREP[[#This Row],[J21]]*Entrainement!$C79</f>
        <v>#VALUE!</v>
      </c>
      <c r="X91" s="117" t="e">
        <f>TabREP[[#This Row],[J22]]*Entrainement!$C79</f>
        <v>#VALUE!</v>
      </c>
      <c r="Y91" s="117" t="e">
        <f>TabREP[[#This Row],[J23]]*Entrainement!$C79</f>
        <v>#VALUE!</v>
      </c>
      <c r="Z91" s="117" t="e">
        <f>TabREP[[#This Row],[J24]]*Entrainement!$C79</f>
        <v>#VALUE!</v>
      </c>
      <c r="AA91" s="117" t="e">
        <f>TabREP[[#This Row],[J25]]*Entrainement!$C79</f>
        <v>#VALUE!</v>
      </c>
      <c r="AB91" s="117" t="e">
        <f>TabREP[[#This Row],[J26]]*Entrainement!$C79</f>
        <v>#VALUE!</v>
      </c>
      <c r="AC91" s="117" t="e">
        <f>TabREP[[#This Row],[J27]]*Entrainement!$C79</f>
        <v>#VALUE!</v>
      </c>
      <c r="AD91" s="117" t="e">
        <f>TabREP[[#This Row],[J28]]*Entrainement!$C79</f>
        <v>#VALUE!</v>
      </c>
      <c r="AE91" s="117" t="e">
        <f>TabREP[[#This Row],[J29]]*Entrainement!$C79</f>
        <v>#VALUE!</v>
      </c>
      <c r="AF91" s="117" t="e">
        <f>TabREP[[#This Row],[J30]]*Entrainement!$C79</f>
        <v>#VALUE!</v>
      </c>
      <c r="AG91" s="250" t="str">
        <f>'Charges collective'!E83</f>
        <v/>
      </c>
      <c r="AH91" s="49"/>
      <c r="AI91" s="48"/>
    </row>
    <row r="92" spans="2:35" ht="14.25">
      <c r="B92" s="248" t="str">
        <f>IF(INDEX(TabEntrainement[Seance],ROW()-18)&lt;&gt;0,INDEX(TabEntrainement[Seance],ROW()-18),"")</f>
        <v/>
      </c>
      <c r="C92" s="117" t="e">
        <f>TabREP[[#This Row],[J1]]*Entrainement!C80</f>
        <v>#VALUE!</v>
      </c>
      <c r="D92" s="117" t="e">
        <f>TabREP[[#This Row],[J2]]*Entrainement!C80</f>
        <v>#VALUE!</v>
      </c>
      <c r="E92" s="117" t="e">
        <f>TabREP[[#This Row],[J3]]*Entrainement!$C80</f>
        <v>#VALUE!</v>
      </c>
      <c r="F92" s="117" t="e">
        <f>TabREP[[#This Row],[J4]]*Entrainement!$C80</f>
        <v>#VALUE!</v>
      </c>
      <c r="G92" s="117" t="e">
        <f>TabREP[[#This Row],[J5]]*Entrainement!$C80</f>
        <v>#VALUE!</v>
      </c>
      <c r="H92" s="117" t="e">
        <f>TabREP[[#This Row],[J6]]*Entrainement!$C80</f>
        <v>#VALUE!</v>
      </c>
      <c r="I92" s="117" t="e">
        <f>TabREP[[#This Row],[J7]]*Entrainement!$C80</f>
        <v>#VALUE!</v>
      </c>
      <c r="J92" s="117" t="e">
        <f>TabREP[[#This Row],[J8]]*Entrainement!$C80</f>
        <v>#VALUE!</v>
      </c>
      <c r="K92" s="117" t="e">
        <f>TabREP[[#This Row],[J9]]*Entrainement!$C80</f>
        <v>#VALUE!</v>
      </c>
      <c r="L92" s="117" t="e">
        <f>TabREP[[#This Row],[J10]]*Entrainement!$C80</f>
        <v>#VALUE!</v>
      </c>
      <c r="M92" s="117" t="e">
        <f>TabREP[[#This Row],[J11]]*Entrainement!$C80</f>
        <v>#VALUE!</v>
      </c>
      <c r="N92" s="117" t="e">
        <f>TabREP[[#This Row],[J12]]*Entrainement!$C80</f>
        <v>#VALUE!</v>
      </c>
      <c r="O92" s="117" t="e">
        <f>TabREP[[#This Row],[J13]]*Entrainement!$C80</f>
        <v>#VALUE!</v>
      </c>
      <c r="P92" s="117" t="e">
        <f>TabREP[[#This Row],[J14]]*Entrainement!$C80</f>
        <v>#VALUE!</v>
      </c>
      <c r="Q92" s="117" t="e">
        <f>TabREP[[#This Row],[J15]]*Entrainement!$C80</f>
        <v>#VALUE!</v>
      </c>
      <c r="R92" s="117" t="e">
        <f>TabREP[[#This Row],[J16]]*Entrainement!$C80</f>
        <v>#VALUE!</v>
      </c>
      <c r="S92" s="117" t="e">
        <f>TabREP[[#This Row],[J17]]*Entrainement!$C80</f>
        <v>#VALUE!</v>
      </c>
      <c r="T92" s="117" t="e">
        <f>TabREP[[#This Row],[J18]]*Entrainement!$C80</f>
        <v>#VALUE!</v>
      </c>
      <c r="U92" s="117" t="e">
        <f>TabREP[[#This Row],[J19]]*Entrainement!$C80</f>
        <v>#VALUE!</v>
      </c>
      <c r="V92" s="117" t="e">
        <f>TabREP[[#This Row],[J20]]*Entrainement!$C80</f>
        <v>#VALUE!</v>
      </c>
      <c r="W92" s="117" t="e">
        <f>TabREP[[#This Row],[J21]]*Entrainement!$C80</f>
        <v>#VALUE!</v>
      </c>
      <c r="X92" s="117" t="e">
        <f>TabREP[[#This Row],[J22]]*Entrainement!$C80</f>
        <v>#VALUE!</v>
      </c>
      <c r="Y92" s="117" t="e">
        <f>TabREP[[#This Row],[J23]]*Entrainement!$C80</f>
        <v>#VALUE!</v>
      </c>
      <c r="Z92" s="117" t="e">
        <f>TabREP[[#This Row],[J24]]*Entrainement!$C80</f>
        <v>#VALUE!</v>
      </c>
      <c r="AA92" s="117" t="e">
        <f>TabREP[[#This Row],[J25]]*Entrainement!$C80</f>
        <v>#VALUE!</v>
      </c>
      <c r="AB92" s="117" t="e">
        <f>TabREP[[#This Row],[J26]]*Entrainement!$C80</f>
        <v>#VALUE!</v>
      </c>
      <c r="AC92" s="117" t="e">
        <f>TabREP[[#This Row],[J27]]*Entrainement!$C80</f>
        <v>#VALUE!</v>
      </c>
      <c r="AD92" s="117" t="e">
        <f>TabREP[[#This Row],[J28]]*Entrainement!$C80</f>
        <v>#VALUE!</v>
      </c>
      <c r="AE92" s="117" t="e">
        <f>TabREP[[#This Row],[J29]]*Entrainement!$C80</f>
        <v>#VALUE!</v>
      </c>
      <c r="AF92" s="117" t="e">
        <f>TabREP[[#This Row],[J30]]*Entrainement!$C80</f>
        <v>#VALUE!</v>
      </c>
      <c r="AG92" s="250" t="str">
        <f>'Charges collective'!E84</f>
        <v/>
      </c>
      <c r="AH92" s="49"/>
      <c r="AI92" s="48"/>
    </row>
    <row r="93" spans="2:35" ht="14.25">
      <c r="B93" s="248" t="str">
        <f>IF(INDEX(TabEntrainement[Seance],ROW()-18)&lt;&gt;0,INDEX(TabEntrainement[Seance],ROW()-18),"")</f>
        <v/>
      </c>
      <c r="C93" s="117" t="e">
        <f>TabREP[[#This Row],[J1]]*Entrainement!C81</f>
        <v>#VALUE!</v>
      </c>
      <c r="D93" s="117" t="e">
        <f>TabREP[[#This Row],[J2]]*Entrainement!C81</f>
        <v>#VALUE!</v>
      </c>
      <c r="E93" s="117" t="e">
        <f>TabREP[[#This Row],[J3]]*Entrainement!$C81</f>
        <v>#VALUE!</v>
      </c>
      <c r="F93" s="117" t="e">
        <f>TabREP[[#This Row],[J4]]*Entrainement!$C81</f>
        <v>#VALUE!</v>
      </c>
      <c r="G93" s="117" t="e">
        <f>TabREP[[#This Row],[J5]]*Entrainement!$C81</f>
        <v>#VALUE!</v>
      </c>
      <c r="H93" s="117" t="e">
        <f>TabREP[[#This Row],[J6]]*Entrainement!$C81</f>
        <v>#VALUE!</v>
      </c>
      <c r="I93" s="117" t="e">
        <f>TabREP[[#This Row],[J7]]*Entrainement!$C81</f>
        <v>#VALUE!</v>
      </c>
      <c r="J93" s="117" t="e">
        <f>TabREP[[#This Row],[J8]]*Entrainement!$C81</f>
        <v>#VALUE!</v>
      </c>
      <c r="K93" s="117" t="e">
        <f>TabREP[[#This Row],[J9]]*Entrainement!$C81</f>
        <v>#VALUE!</v>
      </c>
      <c r="L93" s="117" t="e">
        <f>TabREP[[#This Row],[J10]]*Entrainement!$C81</f>
        <v>#VALUE!</v>
      </c>
      <c r="M93" s="117" t="e">
        <f>TabREP[[#This Row],[J11]]*Entrainement!$C81</f>
        <v>#VALUE!</v>
      </c>
      <c r="N93" s="117" t="e">
        <f>TabREP[[#This Row],[J12]]*Entrainement!$C81</f>
        <v>#VALUE!</v>
      </c>
      <c r="O93" s="117" t="e">
        <f>TabREP[[#This Row],[J13]]*Entrainement!$C81</f>
        <v>#VALUE!</v>
      </c>
      <c r="P93" s="117" t="e">
        <f>TabREP[[#This Row],[J14]]*Entrainement!$C81</f>
        <v>#VALUE!</v>
      </c>
      <c r="Q93" s="117" t="e">
        <f>TabREP[[#This Row],[J15]]*Entrainement!$C81</f>
        <v>#VALUE!</v>
      </c>
      <c r="R93" s="117" t="e">
        <f>TabREP[[#This Row],[J16]]*Entrainement!$C81</f>
        <v>#VALUE!</v>
      </c>
      <c r="S93" s="117" t="e">
        <f>TabREP[[#This Row],[J17]]*Entrainement!$C81</f>
        <v>#VALUE!</v>
      </c>
      <c r="T93" s="117" t="e">
        <f>TabREP[[#This Row],[J18]]*Entrainement!$C81</f>
        <v>#VALUE!</v>
      </c>
      <c r="U93" s="117" t="e">
        <f>TabREP[[#This Row],[J19]]*Entrainement!$C81</f>
        <v>#VALUE!</v>
      </c>
      <c r="V93" s="117" t="e">
        <f>TabREP[[#This Row],[J20]]*Entrainement!$C81</f>
        <v>#VALUE!</v>
      </c>
      <c r="W93" s="117" t="e">
        <f>TabREP[[#This Row],[J21]]*Entrainement!$C81</f>
        <v>#VALUE!</v>
      </c>
      <c r="X93" s="117" t="e">
        <f>TabREP[[#This Row],[J22]]*Entrainement!$C81</f>
        <v>#VALUE!</v>
      </c>
      <c r="Y93" s="117" t="e">
        <f>TabREP[[#This Row],[J23]]*Entrainement!$C81</f>
        <v>#VALUE!</v>
      </c>
      <c r="Z93" s="117" t="e">
        <f>TabREP[[#This Row],[J24]]*Entrainement!$C81</f>
        <v>#VALUE!</v>
      </c>
      <c r="AA93" s="117" t="e">
        <f>TabREP[[#This Row],[J25]]*Entrainement!$C81</f>
        <v>#VALUE!</v>
      </c>
      <c r="AB93" s="117" t="e">
        <f>TabREP[[#This Row],[J26]]*Entrainement!$C81</f>
        <v>#VALUE!</v>
      </c>
      <c r="AC93" s="117" t="e">
        <f>TabREP[[#This Row],[J27]]*Entrainement!$C81</f>
        <v>#VALUE!</v>
      </c>
      <c r="AD93" s="117" t="e">
        <f>TabREP[[#This Row],[J28]]*Entrainement!$C81</f>
        <v>#VALUE!</v>
      </c>
      <c r="AE93" s="117" t="e">
        <f>TabREP[[#This Row],[J29]]*Entrainement!$C81</f>
        <v>#VALUE!</v>
      </c>
      <c r="AF93" s="117" t="e">
        <f>TabREP[[#This Row],[J30]]*Entrainement!$C81</f>
        <v>#VALUE!</v>
      </c>
      <c r="AG93" s="250" t="str">
        <f>'Charges collective'!E85</f>
        <v/>
      </c>
      <c r="AH93" s="49"/>
      <c r="AI93" s="48"/>
    </row>
    <row r="94" spans="2:35" ht="14.25">
      <c r="B94" s="248" t="str">
        <f>IF(INDEX(TabEntrainement[Seance],ROW()-18)&lt;&gt;0,INDEX(TabEntrainement[Seance],ROW()-18),"")</f>
        <v/>
      </c>
      <c r="C94" s="117" t="e">
        <f>TabREP[[#This Row],[J1]]*Entrainement!C82</f>
        <v>#VALUE!</v>
      </c>
      <c r="D94" s="117" t="e">
        <f>TabREP[[#This Row],[J2]]*Entrainement!C82</f>
        <v>#VALUE!</v>
      </c>
      <c r="E94" s="117" t="e">
        <f>TabREP[[#This Row],[J3]]*Entrainement!$C82</f>
        <v>#VALUE!</v>
      </c>
      <c r="F94" s="117" t="e">
        <f>TabREP[[#This Row],[J4]]*Entrainement!$C82</f>
        <v>#VALUE!</v>
      </c>
      <c r="G94" s="117" t="e">
        <f>TabREP[[#This Row],[J5]]*Entrainement!$C82</f>
        <v>#VALUE!</v>
      </c>
      <c r="H94" s="117" t="e">
        <f>TabREP[[#This Row],[J6]]*Entrainement!$C82</f>
        <v>#VALUE!</v>
      </c>
      <c r="I94" s="117" t="e">
        <f>TabREP[[#This Row],[J7]]*Entrainement!$C82</f>
        <v>#VALUE!</v>
      </c>
      <c r="J94" s="117" t="e">
        <f>TabREP[[#This Row],[J8]]*Entrainement!$C82</f>
        <v>#VALUE!</v>
      </c>
      <c r="K94" s="117" t="e">
        <f>TabREP[[#This Row],[J9]]*Entrainement!$C82</f>
        <v>#VALUE!</v>
      </c>
      <c r="L94" s="117" t="e">
        <f>TabREP[[#This Row],[J10]]*Entrainement!$C82</f>
        <v>#VALUE!</v>
      </c>
      <c r="M94" s="117" t="e">
        <f>TabREP[[#This Row],[J11]]*Entrainement!$C82</f>
        <v>#VALUE!</v>
      </c>
      <c r="N94" s="117" t="e">
        <f>TabREP[[#This Row],[J12]]*Entrainement!$C82</f>
        <v>#VALUE!</v>
      </c>
      <c r="O94" s="117" t="e">
        <f>TabREP[[#This Row],[J13]]*Entrainement!$C82</f>
        <v>#VALUE!</v>
      </c>
      <c r="P94" s="117" t="e">
        <f>TabREP[[#This Row],[J14]]*Entrainement!$C82</f>
        <v>#VALUE!</v>
      </c>
      <c r="Q94" s="117" t="e">
        <f>TabREP[[#This Row],[J15]]*Entrainement!$C82</f>
        <v>#VALUE!</v>
      </c>
      <c r="R94" s="117" t="e">
        <f>TabREP[[#This Row],[J16]]*Entrainement!$C82</f>
        <v>#VALUE!</v>
      </c>
      <c r="S94" s="117" t="e">
        <f>TabREP[[#This Row],[J17]]*Entrainement!$C82</f>
        <v>#VALUE!</v>
      </c>
      <c r="T94" s="117" t="e">
        <f>TabREP[[#This Row],[J18]]*Entrainement!$C82</f>
        <v>#VALUE!</v>
      </c>
      <c r="U94" s="117" t="e">
        <f>TabREP[[#This Row],[J19]]*Entrainement!$C82</f>
        <v>#VALUE!</v>
      </c>
      <c r="V94" s="117" t="e">
        <f>TabREP[[#This Row],[J20]]*Entrainement!$C82</f>
        <v>#VALUE!</v>
      </c>
      <c r="W94" s="117" t="e">
        <f>TabREP[[#This Row],[J21]]*Entrainement!$C82</f>
        <v>#VALUE!</v>
      </c>
      <c r="X94" s="117" t="e">
        <f>TabREP[[#This Row],[J22]]*Entrainement!$C82</f>
        <v>#VALUE!</v>
      </c>
      <c r="Y94" s="117" t="e">
        <f>TabREP[[#This Row],[J23]]*Entrainement!$C82</f>
        <v>#VALUE!</v>
      </c>
      <c r="Z94" s="117" t="e">
        <f>TabREP[[#This Row],[J24]]*Entrainement!$C82</f>
        <v>#VALUE!</v>
      </c>
      <c r="AA94" s="117" t="e">
        <f>TabREP[[#This Row],[J25]]*Entrainement!$C82</f>
        <v>#VALUE!</v>
      </c>
      <c r="AB94" s="117" t="e">
        <f>TabREP[[#This Row],[J26]]*Entrainement!$C82</f>
        <v>#VALUE!</v>
      </c>
      <c r="AC94" s="117" t="e">
        <f>TabREP[[#This Row],[J27]]*Entrainement!$C82</f>
        <v>#VALUE!</v>
      </c>
      <c r="AD94" s="117" t="e">
        <f>TabREP[[#This Row],[J28]]*Entrainement!$C82</f>
        <v>#VALUE!</v>
      </c>
      <c r="AE94" s="117" t="e">
        <f>TabREP[[#This Row],[J29]]*Entrainement!$C82</f>
        <v>#VALUE!</v>
      </c>
      <c r="AF94" s="117" t="e">
        <f>TabREP[[#This Row],[J30]]*Entrainement!$C82</f>
        <v>#VALUE!</v>
      </c>
      <c r="AG94" s="250" t="str">
        <f>'Charges collective'!E86</f>
        <v/>
      </c>
      <c r="AH94" s="49"/>
      <c r="AI94" s="48"/>
    </row>
    <row r="95" spans="2:35" ht="14.25">
      <c r="B95" s="248" t="str">
        <f>IF(INDEX(TabEntrainement[Seance],ROW()-18)&lt;&gt;0,INDEX(TabEntrainement[Seance],ROW()-18),"")</f>
        <v/>
      </c>
      <c r="C95" s="117" t="e">
        <f>TabREP[[#This Row],[J1]]*Entrainement!C83</f>
        <v>#VALUE!</v>
      </c>
      <c r="D95" s="117" t="e">
        <f>TabREP[[#This Row],[J2]]*Entrainement!C83</f>
        <v>#VALUE!</v>
      </c>
      <c r="E95" s="117" t="e">
        <f>TabREP[[#This Row],[J3]]*Entrainement!$C83</f>
        <v>#VALUE!</v>
      </c>
      <c r="F95" s="117" t="e">
        <f>TabREP[[#This Row],[J4]]*Entrainement!$C83</f>
        <v>#VALUE!</v>
      </c>
      <c r="G95" s="117" t="e">
        <f>TabREP[[#This Row],[J5]]*Entrainement!$C83</f>
        <v>#VALUE!</v>
      </c>
      <c r="H95" s="117" t="e">
        <f>TabREP[[#This Row],[J6]]*Entrainement!$C83</f>
        <v>#VALUE!</v>
      </c>
      <c r="I95" s="117" t="e">
        <f>TabREP[[#This Row],[J7]]*Entrainement!$C83</f>
        <v>#VALUE!</v>
      </c>
      <c r="J95" s="117" t="e">
        <f>TabREP[[#This Row],[J8]]*Entrainement!$C83</f>
        <v>#VALUE!</v>
      </c>
      <c r="K95" s="117" t="e">
        <f>TabREP[[#This Row],[J9]]*Entrainement!$C83</f>
        <v>#VALUE!</v>
      </c>
      <c r="L95" s="117" t="e">
        <f>TabREP[[#This Row],[J10]]*Entrainement!$C83</f>
        <v>#VALUE!</v>
      </c>
      <c r="M95" s="117" t="e">
        <f>TabREP[[#This Row],[J11]]*Entrainement!$C83</f>
        <v>#VALUE!</v>
      </c>
      <c r="N95" s="117" t="e">
        <f>TabREP[[#This Row],[J12]]*Entrainement!$C83</f>
        <v>#VALUE!</v>
      </c>
      <c r="O95" s="117" t="e">
        <f>TabREP[[#This Row],[J13]]*Entrainement!$C83</f>
        <v>#VALUE!</v>
      </c>
      <c r="P95" s="117" t="e">
        <f>TabREP[[#This Row],[J14]]*Entrainement!$C83</f>
        <v>#VALUE!</v>
      </c>
      <c r="Q95" s="117" t="e">
        <f>TabREP[[#This Row],[J15]]*Entrainement!$C83</f>
        <v>#VALUE!</v>
      </c>
      <c r="R95" s="117" t="e">
        <f>TabREP[[#This Row],[J16]]*Entrainement!$C83</f>
        <v>#VALUE!</v>
      </c>
      <c r="S95" s="117" t="e">
        <f>TabREP[[#This Row],[J17]]*Entrainement!$C83</f>
        <v>#VALUE!</v>
      </c>
      <c r="T95" s="117" t="e">
        <f>TabREP[[#This Row],[J18]]*Entrainement!$C83</f>
        <v>#VALUE!</v>
      </c>
      <c r="U95" s="117" t="e">
        <f>TabREP[[#This Row],[J19]]*Entrainement!$C83</f>
        <v>#VALUE!</v>
      </c>
      <c r="V95" s="117" t="e">
        <f>TabREP[[#This Row],[J20]]*Entrainement!$C83</f>
        <v>#VALUE!</v>
      </c>
      <c r="W95" s="117" t="e">
        <f>TabREP[[#This Row],[J21]]*Entrainement!$C83</f>
        <v>#VALUE!</v>
      </c>
      <c r="X95" s="117" t="e">
        <f>TabREP[[#This Row],[J22]]*Entrainement!$C83</f>
        <v>#VALUE!</v>
      </c>
      <c r="Y95" s="117" t="e">
        <f>TabREP[[#This Row],[J23]]*Entrainement!$C83</f>
        <v>#VALUE!</v>
      </c>
      <c r="Z95" s="117" t="e">
        <f>TabREP[[#This Row],[J24]]*Entrainement!$C83</f>
        <v>#VALUE!</v>
      </c>
      <c r="AA95" s="117" t="e">
        <f>TabREP[[#This Row],[J25]]*Entrainement!$C83</f>
        <v>#VALUE!</v>
      </c>
      <c r="AB95" s="117" t="e">
        <f>TabREP[[#This Row],[J26]]*Entrainement!$C83</f>
        <v>#VALUE!</v>
      </c>
      <c r="AC95" s="117" t="e">
        <f>TabREP[[#This Row],[J27]]*Entrainement!$C83</f>
        <v>#VALUE!</v>
      </c>
      <c r="AD95" s="117" t="e">
        <f>TabREP[[#This Row],[J28]]*Entrainement!$C83</f>
        <v>#VALUE!</v>
      </c>
      <c r="AE95" s="117" t="e">
        <f>TabREP[[#This Row],[J29]]*Entrainement!$C83</f>
        <v>#VALUE!</v>
      </c>
      <c r="AF95" s="117" t="e">
        <f>TabREP[[#This Row],[J30]]*Entrainement!$C83</f>
        <v>#VALUE!</v>
      </c>
      <c r="AG95" s="250" t="str">
        <f>'Charges collective'!E87</f>
        <v/>
      </c>
      <c r="AH95" s="49"/>
      <c r="AI95" s="48"/>
    </row>
    <row r="96" spans="2:35" ht="14.25">
      <c r="B96" s="248" t="str">
        <f>IF(INDEX(TabEntrainement[Seance],ROW()-18)&lt;&gt;0,INDEX(TabEntrainement[Seance],ROW()-18),"")</f>
        <v/>
      </c>
      <c r="C96" s="117" t="e">
        <f>TabREP[[#This Row],[J1]]*Entrainement!C84</f>
        <v>#VALUE!</v>
      </c>
      <c r="D96" s="117" t="e">
        <f>TabREP[[#This Row],[J2]]*Entrainement!C84</f>
        <v>#VALUE!</v>
      </c>
      <c r="E96" s="117" t="e">
        <f>TabREP[[#This Row],[J3]]*Entrainement!$C84</f>
        <v>#VALUE!</v>
      </c>
      <c r="F96" s="117" t="e">
        <f>TabREP[[#This Row],[J4]]*Entrainement!$C84</f>
        <v>#VALUE!</v>
      </c>
      <c r="G96" s="117" t="e">
        <f>TabREP[[#This Row],[J5]]*Entrainement!$C84</f>
        <v>#VALUE!</v>
      </c>
      <c r="H96" s="117" t="e">
        <f>TabREP[[#This Row],[J6]]*Entrainement!$C84</f>
        <v>#VALUE!</v>
      </c>
      <c r="I96" s="117" t="e">
        <f>TabREP[[#This Row],[J7]]*Entrainement!$C84</f>
        <v>#VALUE!</v>
      </c>
      <c r="J96" s="117" t="e">
        <f>TabREP[[#This Row],[J8]]*Entrainement!$C84</f>
        <v>#VALUE!</v>
      </c>
      <c r="K96" s="117" t="e">
        <f>TabREP[[#This Row],[J9]]*Entrainement!$C84</f>
        <v>#VALUE!</v>
      </c>
      <c r="L96" s="117" t="e">
        <f>TabREP[[#This Row],[J10]]*Entrainement!$C84</f>
        <v>#VALUE!</v>
      </c>
      <c r="M96" s="117" t="e">
        <f>TabREP[[#This Row],[J11]]*Entrainement!$C84</f>
        <v>#VALUE!</v>
      </c>
      <c r="N96" s="117" t="e">
        <f>TabREP[[#This Row],[J12]]*Entrainement!$C84</f>
        <v>#VALUE!</v>
      </c>
      <c r="O96" s="117" t="e">
        <f>TabREP[[#This Row],[J13]]*Entrainement!$C84</f>
        <v>#VALUE!</v>
      </c>
      <c r="P96" s="117" t="e">
        <f>TabREP[[#This Row],[J14]]*Entrainement!$C84</f>
        <v>#VALUE!</v>
      </c>
      <c r="Q96" s="117" t="e">
        <f>TabREP[[#This Row],[J15]]*Entrainement!$C84</f>
        <v>#VALUE!</v>
      </c>
      <c r="R96" s="117" t="e">
        <f>TabREP[[#This Row],[J16]]*Entrainement!$C84</f>
        <v>#VALUE!</v>
      </c>
      <c r="S96" s="117" t="e">
        <f>TabREP[[#This Row],[J17]]*Entrainement!$C84</f>
        <v>#VALUE!</v>
      </c>
      <c r="T96" s="117" t="e">
        <f>TabREP[[#This Row],[J18]]*Entrainement!$C84</f>
        <v>#VALUE!</v>
      </c>
      <c r="U96" s="117" t="e">
        <f>TabREP[[#This Row],[J19]]*Entrainement!$C84</f>
        <v>#VALUE!</v>
      </c>
      <c r="V96" s="117" t="e">
        <f>TabREP[[#This Row],[J20]]*Entrainement!$C84</f>
        <v>#VALUE!</v>
      </c>
      <c r="W96" s="117" t="e">
        <f>TabREP[[#This Row],[J21]]*Entrainement!$C84</f>
        <v>#VALUE!</v>
      </c>
      <c r="X96" s="117" t="e">
        <f>TabREP[[#This Row],[J22]]*Entrainement!$C84</f>
        <v>#VALUE!</v>
      </c>
      <c r="Y96" s="117" t="e">
        <f>TabREP[[#This Row],[J23]]*Entrainement!$C84</f>
        <v>#VALUE!</v>
      </c>
      <c r="Z96" s="117" t="e">
        <f>TabREP[[#This Row],[J24]]*Entrainement!$C84</f>
        <v>#VALUE!</v>
      </c>
      <c r="AA96" s="117" t="e">
        <f>TabREP[[#This Row],[J25]]*Entrainement!$C84</f>
        <v>#VALUE!</v>
      </c>
      <c r="AB96" s="117" t="e">
        <f>TabREP[[#This Row],[J26]]*Entrainement!$C84</f>
        <v>#VALUE!</v>
      </c>
      <c r="AC96" s="117" t="e">
        <f>TabREP[[#This Row],[J27]]*Entrainement!$C84</f>
        <v>#VALUE!</v>
      </c>
      <c r="AD96" s="117" t="e">
        <f>TabREP[[#This Row],[J28]]*Entrainement!$C84</f>
        <v>#VALUE!</v>
      </c>
      <c r="AE96" s="117" t="e">
        <f>TabREP[[#This Row],[J29]]*Entrainement!$C84</f>
        <v>#VALUE!</v>
      </c>
      <c r="AF96" s="117" t="e">
        <f>TabREP[[#This Row],[J30]]*Entrainement!$C84</f>
        <v>#VALUE!</v>
      </c>
      <c r="AG96" s="250" t="str">
        <f>'Charges collective'!E88</f>
        <v/>
      </c>
      <c r="AH96" s="49"/>
      <c r="AI96" s="48"/>
    </row>
    <row r="97" spans="2:35" ht="14.25">
      <c r="B97" s="248" t="str">
        <f>IF(INDEX(TabEntrainement[Seance],ROW()-18)&lt;&gt;0,INDEX(TabEntrainement[Seance],ROW()-18),"")</f>
        <v/>
      </c>
      <c r="C97" s="117" t="e">
        <f>TabREP[[#This Row],[J1]]*Entrainement!C85</f>
        <v>#VALUE!</v>
      </c>
      <c r="D97" s="117" t="e">
        <f>TabREP[[#This Row],[J2]]*Entrainement!C85</f>
        <v>#VALUE!</v>
      </c>
      <c r="E97" s="117" t="e">
        <f>TabREP[[#This Row],[J3]]*Entrainement!$C85</f>
        <v>#VALUE!</v>
      </c>
      <c r="F97" s="117" t="e">
        <f>TabREP[[#This Row],[J4]]*Entrainement!$C85</f>
        <v>#VALUE!</v>
      </c>
      <c r="G97" s="117" t="e">
        <f>TabREP[[#This Row],[J5]]*Entrainement!$C85</f>
        <v>#VALUE!</v>
      </c>
      <c r="H97" s="117" t="e">
        <f>TabREP[[#This Row],[J6]]*Entrainement!$C85</f>
        <v>#VALUE!</v>
      </c>
      <c r="I97" s="117" t="e">
        <f>TabREP[[#This Row],[J7]]*Entrainement!$C85</f>
        <v>#VALUE!</v>
      </c>
      <c r="J97" s="117" t="e">
        <f>TabREP[[#This Row],[J8]]*Entrainement!$C85</f>
        <v>#VALUE!</v>
      </c>
      <c r="K97" s="117" t="e">
        <f>TabREP[[#This Row],[J9]]*Entrainement!$C85</f>
        <v>#VALUE!</v>
      </c>
      <c r="L97" s="117" t="e">
        <f>TabREP[[#This Row],[J10]]*Entrainement!$C85</f>
        <v>#VALUE!</v>
      </c>
      <c r="M97" s="117" t="e">
        <f>TabREP[[#This Row],[J11]]*Entrainement!$C85</f>
        <v>#VALUE!</v>
      </c>
      <c r="N97" s="117" t="e">
        <f>TabREP[[#This Row],[J12]]*Entrainement!$C85</f>
        <v>#VALUE!</v>
      </c>
      <c r="O97" s="117" t="e">
        <f>TabREP[[#This Row],[J13]]*Entrainement!$C85</f>
        <v>#VALUE!</v>
      </c>
      <c r="P97" s="117" t="e">
        <f>TabREP[[#This Row],[J14]]*Entrainement!$C85</f>
        <v>#VALUE!</v>
      </c>
      <c r="Q97" s="117" t="e">
        <f>TabREP[[#This Row],[J15]]*Entrainement!$C85</f>
        <v>#VALUE!</v>
      </c>
      <c r="R97" s="117" t="e">
        <f>TabREP[[#This Row],[J16]]*Entrainement!$C85</f>
        <v>#VALUE!</v>
      </c>
      <c r="S97" s="117" t="e">
        <f>TabREP[[#This Row],[J17]]*Entrainement!$C85</f>
        <v>#VALUE!</v>
      </c>
      <c r="T97" s="117" t="e">
        <f>TabREP[[#This Row],[J18]]*Entrainement!$C85</f>
        <v>#VALUE!</v>
      </c>
      <c r="U97" s="117" t="e">
        <f>TabREP[[#This Row],[J19]]*Entrainement!$C85</f>
        <v>#VALUE!</v>
      </c>
      <c r="V97" s="117" t="e">
        <f>TabREP[[#This Row],[J20]]*Entrainement!$C85</f>
        <v>#VALUE!</v>
      </c>
      <c r="W97" s="117" t="e">
        <f>TabREP[[#This Row],[J21]]*Entrainement!$C85</f>
        <v>#VALUE!</v>
      </c>
      <c r="X97" s="117" t="e">
        <f>TabREP[[#This Row],[J22]]*Entrainement!$C85</f>
        <v>#VALUE!</v>
      </c>
      <c r="Y97" s="117" t="e">
        <f>TabREP[[#This Row],[J23]]*Entrainement!$C85</f>
        <v>#VALUE!</v>
      </c>
      <c r="Z97" s="117" t="e">
        <f>TabREP[[#This Row],[J24]]*Entrainement!$C85</f>
        <v>#VALUE!</v>
      </c>
      <c r="AA97" s="117" t="e">
        <f>TabREP[[#This Row],[J25]]*Entrainement!$C85</f>
        <v>#VALUE!</v>
      </c>
      <c r="AB97" s="117" t="e">
        <f>TabREP[[#This Row],[J26]]*Entrainement!$C85</f>
        <v>#VALUE!</v>
      </c>
      <c r="AC97" s="117" t="e">
        <f>TabREP[[#This Row],[J27]]*Entrainement!$C85</f>
        <v>#VALUE!</v>
      </c>
      <c r="AD97" s="117" t="e">
        <f>TabREP[[#This Row],[J28]]*Entrainement!$C85</f>
        <v>#VALUE!</v>
      </c>
      <c r="AE97" s="117" t="e">
        <f>TabREP[[#This Row],[J29]]*Entrainement!$C85</f>
        <v>#VALUE!</v>
      </c>
      <c r="AF97" s="117" t="e">
        <f>TabREP[[#This Row],[J30]]*Entrainement!$C85</f>
        <v>#VALUE!</v>
      </c>
      <c r="AG97" s="250" t="str">
        <f>'Charges collective'!E89</f>
        <v/>
      </c>
      <c r="AH97" s="49"/>
      <c r="AI97" s="48"/>
    </row>
    <row r="98" spans="2:35" ht="14.25">
      <c r="B98" s="248" t="str">
        <f>IF(INDEX(TabEntrainement[Seance],ROW()-18)&lt;&gt;0,INDEX(TabEntrainement[Seance],ROW()-18),"")</f>
        <v/>
      </c>
      <c r="C98" s="117" t="e">
        <f>TabREP[[#This Row],[J1]]*Entrainement!C86</f>
        <v>#VALUE!</v>
      </c>
      <c r="D98" s="117" t="e">
        <f>TabREP[[#This Row],[J2]]*Entrainement!C86</f>
        <v>#VALUE!</v>
      </c>
      <c r="E98" s="117" t="e">
        <f>TabREP[[#This Row],[J3]]*Entrainement!$C86</f>
        <v>#VALUE!</v>
      </c>
      <c r="F98" s="117" t="e">
        <f>TabREP[[#This Row],[J4]]*Entrainement!$C86</f>
        <v>#VALUE!</v>
      </c>
      <c r="G98" s="117" t="e">
        <f>TabREP[[#This Row],[J5]]*Entrainement!$C86</f>
        <v>#VALUE!</v>
      </c>
      <c r="H98" s="117" t="e">
        <f>TabREP[[#This Row],[J6]]*Entrainement!$C86</f>
        <v>#VALUE!</v>
      </c>
      <c r="I98" s="117" t="e">
        <f>TabREP[[#This Row],[J7]]*Entrainement!$C86</f>
        <v>#VALUE!</v>
      </c>
      <c r="J98" s="117" t="e">
        <f>TabREP[[#This Row],[J8]]*Entrainement!$C86</f>
        <v>#VALUE!</v>
      </c>
      <c r="K98" s="117" t="e">
        <f>TabREP[[#This Row],[J9]]*Entrainement!$C86</f>
        <v>#VALUE!</v>
      </c>
      <c r="L98" s="117" t="e">
        <f>TabREP[[#This Row],[J10]]*Entrainement!$C86</f>
        <v>#VALUE!</v>
      </c>
      <c r="M98" s="117" t="e">
        <f>TabREP[[#This Row],[J11]]*Entrainement!$C86</f>
        <v>#VALUE!</v>
      </c>
      <c r="N98" s="117" t="e">
        <f>TabREP[[#This Row],[J12]]*Entrainement!$C86</f>
        <v>#VALUE!</v>
      </c>
      <c r="O98" s="117" t="e">
        <f>TabREP[[#This Row],[J13]]*Entrainement!$C86</f>
        <v>#VALUE!</v>
      </c>
      <c r="P98" s="117" t="e">
        <f>TabREP[[#This Row],[J14]]*Entrainement!$C86</f>
        <v>#VALUE!</v>
      </c>
      <c r="Q98" s="117" t="e">
        <f>TabREP[[#This Row],[J15]]*Entrainement!$C86</f>
        <v>#VALUE!</v>
      </c>
      <c r="R98" s="117" t="e">
        <f>TabREP[[#This Row],[J16]]*Entrainement!$C86</f>
        <v>#VALUE!</v>
      </c>
      <c r="S98" s="117" t="e">
        <f>TabREP[[#This Row],[J17]]*Entrainement!$C86</f>
        <v>#VALUE!</v>
      </c>
      <c r="T98" s="117" t="e">
        <f>TabREP[[#This Row],[J18]]*Entrainement!$C86</f>
        <v>#VALUE!</v>
      </c>
      <c r="U98" s="117" t="e">
        <f>TabREP[[#This Row],[J19]]*Entrainement!$C86</f>
        <v>#VALUE!</v>
      </c>
      <c r="V98" s="117" t="e">
        <f>TabREP[[#This Row],[J20]]*Entrainement!$C86</f>
        <v>#VALUE!</v>
      </c>
      <c r="W98" s="117" t="e">
        <f>TabREP[[#This Row],[J21]]*Entrainement!$C86</f>
        <v>#VALUE!</v>
      </c>
      <c r="X98" s="117" t="e">
        <f>TabREP[[#This Row],[J22]]*Entrainement!$C86</f>
        <v>#VALUE!</v>
      </c>
      <c r="Y98" s="117" t="e">
        <f>TabREP[[#This Row],[J23]]*Entrainement!$C86</f>
        <v>#VALUE!</v>
      </c>
      <c r="Z98" s="117" t="e">
        <f>TabREP[[#This Row],[J24]]*Entrainement!$C86</f>
        <v>#VALUE!</v>
      </c>
      <c r="AA98" s="117" t="e">
        <f>TabREP[[#This Row],[J25]]*Entrainement!$C86</f>
        <v>#VALUE!</v>
      </c>
      <c r="AB98" s="117" t="e">
        <f>TabREP[[#This Row],[J26]]*Entrainement!$C86</f>
        <v>#VALUE!</v>
      </c>
      <c r="AC98" s="117" t="e">
        <f>TabREP[[#This Row],[J27]]*Entrainement!$C86</f>
        <v>#VALUE!</v>
      </c>
      <c r="AD98" s="117" t="e">
        <f>TabREP[[#This Row],[J28]]*Entrainement!$C86</f>
        <v>#VALUE!</v>
      </c>
      <c r="AE98" s="117" t="e">
        <f>TabREP[[#This Row],[J29]]*Entrainement!$C86</f>
        <v>#VALUE!</v>
      </c>
      <c r="AF98" s="117" t="e">
        <f>TabREP[[#This Row],[J30]]*Entrainement!$C86</f>
        <v>#VALUE!</v>
      </c>
      <c r="AG98" s="250" t="str">
        <f>'Charges collective'!E90</f>
        <v/>
      </c>
      <c r="AH98" s="49"/>
      <c r="AI98" s="48"/>
    </row>
    <row r="99" spans="2:35" ht="14.25">
      <c r="B99" s="248" t="str">
        <f>IF(INDEX(TabEntrainement[Seance],ROW()-18)&lt;&gt;0,INDEX(TabEntrainement[Seance],ROW()-18),"")</f>
        <v/>
      </c>
      <c r="C99" s="117" t="e">
        <f>TabREP[[#This Row],[J1]]*Entrainement!C87</f>
        <v>#VALUE!</v>
      </c>
      <c r="D99" s="117" t="e">
        <f>TabREP[[#This Row],[J2]]*Entrainement!C87</f>
        <v>#VALUE!</v>
      </c>
      <c r="E99" s="117" t="e">
        <f>TabREP[[#This Row],[J3]]*Entrainement!$C87</f>
        <v>#VALUE!</v>
      </c>
      <c r="F99" s="117" t="e">
        <f>TabREP[[#This Row],[J4]]*Entrainement!$C87</f>
        <v>#VALUE!</v>
      </c>
      <c r="G99" s="117" t="e">
        <f>TabREP[[#This Row],[J5]]*Entrainement!$C87</f>
        <v>#VALUE!</v>
      </c>
      <c r="H99" s="117" t="e">
        <f>TabREP[[#This Row],[J6]]*Entrainement!$C87</f>
        <v>#VALUE!</v>
      </c>
      <c r="I99" s="117" t="e">
        <f>TabREP[[#This Row],[J7]]*Entrainement!$C87</f>
        <v>#VALUE!</v>
      </c>
      <c r="J99" s="117" t="e">
        <f>TabREP[[#This Row],[J8]]*Entrainement!$C87</f>
        <v>#VALUE!</v>
      </c>
      <c r="K99" s="117" t="e">
        <f>TabREP[[#This Row],[J9]]*Entrainement!$C87</f>
        <v>#VALUE!</v>
      </c>
      <c r="L99" s="117" t="e">
        <f>TabREP[[#This Row],[J10]]*Entrainement!$C87</f>
        <v>#VALUE!</v>
      </c>
      <c r="M99" s="117" t="e">
        <f>TabREP[[#This Row],[J11]]*Entrainement!$C87</f>
        <v>#VALUE!</v>
      </c>
      <c r="N99" s="117" t="e">
        <f>TabREP[[#This Row],[J12]]*Entrainement!$C87</f>
        <v>#VALUE!</v>
      </c>
      <c r="O99" s="117" t="e">
        <f>TabREP[[#This Row],[J13]]*Entrainement!$C87</f>
        <v>#VALUE!</v>
      </c>
      <c r="P99" s="117" t="e">
        <f>TabREP[[#This Row],[J14]]*Entrainement!$C87</f>
        <v>#VALUE!</v>
      </c>
      <c r="Q99" s="117" t="e">
        <f>TabREP[[#This Row],[J15]]*Entrainement!$C87</f>
        <v>#VALUE!</v>
      </c>
      <c r="R99" s="117" t="e">
        <f>TabREP[[#This Row],[J16]]*Entrainement!$C87</f>
        <v>#VALUE!</v>
      </c>
      <c r="S99" s="117" t="e">
        <f>TabREP[[#This Row],[J17]]*Entrainement!$C87</f>
        <v>#VALUE!</v>
      </c>
      <c r="T99" s="117" t="e">
        <f>TabREP[[#This Row],[J18]]*Entrainement!$C87</f>
        <v>#VALUE!</v>
      </c>
      <c r="U99" s="117" t="e">
        <f>TabREP[[#This Row],[J19]]*Entrainement!$C87</f>
        <v>#VALUE!</v>
      </c>
      <c r="V99" s="117" t="e">
        <f>TabREP[[#This Row],[J20]]*Entrainement!$C87</f>
        <v>#VALUE!</v>
      </c>
      <c r="W99" s="117" t="e">
        <f>TabREP[[#This Row],[J21]]*Entrainement!$C87</f>
        <v>#VALUE!</v>
      </c>
      <c r="X99" s="117" t="e">
        <f>TabREP[[#This Row],[J22]]*Entrainement!$C87</f>
        <v>#VALUE!</v>
      </c>
      <c r="Y99" s="117" t="e">
        <f>TabREP[[#This Row],[J23]]*Entrainement!$C87</f>
        <v>#VALUE!</v>
      </c>
      <c r="Z99" s="117" t="e">
        <f>TabREP[[#This Row],[J24]]*Entrainement!$C87</f>
        <v>#VALUE!</v>
      </c>
      <c r="AA99" s="117" t="e">
        <f>TabREP[[#This Row],[J25]]*Entrainement!$C87</f>
        <v>#VALUE!</v>
      </c>
      <c r="AB99" s="117" t="e">
        <f>TabREP[[#This Row],[J26]]*Entrainement!$C87</f>
        <v>#VALUE!</v>
      </c>
      <c r="AC99" s="117" t="e">
        <f>TabREP[[#This Row],[J27]]*Entrainement!$C87</f>
        <v>#VALUE!</v>
      </c>
      <c r="AD99" s="117" t="e">
        <f>TabREP[[#This Row],[J28]]*Entrainement!$C87</f>
        <v>#VALUE!</v>
      </c>
      <c r="AE99" s="117" t="e">
        <f>TabREP[[#This Row],[J29]]*Entrainement!$C87</f>
        <v>#VALUE!</v>
      </c>
      <c r="AF99" s="117" t="e">
        <f>TabREP[[#This Row],[J30]]*Entrainement!$C87</f>
        <v>#VALUE!</v>
      </c>
      <c r="AG99" s="250" t="str">
        <f>'Charges collective'!E91</f>
        <v/>
      </c>
      <c r="AH99" s="49"/>
      <c r="AI99" s="48"/>
    </row>
    <row r="100" spans="2:35" ht="14.25">
      <c r="B100" s="248" t="str">
        <f>IF(INDEX(TabEntrainement[Seance],ROW()-18)&lt;&gt;0,INDEX(TabEntrainement[Seance],ROW()-18),"")</f>
        <v/>
      </c>
      <c r="C100" s="117" t="e">
        <f>TabREP[[#This Row],[J1]]*Entrainement!C88</f>
        <v>#VALUE!</v>
      </c>
      <c r="D100" s="117" t="e">
        <f>TabREP[[#This Row],[J2]]*Entrainement!C88</f>
        <v>#VALUE!</v>
      </c>
      <c r="E100" s="117" t="e">
        <f>TabREP[[#This Row],[J3]]*Entrainement!$C88</f>
        <v>#VALUE!</v>
      </c>
      <c r="F100" s="117" t="e">
        <f>TabREP[[#This Row],[J4]]*Entrainement!$C88</f>
        <v>#VALUE!</v>
      </c>
      <c r="G100" s="117" t="e">
        <f>TabREP[[#This Row],[J5]]*Entrainement!$C88</f>
        <v>#VALUE!</v>
      </c>
      <c r="H100" s="117" t="e">
        <f>TabREP[[#This Row],[J6]]*Entrainement!$C88</f>
        <v>#VALUE!</v>
      </c>
      <c r="I100" s="117" t="e">
        <f>TabREP[[#This Row],[J7]]*Entrainement!$C88</f>
        <v>#VALUE!</v>
      </c>
      <c r="J100" s="117" t="e">
        <f>TabREP[[#This Row],[J8]]*Entrainement!$C88</f>
        <v>#VALUE!</v>
      </c>
      <c r="K100" s="117" t="e">
        <f>TabREP[[#This Row],[J9]]*Entrainement!$C88</f>
        <v>#VALUE!</v>
      </c>
      <c r="L100" s="117" t="e">
        <f>TabREP[[#This Row],[J10]]*Entrainement!$C88</f>
        <v>#VALUE!</v>
      </c>
      <c r="M100" s="117" t="e">
        <f>TabREP[[#This Row],[J11]]*Entrainement!$C88</f>
        <v>#VALUE!</v>
      </c>
      <c r="N100" s="117" t="e">
        <f>TabREP[[#This Row],[J12]]*Entrainement!$C88</f>
        <v>#VALUE!</v>
      </c>
      <c r="O100" s="117" t="e">
        <f>TabREP[[#This Row],[J13]]*Entrainement!$C88</f>
        <v>#VALUE!</v>
      </c>
      <c r="P100" s="117" t="e">
        <f>TabREP[[#This Row],[J14]]*Entrainement!$C88</f>
        <v>#VALUE!</v>
      </c>
      <c r="Q100" s="117" t="e">
        <f>TabREP[[#This Row],[J15]]*Entrainement!$C88</f>
        <v>#VALUE!</v>
      </c>
      <c r="R100" s="117" t="e">
        <f>TabREP[[#This Row],[J16]]*Entrainement!$C88</f>
        <v>#VALUE!</v>
      </c>
      <c r="S100" s="117" t="e">
        <f>TabREP[[#This Row],[J17]]*Entrainement!$C88</f>
        <v>#VALUE!</v>
      </c>
      <c r="T100" s="117" t="e">
        <f>TabREP[[#This Row],[J18]]*Entrainement!$C88</f>
        <v>#VALUE!</v>
      </c>
      <c r="U100" s="117" t="e">
        <f>TabREP[[#This Row],[J19]]*Entrainement!$C88</f>
        <v>#VALUE!</v>
      </c>
      <c r="V100" s="117" t="e">
        <f>TabREP[[#This Row],[J20]]*Entrainement!$C88</f>
        <v>#VALUE!</v>
      </c>
      <c r="W100" s="117" t="e">
        <f>TabREP[[#This Row],[J21]]*Entrainement!$C88</f>
        <v>#VALUE!</v>
      </c>
      <c r="X100" s="117" t="e">
        <f>TabREP[[#This Row],[J22]]*Entrainement!$C88</f>
        <v>#VALUE!</v>
      </c>
      <c r="Y100" s="117" t="e">
        <f>TabREP[[#This Row],[J23]]*Entrainement!$C88</f>
        <v>#VALUE!</v>
      </c>
      <c r="Z100" s="117" t="e">
        <f>TabREP[[#This Row],[J24]]*Entrainement!$C88</f>
        <v>#VALUE!</v>
      </c>
      <c r="AA100" s="117" t="e">
        <f>TabREP[[#This Row],[J25]]*Entrainement!$C88</f>
        <v>#VALUE!</v>
      </c>
      <c r="AB100" s="117" t="e">
        <f>TabREP[[#This Row],[J26]]*Entrainement!$C88</f>
        <v>#VALUE!</v>
      </c>
      <c r="AC100" s="117" t="e">
        <f>TabREP[[#This Row],[J27]]*Entrainement!$C88</f>
        <v>#VALUE!</v>
      </c>
      <c r="AD100" s="117" t="e">
        <f>TabREP[[#This Row],[J28]]*Entrainement!$C88</f>
        <v>#VALUE!</v>
      </c>
      <c r="AE100" s="117" t="e">
        <f>TabREP[[#This Row],[J29]]*Entrainement!$C88</f>
        <v>#VALUE!</v>
      </c>
      <c r="AF100" s="117" t="e">
        <f>TabREP[[#This Row],[J30]]*Entrainement!$C88</f>
        <v>#VALUE!</v>
      </c>
      <c r="AG100" s="250" t="str">
        <f>'Charges collective'!E92</f>
        <v/>
      </c>
      <c r="AH100" s="49"/>
      <c r="AI100" s="48"/>
    </row>
    <row r="101" spans="2:35" ht="14.25">
      <c r="B101" s="248" t="str">
        <f>IF(INDEX(TabEntrainement[Seance],ROW()-18)&lt;&gt;0,INDEX(TabEntrainement[Seance],ROW()-18),"")</f>
        <v/>
      </c>
      <c r="C101" s="117" t="e">
        <f>TabREP[[#This Row],[J1]]*Entrainement!C89</f>
        <v>#VALUE!</v>
      </c>
      <c r="D101" s="117" t="e">
        <f>TabREP[[#This Row],[J2]]*Entrainement!C89</f>
        <v>#VALUE!</v>
      </c>
      <c r="E101" s="117" t="e">
        <f>TabREP[[#This Row],[J3]]*Entrainement!$C89</f>
        <v>#VALUE!</v>
      </c>
      <c r="F101" s="117" t="e">
        <f>TabREP[[#This Row],[J4]]*Entrainement!$C89</f>
        <v>#VALUE!</v>
      </c>
      <c r="G101" s="117" t="e">
        <f>TabREP[[#This Row],[J5]]*Entrainement!$C89</f>
        <v>#VALUE!</v>
      </c>
      <c r="H101" s="117" t="e">
        <f>TabREP[[#This Row],[J6]]*Entrainement!$C89</f>
        <v>#VALUE!</v>
      </c>
      <c r="I101" s="117" t="e">
        <f>TabREP[[#This Row],[J7]]*Entrainement!$C89</f>
        <v>#VALUE!</v>
      </c>
      <c r="J101" s="117" t="e">
        <f>TabREP[[#This Row],[J8]]*Entrainement!$C89</f>
        <v>#VALUE!</v>
      </c>
      <c r="K101" s="117" t="e">
        <f>TabREP[[#This Row],[J9]]*Entrainement!$C89</f>
        <v>#VALUE!</v>
      </c>
      <c r="L101" s="117" t="e">
        <f>TabREP[[#This Row],[J10]]*Entrainement!$C89</f>
        <v>#VALUE!</v>
      </c>
      <c r="M101" s="117" t="e">
        <f>TabREP[[#This Row],[J11]]*Entrainement!$C89</f>
        <v>#VALUE!</v>
      </c>
      <c r="N101" s="117" t="e">
        <f>TabREP[[#This Row],[J12]]*Entrainement!$C89</f>
        <v>#VALUE!</v>
      </c>
      <c r="O101" s="117" t="e">
        <f>TabREP[[#This Row],[J13]]*Entrainement!$C89</f>
        <v>#VALUE!</v>
      </c>
      <c r="P101" s="117" t="e">
        <f>TabREP[[#This Row],[J14]]*Entrainement!$C89</f>
        <v>#VALUE!</v>
      </c>
      <c r="Q101" s="117" t="e">
        <f>TabREP[[#This Row],[J15]]*Entrainement!$C89</f>
        <v>#VALUE!</v>
      </c>
      <c r="R101" s="117" t="e">
        <f>TabREP[[#This Row],[J16]]*Entrainement!$C89</f>
        <v>#VALUE!</v>
      </c>
      <c r="S101" s="117" t="e">
        <f>TabREP[[#This Row],[J17]]*Entrainement!$C89</f>
        <v>#VALUE!</v>
      </c>
      <c r="T101" s="117" t="e">
        <f>TabREP[[#This Row],[J18]]*Entrainement!$C89</f>
        <v>#VALUE!</v>
      </c>
      <c r="U101" s="117" t="e">
        <f>TabREP[[#This Row],[J19]]*Entrainement!$C89</f>
        <v>#VALUE!</v>
      </c>
      <c r="V101" s="117" t="e">
        <f>TabREP[[#This Row],[J20]]*Entrainement!$C89</f>
        <v>#VALUE!</v>
      </c>
      <c r="W101" s="117" t="e">
        <f>TabREP[[#This Row],[J21]]*Entrainement!$C89</f>
        <v>#VALUE!</v>
      </c>
      <c r="X101" s="117" t="e">
        <f>TabREP[[#This Row],[J22]]*Entrainement!$C89</f>
        <v>#VALUE!</v>
      </c>
      <c r="Y101" s="117" t="e">
        <f>TabREP[[#This Row],[J23]]*Entrainement!$C89</f>
        <v>#VALUE!</v>
      </c>
      <c r="Z101" s="117" t="e">
        <f>TabREP[[#This Row],[J24]]*Entrainement!$C89</f>
        <v>#VALUE!</v>
      </c>
      <c r="AA101" s="117" t="e">
        <f>TabREP[[#This Row],[J25]]*Entrainement!$C89</f>
        <v>#VALUE!</v>
      </c>
      <c r="AB101" s="117" t="e">
        <f>TabREP[[#This Row],[J26]]*Entrainement!$C89</f>
        <v>#VALUE!</v>
      </c>
      <c r="AC101" s="117" t="e">
        <f>TabREP[[#This Row],[J27]]*Entrainement!$C89</f>
        <v>#VALUE!</v>
      </c>
      <c r="AD101" s="117" t="e">
        <f>TabREP[[#This Row],[J28]]*Entrainement!$C89</f>
        <v>#VALUE!</v>
      </c>
      <c r="AE101" s="117" t="e">
        <f>TabREP[[#This Row],[J29]]*Entrainement!$C89</f>
        <v>#VALUE!</v>
      </c>
      <c r="AF101" s="117" t="e">
        <f>TabREP[[#This Row],[J30]]*Entrainement!$C89</f>
        <v>#VALUE!</v>
      </c>
      <c r="AG101" s="250" t="str">
        <f>'Charges collective'!E93</f>
        <v/>
      </c>
      <c r="AH101" s="49"/>
      <c r="AI101" s="48"/>
    </row>
    <row r="102" spans="2:35" ht="14.25">
      <c r="B102" s="248" t="str">
        <f>IF(INDEX(TabEntrainement[Seance],ROW()-18)&lt;&gt;0,INDEX(TabEntrainement[Seance],ROW()-18),"")</f>
        <v/>
      </c>
      <c r="C102" s="117" t="e">
        <f>TabREP[[#This Row],[J1]]*Entrainement!C90</f>
        <v>#VALUE!</v>
      </c>
      <c r="D102" s="117" t="e">
        <f>TabREP[[#This Row],[J2]]*Entrainement!C90</f>
        <v>#VALUE!</v>
      </c>
      <c r="E102" s="117" t="e">
        <f>TabREP[[#This Row],[J3]]*Entrainement!$C90</f>
        <v>#VALUE!</v>
      </c>
      <c r="F102" s="117" t="e">
        <f>TabREP[[#This Row],[J4]]*Entrainement!$C90</f>
        <v>#VALUE!</v>
      </c>
      <c r="G102" s="117" t="e">
        <f>TabREP[[#This Row],[J5]]*Entrainement!$C90</f>
        <v>#VALUE!</v>
      </c>
      <c r="H102" s="117" t="e">
        <f>TabREP[[#This Row],[J6]]*Entrainement!$C90</f>
        <v>#VALUE!</v>
      </c>
      <c r="I102" s="117" t="e">
        <f>TabREP[[#This Row],[J7]]*Entrainement!$C90</f>
        <v>#VALUE!</v>
      </c>
      <c r="J102" s="117" t="e">
        <f>TabREP[[#This Row],[J8]]*Entrainement!$C90</f>
        <v>#VALUE!</v>
      </c>
      <c r="K102" s="117" t="e">
        <f>TabREP[[#This Row],[J9]]*Entrainement!$C90</f>
        <v>#VALUE!</v>
      </c>
      <c r="L102" s="117" t="e">
        <f>TabREP[[#This Row],[J10]]*Entrainement!$C90</f>
        <v>#VALUE!</v>
      </c>
      <c r="M102" s="117" t="e">
        <f>TabREP[[#This Row],[J11]]*Entrainement!$C90</f>
        <v>#VALUE!</v>
      </c>
      <c r="N102" s="117" t="e">
        <f>TabREP[[#This Row],[J12]]*Entrainement!$C90</f>
        <v>#VALUE!</v>
      </c>
      <c r="O102" s="117" t="e">
        <f>TabREP[[#This Row],[J13]]*Entrainement!$C90</f>
        <v>#VALUE!</v>
      </c>
      <c r="P102" s="117" t="e">
        <f>TabREP[[#This Row],[J14]]*Entrainement!$C90</f>
        <v>#VALUE!</v>
      </c>
      <c r="Q102" s="117" t="e">
        <f>TabREP[[#This Row],[J15]]*Entrainement!$C90</f>
        <v>#VALUE!</v>
      </c>
      <c r="R102" s="117" t="e">
        <f>TabREP[[#This Row],[J16]]*Entrainement!$C90</f>
        <v>#VALUE!</v>
      </c>
      <c r="S102" s="117" t="e">
        <f>TabREP[[#This Row],[J17]]*Entrainement!$C90</f>
        <v>#VALUE!</v>
      </c>
      <c r="T102" s="117" t="e">
        <f>TabREP[[#This Row],[J18]]*Entrainement!$C90</f>
        <v>#VALUE!</v>
      </c>
      <c r="U102" s="117" t="e">
        <f>TabREP[[#This Row],[J19]]*Entrainement!$C90</f>
        <v>#VALUE!</v>
      </c>
      <c r="V102" s="117" t="e">
        <f>TabREP[[#This Row],[J20]]*Entrainement!$C90</f>
        <v>#VALUE!</v>
      </c>
      <c r="W102" s="117" t="e">
        <f>TabREP[[#This Row],[J21]]*Entrainement!$C90</f>
        <v>#VALUE!</v>
      </c>
      <c r="X102" s="117" t="e">
        <f>TabREP[[#This Row],[J22]]*Entrainement!$C90</f>
        <v>#VALUE!</v>
      </c>
      <c r="Y102" s="117" t="e">
        <f>TabREP[[#This Row],[J23]]*Entrainement!$C90</f>
        <v>#VALUE!</v>
      </c>
      <c r="Z102" s="117" t="e">
        <f>TabREP[[#This Row],[J24]]*Entrainement!$C90</f>
        <v>#VALUE!</v>
      </c>
      <c r="AA102" s="117" t="e">
        <f>TabREP[[#This Row],[J25]]*Entrainement!$C90</f>
        <v>#VALUE!</v>
      </c>
      <c r="AB102" s="117" t="e">
        <f>TabREP[[#This Row],[J26]]*Entrainement!$C90</f>
        <v>#VALUE!</v>
      </c>
      <c r="AC102" s="117" t="e">
        <f>TabREP[[#This Row],[J27]]*Entrainement!$C90</f>
        <v>#VALUE!</v>
      </c>
      <c r="AD102" s="117" t="e">
        <f>TabREP[[#This Row],[J28]]*Entrainement!$C90</f>
        <v>#VALUE!</v>
      </c>
      <c r="AE102" s="117" t="e">
        <f>TabREP[[#This Row],[J29]]*Entrainement!$C90</f>
        <v>#VALUE!</v>
      </c>
      <c r="AF102" s="117" t="e">
        <f>TabREP[[#This Row],[J30]]*Entrainement!$C90</f>
        <v>#VALUE!</v>
      </c>
      <c r="AG102" s="250" t="str">
        <f>'Charges collective'!E94</f>
        <v/>
      </c>
      <c r="AH102" s="49"/>
      <c r="AI102" s="48"/>
    </row>
    <row r="103" spans="2:35" ht="14.25">
      <c r="B103" s="248" t="str">
        <f>IF(INDEX(TabEntrainement[Seance],ROW()-18)&lt;&gt;0,INDEX(TabEntrainement[Seance],ROW()-18),"")</f>
        <v/>
      </c>
      <c r="C103" s="117" t="e">
        <f>TabREP[[#This Row],[J1]]*Entrainement!C91</f>
        <v>#VALUE!</v>
      </c>
      <c r="D103" s="117" t="e">
        <f>TabREP[[#This Row],[J2]]*Entrainement!C91</f>
        <v>#VALUE!</v>
      </c>
      <c r="E103" s="117" t="e">
        <f>TabREP[[#This Row],[J3]]*Entrainement!$C91</f>
        <v>#VALUE!</v>
      </c>
      <c r="F103" s="117" t="e">
        <f>TabREP[[#This Row],[J4]]*Entrainement!$C91</f>
        <v>#VALUE!</v>
      </c>
      <c r="G103" s="117" t="e">
        <f>TabREP[[#This Row],[J5]]*Entrainement!$C91</f>
        <v>#VALUE!</v>
      </c>
      <c r="H103" s="117" t="e">
        <f>TabREP[[#This Row],[J6]]*Entrainement!$C91</f>
        <v>#VALUE!</v>
      </c>
      <c r="I103" s="117" t="e">
        <f>TabREP[[#This Row],[J7]]*Entrainement!$C91</f>
        <v>#VALUE!</v>
      </c>
      <c r="J103" s="117" t="e">
        <f>TabREP[[#This Row],[J8]]*Entrainement!$C91</f>
        <v>#VALUE!</v>
      </c>
      <c r="K103" s="117" t="e">
        <f>TabREP[[#This Row],[J9]]*Entrainement!$C91</f>
        <v>#VALUE!</v>
      </c>
      <c r="L103" s="117" t="e">
        <f>TabREP[[#This Row],[J10]]*Entrainement!$C91</f>
        <v>#VALUE!</v>
      </c>
      <c r="M103" s="117" t="e">
        <f>TabREP[[#This Row],[J11]]*Entrainement!$C91</f>
        <v>#VALUE!</v>
      </c>
      <c r="N103" s="117" t="e">
        <f>TabREP[[#This Row],[J12]]*Entrainement!$C91</f>
        <v>#VALUE!</v>
      </c>
      <c r="O103" s="117" t="e">
        <f>TabREP[[#This Row],[J13]]*Entrainement!$C91</f>
        <v>#VALUE!</v>
      </c>
      <c r="P103" s="117" t="e">
        <f>TabREP[[#This Row],[J14]]*Entrainement!$C91</f>
        <v>#VALUE!</v>
      </c>
      <c r="Q103" s="117" t="e">
        <f>TabREP[[#This Row],[J15]]*Entrainement!$C91</f>
        <v>#VALUE!</v>
      </c>
      <c r="R103" s="117" t="e">
        <f>TabREP[[#This Row],[J16]]*Entrainement!$C91</f>
        <v>#VALUE!</v>
      </c>
      <c r="S103" s="117" t="e">
        <f>TabREP[[#This Row],[J17]]*Entrainement!$C91</f>
        <v>#VALUE!</v>
      </c>
      <c r="T103" s="117" t="e">
        <f>TabREP[[#This Row],[J18]]*Entrainement!$C91</f>
        <v>#VALUE!</v>
      </c>
      <c r="U103" s="117" t="e">
        <f>TabREP[[#This Row],[J19]]*Entrainement!$C91</f>
        <v>#VALUE!</v>
      </c>
      <c r="V103" s="117" t="e">
        <f>TabREP[[#This Row],[J20]]*Entrainement!$C91</f>
        <v>#VALUE!</v>
      </c>
      <c r="W103" s="117" t="e">
        <f>TabREP[[#This Row],[J21]]*Entrainement!$C91</f>
        <v>#VALUE!</v>
      </c>
      <c r="X103" s="117" t="e">
        <f>TabREP[[#This Row],[J22]]*Entrainement!$C91</f>
        <v>#VALUE!</v>
      </c>
      <c r="Y103" s="117" t="e">
        <f>TabREP[[#This Row],[J23]]*Entrainement!$C91</f>
        <v>#VALUE!</v>
      </c>
      <c r="Z103" s="117" t="e">
        <f>TabREP[[#This Row],[J24]]*Entrainement!$C91</f>
        <v>#VALUE!</v>
      </c>
      <c r="AA103" s="117" t="e">
        <f>TabREP[[#This Row],[J25]]*Entrainement!$C91</f>
        <v>#VALUE!</v>
      </c>
      <c r="AB103" s="117" t="e">
        <f>TabREP[[#This Row],[J26]]*Entrainement!$C91</f>
        <v>#VALUE!</v>
      </c>
      <c r="AC103" s="117" t="e">
        <f>TabREP[[#This Row],[J27]]*Entrainement!$C91</f>
        <v>#VALUE!</v>
      </c>
      <c r="AD103" s="117" t="e">
        <f>TabREP[[#This Row],[J28]]*Entrainement!$C91</f>
        <v>#VALUE!</v>
      </c>
      <c r="AE103" s="117" t="e">
        <f>TabREP[[#This Row],[J29]]*Entrainement!$C91</f>
        <v>#VALUE!</v>
      </c>
      <c r="AF103" s="117" t="e">
        <f>TabREP[[#This Row],[J30]]*Entrainement!$C91</f>
        <v>#VALUE!</v>
      </c>
      <c r="AG103" s="250" t="str">
        <f>'Charges collective'!E95</f>
        <v/>
      </c>
      <c r="AH103" s="49"/>
      <c r="AI103" s="48"/>
    </row>
    <row r="104" spans="2:35" ht="14.25">
      <c r="B104" s="248" t="str">
        <f>IF(INDEX(TabEntrainement[Seance],ROW()-18)&lt;&gt;0,INDEX(TabEntrainement[Seance],ROW()-18),"")</f>
        <v/>
      </c>
      <c r="C104" s="117" t="e">
        <f>TabREP[[#This Row],[J1]]*Entrainement!C92</f>
        <v>#VALUE!</v>
      </c>
      <c r="D104" s="117" t="e">
        <f>TabREP[[#This Row],[J2]]*Entrainement!C92</f>
        <v>#VALUE!</v>
      </c>
      <c r="E104" s="117" t="e">
        <f>TabREP[[#This Row],[J3]]*Entrainement!$C92</f>
        <v>#VALUE!</v>
      </c>
      <c r="F104" s="117" t="e">
        <f>TabREP[[#This Row],[J4]]*Entrainement!$C92</f>
        <v>#VALUE!</v>
      </c>
      <c r="G104" s="117" t="e">
        <f>TabREP[[#This Row],[J5]]*Entrainement!$C92</f>
        <v>#VALUE!</v>
      </c>
      <c r="H104" s="117" t="e">
        <f>TabREP[[#This Row],[J6]]*Entrainement!$C92</f>
        <v>#VALUE!</v>
      </c>
      <c r="I104" s="117" t="e">
        <f>TabREP[[#This Row],[J7]]*Entrainement!$C92</f>
        <v>#VALUE!</v>
      </c>
      <c r="J104" s="117" t="e">
        <f>TabREP[[#This Row],[J8]]*Entrainement!$C92</f>
        <v>#VALUE!</v>
      </c>
      <c r="K104" s="117" t="e">
        <f>TabREP[[#This Row],[J9]]*Entrainement!$C92</f>
        <v>#VALUE!</v>
      </c>
      <c r="L104" s="117" t="e">
        <f>TabREP[[#This Row],[J10]]*Entrainement!$C92</f>
        <v>#VALUE!</v>
      </c>
      <c r="M104" s="117" t="e">
        <f>TabREP[[#This Row],[J11]]*Entrainement!$C92</f>
        <v>#VALUE!</v>
      </c>
      <c r="N104" s="117" t="e">
        <f>TabREP[[#This Row],[J12]]*Entrainement!$C92</f>
        <v>#VALUE!</v>
      </c>
      <c r="O104" s="117" t="e">
        <f>TabREP[[#This Row],[J13]]*Entrainement!$C92</f>
        <v>#VALUE!</v>
      </c>
      <c r="P104" s="117" t="e">
        <f>TabREP[[#This Row],[J14]]*Entrainement!$C92</f>
        <v>#VALUE!</v>
      </c>
      <c r="Q104" s="117" t="e">
        <f>TabREP[[#This Row],[J15]]*Entrainement!$C92</f>
        <v>#VALUE!</v>
      </c>
      <c r="R104" s="117" t="e">
        <f>TabREP[[#This Row],[J16]]*Entrainement!$C92</f>
        <v>#VALUE!</v>
      </c>
      <c r="S104" s="117" t="e">
        <f>TabREP[[#This Row],[J17]]*Entrainement!$C92</f>
        <v>#VALUE!</v>
      </c>
      <c r="T104" s="117" t="e">
        <f>TabREP[[#This Row],[J18]]*Entrainement!$C92</f>
        <v>#VALUE!</v>
      </c>
      <c r="U104" s="117" t="e">
        <f>TabREP[[#This Row],[J19]]*Entrainement!$C92</f>
        <v>#VALUE!</v>
      </c>
      <c r="V104" s="117" t="e">
        <f>TabREP[[#This Row],[J20]]*Entrainement!$C92</f>
        <v>#VALUE!</v>
      </c>
      <c r="W104" s="117" t="e">
        <f>TabREP[[#This Row],[J21]]*Entrainement!$C92</f>
        <v>#VALUE!</v>
      </c>
      <c r="X104" s="117" t="e">
        <f>TabREP[[#This Row],[J22]]*Entrainement!$C92</f>
        <v>#VALUE!</v>
      </c>
      <c r="Y104" s="117" t="e">
        <f>TabREP[[#This Row],[J23]]*Entrainement!$C92</f>
        <v>#VALUE!</v>
      </c>
      <c r="Z104" s="117" t="e">
        <f>TabREP[[#This Row],[J24]]*Entrainement!$C92</f>
        <v>#VALUE!</v>
      </c>
      <c r="AA104" s="117" t="e">
        <f>TabREP[[#This Row],[J25]]*Entrainement!$C92</f>
        <v>#VALUE!</v>
      </c>
      <c r="AB104" s="117" t="e">
        <f>TabREP[[#This Row],[J26]]*Entrainement!$C92</f>
        <v>#VALUE!</v>
      </c>
      <c r="AC104" s="117" t="e">
        <f>TabREP[[#This Row],[J27]]*Entrainement!$C92</f>
        <v>#VALUE!</v>
      </c>
      <c r="AD104" s="117" t="e">
        <f>TabREP[[#This Row],[J28]]*Entrainement!$C92</f>
        <v>#VALUE!</v>
      </c>
      <c r="AE104" s="117" t="e">
        <f>TabREP[[#This Row],[J29]]*Entrainement!$C92</f>
        <v>#VALUE!</v>
      </c>
      <c r="AF104" s="117" t="e">
        <f>TabREP[[#This Row],[J30]]*Entrainement!$C92</f>
        <v>#VALUE!</v>
      </c>
      <c r="AG104" s="250" t="str">
        <f>'Charges collective'!E96</f>
        <v/>
      </c>
      <c r="AH104" s="49"/>
      <c r="AI104" s="48"/>
    </row>
    <row r="105" spans="2:35" ht="14.25">
      <c r="B105" s="248" t="str">
        <f>IF(INDEX(TabEntrainement[Seance],ROW()-18)&lt;&gt;0,INDEX(TabEntrainement[Seance],ROW()-18),"")</f>
        <v/>
      </c>
      <c r="C105" s="117" t="e">
        <f>TabREP[[#This Row],[J1]]*Entrainement!C93</f>
        <v>#VALUE!</v>
      </c>
      <c r="D105" s="117" t="e">
        <f>TabREP[[#This Row],[J2]]*Entrainement!C93</f>
        <v>#VALUE!</v>
      </c>
      <c r="E105" s="117" t="e">
        <f>TabREP[[#This Row],[J3]]*Entrainement!$C93</f>
        <v>#VALUE!</v>
      </c>
      <c r="F105" s="117" t="e">
        <f>TabREP[[#This Row],[J4]]*Entrainement!$C93</f>
        <v>#VALUE!</v>
      </c>
      <c r="G105" s="117" t="e">
        <f>TabREP[[#This Row],[J5]]*Entrainement!$C93</f>
        <v>#VALUE!</v>
      </c>
      <c r="H105" s="117" t="e">
        <f>TabREP[[#This Row],[J6]]*Entrainement!$C93</f>
        <v>#VALUE!</v>
      </c>
      <c r="I105" s="117" t="e">
        <f>TabREP[[#This Row],[J7]]*Entrainement!$C93</f>
        <v>#VALUE!</v>
      </c>
      <c r="J105" s="117" t="e">
        <f>TabREP[[#This Row],[J8]]*Entrainement!$C93</f>
        <v>#VALUE!</v>
      </c>
      <c r="K105" s="117" t="e">
        <f>TabREP[[#This Row],[J9]]*Entrainement!$C93</f>
        <v>#VALUE!</v>
      </c>
      <c r="L105" s="117" t="e">
        <f>TabREP[[#This Row],[J10]]*Entrainement!$C93</f>
        <v>#VALUE!</v>
      </c>
      <c r="M105" s="117" t="e">
        <f>TabREP[[#This Row],[J11]]*Entrainement!$C93</f>
        <v>#VALUE!</v>
      </c>
      <c r="N105" s="117" t="e">
        <f>TabREP[[#This Row],[J12]]*Entrainement!$C93</f>
        <v>#VALUE!</v>
      </c>
      <c r="O105" s="117" t="e">
        <f>TabREP[[#This Row],[J13]]*Entrainement!$C93</f>
        <v>#VALUE!</v>
      </c>
      <c r="P105" s="117" t="e">
        <f>TabREP[[#This Row],[J14]]*Entrainement!$C93</f>
        <v>#VALUE!</v>
      </c>
      <c r="Q105" s="117" t="e">
        <f>TabREP[[#This Row],[J15]]*Entrainement!$C93</f>
        <v>#VALUE!</v>
      </c>
      <c r="R105" s="117" t="e">
        <f>TabREP[[#This Row],[J16]]*Entrainement!$C93</f>
        <v>#VALUE!</v>
      </c>
      <c r="S105" s="117" t="e">
        <f>TabREP[[#This Row],[J17]]*Entrainement!$C93</f>
        <v>#VALUE!</v>
      </c>
      <c r="T105" s="117" t="e">
        <f>TabREP[[#This Row],[J18]]*Entrainement!$C93</f>
        <v>#VALUE!</v>
      </c>
      <c r="U105" s="117" t="e">
        <f>TabREP[[#This Row],[J19]]*Entrainement!$C93</f>
        <v>#VALUE!</v>
      </c>
      <c r="V105" s="117" t="e">
        <f>TabREP[[#This Row],[J20]]*Entrainement!$C93</f>
        <v>#VALUE!</v>
      </c>
      <c r="W105" s="117" t="e">
        <f>TabREP[[#This Row],[J21]]*Entrainement!$C93</f>
        <v>#VALUE!</v>
      </c>
      <c r="X105" s="117" t="e">
        <f>TabREP[[#This Row],[J22]]*Entrainement!$C93</f>
        <v>#VALUE!</v>
      </c>
      <c r="Y105" s="117" t="e">
        <f>TabREP[[#This Row],[J23]]*Entrainement!$C93</f>
        <v>#VALUE!</v>
      </c>
      <c r="Z105" s="117" t="e">
        <f>TabREP[[#This Row],[J24]]*Entrainement!$C93</f>
        <v>#VALUE!</v>
      </c>
      <c r="AA105" s="117" t="e">
        <f>TabREP[[#This Row],[J25]]*Entrainement!$C93</f>
        <v>#VALUE!</v>
      </c>
      <c r="AB105" s="117" t="e">
        <f>TabREP[[#This Row],[J26]]*Entrainement!$C93</f>
        <v>#VALUE!</v>
      </c>
      <c r="AC105" s="117" t="e">
        <f>TabREP[[#This Row],[J27]]*Entrainement!$C93</f>
        <v>#VALUE!</v>
      </c>
      <c r="AD105" s="117" t="e">
        <f>TabREP[[#This Row],[J28]]*Entrainement!$C93</f>
        <v>#VALUE!</v>
      </c>
      <c r="AE105" s="117" t="e">
        <f>TabREP[[#This Row],[J29]]*Entrainement!$C93</f>
        <v>#VALUE!</v>
      </c>
      <c r="AF105" s="117" t="e">
        <f>TabREP[[#This Row],[J30]]*Entrainement!$C93</f>
        <v>#VALUE!</v>
      </c>
      <c r="AG105" s="250" t="str">
        <f>'Charges collective'!E97</f>
        <v/>
      </c>
      <c r="AH105" s="49"/>
      <c r="AI105" s="48"/>
    </row>
    <row r="106" spans="2:35" ht="14.25">
      <c r="B106" s="248" t="str">
        <f>IF(INDEX(TabEntrainement[Seance],ROW()-18)&lt;&gt;0,INDEX(TabEntrainement[Seance],ROW()-18),"")</f>
        <v/>
      </c>
      <c r="C106" s="117" t="e">
        <f>TabREP[[#This Row],[J1]]*Entrainement!C94</f>
        <v>#VALUE!</v>
      </c>
      <c r="D106" s="117" t="e">
        <f>TabREP[[#This Row],[J2]]*Entrainement!C94</f>
        <v>#VALUE!</v>
      </c>
      <c r="E106" s="117" t="e">
        <f>TabREP[[#This Row],[J3]]*Entrainement!$C94</f>
        <v>#VALUE!</v>
      </c>
      <c r="F106" s="117" t="e">
        <f>TabREP[[#This Row],[J4]]*Entrainement!$C94</f>
        <v>#VALUE!</v>
      </c>
      <c r="G106" s="117" t="e">
        <f>TabREP[[#This Row],[J5]]*Entrainement!$C94</f>
        <v>#VALUE!</v>
      </c>
      <c r="H106" s="117" t="e">
        <f>TabREP[[#This Row],[J6]]*Entrainement!$C94</f>
        <v>#VALUE!</v>
      </c>
      <c r="I106" s="117" t="e">
        <f>TabREP[[#This Row],[J7]]*Entrainement!$C94</f>
        <v>#VALUE!</v>
      </c>
      <c r="J106" s="117" t="e">
        <f>TabREP[[#This Row],[J8]]*Entrainement!$C94</f>
        <v>#VALUE!</v>
      </c>
      <c r="K106" s="117" t="e">
        <f>TabREP[[#This Row],[J9]]*Entrainement!$C94</f>
        <v>#VALUE!</v>
      </c>
      <c r="L106" s="117" t="e">
        <f>TabREP[[#This Row],[J10]]*Entrainement!$C94</f>
        <v>#VALUE!</v>
      </c>
      <c r="M106" s="117" t="e">
        <f>TabREP[[#This Row],[J11]]*Entrainement!$C94</f>
        <v>#VALUE!</v>
      </c>
      <c r="N106" s="117" t="e">
        <f>TabREP[[#This Row],[J12]]*Entrainement!$C94</f>
        <v>#VALUE!</v>
      </c>
      <c r="O106" s="117" t="e">
        <f>TabREP[[#This Row],[J13]]*Entrainement!$C94</f>
        <v>#VALUE!</v>
      </c>
      <c r="P106" s="117" t="e">
        <f>TabREP[[#This Row],[J14]]*Entrainement!$C94</f>
        <v>#VALUE!</v>
      </c>
      <c r="Q106" s="117" t="e">
        <f>TabREP[[#This Row],[J15]]*Entrainement!$C94</f>
        <v>#VALUE!</v>
      </c>
      <c r="R106" s="117" t="e">
        <f>TabREP[[#This Row],[J16]]*Entrainement!$C94</f>
        <v>#VALUE!</v>
      </c>
      <c r="S106" s="117" t="e">
        <f>TabREP[[#This Row],[J17]]*Entrainement!$C94</f>
        <v>#VALUE!</v>
      </c>
      <c r="T106" s="117" t="e">
        <f>TabREP[[#This Row],[J18]]*Entrainement!$C94</f>
        <v>#VALUE!</v>
      </c>
      <c r="U106" s="117" t="e">
        <f>TabREP[[#This Row],[J19]]*Entrainement!$C94</f>
        <v>#VALUE!</v>
      </c>
      <c r="V106" s="117" t="e">
        <f>TabREP[[#This Row],[J20]]*Entrainement!$C94</f>
        <v>#VALUE!</v>
      </c>
      <c r="W106" s="117" t="e">
        <f>TabREP[[#This Row],[J21]]*Entrainement!$C94</f>
        <v>#VALUE!</v>
      </c>
      <c r="X106" s="117" t="e">
        <f>TabREP[[#This Row],[J22]]*Entrainement!$C94</f>
        <v>#VALUE!</v>
      </c>
      <c r="Y106" s="117" t="e">
        <f>TabREP[[#This Row],[J23]]*Entrainement!$C94</f>
        <v>#VALUE!</v>
      </c>
      <c r="Z106" s="117" t="e">
        <f>TabREP[[#This Row],[J24]]*Entrainement!$C94</f>
        <v>#VALUE!</v>
      </c>
      <c r="AA106" s="117" t="e">
        <f>TabREP[[#This Row],[J25]]*Entrainement!$C94</f>
        <v>#VALUE!</v>
      </c>
      <c r="AB106" s="117" t="e">
        <f>TabREP[[#This Row],[J26]]*Entrainement!$C94</f>
        <v>#VALUE!</v>
      </c>
      <c r="AC106" s="117" t="e">
        <f>TabREP[[#This Row],[J27]]*Entrainement!$C94</f>
        <v>#VALUE!</v>
      </c>
      <c r="AD106" s="117" t="e">
        <f>TabREP[[#This Row],[J28]]*Entrainement!$C94</f>
        <v>#VALUE!</v>
      </c>
      <c r="AE106" s="117" t="e">
        <f>TabREP[[#This Row],[J29]]*Entrainement!$C94</f>
        <v>#VALUE!</v>
      </c>
      <c r="AF106" s="117" t="e">
        <f>TabREP[[#This Row],[J30]]*Entrainement!$C94</f>
        <v>#VALUE!</v>
      </c>
      <c r="AG106" s="250" t="str">
        <f>'Charges collective'!E98</f>
        <v/>
      </c>
      <c r="AH106" s="49"/>
      <c r="AI106" s="48"/>
    </row>
    <row r="107" spans="2:35" ht="14.25">
      <c r="B107" s="248" t="str">
        <f>IF(INDEX(TabEntrainement[Seance],ROW()-18)&lt;&gt;0,INDEX(TabEntrainement[Seance],ROW()-18),"")</f>
        <v/>
      </c>
      <c r="C107" s="117" t="e">
        <f>TabREP[[#This Row],[J1]]*Entrainement!C95</f>
        <v>#VALUE!</v>
      </c>
      <c r="D107" s="117" t="e">
        <f>TabREP[[#This Row],[J2]]*Entrainement!C95</f>
        <v>#VALUE!</v>
      </c>
      <c r="E107" s="117" t="e">
        <f>TabREP[[#This Row],[J3]]*Entrainement!$C95</f>
        <v>#VALUE!</v>
      </c>
      <c r="F107" s="117" t="e">
        <f>TabREP[[#This Row],[J4]]*Entrainement!$C95</f>
        <v>#VALUE!</v>
      </c>
      <c r="G107" s="117" t="e">
        <f>TabREP[[#This Row],[J5]]*Entrainement!$C95</f>
        <v>#VALUE!</v>
      </c>
      <c r="H107" s="117" t="e">
        <f>TabREP[[#This Row],[J6]]*Entrainement!$C95</f>
        <v>#VALUE!</v>
      </c>
      <c r="I107" s="117" t="e">
        <f>TabREP[[#This Row],[J7]]*Entrainement!$C95</f>
        <v>#VALUE!</v>
      </c>
      <c r="J107" s="117" t="e">
        <f>TabREP[[#This Row],[J8]]*Entrainement!$C95</f>
        <v>#VALUE!</v>
      </c>
      <c r="K107" s="117" t="e">
        <f>TabREP[[#This Row],[J9]]*Entrainement!$C95</f>
        <v>#VALUE!</v>
      </c>
      <c r="L107" s="117" t="e">
        <f>TabREP[[#This Row],[J10]]*Entrainement!$C95</f>
        <v>#VALUE!</v>
      </c>
      <c r="M107" s="117" t="e">
        <f>TabREP[[#This Row],[J11]]*Entrainement!$C95</f>
        <v>#VALUE!</v>
      </c>
      <c r="N107" s="117" t="e">
        <f>TabREP[[#This Row],[J12]]*Entrainement!$C95</f>
        <v>#VALUE!</v>
      </c>
      <c r="O107" s="117" t="e">
        <f>TabREP[[#This Row],[J13]]*Entrainement!$C95</f>
        <v>#VALUE!</v>
      </c>
      <c r="P107" s="117" t="e">
        <f>TabREP[[#This Row],[J14]]*Entrainement!$C95</f>
        <v>#VALUE!</v>
      </c>
      <c r="Q107" s="117" t="e">
        <f>TabREP[[#This Row],[J15]]*Entrainement!$C95</f>
        <v>#VALUE!</v>
      </c>
      <c r="R107" s="117" t="e">
        <f>TabREP[[#This Row],[J16]]*Entrainement!$C95</f>
        <v>#VALUE!</v>
      </c>
      <c r="S107" s="117" t="e">
        <f>TabREP[[#This Row],[J17]]*Entrainement!$C95</f>
        <v>#VALUE!</v>
      </c>
      <c r="T107" s="117" t="e">
        <f>TabREP[[#This Row],[J18]]*Entrainement!$C95</f>
        <v>#VALUE!</v>
      </c>
      <c r="U107" s="117" t="e">
        <f>TabREP[[#This Row],[J19]]*Entrainement!$C95</f>
        <v>#VALUE!</v>
      </c>
      <c r="V107" s="117" t="e">
        <f>TabREP[[#This Row],[J20]]*Entrainement!$C95</f>
        <v>#VALUE!</v>
      </c>
      <c r="W107" s="117" t="e">
        <f>TabREP[[#This Row],[J21]]*Entrainement!$C95</f>
        <v>#VALUE!</v>
      </c>
      <c r="X107" s="117" t="e">
        <f>TabREP[[#This Row],[J22]]*Entrainement!$C95</f>
        <v>#VALUE!</v>
      </c>
      <c r="Y107" s="117" t="e">
        <f>TabREP[[#This Row],[J23]]*Entrainement!$C95</f>
        <v>#VALUE!</v>
      </c>
      <c r="Z107" s="117" t="e">
        <f>TabREP[[#This Row],[J24]]*Entrainement!$C95</f>
        <v>#VALUE!</v>
      </c>
      <c r="AA107" s="117" t="e">
        <f>TabREP[[#This Row],[J25]]*Entrainement!$C95</f>
        <v>#VALUE!</v>
      </c>
      <c r="AB107" s="117" t="e">
        <f>TabREP[[#This Row],[J26]]*Entrainement!$C95</f>
        <v>#VALUE!</v>
      </c>
      <c r="AC107" s="117" t="e">
        <f>TabREP[[#This Row],[J27]]*Entrainement!$C95</f>
        <v>#VALUE!</v>
      </c>
      <c r="AD107" s="117" t="e">
        <f>TabREP[[#This Row],[J28]]*Entrainement!$C95</f>
        <v>#VALUE!</v>
      </c>
      <c r="AE107" s="117" t="e">
        <f>TabREP[[#This Row],[J29]]*Entrainement!$C95</f>
        <v>#VALUE!</v>
      </c>
      <c r="AF107" s="117" t="e">
        <f>TabREP[[#This Row],[J30]]*Entrainement!$C95</f>
        <v>#VALUE!</v>
      </c>
      <c r="AG107" s="250" t="str">
        <f>'Charges collective'!E99</f>
        <v/>
      </c>
      <c r="AH107" s="49"/>
      <c r="AI107" s="48"/>
    </row>
    <row r="108" spans="2:35" ht="14.25">
      <c r="B108" s="248" t="str">
        <f>IF(INDEX(TabEntrainement[Seance],ROW()-18)&lt;&gt;0,INDEX(TabEntrainement[Seance],ROW()-18),"")</f>
        <v/>
      </c>
      <c r="C108" s="117" t="e">
        <f>TabREP[[#This Row],[J1]]*Entrainement!C96</f>
        <v>#VALUE!</v>
      </c>
      <c r="D108" s="117" t="e">
        <f>TabREP[[#This Row],[J2]]*Entrainement!C96</f>
        <v>#VALUE!</v>
      </c>
      <c r="E108" s="117" t="e">
        <f>TabREP[[#This Row],[J3]]*Entrainement!$C96</f>
        <v>#VALUE!</v>
      </c>
      <c r="F108" s="117" t="e">
        <f>TabREP[[#This Row],[J4]]*Entrainement!$C96</f>
        <v>#VALUE!</v>
      </c>
      <c r="G108" s="117" t="e">
        <f>TabREP[[#This Row],[J5]]*Entrainement!$C96</f>
        <v>#VALUE!</v>
      </c>
      <c r="H108" s="117" t="e">
        <f>TabREP[[#This Row],[J6]]*Entrainement!$C96</f>
        <v>#VALUE!</v>
      </c>
      <c r="I108" s="117" t="e">
        <f>TabREP[[#This Row],[J7]]*Entrainement!$C96</f>
        <v>#VALUE!</v>
      </c>
      <c r="J108" s="117" t="e">
        <f>TabREP[[#This Row],[J8]]*Entrainement!$C96</f>
        <v>#VALUE!</v>
      </c>
      <c r="K108" s="117" t="e">
        <f>TabREP[[#This Row],[J9]]*Entrainement!$C96</f>
        <v>#VALUE!</v>
      </c>
      <c r="L108" s="117" t="e">
        <f>TabREP[[#This Row],[J10]]*Entrainement!$C96</f>
        <v>#VALUE!</v>
      </c>
      <c r="M108" s="117" t="e">
        <f>TabREP[[#This Row],[J11]]*Entrainement!$C96</f>
        <v>#VALUE!</v>
      </c>
      <c r="N108" s="117" t="e">
        <f>TabREP[[#This Row],[J12]]*Entrainement!$C96</f>
        <v>#VALUE!</v>
      </c>
      <c r="O108" s="117" t="e">
        <f>TabREP[[#This Row],[J13]]*Entrainement!$C96</f>
        <v>#VALUE!</v>
      </c>
      <c r="P108" s="117" t="e">
        <f>TabREP[[#This Row],[J14]]*Entrainement!$C96</f>
        <v>#VALUE!</v>
      </c>
      <c r="Q108" s="117" t="e">
        <f>TabREP[[#This Row],[J15]]*Entrainement!$C96</f>
        <v>#VALUE!</v>
      </c>
      <c r="R108" s="117" t="e">
        <f>TabREP[[#This Row],[J16]]*Entrainement!$C96</f>
        <v>#VALUE!</v>
      </c>
      <c r="S108" s="117" t="e">
        <f>TabREP[[#This Row],[J17]]*Entrainement!$C96</f>
        <v>#VALUE!</v>
      </c>
      <c r="T108" s="117" t="e">
        <f>TabREP[[#This Row],[J18]]*Entrainement!$C96</f>
        <v>#VALUE!</v>
      </c>
      <c r="U108" s="117" t="e">
        <f>TabREP[[#This Row],[J19]]*Entrainement!$C96</f>
        <v>#VALUE!</v>
      </c>
      <c r="V108" s="117" t="e">
        <f>TabREP[[#This Row],[J20]]*Entrainement!$C96</f>
        <v>#VALUE!</v>
      </c>
      <c r="W108" s="117" t="e">
        <f>TabREP[[#This Row],[J21]]*Entrainement!$C96</f>
        <v>#VALUE!</v>
      </c>
      <c r="X108" s="117" t="e">
        <f>TabREP[[#This Row],[J22]]*Entrainement!$C96</f>
        <v>#VALUE!</v>
      </c>
      <c r="Y108" s="117" t="e">
        <f>TabREP[[#This Row],[J23]]*Entrainement!$C96</f>
        <v>#VALUE!</v>
      </c>
      <c r="Z108" s="117" t="e">
        <f>TabREP[[#This Row],[J24]]*Entrainement!$C96</f>
        <v>#VALUE!</v>
      </c>
      <c r="AA108" s="117" t="e">
        <f>TabREP[[#This Row],[J25]]*Entrainement!$C96</f>
        <v>#VALUE!</v>
      </c>
      <c r="AB108" s="117" t="e">
        <f>TabREP[[#This Row],[J26]]*Entrainement!$C96</f>
        <v>#VALUE!</v>
      </c>
      <c r="AC108" s="117" t="e">
        <f>TabREP[[#This Row],[J27]]*Entrainement!$C96</f>
        <v>#VALUE!</v>
      </c>
      <c r="AD108" s="117" t="e">
        <f>TabREP[[#This Row],[J28]]*Entrainement!$C96</f>
        <v>#VALUE!</v>
      </c>
      <c r="AE108" s="117" t="e">
        <f>TabREP[[#This Row],[J29]]*Entrainement!$C96</f>
        <v>#VALUE!</v>
      </c>
      <c r="AF108" s="117" t="e">
        <f>TabREP[[#This Row],[J30]]*Entrainement!$C96</f>
        <v>#VALUE!</v>
      </c>
      <c r="AG108" s="250" t="str">
        <f>'Charges collective'!E100</f>
        <v/>
      </c>
      <c r="AH108" s="49"/>
      <c r="AI108" s="48"/>
    </row>
    <row r="109" spans="2:35" ht="14.25">
      <c r="B109" s="248" t="str">
        <f>IF(INDEX(TabEntrainement[Seance],ROW()-18)&lt;&gt;0,INDEX(TabEntrainement[Seance],ROW()-18),"")</f>
        <v/>
      </c>
      <c r="C109" s="117" t="e">
        <f>TabREP[[#This Row],[J1]]*Entrainement!C97</f>
        <v>#VALUE!</v>
      </c>
      <c r="D109" s="117" t="e">
        <f>TabREP[[#This Row],[J2]]*Entrainement!C97</f>
        <v>#VALUE!</v>
      </c>
      <c r="E109" s="117" t="e">
        <f>TabREP[[#This Row],[J3]]*Entrainement!$C97</f>
        <v>#VALUE!</v>
      </c>
      <c r="F109" s="117" t="e">
        <f>TabREP[[#This Row],[J4]]*Entrainement!$C97</f>
        <v>#VALUE!</v>
      </c>
      <c r="G109" s="117" t="e">
        <f>TabREP[[#This Row],[J5]]*Entrainement!$C97</f>
        <v>#VALUE!</v>
      </c>
      <c r="H109" s="117" t="e">
        <f>TabREP[[#This Row],[J6]]*Entrainement!$C97</f>
        <v>#VALUE!</v>
      </c>
      <c r="I109" s="117" t="e">
        <f>TabREP[[#This Row],[J7]]*Entrainement!$C97</f>
        <v>#VALUE!</v>
      </c>
      <c r="J109" s="117" t="e">
        <f>TabREP[[#This Row],[J8]]*Entrainement!$C97</f>
        <v>#VALUE!</v>
      </c>
      <c r="K109" s="117" t="e">
        <f>TabREP[[#This Row],[J9]]*Entrainement!$C97</f>
        <v>#VALUE!</v>
      </c>
      <c r="L109" s="117" t="e">
        <f>TabREP[[#This Row],[J10]]*Entrainement!$C97</f>
        <v>#VALUE!</v>
      </c>
      <c r="M109" s="117" t="e">
        <f>TabREP[[#This Row],[J11]]*Entrainement!$C97</f>
        <v>#VALUE!</v>
      </c>
      <c r="N109" s="117" t="e">
        <f>TabREP[[#This Row],[J12]]*Entrainement!$C97</f>
        <v>#VALUE!</v>
      </c>
      <c r="O109" s="117" t="e">
        <f>TabREP[[#This Row],[J13]]*Entrainement!$C97</f>
        <v>#VALUE!</v>
      </c>
      <c r="P109" s="117" t="e">
        <f>TabREP[[#This Row],[J14]]*Entrainement!$C97</f>
        <v>#VALUE!</v>
      </c>
      <c r="Q109" s="117" t="e">
        <f>TabREP[[#This Row],[J15]]*Entrainement!$C97</f>
        <v>#VALUE!</v>
      </c>
      <c r="R109" s="117" t="e">
        <f>TabREP[[#This Row],[J16]]*Entrainement!$C97</f>
        <v>#VALUE!</v>
      </c>
      <c r="S109" s="117" t="e">
        <f>TabREP[[#This Row],[J17]]*Entrainement!$C97</f>
        <v>#VALUE!</v>
      </c>
      <c r="T109" s="117" t="e">
        <f>TabREP[[#This Row],[J18]]*Entrainement!$C97</f>
        <v>#VALUE!</v>
      </c>
      <c r="U109" s="117" t="e">
        <f>TabREP[[#This Row],[J19]]*Entrainement!$C97</f>
        <v>#VALUE!</v>
      </c>
      <c r="V109" s="117" t="e">
        <f>TabREP[[#This Row],[J20]]*Entrainement!$C97</f>
        <v>#VALUE!</v>
      </c>
      <c r="W109" s="117" t="e">
        <f>TabREP[[#This Row],[J21]]*Entrainement!$C97</f>
        <v>#VALUE!</v>
      </c>
      <c r="X109" s="117" t="e">
        <f>TabREP[[#This Row],[J22]]*Entrainement!$C97</f>
        <v>#VALUE!</v>
      </c>
      <c r="Y109" s="117" t="e">
        <f>TabREP[[#This Row],[J23]]*Entrainement!$C97</f>
        <v>#VALUE!</v>
      </c>
      <c r="Z109" s="117" t="e">
        <f>TabREP[[#This Row],[J24]]*Entrainement!$C97</f>
        <v>#VALUE!</v>
      </c>
      <c r="AA109" s="117" t="e">
        <f>TabREP[[#This Row],[J25]]*Entrainement!$C97</f>
        <v>#VALUE!</v>
      </c>
      <c r="AB109" s="117" t="e">
        <f>TabREP[[#This Row],[J26]]*Entrainement!$C97</f>
        <v>#VALUE!</v>
      </c>
      <c r="AC109" s="117" t="e">
        <f>TabREP[[#This Row],[J27]]*Entrainement!$C97</f>
        <v>#VALUE!</v>
      </c>
      <c r="AD109" s="117" t="e">
        <f>TabREP[[#This Row],[J28]]*Entrainement!$C97</f>
        <v>#VALUE!</v>
      </c>
      <c r="AE109" s="117" t="e">
        <f>TabREP[[#This Row],[J29]]*Entrainement!$C97</f>
        <v>#VALUE!</v>
      </c>
      <c r="AF109" s="117" t="e">
        <f>TabREP[[#This Row],[J30]]*Entrainement!$C97</f>
        <v>#VALUE!</v>
      </c>
      <c r="AG109" s="250" t="str">
        <f>'Charges collective'!E101</f>
        <v/>
      </c>
      <c r="AH109" s="49"/>
      <c r="AI109" s="48"/>
    </row>
    <row r="110" spans="2:35" ht="14.25">
      <c r="B110" s="248" t="str">
        <f>IF(INDEX(TabEntrainement[Seance],ROW()-18)&lt;&gt;0,INDEX(TabEntrainement[Seance],ROW()-18),"")</f>
        <v/>
      </c>
      <c r="C110" s="117" t="e">
        <f>TabREP[[#This Row],[J1]]*Entrainement!C98</f>
        <v>#VALUE!</v>
      </c>
      <c r="D110" s="117" t="e">
        <f>TabREP[[#This Row],[J2]]*Entrainement!C98</f>
        <v>#VALUE!</v>
      </c>
      <c r="E110" s="117" t="e">
        <f>TabREP[[#This Row],[J3]]*Entrainement!$C98</f>
        <v>#VALUE!</v>
      </c>
      <c r="F110" s="117" t="e">
        <f>TabREP[[#This Row],[J4]]*Entrainement!$C98</f>
        <v>#VALUE!</v>
      </c>
      <c r="G110" s="117" t="e">
        <f>TabREP[[#This Row],[J5]]*Entrainement!$C98</f>
        <v>#VALUE!</v>
      </c>
      <c r="H110" s="117" t="e">
        <f>TabREP[[#This Row],[J6]]*Entrainement!$C98</f>
        <v>#VALUE!</v>
      </c>
      <c r="I110" s="117" t="e">
        <f>TabREP[[#This Row],[J7]]*Entrainement!$C98</f>
        <v>#VALUE!</v>
      </c>
      <c r="J110" s="117" t="e">
        <f>TabREP[[#This Row],[J8]]*Entrainement!$C98</f>
        <v>#VALUE!</v>
      </c>
      <c r="K110" s="117" t="e">
        <f>TabREP[[#This Row],[J9]]*Entrainement!$C98</f>
        <v>#VALUE!</v>
      </c>
      <c r="L110" s="117" t="e">
        <f>TabREP[[#This Row],[J10]]*Entrainement!$C98</f>
        <v>#VALUE!</v>
      </c>
      <c r="M110" s="117" t="e">
        <f>TabREP[[#This Row],[J11]]*Entrainement!$C98</f>
        <v>#VALUE!</v>
      </c>
      <c r="N110" s="117" t="e">
        <f>TabREP[[#This Row],[J12]]*Entrainement!$C98</f>
        <v>#VALUE!</v>
      </c>
      <c r="O110" s="117" t="e">
        <f>TabREP[[#This Row],[J13]]*Entrainement!$C98</f>
        <v>#VALUE!</v>
      </c>
      <c r="P110" s="117" t="e">
        <f>TabREP[[#This Row],[J14]]*Entrainement!$C98</f>
        <v>#VALUE!</v>
      </c>
      <c r="Q110" s="117" t="e">
        <f>TabREP[[#This Row],[J15]]*Entrainement!$C98</f>
        <v>#VALUE!</v>
      </c>
      <c r="R110" s="117" t="e">
        <f>TabREP[[#This Row],[J16]]*Entrainement!$C98</f>
        <v>#VALUE!</v>
      </c>
      <c r="S110" s="117" t="e">
        <f>TabREP[[#This Row],[J17]]*Entrainement!$C98</f>
        <v>#VALUE!</v>
      </c>
      <c r="T110" s="117" t="e">
        <f>TabREP[[#This Row],[J18]]*Entrainement!$C98</f>
        <v>#VALUE!</v>
      </c>
      <c r="U110" s="117" t="e">
        <f>TabREP[[#This Row],[J19]]*Entrainement!$C98</f>
        <v>#VALUE!</v>
      </c>
      <c r="V110" s="117" t="e">
        <f>TabREP[[#This Row],[J20]]*Entrainement!$C98</f>
        <v>#VALUE!</v>
      </c>
      <c r="W110" s="117" t="e">
        <f>TabREP[[#This Row],[J21]]*Entrainement!$C98</f>
        <v>#VALUE!</v>
      </c>
      <c r="X110" s="117" t="e">
        <f>TabREP[[#This Row],[J22]]*Entrainement!$C98</f>
        <v>#VALUE!</v>
      </c>
      <c r="Y110" s="117" t="e">
        <f>TabREP[[#This Row],[J23]]*Entrainement!$C98</f>
        <v>#VALUE!</v>
      </c>
      <c r="Z110" s="117" t="e">
        <f>TabREP[[#This Row],[J24]]*Entrainement!$C98</f>
        <v>#VALUE!</v>
      </c>
      <c r="AA110" s="117" t="e">
        <f>TabREP[[#This Row],[J25]]*Entrainement!$C98</f>
        <v>#VALUE!</v>
      </c>
      <c r="AB110" s="117" t="e">
        <f>TabREP[[#This Row],[J26]]*Entrainement!$C98</f>
        <v>#VALUE!</v>
      </c>
      <c r="AC110" s="117" t="e">
        <f>TabREP[[#This Row],[J27]]*Entrainement!$C98</f>
        <v>#VALUE!</v>
      </c>
      <c r="AD110" s="117" t="e">
        <f>TabREP[[#This Row],[J28]]*Entrainement!$C98</f>
        <v>#VALUE!</v>
      </c>
      <c r="AE110" s="117" t="e">
        <f>TabREP[[#This Row],[J29]]*Entrainement!$C98</f>
        <v>#VALUE!</v>
      </c>
      <c r="AF110" s="117" t="e">
        <f>TabREP[[#This Row],[J30]]*Entrainement!$C98</f>
        <v>#VALUE!</v>
      </c>
      <c r="AG110" s="250" t="str">
        <f>'Charges collective'!E102</f>
        <v/>
      </c>
      <c r="AH110" s="49"/>
      <c r="AI110" s="48"/>
    </row>
    <row r="111" spans="2:35" ht="14.25">
      <c r="B111" s="248" t="str">
        <f>IF(INDEX(TabEntrainement[Seance],ROW()-18)&lt;&gt;0,INDEX(TabEntrainement[Seance],ROW()-18),"")</f>
        <v/>
      </c>
      <c r="C111" s="117" t="e">
        <f>TabREP[[#This Row],[J1]]*Entrainement!C99</f>
        <v>#VALUE!</v>
      </c>
      <c r="D111" s="117" t="e">
        <f>TabREP[[#This Row],[J2]]*Entrainement!C99</f>
        <v>#VALUE!</v>
      </c>
      <c r="E111" s="117" t="e">
        <f>TabREP[[#This Row],[J3]]*Entrainement!$C99</f>
        <v>#VALUE!</v>
      </c>
      <c r="F111" s="117" t="e">
        <f>TabREP[[#This Row],[J4]]*Entrainement!$C99</f>
        <v>#VALUE!</v>
      </c>
      <c r="G111" s="117" t="e">
        <f>TabREP[[#This Row],[J5]]*Entrainement!$C99</f>
        <v>#VALUE!</v>
      </c>
      <c r="H111" s="117" t="e">
        <f>TabREP[[#This Row],[J6]]*Entrainement!$C99</f>
        <v>#VALUE!</v>
      </c>
      <c r="I111" s="117" t="e">
        <f>TabREP[[#This Row],[J7]]*Entrainement!$C99</f>
        <v>#VALUE!</v>
      </c>
      <c r="J111" s="117" t="e">
        <f>TabREP[[#This Row],[J8]]*Entrainement!$C99</f>
        <v>#VALUE!</v>
      </c>
      <c r="K111" s="117" t="e">
        <f>TabREP[[#This Row],[J9]]*Entrainement!$C99</f>
        <v>#VALUE!</v>
      </c>
      <c r="L111" s="117" t="e">
        <f>TabREP[[#This Row],[J10]]*Entrainement!$C99</f>
        <v>#VALUE!</v>
      </c>
      <c r="M111" s="117" t="e">
        <f>TabREP[[#This Row],[J11]]*Entrainement!$C99</f>
        <v>#VALUE!</v>
      </c>
      <c r="N111" s="117" t="e">
        <f>TabREP[[#This Row],[J12]]*Entrainement!$C99</f>
        <v>#VALUE!</v>
      </c>
      <c r="O111" s="117" t="e">
        <f>TabREP[[#This Row],[J13]]*Entrainement!$C99</f>
        <v>#VALUE!</v>
      </c>
      <c r="P111" s="117" t="e">
        <f>TabREP[[#This Row],[J14]]*Entrainement!$C99</f>
        <v>#VALUE!</v>
      </c>
      <c r="Q111" s="117" t="e">
        <f>TabREP[[#This Row],[J15]]*Entrainement!$C99</f>
        <v>#VALUE!</v>
      </c>
      <c r="R111" s="117" t="e">
        <f>TabREP[[#This Row],[J16]]*Entrainement!$C99</f>
        <v>#VALUE!</v>
      </c>
      <c r="S111" s="117" t="e">
        <f>TabREP[[#This Row],[J17]]*Entrainement!$C99</f>
        <v>#VALUE!</v>
      </c>
      <c r="T111" s="117" t="e">
        <f>TabREP[[#This Row],[J18]]*Entrainement!$C99</f>
        <v>#VALUE!</v>
      </c>
      <c r="U111" s="117" t="e">
        <f>TabREP[[#This Row],[J19]]*Entrainement!$C99</f>
        <v>#VALUE!</v>
      </c>
      <c r="V111" s="117" t="e">
        <f>TabREP[[#This Row],[J20]]*Entrainement!$C99</f>
        <v>#VALUE!</v>
      </c>
      <c r="W111" s="117" t="e">
        <f>TabREP[[#This Row],[J21]]*Entrainement!$C99</f>
        <v>#VALUE!</v>
      </c>
      <c r="X111" s="117" t="e">
        <f>TabREP[[#This Row],[J22]]*Entrainement!$C99</f>
        <v>#VALUE!</v>
      </c>
      <c r="Y111" s="117" t="e">
        <f>TabREP[[#This Row],[J23]]*Entrainement!$C99</f>
        <v>#VALUE!</v>
      </c>
      <c r="Z111" s="117" t="e">
        <f>TabREP[[#This Row],[J24]]*Entrainement!$C99</f>
        <v>#VALUE!</v>
      </c>
      <c r="AA111" s="117" t="e">
        <f>TabREP[[#This Row],[J25]]*Entrainement!$C99</f>
        <v>#VALUE!</v>
      </c>
      <c r="AB111" s="117" t="e">
        <f>TabREP[[#This Row],[J26]]*Entrainement!$C99</f>
        <v>#VALUE!</v>
      </c>
      <c r="AC111" s="117" t="e">
        <f>TabREP[[#This Row],[J27]]*Entrainement!$C99</f>
        <v>#VALUE!</v>
      </c>
      <c r="AD111" s="117" t="e">
        <f>TabREP[[#This Row],[J28]]*Entrainement!$C99</f>
        <v>#VALUE!</v>
      </c>
      <c r="AE111" s="117" t="e">
        <f>TabREP[[#This Row],[J29]]*Entrainement!$C99</f>
        <v>#VALUE!</v>
      </c>
      <c r="AF111" s="117" t="e">
        <f>TabREP[[#This Row],[J30]]*Entrainement!$C99</f>
        <v>#VALUE!</v>
      </c>
      <c r="AG111" s="250" t="str">
        <f>'Charges collective'!E103</f>
        <v/>
      </c>
      <c r="AH111" s="49"/>
      <c r="AI111" s="48"/>
    </row>
    <row r="112" spans="2:35" ht="14.25">
      <c r="B112" s="248" t="str">
        <f>IF(INDEX(TabEntrainement[Seance],ROW()-18)&lt;&gt;0,INDEX(TabEntrainement[Seance],ROW()-18),"")</f>
        <v/>
      </c>
      <c r="C112" s="117" t="e">
        <f>TabREP[[#This Row],[J1]]*Entrainement!C100</f>
        <v>#VALUE!</v>
      </c>
      <c r="D112" s="117" t="e">
        <f>TabREP[[#This Row],[J2]]*Entrainement!C100</f>
        <v>#VALUE!</v>
      </c>
      <c r="E112" s="117" t="e">
        <f>TabREP[[#This Row],[J3]]*Entrainement!$C100</f>
        <v>#VALUE!</v>
      </c>
      <c r="F112" s="117" t="e">
        <f>TabREP[[#This Row],[J4]]*Entrainement!$C100</f>
        <v>#VALUE!</v>
      </c>
      <c r="G112" s="117" t="e">
        <f>TabREP[[#This Row],[J5]]*Entrainement!$C100</f>
        <v>#VALUE!</v>
      </c>
      <c r="H112" s="117" t="e">
        <f>TabREP[[#This Row],[J6]]*Entrainement!$C100</f>
        <v>#VALUE!</v>
      </c>
      <c r="I112" s="117" t="e">
        <f>TabREP[[#This Row],[J7]]*Entrainement!$C100</f>
        <v>#VALUE!</v>
      </c>
      <c r="J112" s="117" t="e">
        <f>TabREP[[#This Row],[J8]]*Entrainement!$C100</f>
        <v>#VALUE!</v>
      </c>
      <c r="K112" s="117" t="e">
        <f>TabREP[[#This Row],[J9]]*Entrainement!$C100</f>
        <v>#VALUE!</v>
      </c>
      <c r="L112" s="117" t="e">
        <f>TabREP[[#This Row],[J10]]*Entrainement!$C100</f>
        <v>#VALUE!</v>
      </c>
      <c r="M112" s="117" t="e">
        <f>TabREP[[#This Row],[J11]]*Entrainement!$C100</f>
        <v>#VALUE!</v>
      </c>
      <c r="N112" s="117" t="e">
        <f>TabREP[[#This Row],[J12]]*Entrainement!$C100</f>
        <v>#VALUE!</v>
      </c>
      <c r="O112" s="117" t="e">
        <f>TabREP[[#This Row],[J13]]*Entrainement!$C100</f>
        <v>#VALUE!</v>
      </c>
      <c r="P112" s="117" t="e">
        <f>TabREP[[#This Row],[J14]]*Entrainement!$C100</f>
        <v>#VALUE!</v>
      </c>
      <c r="Q112" s="117" t="e">
        <f>TabREP[[#This Row],[J15]]*Entrainement!$C100</f>
        <v>#VALUE!</v>
      </c>
      <c r="R112" s="117" t="e">
        <f>TabREP[[#This Row],[J16]]*Entrainement!$C100</f>
        <v>#VALUE!</v>
      </c>
      <c r="S112" s="117" t="e">
        <f>TabREP[[#This Row],[J17]]*Entrainement!$C100</f>
        <v>#VALUE!</v>
      </c>
      <c r="T112" s="117" t="e">
        <f>TabREP[[#This Row],[J18]]*Entrainement!$C100</f>
        <v>#VALUE!</v>
      </c>
      <c r="U112" s="117" t="e">
        <f>TabREP[[#This Row],[J19]]*Entrainement!$C100</f>
        <v>#VALUE!</v>
      </c>
      <c r="V112" s="117" t="e">
        <f>TabREP[[#This Row],[J20]]*Entrainement!$C100</f>
        <v>#VALUE!</v>
      </c>
      <c r="W112" s="117" t="e">
        <f>TabREP[[#This Row],[J21]]*Entrainement!$C100</f>
        <v>#VALUE!</v>
      </c>
      <c r="X112" s="117" t="e">
        <f>TabREP[[#This Row],[J22]]*Entrainement!$C100</f>
        <v>#VALUE!</v>
      </c>
      <c r="Y112" s="117" t="e">
        <f>TabREP[[#This Row],[J23]]*Entrainement!$C100</f>
        <v>#VALUE!</v>
      </c>
      <c r="Z112" s="117" t="e">
        <f>TabREP[[#This Row],[J24]]*Entrainement!$C100</f>
        <v>#VALUE!</v>
      </c>
      <c r="AA112" s="117" t="e">
        <f>TabREP[[#This Row],[J25]]*Entrainement!$C100</f>
        <v>#VALUE!</v>
      </c>
      <c r="AB112" s="117" t="e">
        <f>TabREP[[#This Row],[J26]]*Entrainement!$C100</f>
        <v>#VALUE!</v>
      </c>
      <c r="AC112" s="117" t="e">
        <f>TabREP[[#This Row],[J27]]*Entrainement!$C100</f>
        <v>#VALUE!</v>
      </c>
      <c r="AD112" s="117" t="e">
        <f>TabREP[[#This Row],[J28]]*Entrainement!$C100</f>
        <v>#VALUE!</v>
      </c>
      <c r="AE112" s="117" t="e">
        <f>TabREP[[#This Row],[J29]]*Entrainement!$C100</f>
        <v>#VALUE!</v>
      </c>
      <c r="AF112" s="117" t="e">
        <f>TabREP[[#This Row],[J30]]*Entrainement!$C100</f>
        <v>#VALUE!</v>
      </c>
      <c r="AG112" s="250" t="str">
        <f>'Charges collective'!E104</f>
        <v/>
      </c>
      <c r="AH112" s="49"/>
      <c r="AI112" s="48"/>
    </row>
    <row r="113" spans="2:35" ht="14.25">
      <c r="B113" s="248" t="str">
        <f>IF(INDEX(TabEntrainement[Seance],ROW()-18)&lt;&gt;0,INDEX(TabEntrainement[Seance],ROW()-18),"")</f>
        <v/>
      </c>
      <c r="C113" s="117" t="e">
        <f>TabREP[[#This Row],[J1]]*Entrainement!C101</f>
        <v>#VALUE!</v>
      </c>
      <c r="D113" s="117" t="e">
        <f>TabREP[[#This Row],[J2]]*Entrainement!C101</f>
        <v>#VALUE!</v>
      </c>
      <c r="E113" s="117" t="e">
        <f>TabREP[[#This Row],[J3]]*Entrainement!$C101</f>
        <v>#VALUE!</v>
      </c>
      <c r="F113" s="117" t="e">
        <f>TabREP[[#This Row],[J4]]*Entrainement!$C101</f>
        <v>#VALUE!</v>
      </c>
      <c r="G113" s="117" t="e">
        <f>TabREP[[#This Row],[J5]]*Entrainement!$C101</f>
        <v>#VALUE!</v>
      </c>
      <c r="H113" s="117" t="e">
        <f>TabREP[[#This Row],[J6]]*Entrainement!$C101</f>
        <v>#VALUE!</v>
      </c>
      <c r="I113" s="117" t="e">
        <f>TabREP[[#This Row],[J7]]*Entrainement!$C101</f>
        <v>#VALUE!</v>
      </c>
      <c r="J113" s="117" t="e">
        <f>TabREP[[#This Row],[J8]]*Entrainement!$C101</f>
        <v>#VALUE!</v>
      </c>
      <c r="K113" s="117" t="e">
        <f>TabREP[[#This Row],[J9]]*Entrainement!$C101</f>
        <v>#VALUE!</v>
      </c>
      <c r="L113" s="117" t="e">
        <f>TabREP[[#This Row],[J10]]*Entrainement!$C101</f>
        <v>#VALUE!</v>
      </c>
      <c r="M113" s="117" t="e">
        <f>TabREP[[#This Row],[J11]]*Entrainement!$C101</f>
        <v>#VALUE!</v>
      </c>
      <c r="N113" s="117" t="e">
        <f>TabREP[[#This Row],[J12]]*Entrainement!$C101</f>
        <v>#VALUE!</v>
      </c>
      <c r="O113" s="117" t="e">
        <f>TabREP[[#This Row],[J13]]*Entrainement!$C101</f>
        <v>#VALUE!</v>
      </c>
      <c r="P113" s="117" t="e">
        <f>TabREP[[#This Row],[J14]]*Entrainement!$C101</f>
        <v>#VALUE!</v>
      </c>
      <c r="Q113" s="117" t="e">
        <f>TabREP[[#This Row],[J15]]*Entrainement!$C101</f>
        <v>#VALUE!</v>
      </c>
      <c r="R113" s="117" t="e">
        <f>TabREP[[#This Row],[J16]]*Entrainement!$C101</f>
        <v>#VALUE!</v>
      </c>
      <c r="S113" s="117" t="e">
        <f>TabREP[[#This Row],[J17]]*Entrainement!$C101</f>
        <v>#VALUE!</v>
      </c>
      <c r="T113" s="117" t="e">
        <f>TabREP[[#This Row],[J18]]*Entrainement!$C101</f>
        <v>#VALUE!</v>
      </c>
      <c r="U113" s="117" t="e">
        <f>TabREP[[#This Row],[J19]]*Entrainement!$C101</f>
        <v>#VALUE!</v>
      </c>
      <c r="V113" s="117" t="e">
        <f>TabREP[[#This Row],[J20]]*Entrainement!$C101</f>
        <v>#VALUE!</v>
      </c>
      <c r="W113" s="117" t="e">
        <f>TabREP[[#This Row],[J21]]*Entrainement!$C101</f>
        <v>#VALUE!</v>
      </c>
      <c r="X113" s="117" t="e">
        <f>TabREP[[#This Row],[J22]]*Entrainement!$C101</f>
        <v>#VALUE!</v>
      </c>
      <c r="Y113" s="117" t="e">
        <f>TabREP[[#This Row],[J23]]*Entrainement!$C101</f>
        <v>#VALUE!</v>
      </c>
      <c r="Z113" s="117" t="e">
        <f>TabREP[[#This Row],[J24]]*Entrainement!$C101</f>
        <v>#VALUE!</v>
      </c>
      <c r="AA113" s="117" t="e">
        <f>TabREP[[#This Row],[J25]]*Entrainement!$C101</f>
        <v>#VALUE!</v>
      </c>
      <c r="AB113" s="117" t="e">
        <f>TabREP[[#This Row],[J26]]*Entrainement!$C101</f>
        <v>#VALUE!</v>
      </c>
      <c r="AC113" s="117" t="e">
        <f>TabREP[[#This Row],[J27]]*Entrainement!$C101</f>
        <v>#VALUE!</v>
      </c>
      <c r="AD113" s="117" t="e">
        <f>TabREP[[#This Row],[J28]]*Entrainement!$C101</f>
        <v>#VALUE!</v>
      </c>
      <c r="AE113" s="117" t="e">
        <f>TabREP[[#This Row],[J29]]*Entrainement!$C101</f>
        <v>#VALUE!</v>
      </c>
      <c r="AF113" s="117" t="e">
        <f>TabREP[[#This Row],[J30]]*Entrainement!$C101</f>
        <v>#VALUE!</v>
      </c>
      <c r="AG113" s="250" t="str">
        <f>'Charges collective'!E105</f>
        <v/>
      </c>
      <c r="AH113" s="49"/>
      <c r="AI113" s="48"/>
    </row>
    <row r="114" spans="2:35" ht="14.25">
      <c r="B114" s="248" t="str">
        <f>IF(INDEX(TabEntrainement[Seance],ROW()-18)&lt;&gt;0,INDEX(TabEntrainement[Seance],ROW()-18),"")</f>
        <v/>
      </c>
      <c r="C114" s="117" t="e">
        <f>TabREP[[#This Row],[J1]]*Entrainement!C102</f>
        <v>#VALUE!</v>
      </c>
      <c r="D114" s="117" t="e">
        <f>TabREP[[#This Row],[J2]]*Entrainement!C102</f>
        <v>#VALUE!</v>
      </c>
      <c r="E114" s="117" t="e">
        <f>TabREP[[#This Row],[J3]]*Entrainement!$C102</f>
        <v>#VALUE!</v>
      </c>
      <c r="F114" s="117" t="e">
        <f>TabREP[[#This Row],[J4]]*Entrainement!$C102</f>
        <v>#VALUE!</v>
      </c>
      <c r="G114" s="117" t="e">
        <f>TabREP[[#This Row],[J5]]*Entrainement!$C102</f>
        <v>#VALUE!</v>
      </c>
      <c r="H114" s="117" t="e">
        <f>TabREP[[#This Row],[J6]]*Entrainement!$C102</f>
        <v>#VALUE!</v>
      </c>
      <c r="I114" s="117" t="e">
        <f>TabREP[[#This Row],[J7]]*Entrainement!$C102</f>
        <v>#VALUE!</v>
      </c>
      <c r="J114" s="117" t="e">
        <f>TabREP[[#This Row],[J8]]*Entrainement!$C102</f>
        <v>#VALUE!</v>
      </c>
      <c r="K114" s="117" t="e">
        <f>TabREP[[#This Row],[J9]]*Entrainement!$C102</f>
        <v>#VALUE!</v>
      </c>
      <c r="L114" s="117" t="e">
        <f>TabREP[[#This Row],[J10]]*Entrainement!$C102</f>
        <v>#VALUE!</v>
      </c>
      <c r="M114" s="117" t="e">
        <f>TabREP[[#This Row],[J11]]*Entrainement!$C102</f>
        <v>#VALUE!</v>
      </c>
      <c r="N114" s="117" t="e">
        <f>TabREP[[#This Row],[J12]]*Entrainement!$C102</f>
        <v>#VALUE!</v>
      </c>
      <c r="O114" s="117" t="e">
        <f>TabREP[[#This Row],[J13]]*Entrainement!$C102</f>
        <v>#VALUE!</v>
      </c>
      <c r="P114" s="117" t="e">
        <f>TabREP[[#This Row],[J14]]*Entrainement!$C102</f>
        <v>#VALUE!</v>
      </c>
      <c r="Q114" s="117" t="e">
        <f>TabREP[[#This Row],[J15]]*Entrainement!$C102</f>
        <v>#VALUE!</v>
      </c>
      <c r="R114" s="117" t="e">
        <f>TabREP[[#This Row],[J16]]*Entrainement!$C102</f>
        <v>#VALUE!</v>
      </c>
      <c r="S114" s="117" t="e">
        <f>TabREP[[#This Row],[J17]]*Entrainement!$C102</f>
        <v>#VALUE!</v>
      </c>
      <c r="T114" s="117" t="e">
        <f>TabREP[[#This Row],[J18]]*Entrainement!$C102</f>
        <v>#VALUE!</v>
      </c>
      <c r="U114" s="117" t="e">
        <f>TabREP[[#This Row],[J19]]*Entrainement!$C102</f>
        <v>#VALUE!</v>
      </c>
      <c r="V114" s="117" t="e">
        <f>TabREP[[#This Row],[J20]]*Entrainement!$C102</f>
        <v>#VALUE!</v>
      </c>
      <c r="W114" s="117" t="e">
        <f>TabREP[[#This Row],[J21]]*Entrainement!$C102</f>
        <v>#VALUE!</v>
      </c>
      <c r="X114" s="117" t="e">
        <f>TabREP[[#This Row],[J22]]*Entrainement!$C102</f>
        <v>#VALUE!</v>
      </c>
      <c r="Y114" s="117" t="e">
        <f>TabREP[[#This Row],[J23]]*Entrainement!$C102</f>
        <v>#VALUE!</v>
      </c>
      <c r="Z114" s="117" t="e">
        <f>TabREP[[#This Row],[J24]]*Entrainement!$C102</f>
        <v>#VALUE!</v>
      </c>
      <c r="AA114" s="117" t="e">
        <f>TabREP[[#This Row],[J25]]*Entrainement!$C102</f>
        <v>#VALUE!</v>
      </c>
      <c r="AB114" s="117" t="e">
        <f>TabREP[[#This Row],[J26]]*Entrainement!$C102</f>
        <v>#VALUE!</v>
      </c>
      <c r="AC114" s="117" t="e">
        <f>TabREP[[#This Row],[J27]]*Entrainement!$C102</f>
        <v>#VALUE!</v>
      </c>
      <c r="AD114" s="117" t="e">
        <f>TabREP[[#This Row],[J28]]*Entrainement!$C102</f>
        <v>#VALUE!</v>
      </c>
      <c r="AE114" s="117" t="e">
        <f>TabREP[[#This Row],[J29]]*Entrainement!$C102</f>
        <v>#VALUE!</v>
      </c>
      <c r="AF114" s="117" t="e">
        <f>TabREP[[#This Row],[J30]]*Entrainement!$C102</f>
        <v>#VALUE!</v>
      </c>
      <c r="AG114" s="250" t="str">
        <f>'Charges collective'!E106</f>
        <v/>
      </c>
      <c r="AH114" s="49"/>
      <c r="AI114" s="48"/>
    </row>
    <row r="115" spans="2:35" ht="14.25">
      <c r="B115" s="248" t="str">
        <f>IF(INDEX(TabEntrainement[Seance],ROW()-18)&lt;&gt;0,INDEX(TabEntrainement[Seance],ROW()-18),"")</f>
        <v/>
      </c>
      <c r="C115" s="117" t="e">
        <f>TabREP[[#This Row],[J1]]*Entrainement!C103</f>
        <v>#VALUE!</v>
      </c>
      <c r="D115" s="117" t="e">
        <f>TabREP[[#This Row],[J2]]*Entrainement!C103</f>
        <v>#VALUE!</v>
      </c>
      <c r="E115" s="117" t="e">
        <f>TabREP[[#This Row],[J3]]*Entrainement!$C103</f>
        <v>#VALUE!</v>
      </c>
      <c r="F115" s="117" t="e">
        <f>TabREP[[#This Row],[J4]]*Entrainement!$C103</f>
        <v>#VALUE!</v>
      </c>
      <c r="G115" s="117" t="e">
        <f>TabREP[[#This Row],[J5]]*Entrainement!$C103</f>
        <v>#VALUE!</v>
      </c>
      <c r="H115" s="117" t="e">
        <f>TabREP[[#This Row],[J6]]*Entrainement!$C103</f>
        <v>#VALUE!</v>
      </c>
      <c r="I115" s="117" t="e">
        <f>TabREP[[#This Row],[J7]]*Entrainement!$C103</f>
        <v>#VALUE!</v>
      </c>
      <c r="J115" s="117" t="e">
        <f>TabREP[[#This Row],[J8]]*Entrainement!$C103</f>
        <v>#VALUE!</v>
      </c>
      <c r="K115" s="117" t="e">
        <f>TabREP[[#This Row],[J9]]*Entrainement!$C103</f>
        <v>#VALUE!</v>
      </c>
      <c r="L115" s="117" t="e">
        <f>TabREP[[#This Row],[J10]]*Entrainement!$C103</f>
        <v>#VALUE!</v>
      </c>
      <c r="M115" s="117" t="e">
        <f>TabREP[[#This Row],[J11]]*Entrainement!$C103</f>
        <v>#VALUE!</v>
      </c>
      <c r="N115" s="117" t="e">
        <f>TabREP[[#This Row],[J12]]*Entrainement!$C103</f>
        <v>#VALUE!</v>
      </c>
      <c r="O115" s="117" t="e">
        <f>TabREP[[#This Row],[J13]]*Entrainement!$C103</f>
        <v>#VALUE!</v>
      </c>
      <c r="P115" s="117" t="e">
        <f>TabREP[[#This Row],[J14]]*Entrainement!$C103</f>
        <v>#VALUE!</v>
      </c>
      <c r="Q115" s="117" t="e">
        <f>TabREP[[#This Row],[J15]]*Entrainement!$C103</f>
        <v>#VALUE!</v>
      </c>
      <c r="R115" s="117" t="e">
        <f>TabREP[[#This Row],[J16]]*Entrainement!$C103</f>
        <v>#VALUE!</v>
      </c>
      <c r="S115" s="117" t="e">
        <f>TabREP[[#This Row],[J17]]*Entrainement!$C103</f>
        <v>#VALUE!</v>
      </c>
      <c r="T115" s="117" t="e">
        <f>TabREP[[#This Row],[J18]]*Entrainement!$C103</f>
        <v>#VALUE!</v>
      </c>
      <c r="U115" s="117" t="e">
        <f>TabREP[[#This Row],[J19]]*Entrainement!$C103</f>
        <v>#VALUE!</v>
      </c>
      <c r="V115" s="117" t="e">
        <f>TabREP[[#This Row],[J20]]*Entrainement!$C103</f>
        <v>#VALUE!</v>
      </c>
      <c r="W115" s="117" t="e">
        <f>TabREP[[#This Row],[J21]]*Entrainement!$C103</f>
        <v>#VALUE!</v>
      </c>
      <c r="X115" s="117" t="e">
        <f>TabREP[[#This Row],[J22]]*Entrainement!$C103</f>
        <v>#VALUE!</v>
      </c>
      <c r="Y115" s="117" t="e">
        <f>TabREP[[#This Row],[J23]]*Entrainement!$C103</f>
        <v>#VALUE!</v>
      </c>
      <c r="Z115" s="117" t="e">
        <f>TabREP[[#This Row],[J24]]*Entrainement!$C103</f>
        <v>#VALUE!</v>
      </c>
      <c r="AA115" s="117" t="e">
        <f>TabREP[[#This Row],[J25]]*Entrainement!$C103</f>
        <v>#VALUE!</v>
      </c>
      <c r="AB115" s="117" t="e">
        <f>TabREP[[#This Row],[J26]]*Entrainement!$C103</f>
        <v>#VALUE!</v>
      </c>
      <c r="AC115" s="117" t="e">
        <f>TabREP[[#This Row],[J27]]*Entrainement!$C103</f>
        <v>#VALUE!</v>
      </c>
      <c r="AD115" s="117" t="e">
        <f>TabREP[[#This Row],[J28]]*Entrainement!$C103</f>
        <v>#VALUE!</v>
      </c>
      <c r="AE115" s="117" t="e">
        <f>TabREP[[#This Row],[J29]]*Entrainement!$C103</f>
        <v>#VALUE!</v>
      </c>
      <c r="AF115" s="117" t="e">
        <f>TabREP[[#This Row],[J30]]*Entrainement!$C103</f>
        <v>#VALUE!</v>
      </c>
      <c r="AG115" s="250" t="str">
        <f>'Charges collective'!E107</f>
        <v/>
      </c>
      <c r="AH115" s="49"/>
      <c r="AI115" s="48"/>
    </row>
    <row r="116" spans="2:35" ht="14.25">
      <c r="B116" s="248" t="str">
        <f>IF(INDEX(TabEntrainement[Seance],ROW()-18)&lt;&gt;0,INDEX(TabEntrainement[Seance],ROW()-18),"")</f>
        <v/>
      </c>
      <c r="C116" s="117" t="e">
        <f>TabREP[[#This Row],[J1]]*Entrainement!C104</f>
        <v>#VALUE!</v>
      </c>
      <c r="D116" s="117" t="e">
        <f>TabREP[[#This Row],[J2]]*Entrainement!C104</f>
        <v>#VALUE!</v>
      </c>
      <c r="E116" s="117" t="e">
        <f>TabREP[[#This Row],[J3]]*Entrainement!$C104</f>
        <v>#VALUE!</v>
      </c>
      <c r="F116" s="117" t="e">
        <f>TabREP[[#This Row],[J4]]*Entrainement!$C104</f>
        <v>#VALUE!</v>
      </c>
      <c r="G116" s="117" t="e">
        <f>TabREP[[#This Row],[J5]]*Entrainement!$C104</f>
        <v>#VALUE!</v>
      </c>
      <c r="H116" s="117" t="e">
        <f>TabREP[[#This Row],[J6]]*Entrainement!$C104</f>
        <v>#VALUE!</v>
      </c>
      <c r="I116" s="117" t="e">
        <f>TabREP[[#This Row],[J7]]*Entrainement!$C104</f>
        <v>#VALUE!</v>
      </c>
      <c r="J116" s="117" t="e">
        <f>TabREP[[#This Row],[J8]]*Entrainement!$C104</f>
        <v>#VALUE!</v>
      </c>
      <c r="K116" s="117" t="e">
        <f>TabREP[[#This Row],[J9]]*Entrainement!$C104</f>
        <v>#VALUE!</v>
      </c>
      <c r="L116" s="117" t="e">
        <f>TabREP[[#This Row],[J10]]*Entrainement!$C104</f>
        <v>#VALUE!</v>
      </c>
      <c r="M116" s="117" t="e">
        <f>TabREP[[#This Row],[J11]]*Entrainement!$C104</f>
        <v>#VALUE!</v>
      </c>
      <c r="N116" s="117" t="e">
        <f>TabREP[[#This Row],[J12]]*Entrainement!$C104</f>
        <v>#VALUE!</v>
      </c>
      <c r="O116" s="117" t="e">
        <f>TabREP[[#This Row],[J13]]*Entrainement!$C104</f>
        <v>#VALUE!</v>
      </c>
      <c r="P116" s="117" t="e">
        <f>TabREP[[#This Row],[J14]]*Entrainement!$C104</f>
        <v>#VALUE!</v>
      </c>
      <c r="Q116" s="117" t="e">
        <f>TabREP[[#This Row],[J15]]*Entrainement!$C104</f>
        <v>#VALUE!</v>
      </c>
      <c r="R116" s="117" t="e">
        <f>TabREP[[#This Row],[J16]]*Entrainement!$C104</f>
        <v>#VALUE!</v>
      </c>
      <c r="S116" s="117" t="e">
        <f>TabREP[[#This Row],[J17]]*Entrainement!$C104</f>
        <v>#VALUE!</v>
      </c>
      <c r="T116" s="117" t="e">
        <f>TabREP[[#This Row],[J18]]*Entrainement!$C104</f>
        <v>#VALUE!</v>
      </c>
      <c r="U116" s="117" t="e">
        <f>TabREP[[#This Row],[J19]]*Entrainement!$C104</f>
        <v>#VALUE!</v>
      </c>
      <c r="V116" s="117" t="e">
        <f>TabREP[[#This Row],[J20]]*Entrainement!$C104</f>
        <v>#VALUE!</v>
      </c>
      <c r="W116" s="117" t="e">
        <f>TabREP[[#This Row],[J21]]*Entrainement!$C104</f>
        <v>#VALUE!</v>
      </c>
      <c r="X116" s="117" t="e">
        <f>TabREP[[#This Row],[J22]]*Entrainement!$C104</f>
        <v>#VALUE!</v>
      </c>
      <c r="Y116" s="117" t="e">
        <f>TabREP[[#This Row],[J23]]*Entrainement!$C104</f>
        <v>#VALUE!</v>
      </c>
      <c r="Z116" s="117" t="e">
        <f>TabREP[[#This Row],[J24]]*Entrainement!$C104</f>
        <v>#VALUE!</v>
      </c>
      <c r="AA116" s="117" t="e">
        <f>TabREP[[#This Row],[J25]]*Entrainement!$C104</f>
        <v>#VALUE!</v>
      </c>
      <c r="AB116" s="117" t="e">
        <f>TabREP[[#This Row],[J26]]*Entrainement!$C104</f>
        <v>#VALUE!</v>
      </c>
      <c r="AC116" s="117" t="e">
        <f>TabREP[[#This Row],[J27]]*Entrainement!$C104</f>
        <v>#VALUE!</v>
      </c>
      <c r="AD116" s="117" t="e">
        <f>TabREP[[#This Row],[J28]]*Entrainement!$C104</f>
        <v>#VALUE!</v>
      </c>
      <c r="AE116" s="117" t="e">
        <f>TabREP[[#This Row],[J29]]*Entrainement!$C104</f>
        <v>#VALUE!</v>
      </c>
      <c r="AF116" s="117" t="e">
        <f>TabREP[[#This Row],[J30]]*Entrainement!$C104</f>
        <v>#VALUE!</v>
      </c>
      <c r="AG116" s="250" t="str">
        <f>'Charges collective'!E108</f>
        <v/>
      </c>
      <c r="AH116" s="49"/>
      <c r="AI116" s="48"/>
    </row>
    <row r="117" spans="2:35" ht="14.25">
      <c r="B117" s="248" t="str">
        <f>IF(INDEX(TabEntrainement[Seance],ROW()-18)&lt;&gt;0,INDEX(TabEntrainement[Seance],ROW()-18),"")</f>
        <v/>
      </c>
      <c r="C117" s="117" t="e">
        <f>TabREP[[#This Row],[J1]]*Entrainement!C105</f>
        <v>#VALUE!</v>
      </c>
      <c r="D117" s="117" t="e">
        <f>TabREP[[#This Row],[J2]]*Entrainement!C105</f>
        <v>#VALUE!</v>
      </c>
      <c r="E117" s="117" t="e">
        <f>TabREP[[#This Row],[J3]]*Entrainement!$C105</f>
        <v>#VALUE!</v>
      </c>
      <c r="F117" s="117" t="e">
        <f>TabREP[[#This Row],[J4]]*Entrainement!$C105</f>
        <v>#VALUE!</v>
      </c>
      <c r="G117" s="117" t="e">
        <f>TabREP[[#This Row],[J5]]*Entrainement!$C105</f>
        <v>#VALUE!</v>
      </c>
      <c r="H117" s="117" t="e">
        <f>TabREP[[#This Row],[J6]]*Entrainement!$C105</f>
        <v>#VALUE!</v>
      </c>
      <c r="I117" s="117" t="e">
        <f>TabREP[[#This Row],[J7]]*Entrainement!$C105</f>
        <v>#VALUE!</v>
      </c>
      <c r="J117" s="117" t="e">
        <f>TabREP[[#This Row],[J8]]*Entrainement!$C105</f>
        <v>#VALUE!</v>
      </c>
      <c r="K117" s="117" t="e">
        <f>TabREP[[#This Row],[J9]]*Entrainement!$C105</f>
        <v>#VALUE!</v>
      </c>
      <c r="L117" s="117" t="e">
        <f>TabREP[[#This Row],[J10]]*Entrainement!$C105</f>
        <v>#VALUE!</v>
      </c>
      <c r="M117" s="117" t="e">
        <f>TabREP[[#This Row],[J11]]*Entrainement!$C105</f>
        <v>#VALUE!</v>
      </c>
      <c r="N117" s="117" t="e">
        <f>TabREP[[#This Row],[J12]]*Entrainement!$C105</f>
        <v>#VALUE!</v>
      </c>
      <c r="O117" s="117" t="e">
        <f>TabREP[[#This Row],[J13]]*Entrainement!$C105</f>
        <v>#VALUE!</v>
      </c>
      <c r="P117" s="117" t="e">
        <f>TabREP[[#This Row],[J14]]*Entrainement!$C105</f>
        <v>#VALUE!</v>
      </c>
      <c r="Q117" s="117" t="e">
        <f>TabREP[[#This Row],[J15]]*Entrainement!$C105</f>
        <v>#VALUE!</v>
      </c>
      <c r="R117" s="117" t="e">
        <f>TabREP[[#This Row],[J16]]*Entrainement!$C105</f>
        <v>#VALUE!</v>
      </c>
      <c r="S117" s="117" t="e">
        <f>TabREP[[#This Row],[J17]]*Entrainement!$C105</f>
        <v>#VALUE!</v>
      </c>
      <c r="T117" s="117" t="e">
        <f>TabREP[[#This Row],[J18]]*Entrainement!$C105</f>
        <v>#VALUE!</v>
      </c>
      <c r="U117" s="117" t="e">
        <f>TabREP[[#This Row],[J19]]*Entrainement!$C105</f>
        <v>#VALUE!</v>
      </c>
      <c r="V117" s="117" t="e">
        <f>TabREP[[#This Row],[J20]]*Entrainement!$C105</f>
        <v>#VALUE!</v>
      </c>
      <c r="W117" s="117" t="e">
        <f>TabREP[[#This Row],[J21]]*Entrainement!$C105</f>
        <v>#VALUE!</v>
      </c>
      <c r="X117" s="117" t="e">
        <f>TabREP[[#This Row],[J22]]*Entrainement!$C105</f>
        <v>#VALUE!</v>
      </c>
      <c r="Y117" s="117" t="e">
        <f>TabREP[[#This Row],[J23]]*Entrainement!$C105</f>
        <v>#VALUE!</v>
      </c>
      <c r="Z117" s="117" t="e">
        <f>TabREP[[#This Row],[J24]]*Entrainement!$C105</f>
        <v>#VALUE!</v>
      </c>
      <c r="AA117" s="117" t="e">
        <f>TabREP[[#This Row],[J25]]*Entrainement!$C105</f>
        <v>#VALUE!</v>
      </c>
      <c r="AB117" s="117" t="e">
        <f>TabREP[[#This Row],[J26]]*Entrainement!$C105</f>
        <v>#VALUE!</v>
      </c>
      <c r="AC117" s="117" t="e">
        <f>TabREP[[#This Row],[J27]]*Entrainement!$C105</f>
        <v>#VALUE!</v>
      </c>
      <c r="AD117" s="117" t="e">
        <f>TabREP[[#This Row],[J28]]*Entrainement!$C105</f>
        <v>#VALUE!</v>
      </c>
      <c r="AE117" s="117" t="e">
        <f>TabREP[[#This Row],[J29]]*Entrainement!$C105</f>
        <v>#VALUE!</v>
      </c>
      <c r="AF117" s="117" t="e">
        <f>TabREP[[#This Row],[J30]]*Entrainement!$C105</f>
        <v>#VALUE!</v>
      </c>
      <c r="AG117" s="250" t="str">
        <f>'Charges collective'!E109</f>
        <v/>
      </c>
      <c r="AH117" s="49"/>
      <c r="AI117" s="48"/>
    </row>
    <row r="118" spans="2:35" ht="14.25">
      <c r="B118" s="248" t="str">
        <f>IF(INDEX(TabEntrainement[Seance],ROW()-18)&lt;&gt;0,INDEX(TabEntrainement[Seance],ROW()-18),"")</f>
        <v/>
      </c>
      <c r="C118" s="117" t="e">
        <f>TabREP[[#This Row],[J1]]*Entrainement!C106</f>
        <v>#VALUE!</v>
      </c>
      <c r="D118" s="117" t="e">
        <f>TabREP[[#This Row],[J2]]*Entrainement!C106</f>
        <v>#VALUE!</v>
      </c>
      <c r="E118" s="117" t="e">
        <f>TabREP[[#This Row],[J3]]*Entrainement!$C106</f>
        <v>#VALUE!</v>
      </c>
      <c r="F118" s="117" t="e">
        <f>TabREP[[#This Row],[J4]]*Entrainement!$C106</f>
        <v>#VALUE!</v>
      </c>
      <c r="G118" s="117" t="e">
        <f>TabREP[[#This Row],[J5]]*Entrainement!$C106</f>
        <v>#VALUE!</v>
      </c>
      <c r="H118" s="117" t="e">
        <f>TabREP[[#This Row],[J6]]*Entrainement!$C106</f>
        <v>#VALUE!</v>
      </c>
      <c r="I118" s="117" t="e">
        <f>TabREP[[#This Row],[J7]]*Entrainement!$C106</f>
        <v>#VALUE!</v>
      </c>
      <c r="J118" s="117" t="e">
        <f>TabREP[[#This Row],[J8]]*Entrainement!$C106</f>
        <v>#VALUE!</v>
      </c>
      <c r="K118" s="117" t="e">
        <f>TabREP[[#This Row],[J9]]*Entrainement!$C106</f>
        <v>#VALUE!</v>
      </c>
      <c r="L118" s="117" t="e">
        <f>TabREP[[#This Row],[J10]]*Entrainement!$C106</f>
        <v>#VALUE!</v>
      </c>
      <c r="M118" s="117" t="e">
        <f>TabREP[[#This Row],[J11]]*Entrainement!$C106</f>
        <v>#VALUE!</v>
      </c>
      <c r="N118" s="117" t="e">
        <f>TabREP[[#This Row],[J12]]*Entrainement!$C106</f>
        <v>#VALUE!</v>
      </c>
      <c r="O118" s="117" t="e">
        <f>TabREP[[#This Row],[J13]]*Entrainement!$C106</f>
        <v>#VALUE!</v>
      </c>
      <c r="P118" s="117" t="e">
        <f>TabREP[[#This Row],[J14]]*Entrainement!$C106</f>
        <v>#VALUE!</v>
      </c>
      <c r="Q118" s="117" t="e">
        <f>TabREP[[#This Row],[J15]]*Entrainement!$C106</f>
        <v>#VALUE!</v>
      </c>
      <c r="R118" s="117" t="e">
        <f>TabREP[[#This Row],[J16]]*Entrainement!$C106</f>
        <v>#VALUE!</v>
      </c>
      <c r="S118" s="117" t="e">
        <f>TabREP[[#This Row],[J17]]*Entrainement!$C106</f>
        <v>#VALUE!</v>
      </c>
      <c r="T118" s="117" t="e">
        <f>TabREP[[#This Row],[J18]]*Entrainement!$C106</f>
        <v>#VALUE!</v>
      </c>
      <c r="U118" s="117" t="e">
        <f>TabREP[[#This Row],[J19]]*Entrainement!$C106</f>
        <v>#VALUE!</v>
      </c>
      <c r="V118" s="117" t="e">
        <f>TabREP[[#This Row],[J20]]*Entrainement!$C106</f>
        <v>#VALUE!</v>
      </c>
      <c r="W118" s="117" t="e">
        <f>TabREP[[#This Row],[J21]]*Entrainement!$C106</f>
        <v>#VALUE!</v>
      </c>
      <c r="X118" s="117" t="e">
        <f>TabREP[[#This Row],[J22]]*Entrainement!$C106</f>
        <v>#VALUE!</v>
      </c>
      <c r="Y118" s="117" t="e">
        <f>TabREP[[#This Row],[J23]]*Entrainement!$C106</f>
        <v>#VALUE!</v>
      </c>
      <c r="Z118" s="117" t="e">
        <f>TabREP[[#This Row],[J24]]*Entrainement!$C106</f>
        <v>#VALUE!</v>
      </c>
      <c r="AA118" s="117" t="e">
        <f>TabREP[[#This Row],[J25]]*Entrainement!$C106</f>
        <v>#VALUE!</v>
      </c>
      <c r="AB118" s="117" t="e">
        <f>TabREP[[#This Row],[J26]]*Entrainement!$C106</f>
        <v>#VALUE!</v>
      </c>
      <c r="AC118" s="117" t="e">
        <f>TabREP[[#This Row],[J27]]*Entrainement!$C106</f>
        <v>#VALUE!</v>
      </c>
      <c r="AD118" s="117" t="e">
        <f>TabREP[[#This Row],[J28]]*Entrainement!$C106</f>
        <v>#VALUE!</v>
      </c>
      <c r="AE118" s="117" t="e">
        <f>TabREP[[#This Row],[J29]]*Entrainement!$C106</f>
        <v>#VALUE!</v>
      </c>
      <c r="AF118" s="117" t="e">
        <f>TabREP[[#This Row],[J30]]*Entrainement!$C106</f>
        <v>#VALUE!</v>
      </c>
      <c r="AG118" s="250" t="str">
        <f>'Charges collective'!E110</f>
        <v/>
      </c>
      <c r="AH118" s="49"/>
      <c r="AI118" s="48"/>
    </row>
    <row r="119" spans="2:35" ht="14.25">
      <c r="B119" s="248" t="str">
        <f>IF(INDEX(TabEntrainement[Seance],ROW()-18)&lt;&gt;0,INDEX(TabEntrainement[Seance],ROW()-18),"")</f>
        <v/>
      </c>
      <c r="C119" s="117" t="e">
        <f>TabREP[[#This Row],[J1]]*Entrainement!C107</f>
        <v>#VALUE!</v>
      </c>
      <c r="D119" s="117" t="e">
        <f>TabREP[[#This Row],[J2]]*Entrainement!C107</f>
        <v>#VALUE!</v>
      </c>
      <c r="E119" s="117" t="e">
        <f>TabREP[[#This Row],[J3]]*Entrainement!$C107</f>
        <v>#VALUE!</v>
      </c>
      <c r="F119" s="117" t="e">
        <f>TabREP[[#This Row],[J4]]*Entrainement!$C107</f>
        <v>#VALUE!</v>
      </c>
      <c r="G119" s="117" t="e">
        <f>TabREP[[#This Row],[J5]]*Entrainement!$C107</f>
        <v>#VALUE!</v>
      </c>
      <c r="H119" s="117" t="e">
        <f>TabREP[[#This Row],[J6]]*Entrainement!$C107</f>
        <v>#VALUE!</v>
      </c>
      <c r="I119" s="117" t="e">
        <f>TabREP[[#This Row],[J7]]*Entrainement!$C107</f>
        <v>#VALUE!</v>
      </c>
      <c r="J119" s="117" t="e">
        <f>TabREP[[#This Row],[J8]]*Entrainement!$C107</f>
        <v>#VALUE!</v>
      </c>
      <c r="K119" s="117" t="e">
        <f>TabREP[[#This Row],[J9]]*Entrainement!$C107</f>
        <v>#VALUE!</v>
      </c>
      <c r="L119" s="117" t="e">
        <f>TabREP[[#This Row],[J10]]*Entrainement!$C107</f>
        <v>#VALUE!</v>
      </c>
      <c r="M119" s="117" t="e">
        <f>TabREP[[#This Row],[J11]]*Entrainement!$C107</f>
        <v>#VALUE!</v>
      </c>
      <c r="N119" s="117" t="e">
        <f>TabREP[[#This Row],[J12]]*Entrainement!$C107</f>
        <v>#VALUE!</v>
      </c>
      <c r="O119" s="117" t="e">
        <f>TabREP[[#This Row],[J13]]*Entrainement!$C107</f>
        <v>#VALUE!</v>
      </c>
      <c r="P119" s="117" t="e">
        <f>TabREP[[#This Row],[J14]]*Entrainement!$C107</f>
        <v>#VALUE!</v>
      </c>
      <c r="Q119" s="117" t="e">
        <f>TabREP[[#This Row],[J15]]*Entrainement!$C107</f>
        <v>#VALUE!</v>
      </c>
      <c r="R119" s="117" t="e">
        <f>TabREP[[#This Row],[J16]]*Entrainement!$C107</f>
        <v>#VALUE!</v>
      </c>
      <c r="S119" s="117" t="e">
        <f>TabREP[[#This Row],[J17]]*Entrainement!$C107</f>
        <v>#VALUE!</v>
      </c>
      <c r="T119" s="117" t="e">
        <f>TabREP[[#This Row],[J18]]*Entrainement!$C107</f>
        <v>#VALUE!</v>
      </c>
      <c r="U119" s="117" t="e">
        <f>TabREP[[#This Row],[J19]]*Entrainement!$C107</f>
        <v>#VALUE!</v>
      </c>
      <c r="V119" s="117" t="e">
        <f>TabREP[[#This Row],[J20]]*Entrainement!$C107</f>
        <v>#VALUE!</v>
      </c>
      <c r="W119" s="117" t="e">
        <f>TabREP[[#This Row],[J21]]*Entrainement!$C107</f>
        <v>#VALUE!</v>
      </c>
      <c r="X119" s="117" t="e">
        <f>TabREP[[#This Row],[J22]]*Entrainement!$C107</f>
        <v>#VALUE!</v>
      </c>
      <c r="Y119" s="117" t="e">
        <f>TabREP[[#This Row],[J23]]*Entrainement!$C107</f>
        <v>#VALUE!</v>
      </c>
      <c r="Z119" s="117" t="e">
        <f>TabREP[[#This Row],[J24]]*Entrainement!$C107</f>
        <v>#VALUE!</v>
      </c>
      <c r="AA119" s="117" t="e">
        <f>TabREP[[#This Row],[J25]]*Entrainement!$C107</f>
        <v>#VALUE!</v>
      </c>
      <c r="AB119" s="117" t="e">
        <f>TabREP[[#This Row],[J26]]*Entrainement!$C107</f>
        <v>#VALUE!</v>
      </c>
      <c r="AC119" s="117" t="e">
        <f>TabREP[[#This Row],[J27]]*Entrainement!$C107</f>
        <v>#VALUE!</v>
      </c>
      <c r="AD119" s="117" t="e">
        <f>TabREP[[#This Row],[J28]]*Entrainement!$C107</f>
        <v>#VALUE!</v>
      </c>
      <c r="AE119" s="117" t="e">
        <f>TabREP[[#This Row],[J29]]*Entrainement!$C107</f>
        <v>#VALUE!</v>
      </c>
      <c r="AF119" s="117" t="e">
        <f>TabREP[[#This Row],[J30]]*Entrainement!$C107</f>
        <v>#VALUE!</v>
      </c>
      <c r="AG119" s="250" t="str">
        <f>'Charges collective'!E111</f>
        <v/>
      </c>
      <c r="AH119" s="49"/>
      <c r="AI119" s="48"/>
    </row>
    <row r="120" spans="2:35" ht="14.25">
      <c r="B120" s="248" t="str">
        <f>IF(INDEX(TabEntrainement[Seance],ROW()-18)&lt;&gt;0,INDEX(TabEntrainement[Seance],ROW()-18),"")</f>
        <v/>
      </c>
      <c r="C120" s="117" t="e">
        <f>TabREP[[#This Row],[J1]]*Entrainement!C108</f>
        <v>#VALUE!</v>
      </c>
      <c r="D120" s="117" t="e">
        <f>TabREP[[#This Row],[J2]]*Entrainement!C108</f>
        <v>#VALUE!</v>
      </c>
      <c r="E120" s="117" t="e">
        <f>TabREP[[#This Row],[J3]]*Entrainement!$C108</f>
        <v>#VALUE!</v>
      </c>
      <c r="F120" s="117" t="e">
        <f>TabREP[[#This Row],[J4]]*Entrainement!$C108</f>
        <v>#VALUE!</v>
      </c>
      <c r="G120" s="117" t="e">
        <f>TabREP[[#This Row],[J5]]*Entrainement!$C108</f>
        <v>#VALUE!</v>
      </c>
      <c r="H120" s="117" t="e">
        <f>TabREP[[#This Row],[J6]]*Entrainement!$C108</f>
        <v>#VALUE!</v>
      </c>
      <c r="I120" s="117" t="e">
        <f>TabREP[[#This Row],[J7]]*Entrainement!$C108</f>
        <v>#VALUE!</v>
      </c>
      <c r="J120" s="117" t="e">
        <f>TabREP[[#This Row],[J8]]*Entrainement!$C108</f>
        <v>#VALUE!</v>
      </c>
      <c r="K120" s="117" t="e">
        <f>TabREP[[#This Row],[J9]]*Entrainement!$C108</f>
        <v>#VALUE!</v>
      </c>
      <c r="L120" s="117" t="e">
        <f>TabREP[[#This Row],[J10]]*Entrainement!$C108</f>
        <v>#VALUE!</v>
      </c>
      <c r="M120" s="117" t="e">
        <f>TabREP[[#This Row],[J11]]*Entrainement!$C108</f>
        <v>#VALUE!</v>
      </c>
      <c r="N120" s="117" t="e">
        <f>TabREP[[#This Row],[J12]]*Entrainement!$C108</f>
        <v>#VALUE!</v>
      </c>
      <c r="O120" s="117" t="e">
        <f>TabREP[[#This Row],[J13]]*Entrainement!$C108</f>
        <v>#VALUE!</v>
      </c>
      <c r="P120" s="117" t="e">
        <f>TabREP[[#This Row],[J14]]*Entrainement!$C108</f>
        <v>#VALUE!</v>
      </c>
      <c r="Q120" s="117" t="e">
        <f>TabREP[[#This Row],[J15]]*Entrainement!$C108</f>
        <v>#VALUE!</v>
      </c>
      <c r="R120" s="117" t="e">
        <f>TabREP[[#This Row],[J16]]*Entrainement!$C108</f>
        <v>#VALUE!</v>
      </c>
      <c r="S120" s="117" t="e">
        <f>TabREP[[#This Row],[J17]]*Entrainement!$C108</f>
        <v>#VALUE!</v>
      </c>
      <c r="T120" s="117" t="e">
        <f>TabREP[[#This Row],[J18]]*Entrainement!$C108</f>
        <v>#VALUE!</v>
      </c>
      <c r="U120" s="117" t="e">
        <f>TabREP[[#This Row],[J19]]*Entrainement!$C108</f>
        <v>#VALUE!</v>
      </c>
      <c r="V120" s="117" t="e">
        <f>TabREP[[#This Row],[J20]]*Entrainement!$C108</f>
        <v>#VALUE!</v>
      </c>
      <c r="W120" s="117" t="e">
        <f>TabREP[[#This Row],[J21]]*Entrainement!$C108</f>
        <v>#VALUE!</v>
      </c>
      <c r="X120" s="117" t="e">
        <f>TabREP[[#This Row],[J22]]*Entrainement!$C108</f>
        <v>#VALUE!</v>
      </c>
      <c r="Y120" s="117" t="e">
        <f>TabREP[[#This Row],[J23]]*Entrainement!$C108</f>
        <v>#VALUE!</v>
      </c>
      <c r="Z120" s="117" t="e">
        <f>TabREP[[#This Row],[J24]]*Entrainement!$C108</f>
        <v>#VALUE!</v>
      </c>
      <c r="AA120" s="117" t="e">
        <f>TabREP[[#This Row],[J25]]*Entrainement!$C108</f>
        <v>#VALUE!</v>
      </c>
      <c r="AB120" s="117" t="e">
        <f>TabREP[[#This Row],[J26]]*Entrainement!$C108</f>
        <v>#VALUE!</v>
      </c>
      <c r="AC120" s="117" t="e">
        <f>TabREP[[#This Row],[J27]]*Entrainement!$C108</f>
        <v>#VALUE!</v>
      </c>
      <c r="AD120" s="117" t="e">
        <f>TabREP[[#This Row],[J28]]*Entrainement!$C108</f>
        <v>#VALUE!</v>
      </c>
      <c r="AE120" s="117" t="e">
        <f>TabREP[[#This Row],[J29]]*Entrainement!$C108</f>
        <v>#VALUE!</v>
      </c>
      <c r="AF120" s="117" t="e">
        <f>TabREP[[#This Row],[J30]]*Entrainement!$C108</f>
        <v>#VALUE!</v>
      </c>
      <c r="AG120" s="250" t="str">
        <f>'Charges collective'!E112</f>
        <v/>
      </c>
      <c r="AH120" s="49"/>
      <c r="AI120" s="48"/>
    </row>
    <row r="121" spans="2:35" ht="14.25">
      <c r="B121" s="248" t="str">
        <f>IF(INDEX(TabEntrainement[Seance],ROW()-18)&lt;&gt;0,INDEX(TabEntrainement[Seance],ROW()-18),"")</f>
        <v/>
      </c>
      <c r="C121" s="117" t="e">
        <f>TabREP[[#This Row],[J1]]*Entrainement!C109</f>
        <v>#VALUE!</v>
      </c>
      <c r="D121" s="117" t="e">
        <f>TabREP[[#This Row],[J2]]*Entrainement!C109</f>
        <v>#VALUE!</v>
      </c>
      <c r="E121" s="117" t="e">
        <f>TabREP[[#This Row],[J3]]*Entrainement!$C109</f>
        <v>#VALUE!</v>
      </c>
      <c r="F121" s="117" t="e">
        <f>TabREP[[#This Row],[J4]]*Entrainement!$C109</f>
        <v>#VALUE!</v>
      </c>
      <c r="G121" s="117" t="e">
        <f>TabREP[[#This Row],[J5]]*Entrainement!$C109</f>
        <v>#VALUE!</v>
      </c>
      <c r="H121" s="117" t="e">
        <f>TabREP[[#This Row],[J6]]*Entrainement!$C109</f>
        <v>#VALUE!</v>
      </c>
      <c r="I121" s="117" t="e">
        <f>TabREP[[#This Row],[J7]]*Entrainement!$C109</f>
        <v>#VALUE!</v>
      </c>
      <c r="J121" s="117" t="e">
        <f>TabREP[[#This Row],[J8]]*Entrainement!$C109</f>
        <v>#VALUE!</v>
      </c>
      <c r="K121" s="117" t="e">
        <f>TabREP[[#This Row],[J9]]*Entrainement!$C109</f>
        <v>#VALUE!</v>
      </c>
      <c r="L121" s="117" t="e">
        <f>TabREP[[#This Row],[J10]]*Entrainement!$C109</f>
        <v>#VALUE!</v>
      </c>
      <c r="M121" s="117" t="e">
        <f>TabREP[[#This Row],[J11]]*Entrainement!$C109</f>
        <v>#VALUE!</v>
      </c>
      <c r="N121" s="117" t="e">
        <f>TabREP[[#This Row],[J12]]*Entrainement!$C109</f>
        <v>#VALUE!</v>
      </c>
      <c r="O121" s="117" t="e">
        <f>TabREP[[#This Row],[J13]]*Entrainement!$C109</f>
        <v>#VALUE!</v>
      </c>
      <c r="P121" s="117" t="e">
        <f>TabREP[[#This Row],[J14]]*Entrainement!$C109</f>
        <v>#VALUE!</v>
      </c>
      <c r="Q121" s="117" t="e">
        <f>TabREP[[#This Row],[J15]]*Entrainement!$C109</f>
        <v>#VALUE!</v>
      </c>
      <c r="R121" s="117" t="e">
        <f>TabREP[[#This Row],[J16]]*Entrainement!$C109</f>
        <v>#VALUE!</v>
      </c>
      <c r="S121" s="117" t="e">
        <f>TabREP[[#This Row],[J17]]*Entrainement!$C109</f>
        <v>#VALUE!</v>
      </c>
      <c r="T121" s="117" t="e">
        <f>TabREP[[#This Row],[J18]]*Entrainement!$C109</f>
        <v>#VALUE!</v>
      </c>
      <c r="U121" s="117" t="e">
        <f>TabREP[[#This Row],[J19]]*Entrainement!$C109</f>
        <v>#VALUE!</v>
      </c>
      <c r="V121" s="117" t="e">
        <f>TabREP[[#This Row],[J20]]*Entrainement!$C109</f>
        <v>#VALUE!</v>
      </c>
      <c r="W121" s="117" t="e">
        <f>TabREP[[#This Row],[J21]]*Entrainement!$C109</f>
        <v>#VALUE!</v>
      </c>
      <c r="X121" s="117" t="e">
        <f>TabREP[[#This Row],[J22]]*Entrainement!$C109</f>
        <v>#VALUE!</v>
      </c>
      <c r="Y121" s="117" t="e">
        <f>TabREP[[#This Row],[J23]]*Entrainement!$C109</f>
        <v>#VALUE!</v>
      </c>
      <c r="Z121" s="117" t="e">
        <f>TabREP[[#This Row],[J24]]*Entrainement!$C109</f>
        <v>#VALUE!</v>
      </c>
      <c r="AA121" s="117" t="e">
        <f>TabREP[[#This Row],[J25]]*Entrainement!$C109</f>
        <v>#VALUE!</v>
      </c>
      <c r="AB121" s="117" t="e">
        <f>TabREP[[#This Row],[J26]]*Entrainement!$C109</f>
        <v>#VALUE!</v>
      </c>
      <c r="AC121" s="117" t="e">
        <f>TabREP[[#This Row],[J27]]*Entrainement!$C109</f>
        <v>#VALUE!</v>
      </c>
      <c r="AD121" s="117" t="e">
        <f>TabREP[[#This Row],[J28]]*Entrainement!$C109</f>
        <v>#VALUE!</v>
      </c>
      <c r="AE121" s="117" t="e">
        <f>TabREP[[#This Row],[J29]]*Entrainement!$C109</f>
        <v>#VALUE!</v>
      </c>
      <c r="AF121" s="117" t="e">
        <f>TabREP[[#This Row],[J30]]*Entrainement!$C109</f>
        <v>#VALUE!</v>
      </c>
      <c r="AG121" s="250" t="str">
        <f>'Charges collective'!E113</f>
        <v/>
      </c>
      <c r="AH121" s="49"/>
      <c r="AI121" s="48"/>
    </row>
    <row r="122" spans="2:35" ht="14.25">
      <c r="B122" s="248" t="str">
        <f>IF(INDEX(TabEntrainement[Seance],ROW()-18)&lt;&gt;0,INDEX(TabEntrainement[Seance],ROW()-18),"")</f>
        <v/>
      </c>
      <c r="C122" s="117" t="e">
        <f>TabREP[[#This Row],[J1]]*Entrainement!C110</f>
        <v>#VALUE!</v>
      </c>
      <c r="D122" s="117" t="e">
        <f>TabREP[[#This Row],[J2]]*Entrainement!C110</f>
        <v>#VALUE!</v>
      </c>
      <c r="E122" s="117" t="e">
        <f>TabREP[[#This Row],[J3]]*Entrainement!$C110</f>
        <v>#VALUE!</v>
      </c>
      <c r="F122" s="117" t="e">
        <f>TabREP[[#This Row],[J4]]*Entrainement!$C110</f>
        <v>#VALUE!</v>
      </c>
      <c r="G122" s="117" t="e">
        <f>TabREP[[#This Row],[J5]]*Entrainement!$C110</f>
        <v>#VALUE!</v>
      </c>
      <c r="H122" s="117" t="e">
        <f>TabREP[[#This Row],[J6]]*Entrainement!$C110</f>
        <v>#VALUE!</v>
      </c>
      <c r="I122" s="117" t="e">
        <f>TabREP[[#This Row],[J7]]*Entrainement!$C110</f>
        <v>#VALUE!</v>
      </c>
      <c r="J122" s="117" t="e">
        <f>TabREP[[#This Row],[J8]]*Entrainement!$C110</f>
        <v>#VALUE!</v>
      </c>
      <c r="K122" s="117" t="e">
        <f>TabREP[[#This Row],[J9]]*Entrainement!$C110</f>
        <v>#VALUE!</v>
      </c>
      <c r="L122" s="117" t="e">
        <f>TabREP[[#This Row],[J10]]*Entrainement!$C110</f>
        <v>#VALUE!</v>
      </c>
      <c r="M122" s="117" t="e">
        <f>TabREP[[#This Row],[J11]]*Entrainement!$C110</f>
        <v>#VALUE!</v>
      </c>
      <c r="N122" s="117" t="e">
        <f>TabREP[[#This Row],[J12]]*Entrainement!$C110</f>
        <v>#VALUE!</v>
      </c>
      <c r="O122" s="117" t="e">
        <f>TabREP[[#This Row],[J13]]*Entrainement!$C110</f>
        <v>#VALUE!</v>
      </c>
      <c r="P122" s="117" t="e">
        <f>TabREP[[#This Row],[J14]]*Entrainement!$C110</f>
        <v>#VALUE!</v>
      </c>
      <c r="Q122" s="117" t="e">
        <f>TabREP[[#This Row],[J15]]*Entrainement!$C110</f>
        <v>#VALUE!</v>
      </c>
      <c r="R122" s="117" t="e">
        <f>TabREP[[#This Row],[J16]]*Entrainement!$C110</f>
        <v>#VALUE!</v>
      </c>
      <c r="S122" s="117" t="e">
        <f>TabREP[[#This Row],[J17]]*Entrainement!$C110</f>
        <v>#VALUE!</v>
      </c>
      <c r="T122" s="117" t="e">
        <f>TabREP[[#This Row],[J18]]*Entrainement!$C110</f>
        <v>#VALUE!</v>
      </c>
      <c r="U122" s="117" t="e">
        <f>TabREP[[#This Row],[J19]]*Entrainement!$C110</f>
        <v>#VALUE!</v>
      </c>
      <c r="V122" s="117" t="e">
        <f>TabREP[[#This Row],[J20]]*Entrainement!$C110</f>
        <v>#VALUE!</v>
      </c>
      <c r="W122" s="117" t="e">
        <f>TabREP[[#This Row],[J21]]*Entrainement!$C110</f>
        <v>#VALUE!</v>
      </c>
      <c r="X122" s="117" t="e">
        <f>TabREP[[#This Row],[J22]]*Entrainement!$C110</f>
        <v>#VALUE!</v>
      </c>
      <c r="Y122" s="117" t="e">
        <f>TabREP[[#This Row],[J23]]*Entrainement!$C110</f>
        <v>#VALUE!</v>
      </c>
      <c r="Z122" s="117" t="e">
        <f>TabREP[[#This Row],[J24]]*Entrainement!$C110</f>
        <v>#VALUE!</v>
      </c>
      <c r="AA122" s="117" t="e">
        <f>TabREP[[#This Row],[J25]]*Entrainement!$C110</f>
        <v>#VALUE!</v>
      </c>
      <c r="AB122" s="117" t="e">
        <f>TabREP[[#This Row],[J26]]*Entrainement!$C110</f>
        <v>#VALUE!</v>
      </c>
      <c r="AC122" s="117" t="e">
        <f>TabREP[[#This Row],[J27]]*Entrainement!$C110</f>
        <v>#VALUE!</v>
      </c>
      <c r="AD122" s="117" t="e">
        <f>TabREP[[#This Row],[J28]]*Entrainement!$C110</f>
        <v>#VALUE!</v>
      </c>
      <c r="AE122" s="117" t="e">
        <f>TabREP[[#This Row],[J29]]*Entrainement!$C110</f>
        <v>#VALUE!</v>
      </c>
      <c r="AF122" s="117" t="e">
        <f>TabREP[[#This Row],[J30]]*Entrainement!$C110</f>
        <v>#VALUE!</v>
      </c>
      <c r="AG122" s="250" t="str">
        <f>'Charges collective'!E114</f>
        <v/>
      </c>
      <c r="AH122" s="49"/>
      <c r="AI122" s="48"/>
    </row>
    <row r="123" spans="2:35" ht="14.25">
      <c r="B123" s="248" t="str">
        <f>IF(INDEX(TabEntrainement[Seance],ROW()-18)&lt;&gt;0,INDEX(TabEntrainement[Seance],ROW()-18),"")</f>
        <v/>
      </c>
      <c r="C123" s="117" t="e">
        <f>TabREP[[#This Row],[J1]]*Entrainement!C111</f>
        <v>#VALUE!</v>
      </c>
      <c r="D123" s="117" t="e">
        <f>TabREP[[#This Row],[J2]]*Entrainement!C111</f>
        <v>#VALUE!</v>
      </c>
      <c r="E123" s="117" t="e">
        <f>TabREP[[#This Row],[J3]]*Entrainement!$C111</f>
        <v>#VALUE!</v>
      </c>
      <c r="F123" s="117" t="e">
        <f>TabREP[[#This Row],[J4]]*Entrainement!$C111</f>
        <v>#VALUE!</v>
      </c>
      <c r="G123" s="117" t="e">
        <f>TabREP[[#This Row],[J5]]*Entrainement!$C111</f>
        <v>#VALUE!</v>
      </c>
      <c r="H123" s="117" t="e">
        <f>TabREP[[#This Row],[J6]]*Entrainement!$C111</f>
        <v>#VALUE!</v>
      </c>
      <c r="I123" s="117" t="e">
        <f>TabREP[[#This Row],[J7]]*Entrainement!$C111</f>
        <v>#VALUE!</v>
      </c>
      <c r="J123" s="117" t="e">
        <f>TabREP[[#This Row],[J8]]*Entrainement!$C111</f>
        <v>#VALUE!</v>
      </c>
      <c r="K123" s="117" t="e">
        <f>TabREP[[#This Row],[J9]]*Entrainement!$C111</f>
        <v>#VALUE!</v>
      </c>
      <c r="L123" s="117" t="e">
        <f>TabREP[[#This Row],[J10]]*Entrainement!$C111</f>
        <v>#VALUE!</v>
      </c>
      <c r="M123" s="117" t="e">
        <f>TabREP[[#This Row],[J11]]*Entrainement!$C111</f>
        <v>#VALUE!</v>
      </c>
      <c r="N123" s="117" t="e">
        <f>TabREP[[#This Row],[J12]]*Entrainement!$C111</f>
        <v>#VALUE!</v>
      </c>
      <c r="O123" s="117" t="e">
        <f>TabREP[[#This Row],[J13]]*Entrainement!$C111</f>
        <v>#VALUE!</v>
      </c>
      <c r="P123" s="117" t="e">
        <f>TabREP[[#This Row],[J14]]*Entrainement!$C111</f>
        <v>#VALUE!</v>
      </c>
      <c r="Q123" s="117" t="e">
        <f>TabREP[[#This Row],[J15]]*Entrainement!$C111</f>
        <v>#VALUE!</v>
      </c>
      <c r="R123" s="117" t="e">
        <f>TabREP[[#This Row],[J16]]*Entrainement!$C111</f>
        <v>#VALUE!</v>
      </c>
      <c r="S123" s="117" t="e">
        <f>TabREP[[#This Row],[J17]]*Entrainement!$C111</f>
        <v>#VALUE!</v>
      </c>
      <c r="T123" s="117" t="e">
        <f>TabREP[[#This Row],[J18]]*Entrainement!$C111</f>
        <v>#VALUE!</v>
      </c>
      <c r="U123" s="117" t="e">
        <f>TabREP[[#This Row],[J19]]*Entrainement!$C111</f>
        <v>#VALUE!</v>
      </c>
      <c r="V123" s="117" t="e">
        <f>TabREP[[#This Row],[J20]]*Entrainement!$C111</f>
        <v>#VALUE!</v>
      </c>
      <c r="W123" s="117" t="e">
        <f>TabREP[[#This Row],[J21]]*Entrainement!$C111</f>
        <v>#VALUE!</v>
      </c>
      <c r="X123" s="117" t="e">
        <f>TabREP[[#This Row],[J22]]*Entrainement!$C111</f>
        <v>#VALUE!</v>
      </c>
      <c r="Y123" s="117" t="e">
        <f>TabREP[[#This Row],[J23]]*Entrainement!$C111</f>
        <v>#VALUE!</v>
      </c>
      <c r="Z123" s="117" t="e">
        <f>TabREP[[#This Row],[J24]]*Entrainement!$C111</f>
        <v>#VALUE!</v>
      </c>
      <c r="AA123" s="117" t="e">
        <f>TabREP[[#This Row],[J25]]*Entrainement!$C111</f>
        <v>#VALUE!</v>
      </c>
      <c r="AB123" s="117" t="e">
        <f>TabREP[[#This Row],[J26]]*Entrainement!$C111</f>
        <v>#VALUE!</v>
      </c>
      <c r="AC123" s="117" t="e">
        <f>TabREP[[#This Row],[J27]]*Entrainement!$C111</f>
        <v>#VALUE!</v>
      </c>
      <c r="AD123" s="117" t="e">
        <f>TabREP[[#This Row],[J28]]*Entrainement!$C111</f>
        <v>#VALUE!</v>
      </c>
      <c r="AE123" s="117" t="e">
        <f>TabREP[[#This Row],[J29]]*Entrainement!$C111</f>
        <v>#VALUE!</v>
      </c>
      <c r="AF123" s="117" t="e">
        <f>TabREP[[#This Row],[J30]]*Entrainement!$C111</f>
        <v>#VALUE!</v>
      </c>
      <c r="AG123" s="250" t="str">
        <f>'Charges collective'!E115</f>
        <v/>
      </c>
      <c r="AH123" s="49"/>
      <c r="AI123" s="48"/>
    </row>
    <row r="124" spans="2:35" ht="14.25">
      <c r="B124" s="248" t="str">
        <f>IF(INDEX(TabEntrainement[Seance],ROW()-18)&lt;&gt;0,INDEX(TabEntrainement[Seance],ROW()-18),"")</f>
        <v/>
      </c>
      <c r="C124" s="117" t="e">
        <f>TabREP[[#This Row],[J1]]*Entrainement!C112</f>
        <v>#VALUE!</v>
      </c>
      <c r="D124" s="117" t="e">
        <f>TabREP[[#This Row],[J2]]*Entrainement!C112</f>
        <v>#VALUE!</v>
      </c>
      <c r="E124" s="117" t="e">
        <f>TabREP[[#This Row],[J3]]*Entrainement!$C112</f>
        <v>#VALUE!</v>
      </c>
      <c r="F124" s="117" t="e">
        <f>TabREP[[#This Row],[J4]]*Entrainement!$C112</f>
        <v>#VALUE!</v>
      </c>
      <c r="G124" s="117" t="e">
        <f>TabREP[[#This Row],[J5]]*Entrainement!$C112</f>
        <v>#VALUE!</v>
      </c>
      <c r="H124" s="117" t="e">
        <f>TabREP[[#This Row],[J6]]*Entrainement!$C112</f>
        <v>#VALUE!</v>
      </c>
      <c r="I124" s="117" t="e">
        <f>TabREP[[#This Row],[J7]]*Entrainement!$C112</f>
        <v>#VALUE!</v>
      </c>
      <c r="J124" s="117" t="e">
        <f>TabREP[[#This Row],[J8]]*Entrainement!$C112</f>
        <v>#VALUE!</v>
      </c>
      <c r="K124" s="117" t="e">
        <f>TabREP[[#This Row],[J9]]*Entrainement!$C112</f>
        <v>#VALUE!</v>
      </c>
      <c r="L124" s="117" t="e">
        <f>TabREP[[#This Row],[J10]]*Entrainement!$C112</f>
        <v>#VALUE!</v>
      </c>
      <c r="M124" s="117" t="e">
        <f>TabREP[[#This Row],[J11]]*Entrainement!$C112</f>
        <v>#VALUE!</v>
      </c>
      <c r="N124" s="117" t="e">
        <f>TabREP[[#This Row],[J12]]*Entrainement!$C112</f>
        <v>#VALUE!</v>
      </c>
      <c r="O124" s="117" t="e">
        <f>TabREP[[#This Row],[J13]]*Entrainement!$C112</f>
        <v>#VALUE!</v>
      </c>
      <c r="P124" s="117" t="e">
        <f>TabREP[[#This Row],[J14]]*Entrainement!$C112</f>
        <v>#VALUE!</v>
      </c>
      <c r="Q124" s="117" t="e">
        <f>TabREP[[#This Row],[J15]]*Entrainement!$C112</f>
        <v>#VALUE!</v>
      </c>
      <c r="R124" s="117" t="e">
        <f>TabREP[[#This Row],[J16]]*Entrainement!$C112</f>
        <v>#VALUE!</v>
      </c>
      <c r="S124" s="117" t="e">
        <f>TabREP[[#This Row],[J17]]*Entrainement!$C112</f>
        <v>#VALUE!</v>
      </c>
      <c r="T124" s="117" t="e">
        <f>TabREP[[#This Row],[J18]]*Entrainement!$C112</f>
        <v>#VALUE!</v>
      </c>
      <c r="U124" s="117" t="e">
        <f>TabREP[[#This Row],[J19]]*Entrainement!$C112</f>
        <v>#VALUE!</v>
      </c>
      <c r="V124" s="117" t="e">
        <f>TabREP[[#This Row],[J20]]*Entrainement!$C112</f>
        <v>#VALUE!</v>
      </c>
      <c r="W124" s="117" t="e">
        <f>TabREP[[#This Row],[J21]]*Entrainement!$C112</f>
        <v>#VALUE!</v>
      </c>
      <c r="X124" s="117" t="e">
        <f>TabREP[[#This Row],[J22]]*Entrainement!$C112</f>
        <v>#VALUE!</v>
      </c>
      <c r="Y124" s="117" t="e">
        <f>TabREP[[#This Row],[J23]]*Entrainement!$C112</f>
        <v>#VALUE!</v>
      </c>
      <c r="Z124" s="117" t="e">
        <f>TabREP[[#This Row],[J24]]*Entrainement!$C112</f>
        <v>#VALUE!</v>
      </c>
      <c r="AA124" s="117" t="e">
        <f>TabREP[[#This Row],[J25]]*Entrainement!$C112</f>
        <v>#VALUE!</v>
      </c>
      <c r="AB124" s="117" t="e">
        <f>TabREP[[#This Row],[J26]]*Entrainement!$C112</f>
        <v>#VALUE!</v>
      </c>
      <c r="AC124" s="117" t="e">
        <f>TabREP[[#This Row],[J27]]*Entrainement!$C112</f>
        <v>#VALUE!</v>
      </c>
      <c r="AD124" s="117" t="e">
        <f>TabREP[[#This Row],[J28]]*Entrainement!$C112</f>
        <v>#VALUE!</v>
      </c>
      <c r="AE124" s="117" t="e">
        <f>TabREP[[#This Row],[J29]]*Entrainement!$C112</f>
        <v>#VALUE!</v>
      </c>
      <c r="AF124" s="117" t="e">
        <f>TabREP[[#This Row],[J30]]*Entrainement!$C112</f>
        <v>#VALUE!</v>
      </c>
      <c r="AG124" s="250" t="str">
        <f>'Charges collective'!E116</f>
        <v/>
      </c>
      <c r="AH124" s="49"/>
      <c r="AI124" s="48"/>
    </row>
    <row r="125" spans="2:35" ht="14.25">
      <c r="B125" s="248" t="str">
        <f>IF(INDEX(TabEntrainement[Seance],ROW()-18)&lt;&gt;0,INDEX(TabEntrainement[Seance],ROW()-18),"")</f>
        <v/>
      </c>
      <c r="C125" s="117" t="e">
        <f>TabREP[[#This Row],[J1]]*Entrainement!C113</f>
        <v>#VALUE!</v>
      </c>
      <c r="D125" s="117" t="e">
        <f>TabREP[[#This Row],[J2]]*Entrainement!C113</f>
        <v>#VALUE!</v>
      </c>
      <c r="E125" s="117" t="e">
        <f>TabREP[[#This Row],[J3]]*Entrainement!$C113</f>
        <v>#VALUE!</v>
      </c>
      <c r="F125" s="117" t="e">
        <f>TabREP[[#This Row],[J4]]*Entrainement!$C113</f>
        <v>#VALUE!</v>
      </c>
      <c r="G125" s="117" t="e">
        <f>TabREP[[#This Row],[J5]]*Entrainement!$C113</f>
        <v>#VALUE!</v>
      </c>
      <c r="H125" s="117" t="e">
        <f>TabREP[[#This Row],[J6]]*Entrainement!$C113</f>
        <v>#VALUE!</v>
      </c>
      <c r="I125" s="117" t="e">
        <f>TabREP[[#This Row],[J7]]*Entrainement!$C113</f>
        <v>#VALUE!</v>
      </c>
      <c r="J125" s="117" t="e">
        <f>TabREP[[#This Row],[J8]]*Entrainement!$C113</f>
        <v>#VALUE!</v>
      </c>
      <c r="K125" s="117" t="e">
        <f>TabREP[[#This Row],[J9]]*Entrainement!$C113</f>
        <v>#VALUE!</v>
      </c>
      <c r="L125" s="117" t="e">
        <f>TabREP[[#This Row],[J10]]*Entrainement!$C113</f>
        <v>#VALUE!</v>
      </c>
      <c r="M125" s="117" t="e">
        <f>TabREP[[#This Row],[J11]]*Entrainement!$C113</f>
        <v>#VALUE!</v>
      </c>
      <c r="N125" s="117" t="e">
        <f>TabREP[[#This Row],[J12]]*Entrainement!$C113</f>
        <v>#VALUE!</v>
      </c>
      <c r="O125" s="117" t="e">
        <f>TabREP[[#This Row],[J13]]*Entrainement!$C113</f>
        <v>#VALUE!</v>
      </c>
      <c r="P125" s="117" t="e">
        <f>TabREP[[#This Row],[J14]]*Entrainement!$C113</f>
        <v>#VALUE!</v>
      </c>
      <c r="Q125" s="117" t="e">
        <f>TabREP[[#This Row],[J15]]*Entrainement!$C113</f>
        <v>#VALUE!</v>
      </c>
      <c r="R125" s="117" t="e">
        <f>TabREP[[#This Row],[J16]]*Entrainement!$C113</f>
        <v>#VALUE!</v>
      </c>
      <c r="S125" s="117" t="e">
        <f>TabREP[[#This Row],[J17]]*Entrainement!$C113</f>
        <v>#VALUE!</v>
      </c>
      <c r="T125" s="117" t="e">
        <f>TabREP[[#This Row],[J18]]*Entrainement!$C113</f>
        <v>#VALUE!</v>
      </c>
      <c r="U125" s="117" t="e">
        <f>TabREP[[#This Row],[J19]]*Entrainement!$C113</f>
        <v>#VALUE!</v>
      </c>
      <c r="V125" s="117" t="e">
        <f>TabREP[[#This Row],[J20]]*Entrainement!$C113</f>
        <v>#VALUE!</v>
      </c>
      <c r="W125" s="117" t="e">
        <f>TabREP[[#This Row],[J21]]*Entrainement!$C113</f>
        <v>#VALUE!</v>
      </c>
      <c r="X125" s="117" t="e">
        <f>TabREP[[#This Row],[J22]]*Entrainement!$C113</f>
        <v>#VALUE!</v>
      </c>
      <c r="Y125" s="117" t="e">
        <f>TabREP[[#This Row],[J23]]*Entrainement!$C113</f>
        <v>#VALUE!</v>
      </c>
      <c r="Z125" s="117" t="e">
        <f>TabREP[[#This Row],[J24]]*Entrainement!$C113</f>
        <v>#VALUE!</v>
      </c>
      <c r="AA125" s="117" t="e">
        <f>TabREP[[#This Row],[J25]]*Entrainement!$C113</f>
        <v>#VALUE!</v>
      </c>
      <c r="AB125" s="117" t="e">
        <f>TabREP[[#This Row],[J26]]*Entrainement!$C113</f>
        <v>#VALUE!</v>
      </c>
      <c r="AC125" s="117" t="e">
        <f>TabREP[[#This Row],[J27]]*Entrainement!$C113</f>
        <v>#VALUE!</v>
      </c>
      <c r="AD125" s="117" t="e">
        <f>TabREP[[#This Row],[J28]]*Entrainement!$C113</f>
        <v>#VALUE!</v>
      </c>
      <c r="AE125" s="117" t="e">
        <f>TabREP[[#This Row],[J29]]*Entrainement!$C113</f>
        <v>#VALUE!</v>
      </c>
      <c r="AF125" s="117" t="e">
        <f>TabREP[[#This Row],[J30]]*Entrainement!$C113</f>
        <v>#VALUE!</v>
      </c>
      <c r="AG125" s="250" t="str">
        <f>'Charges collective'!E117</f>
        <v/>
      </c>
      <c r="AH125" s="49"/>
      <c r="AI125" s="48"/>
    </row>
    <row r="126" spans="2:35" ht="14.25">
      <c r="B126" s="248" t="str">
        <f>IF(INDEX(TabEntrainement[Seance],ROW()-18)&lt;&gt;0,INDEX(TabEntrainement[Seance],ROW()-18),"")</f>
        <v/>
      </c>
      <c r="C126" s="117" t="e">
        <f>TabREP[[#This Row],[J1]]*Entrainement!C114</f>
        <v>#VALUE!</v>
      </c>
      <c r="D126" s="117" t="e">
        <f>TabREP[[#This Row],[J2]]*Entrainement!C114</f>
        <v>#VALUE!</v>
      </c>
      <c r="E126" s="117" t="e">
        <f>TabREP[[#This Row],[J3]]*Entrainement!$C114</f>
        <v>#VALUE!</v>
      </c>
      <c r="F126" s="117" t="e">
        <f>TabREP[[#This Row],[J4]]*Entrainement!$C114</f>
        <v>#VALUE!</v>
      </c>
      <c r="G126" s="117" t="e">
        <f>TabREP[[#This Row],[J5]]*Entrainement!$C114</f>
        <v>#VALUE!</v>
      </c>
      <c r="H126" s="117" t="e">
        <f>TabREP[[#This Row],[J6]]*Entrainement!$C114</f>
        <v>#VALUE!</v>
      </c>
      <c r="I126" s="117" t="e">
        <f>TabREP[[#This Row],[J7]]*Entrainement!$C114</f>
        <v>#VALUE!</v>
      </c>
      <c r="J126" s="117" t="e">
        <f>TabREP[[#This Row],[J8]]*Entrainement!$C114</f>
        <v>#VALUE!</v>
      </c>
      <c r="K126" s="117" t="e">
        <f>TabREP[[#This Row],[J9]]*Entrainement!$C114</f>
        <v>#VALUE!</v>
      </c>
      <c r="L126" s="117" t="e">
        <f>TabREP[[#This Row],[J10]]*Entrainement!$C114</f>
        <v>#VALUE!</v>
      </c>
      <c r="M126" s="117" t="e">
        <f>TabREP[[#This Row],[J11]]*Entrainement!$C114</f>
        <v>#VALUE!</v>
      </c>
      <c r="N126" s="117" t="e">
        <f>TabREP[[#This Row],[J12]]*Entrainement!$C114</f>
        <v>#VALUE!</v>
      </c>
      <c r="O126" s="117" t="e">
        <f>TabREP[[#This Row],[J13]]*Entrainement!$C114</f>
        <v>#VALUE!</v>
      </c>
      <c r="P126" s="117" t="e">
        <f>TabREP[[#This Row],[J14]]*Entrainement!$C114</f>
        <v>#VALUE!</v>
      </c>
      <c r="Q126" s="117" t="e">
        <f>TabREP[[#This Row],[J15]]*Entrainement!$C114</f>
        <v>#VALUE!</v>
      </c>
      <c r="R126" s="117" t="e">
        <f>TabREP[[#This Row],[J16]]*Entrainement!$C114</f>
        <v>#VALUE!</v>
      </c>
      <c r="S126" s="117" t="e">
        <f>TabREP[[#This Row],[J17]]*Entrainement!$C114</f>
        <v>#VALUE!</v>
      </c>
      <c r="T126" s="117" t="e">
        <f>TabREP[[#This Row],[J18]]*Entrainement!$C114</f>
        <v>#VALUE!</v>
      </c>
      <c r="U126" s="117" t="e">
        <f>TabREP[[#This Row],[J19]]*Entrainement!$C114</f>
        <v>#VALUE!</v>
      </c>
      <c r="V126" s="117" t="e">
        <f>TabREP[[#This Row],[J20]]*Entrainement!$C114</f>
        <v>#VALUE!</v>
      </c>
      <c r="W126" s="117" t="e">
        <f>TabREP[[#This Row],[J21]]*Entrainement!$C114</f>
        <v>#VALUE!</v>
      </c>
      <c r="X126" s="117" t="e">
        <f>TabREP[[#This Row],[J22]]*Entrainement!$C114</f>
        <v>#VALUE!</v>
      </c>
      <c r="Y126" s="117" t="e">
        <f>TabREP[[#This Row],[J23]]*Entrainement!$C114</f>
        <v>#VALUE!</v>
      </c>
      <c r="Z126" s="117" t="e">
        <f>TabREP[[#This Row],[J24]]*Entrainement!$C114</f>
        <v>#VALUE!</v>
      </c>
      <c r="AA126" s="117" t="e">
        <f>TabREP[[#This Row],[J25]]*Entrainement!$C114</f>
        <v>#VALUE!</v>
      </c>
      <c r="AB126" s="117" t="e">
        <f>TabREP[[#This Row],[J26]]*Entrainement!$C114</f>
        <v>#VALUE!</v>
      </c>
      <c r="AC126" s="117" t="e">
        <f>TabREP[[#This Row],[J27]]*Entrainement!$C114</f>
        <v>#VALUE!</v>
      </c>
      <c r="AD126" s="117" t="e">
        <f>TabREP[[#This Row],[J28]]*Entrainement!$C114</f>
        <v>#VALUE!</v>
      </c>
      <c r="AE126" s="117" t="e">
        <f>TabREP[[#This Row],[J29]]*Entrainement!$C114</f>
        <v>#VALUE!</v>
      </c>
      <c r="AF126" s="117" t="e">
        <f>TabREP[[#This Row],[J30]]*Entrainement!$C114</f>
        <v>#VALUE!</v>
      </c>
      <c r="AG126" s="250" t="str">
        <f>'Charges collective'!E118</f>
        <v/>
      </c>
      <c r="AH126" s="49"/>
      <c r="AI126" s="48"/>
    </row>
    <row r="127" spans="2:35" ht="14.25">
      <c r="B127" s="248" t="str">
        <f>IF(INDEX(TabEntrainement[Seance],ROW()-18)&lt;&gt;0,INDEX(TabEntrainement[Seance],ROW()-18),"")</f>
        <v/>
      </c>
      <c r="C127" s="117" t="e">
        <f>TabREP[[#This Row],[J1]]*Entrainement!C115</f>
        <v>#VALUE!</v>
      </c>
      <c r="D127" s="117" t="e">
        <f>TabREP[[#This Row],[J2]]*Entrainement!C115</f>
        <v>#VALUE!</v>
      </c>
      <c r="E127" s="117" t="e">
        <f>TabREP[[#This Row],[J3]]*Entrainement!$C115</f>
        <v>#VALUE!</v>
      </c>
      <c r="F127" s="117" t="e">
        <f>TabREP[[#This Row],[J4]]*Entrainement!$C115</f>
        <v>#VALUE!</v>
      </c>
      <c r="G127" s="117" t="e">
        <f>TabREP[[#This Row],[J5]]*Entrainement!$C115</f>
        <v>#VALUE!</v>
      </c>
      <c r="H127" s="117" t="e">
        <f>TabREP[[#This Row],[J6]]*Entrainement!$C115</f>
        <v>#VALUE!</v>
      </c>
      <c r="I127" s="117" t="e">
        <f>TabREP[[#This Row],[J7]]*Entrainement!$C115</f>
        <v>#VALUE!</v>
      </c>
      <c r="J127" s="117" t="e">
        <f>TabREP[[#This Row],[J8]]*Entrainement!$C115</f>
        <v>#VALUE!</v>
      </c>
      <c r="K127" s="117" t="e">
        <f>TabREP[[#This Row],[J9]]*Entrainement!$C115</f>
        <v>#VALUE!</v>
      </c>
      <c r="L127" s="117" t="e">
        <f>TabREP[[#This Row],[J10]]*Entrainement!$C115</f>
        <v>#VALUE!</v>
      </c>
      <c r="M127" s="117" t="e">
        <f>TabREP[[#This Row],[J11]]*Entrainement!$C115</f>
        <v>#VALUE!</v>
      </c>
      <c r="N127" s="117" t="e">
        <f>TabREP[[#This Row],[J12]]*Entrainement!$C115</f>
        <v>#VALUE!</v>
      </c>
      <c r="O127" s="117" t="e">
        <f>TabREP[[#This Row],[J13]]*Entrainement!$C115</f>
        <v>#VALUE!</v>
      </c>
      <c r="P127" s="117" t="e">
        <f>TabREP[[#This Row],[J14]]*Entrainement!$C115</f>
        <v>#VALUE!</v>
      </c>
      <c r="Q127" s="117" t="e">
        <f>TabREP[[#This Row],[J15]]*Entrainement!$C115</f>
        <v>#VALUE!</v>
      </c>
      <c r="R127" s="117" t="e">
        <f>TabREP[[#This Row],[J16]]*Entrainement!$C115</f>
        <v>#VALUE!</v>
      </c>
      <c r="S127" s="117" t="e">
        <f>TabREP[[#This Row],[J17]]*Entrainement!$C115</f>
        <v>#VALUE!</v>
      </c>
      <c r="T127" s="117" t="e">
        <f>TabREP[[#This Row],[J18]]*Entrainement!$C115</f>
        <v>#VALUE!</v>
      </c>
      <c r="U127" s="117" t="e">
        <f>TabREP[[#This Row],[J19]]*Entrainement!$C115</f>
        <v>#VALUE!</v>
      </c>
      <c r="V127" s="117" t="e">
        <f>TabREP[[#This Row],[J20]]*Entrainement!$C115</f>
        <v>#VALUE!</v>
      </c>
      <c r="W127" s="117" t="e">
        <f>TabREP[[#This Row],[J21]]*Entrainement!$C115</f>
        <v>#VALUE!</v>
      </c>
      <c r="X127" s="117" t="e">
        <f>TabREP[[#This Row],[J22]]*Entrainement!$C115</f>
        <v>#VALUE!</v>
      </c>
      <c r="Y127" s="117" t="e">
        <f>TabREP[[#This Row],[J23]]*Entrainement!$C115</f>
        <v>#VALUE!</v>
      </c>
      <c r="Z127" s="117" t="e">
        <f>TabREP[[#This Row],[J24]]*Entrainement!$C115</f>
        <v>#VALUE!</v>
      </c>
      <c r="AA127" s="117" t="e">
        <f>TabREP[[#This Row],[J25]]*Entrainement!$C115</f>
        <v>#VALUE!</v>
      </c>
      <c r="AB127" s="117" t="e">
        <f>TabREP[[#This Row],[J26]]*Entrainement!$C115</f>
        <v>#VALUE!</v>
      </c>
      <c r="AC127" s="117" t="e">
        <f>TabREP[[#This Row],[J27]]*Entrainement!$C115</f>
        <v>#VALUE!</v>
      </c>
      <c r="AD127" s="117" t="e">
        <f>TabREP[[#This Row],[J28]]*Entrainement!$C115</f>
        <v>#VALUE!</v>
      </c>
      <c r="AE127" s="117" t="e">
        <f>TabREP[[#This Row],[J29]]*Entrainement!$C115</f>
        <v>#VALUE!</v>
      </c>
      <c r="AF127" s="117" t="e">
        <f>TabREP[[#This Row],[J30]]*Entrainement!$C115</f>
        <v>#VALUE!</v>
      </c>
      <c r="AG127" s="250" t="str">
        <f>'Charges collective'!E119</f>
        <v/>
      </c>
      <c r="AH127" s="49"/>
      <c r="AI127" s="48"/>
    </row>
    <row r="128" spans="2:35" ht="14.25">
      <c r="B128" s="248" t="str">
        <f>IF(INDEX(TabEntrainement[Seance],ROW()-18)&lt;&gt;0,INDEX(TabEntrainement[Seance],ROW()-18),"")</f>
        <v/>
      </c>
      <c r="C128" s="117" t="e">
        <f>TabREP[[#This Row],[J1]]*Entrainement!C116</f>
        <v>#VALUE!</v>
      </c>
      <c r="D128" s="117" t="e">
        <f>TabREP[[#This Row],[J2]]*Entrainement!C116</f>
        <v>#VALUE!</v>
      </c>
      <c r="E128" s="117" t="e">
        <f>TabREP[[#This Row],[J3]]*Entrainement!$C116</f>
        <v>#VALUE!</v>
      </c>
      <c r="F128" s="117" t="e">
        <f>TabREP[[#This Row],[J4]]*Entrainement!$C116</f>
        <v>#VALUE!</v>
      </c>
      <c r="G128" s="117" t="e">
        <f>TabREP[[#This Row],[J5]]*Entrainement!$C116</f>
        <v>#VALUE!</v>
      </c>
      <c r="H128" s="117" t="e">
        <f>TabREP[[#This Row],[J6]]*Entrainement!$C116</f>
        <v>#VALUE!</v>
      </c>
      <c r="I128" s="117" t="e">
        <f>TabREP[[#This Row],[J7]]*Entrainement!$C116</f>
        <v>#VALUE!</v>
      </c>
      <c r="J128" s="117" t="e">
        <f>TabREP[[#This Row],[J8]]*Entrainement!$C116</f>
        <v>#VALUE!</v>
      </c>
      <c r="K128" s="117" t="e">
        <f>TabREP[[#This Row],[J9]]*Entrainement!$C116</f>
        <v>#VALUE!</v>
      </c>
      <c r="L128" s="117" t="e">
        <f>TabREP[[#This Row],[J10]]*Entrainement!$C116</f>
        <v>#VALUE!</v>
      </c>
      <c r="M128" s="117" t="e">
        <f>TabREP[[#This Row],[J11]]*Entrainement!$C116</f>
        <v>#VALUE!</v>
      </c>
      <c r="N128" s="117" t="e">
        <f>TabREP[[#This Row],[J12]]*Entrainement!$C116</f>
        <v>#VALUE!</v>
      </c>
      <c r="O128" s="117" t="e">
        <f>TabREP[[#This Row],[J13]]*Entrainement!$C116</f>
        <v>#VALUE!</v>
      </c>
      <c r="P128" s="117" t="e">
        <f>TabREP[[#This Row],[J14]]*Entrainement!$C116</f>
        <v>#VALUE!</v>
      </c>
      <c r="Q128" s="117" t="e">
        <f>TabREP[[#This Row],[J15]]*Entrainement!$C116</f>
        <v>#VALUE!</v>
      </c>
      <c r="R128" s="117" t="e">
        <f>TabREP[[#This Row],[J16]]*Entrainement!$C116</f>
        <v>#VALUE!</v>
      </c>
      <c r="S128" s="117" t="e">
        <f>TabREP[[#This Row],[J17]]*Entrainement!$C116</f>
        <v>#VALUE!</v>
      </c>
      <c r="T128" s="117" t="e">
        <f>TabREP[[#This Row],[J18]]*Entrainement!$C116</f>
        <v>#VALUE!</v>
      </c>
      <c r="U128" s="117" t="e">
        <f>TabREP[[#This Row],[J19]]*Entrainement!$C116</f>
        <v>#VALUE!</v>
      </c>
      <c r="V128" s="117" t="e">
        <f>TabREP[[#This Row],[J20]]*Entrainement!$C116</f>
        <v>#VALUE!</v>
      </c>
      <c r="W128" s="117" t="e">
        <f>TabREP[[#This Row],[J21]]*Entrainement!$C116</f>
        <v>#VALUE!</v>
      </c>
      <c r="X128" s="117" t="e">
        <f>TabREP[[#This Row],[J22]]*Entrainement!$C116</f>
        <v>#VALUE!</v>
      </c>
      <c r="Y128" s="117" t="e">
        <f>TabREP[[#This Row],[J23]]*Entrainement!$C116</f>
        <v>#VALUE!</v>
      </c>
      <c r="Z128" s="117" t="e">
        <f>TabREP[[#This Row],[J24]]*Entrainement!$C116</f>
        <v>#VALUE!</v>
      </c>
      <c r="AA128" s="117" t="e">
        <f>TabREP[[#This Row],[J25]]*Entrainement!$C116</f>
        <v>#VALUE!</v>
      </c>
      <c r="AB128" s="117" t="e">
        <f>TabREP[[#This Row],[J26]]*Entrainement!$C116</f>
        <v>#VALUE!</v>
      </c>
      <c r="AC128" s="117" t="e">
        <f>TabREP[[#This Row],[J27]]*Entrainement!$C116</f>
        <v>#VALUE!</v>
      </c>
      <c r="AD128" s="117" t="e">
        <f>TabREP[[#This Row],[J28]]*Entrainement!$C116</f>
        <v>#VALUE!</v>
      </c>
      <c r="AE128" s="117" t="e">
        <f>TabREP[[#This Row],[J29]]*Entrainement!$C116</f>
        <v>#VALUE!</v>
      </c>
      <c r="AF128" s="117" t="e">
        <f>TabREP[[#This Row],[J30]]*Entrainement!$C116</f>
        <v>#VALUE!</v>
      </c>
      <c r="AG128" s="250" t="str">
        <f>'Charges collective'!E120</f>
        <v/>
      </c>
      <c r="AH128" s="49"/>
      <c r="AI128" s="48"/>
    </row>
    <row r="129" spans="2:35" ht="14.25">
      <c r="B129" s="248" t="str">
        <f>IF(INDEX(TabEntrainement[Seance],ROW()-18)&lt;&gt;0,INDEX(TabEntrainement[Seance],ROW()-18),"")</f>
        <v/>
      </c>
      <c r="C129" s="117" t="e">
        <f>TabREP[[#This Row],[J1]]*Entrainement!C117</f>
        <v>#VALUE!</v>
      </c>
      <c r="D129" s="117" t="e">
        <f>TabREP[[#This Row],[J2]]*Entrainement!C117</f>
        <v>#VALUE!</v>
      </c>
      <c r="E129" s="117" t="e">
        <f>TabREP[[#This Row],[J3]]*Entrainement!$C117</f>
        <v>#VALUE!</v>
      </c>
      <c r="F129" s="117" t="e">
        <f>TabREP[[#This Row],[J4]]*Entrainement!$C117</f>
        <v>#VALUE!</v>
      </c>
      <c r="G129" s="117" t="e">
        <f>TabREP[[#This Row],[J5]]*Entrainement!$C117</f>
        <v>#VALUE!</v>
      </c>
      <c r="H129" s="117" t="e">
        <f>TabREP[[#This Row],[J6]]*Entrainement!$C117</f>
        <v>#VALUE!</v>
      </c>
      <c r="I129" s="117" t="e">
        <f>TabREP[[#This Row],[J7]]*Entrainement!$C117</f>
        <v>#VALUE!</v>
      </c>
      <c r="J129" s="117" t="e">
        <f>TabREP[[#This Row],[J8]]*Entrainement!$C117</f>
        <v>#VALUE!</v>
      </c>
      <c r="K129" s="117" t="e">
        <f>TabREP[[#This Row],[J9]]*Entrainement!$C117</f>
        <v>#VALUE!</v>
      </c>
      <c r="L129" s="117" t="e">
        <f>TabREP[[#This Row],[J10]]*Entrainement!$C117</f>
        <v>#VALUE!</v>
      </c>
      <c r="M129" s="117" t="e">
        <f>TabREP[[#This Row],[J11]]*Entrainement!$C117</f>
        <v>#VALUE!</v>
      </c>
      <c r="N129" s="117" t="e">
        <f>TabREP[[#This Row],[J12]]*Entrainement!$C117</f>
        <v>#VALUE!</v>
      </c>
      <c r="O129" s="117" t="e">
        <f>TabREP[[#This Row],[J13]]*Entrainement!$C117</f>
        <v>#VALUE!</v>
      </c>
      <c r="P129" s="117" t="e">
        <f>TabREP[[#This Row],[J14]]*Entrainement!$C117</f>
        <v>#VALUE!</v>
      </c>
      <c r="Q129" s="117" t="e">
        <f>TabREP[[#This Row],[J15]]*Entrainement!$C117</f>
        <v>#VALUE!</v>
      </c>
      <c r="R129" s="117" t="e">
        <f>TabREP[[#This Row],[J16]]*Entrainement!$C117</f>
        <v>#VALUE!</v>
      </c>
      <c r="S129" s="117" t="e">
        <f>TabREP[[#This Row],[J17]]*Entrainement!$C117</f>
        <v>#VALUE!</v>
      </c>
      <c r="T129" s="117" t="e">
        <f>TabREP[[#This Row],[J18]]*Entrainement!$C117</f>
        <v>#VALUE!</v>
      </c>
      <c r="U129" s="117" t="e">
        <f>TabREP[[#This Row],[J19]]*Entrainement!$C117</f>
        <v>#VALUE!</v>
      </c>
      <c r="V129" s="117" t="e">
        <f>TabREP[[#This Row],[J20]]*Entrainement!$C117</f>
        <v>#VALUE!</v>
      </c>
      <c r="W129" s="117" t="e">
        <f>TabREP[[#This Row],[J21]]*Entrainement!$C117</f>
        <v>#VALUE!</v>
      </c>
      <c r="X129" s="117" t="e">
        <f>TabREP[[#This Row],[J22]]*Entrainement!$C117</f>
        <v>#VALUE!</v>
      </c>
      <c r="Y129" s="117" t="e">
        <f>TabREP[[#This Row],[J23]]*Entrainement!$C117</f>
        <v>#VALUE!</v>
      </c>
      <c r="Z129" s="117" t="e">
        <f>TabREP[[#This Row],[J24]]*Entrainement!$C117</f>
        <v>#VALUE!</v>
      </c>
      <c r="AA129" s="117" t="e">
        <f>TabREP[[#This Row],[J25]]*Entrainement!$C117</f>
        <v>#VALUE!</v>
      </c>
      <c r="AB129" s="117" t="e">
        <f>TabREP[[#This Row],[J26]]*Entrainement!$C117</f>
        <v>#VALUE!</v>
      </c>
      <c r="AC129" s="117" t="e">
        <f>TabREP[[#This Row],[J27]]*Entrainement!$C117</f>
        <v>#VALUE!</v>
      </c>
      <c r="AD129" s="117" t="e">
        <f>TabREP[[#This Row],[J28]]*Entrainement!$C117</f>
        <v>#VALUE!</v>
      </c>
      <c r="AE129" s="117" t="e">
        <f>TabREP[[#This Row],[J29]]*Entrainement!$C117</f>
        <v>#VALUE!</v>
      </c>
      <c r="AF129" s="117" t="e">
        <f>TabREP[[#This Row],[J30]]*Entrainement!$C117</f>
        <v>#VALUE!</v>
      </c>
      <c r="AG129" s="250" t="str">
        <f>'Charges collective'!E121</f>
        <v/>
      </c>
      <c r="AH129" s="49"/>
      <c r="AI129" s="48"/>
    </row>
    <row r="130" spans="2:35" ht="14.25">
      <c r="B130" s="248" t="str">
        <f>IF(INDEX(TabEntrainement[Seance],ROW()-18)&lt;&gt;0,INDEX(TabEntrainement[Seance],ROW()-18),"")</f>
        <v/>
      </c>
      <c r="C130" s="117" t="e">
        <f>TabREP[[#This Row],[J1]]*Entrainement!C118</f>
        <v>#VALUE!</v>
      </c>
      <c r="D130" s="117" t="e">
        <f>TabREP[[#This Row],[J2]]*Entrainement!C118</f>
        <v>#VALUE!</v>
      </c>
      <c r="E130" s="117" t="e">
        <f>TabREP[[#This Row],[J3]]*Entrainement!$C118</f>
        <v>#VALUE!</v>
      </c>
      <c r="F130" s="117" t="e">
        <f>TabREP[[#This Row],[J4]]*Entrainement!$C118</f>
        <v>#VALUE!</v>
      </c>
      <c r="G130" s="117" t="e">
        <f>TabREP[[#This Row],[J5]]*Entrainement!$C118</f>
        <v>#VALUE!</v>
      </c>
      <c r="H130" s="117" t="e">
        <f>TabREP[[#This Row],[J6]]*Entrainement!$C118</f>
        <v>#VALUE!</v>
      </c>
      <c r="I130" s="117" t="e">
        <f>TabREP[[#This Row],[J7]]*Entrainement!$C118</f>
        <v>#VALUE!</v>
      </c>
      <c r="J130" s="117" t="e">
        <f>TabREP[[#This Row],[J8]]*Entrainement!$C118</f>
        <v>#VALUE!</v>
      </c>
      <c r="K130" s="117" t="e">
        <f>TabREP[[#This Row],[J9]]*Entrainement!$C118</f>
        <v>#VALUE!</v>
      </c>
      <c r="L130" s="117" t="e">
        <f>TabREP[[#This Row],[J10]]*Entrainement!$C118</f>
        <v>#VALUE!</v>
      </c>
      <c r="M130" s="117" t="e">
        <f>TabREP[[#This Row],[J11]]*Entrainement!$C118</f>
        <v>#VALUE!</v>
      </c>
      <c r="N130" s="117" t="e">
        <f>TabREP[[#This Row],[J12]]*Entrainement!$C118</f>
        <v>#VALUE!</v>
      </c>
      <c r="O130" s="117" t="e">
        <f>TabREP[[#This Row],[J13]]*Entrainement!$C118</f>
        <v>#VALUE!</v>
      </c>
      <c r="P130" s="117" t="e">
        <f>TabREP[[#This Row],[J14]]*Entrainement!$C118</f>
        <v>#VALUE!</v>
      </c>
      <c r="Q130" s="117" t="e">
        <f>TabREP[[#This Row],[J15]]*Entrainement!$C118</f>
        <v>#VALUE!</v>
      </c>
      <c r="R130" s="117" t="e">
        <f>TabREP[[#This Row],[J16]]*Entrainement!$C118</f>
        <v>#VALUE!</v>
      </c>
      <c r="S130" s="117" t="e">
        <f>TabREP[[#This Row],[J17]]*Entrainement!$C118</f>
        <v>#VALUE!</v>
      </c>
      <c r="T130" s="117" t="e">
        <f>TabREP[[#This Row],[J18]]*Entrainement!$C118</f>
        <v>#VALUE!</v>
      </c>
      <c r="U130" s="117" t="e">
        <f>TabREP[[#This Row],[J19]]*Entrainement!$C118</f>
        <v>#VALUE!</v>
      </c>
      <c r="V130" s="117" t="e">
        <f>TabREP[[#This Row],[J20]]*Entrainement!$C118</f>
        <v>#VALUE!</v>
      </c>
      <c r="W130" s="117" t="e">
        <f>TabREP[[#This Row],[J21]]*Entrainement!$C118</f>
        <v>#VALUE!</v>
      </c>
      <c r="X130" s="117" t="e">
        <f>TabREP[[#This Row],[J22]]*Entrainement!$C118</f>
        <v>#VALUE!</v>
      </c>
      <c r="Y130" s="117" t="e">
        <f>TabREP[[#This Row],[J23]]*Entrainement!$C118</f>
        <v>#VALUE!</v>
      </c>
      <c r="Z130" s="117" t="e">
        <f>TabREP[[#This Row],[J24]]*Entrainement!$C118</f>
        <v>#VALUE!</v>
      </c>
      <c r="AA130" s="117" t="e">
        <f>TabREP[[#This Row],[J25]]*Entrainement!$C118</f>
        <v>#VALUE!</v>
      </c>
      <c r="AB130" s="117" t="e">
        <f>TabREP[[#This Row],[J26]]*Entrainement!$C118</f>
        <v>#VALUE!</v>
      </c>
      <c r="AC130" s="117" t="e">
        <f>TabREP[[#This Row],[J27]]*Entrainement!$C118</f>
        <v>#VALUE!</v>
      </c>
      <c r="AD130" s="117" t="e">
        <f>TabREP[[#This Row],[J28]]*Entrainement!$C118</f>
        <v>#VALUE!</v>
      </c>
      <c r="AE130" s="117" t="e">
        <f>TabREP[[#This Row],[J29]]*Entrainement!$C118</f>
        <v>#VALUE!</v>
      </c>
      <c r="AF130" s="117" t="e">
        <f>TabREP[[#This Row],[J30]]*Entrainement!$C118</f>
        <v>#VALUE!</v>
      </c>
      <c r="AG130" s="250" t="str">
        <f>'Charges collective'!E122</f>
        <v/>
      </c>
      <c r="AH130" s="49"/>
      <c r="AI130" s="48"/>
    </row>
    <row r="131" spans="2:35" ht="14.25">
      <c r="B131" s="248" t="str">
        <f>IF(INDEX(TabEntrainement[Seance],ROW()-18)&lt;&gt;0,INDEX(TabEntrainement[Seance],ROW()-18),"")</f>
        <v/>
      </c>
      <c r="C131" s="117" t="e">
        <f>TabREP[[#This Row],[J1]]*Entrainement!C119</f>
        <v>#VALUE!</v>
      </c>
      <c r="D131" s="117" t="e">
        <f>TabREP[[#This Row],[J2]]*Entrainement!C119</f>
        <v>#VALUE!</v>
      </c>
      <c r="E131" s="117" t="e">
        <f>TabREP[[#This Row],[J3]]*Entrainement!$C119</f>
        <v>#VALUE!</v>
      </c>
      <c r="F131" s="117" t="e">
        <f>TabREP[[#This Row],[J4]]*Entrainement!$C119</f>
        <v>#VALUE!</v>
      </c>
      <c r="G131" s="117" t="e">
        <f>TabREP[[#This Row],[J5]]*Entrainement!$C119</f>
        <v>#VALUE!</v>
      </c>
      <c r="H131" s="117" t="e">
        <f>TabREP[[#This Row],[J6]]*Entrainement!$C119</f>
        <v>#VALUE!</v>
      </c>
      <c r="I131" s="117" t="e">
        <f>TabREP[[#This Row],[J7]]*Entrainement!$C119</f>
        <v>#VALUE!</v>
      </c>
      <c r="J131" s="117" t="e">
        <f>TabREP[[#This Row],[J8]]*Entrainement!$C119</f>
        <v>#VALUE!</v>
      </c>
      <c r="K131" s="117" t="e">
        <f>TabREP[[#This Row],[J9]]*Entrainement!$C119</f>
        <v>#VALUE!</v>
      </c>
      <c r="L131" s="117" t="e">
        <f>TabREP[[#This Row],[J10]]*Entrainement!$C119</f>
        <v>#VALUE!</v>
      </c>
      <c r="M131" s="117" t="e">
        <f>TabREP[[#This Row],[J11]]*Entrainement!$C119</f>
        <v>#VALUE!</v>
      </c>
      <c r="N131" s="117" t="e">
        <f>TabREP[[#This Row],[J12]]*Entrainement!$C119</f>
        <v>#VALUE!</v>
      </c>
      <c r="O131" s="117" t="e">
        <f>TabREP[[#This Row],[J13]]*Entrainement!$C119</f>
        <v>#VALUE!</v>
      </c>
      <c r="P131" s="117" t="e">
        <f>TabREP[[#This Row],[J14]]*Entrainement!$C119</f>
        <v>#VALUE!</v>
      </c>
      <c r="Q131" s="117" t="e">
        <f>TabREP[[#This Row],[J15]]*Entrainement!$C119</f>
        <v>#VALUE!</v>
      </c>
      <c r="R131" s="117" t="e">
        <f>TabREP[[#This Row],[J16]]*Entrainement!$C119</f>
        <v>#VALUE!</v>
      </c>
      <c r="S131" s="117" t="e">
        <f>TabREP[[#This Row],[J17]]*Entrainement!$C119</f>
        <v>#VALUE!</v>
      </c>
      <c r="T131" s="117" t="e">
        <f>TabREP[[#This Row],[J18]]*Entrainement!$C119</f>
        <v>#VALUE!</v>
      </c>
      <c r="U131" s="117" t="e">
        <f>TabREP[[#This Row],[J19]]*Entrainement!$C119</f>
        <v>#VALUE!</v>
      </c>
      <c r="V131" s="117" t="e">
        <f>TabREP[[#This Row],[J20]]*Entrainement!$C119</f>
        <v>#VALUE!</v>
      </c>
      <c r="W131" s="117" t="e">
        <f>TabREP[[#This Row],[J21]]*Entrainement!$C119</f>
        <v>#VALUE!</v>
      </c>
      <c r="X131" s="117" t="e">
        <f>TabREP[[#This Row],[J22]]*Entrainement!$C119</f>
        <v>#VALUE!</v>
      </c>
      <c r="Y131" s="117" t="e">
        <f>TabREP[[#This Row],[J23]]*Entrainement!$C119</f>
        <v>#VALUE!</v>
      </c>
      <c r="Z131" s="117" t="e">
        <f>TabREP[[#This Row],[J24]]*Entrainement!$C119</f>
        <v>#VALUE!</v>
      </c>
      <c r="AA131" s="117" t="e">
        <f>TabREP[[#This Row],[J25]]*Entrainement!$C119</f>
        <v>#VALUE!</v>
      </c>
      <c r="AB131" s="117" t="e">
        <f>TabREP[[#This Row],[J26]]*Entrainement!$C119</f>
        <v>#VALUE!</v>
      </c>
      <c r="AC131" s="117" t="e">
        <f>TabREP[[#This Row],[J27]]*Entrainement!$C119</f>
        <v>#VALUE!</v>
      </c>
      <c r="AD131" s="117" t="e">
        <f>TabREP[[#This Row],[J28]]*Entrainement!$C119</f>
        <v>#VALUE!</v>
      </c>
      <c r="AE131" s="117" t="e">
        <f>TabREP[[#This Row],[J29]]*Entrainement!$C119</f>
        <v>#VALUE!</v>
      </c>
      <c r="AF131" s="117" t="e">
        <f>TabREP[[#This Row],[J30]]*Entrainement!$C119</f>
        <v>#VALUE!</v>
      </c>
      <c r="AG131" s="250" t="str">
        <f>'Charges collective'!E123</f>
        <v/>
      </c>
      <c r="AH131" s="49"/>
      <c r="AI131" s="48"/>
    </row>
    <row r="132" spans="2:35" ht="14.25">
      <c r="B132" s="248" t="str">
        <f>IF(INDEX(TabEntrainement[Seance],ROW()-18)&lt;&gt;0,INDEX(TabEntrainement[Seance],ROW()-18),"")</f>
        <v/>
      </c>
      <c r="C132" s="117" t="e">
        <f>TabREP[[#This Row],[J1]]*Entrainement!C120</f>
        <v>#VALUE!</v>
      </c>
      <c r="D132" s="117" t="e">
        <f>TabREP[[#This Row],[J2]]*Entrainement!C120</f>
        <v>#VALUE!</v>
      </c>
      <c r="E132" s="117" t="e">
        <f>TabREP[[#This Row],[J3]]*Entrainement!$C120</f>
        <v>#VALUE!</v>
      </c>
      <c r="F132" s="117" t="e">
        <f>TabREP[[#This Row],[J4]]*Entrainement!$C120</f>
        <v>#VALUE!</v>
      </c>
      <c r="G132" s="117" t="e">
        <f>TabREP[[#This Row],[J5]]*Entrainement!$C120</f>
        <v>#VALUE!</v>
      </c>
      <c r="H132" s="117" t="e">
        <f>TabREP[[#This Row],[J6]]*Entrainement!$C120</f>
        <v>#VALUE!</v>
      </c>
      <c r="I132" s="117" t="e">
        <f>TabREP[[#This Row],[J7]]*Entrainement!$C120</f>
        <v>#VALUE!</v>
      </c>
      <c r="J132" s="117" t="e">
        <f>TabREP[[#This Row],[J8]]*Entrainement!$C120</f>
        <v>#VALUE!</v>
      </c>
      <c r="K132" s="117" t="e">
        <f>TabREP[[#This Row],[J9]]*Entrainement!$C120</f>
        <v>#VALUE!</v>
      </c>
      <c r="L132" s="117" t="e">
        <f>TabREP[[#This Row],[J10]]*Entrainement!$C120</f>
        <v>#VALUE!</v>
      </c>
      <c r="M132" s="117" t="e">
        <f>TabREP[[#This Row],[J11]]*Entrainement!$C120</f>
        <v>#VALUE!</v>
      </c>
      <c r="N132" s="117" t="e">
        <f>TabREP[[#This Row],[J12]]*Entrainement!$C120</f>
        <v>#VALUE!</v>
      </c>
      <c r="O132" s="117" t="e">
        <f>TabREP[[#This Row],[J13]]*Entrainement!$C120</f>
        <v>#VALUE!</v>
      </c>
      <c r="P132" s="117" t="e">
        <f>TabREP[[#This Row],[J14]]*Entrainement!$C120</f>
        <v>#VALUE!</v>
      </c>
      <c r="Q132" s="117" t="e">
        <f>TabREP[[#This Row],[J15]]*Entrainement!$C120</f>
        <v>#VALUE!</v>
      </c>
      <c r="R132" s="117" t="e">
        <f>TabREP[[#This Row],[J16]]*Entrainement!$C120</f>
        <v>#VALUE!</v>
      </c>
      <c r="S132" s="117" t="e">
        <f>TabREP[[#This Row],[J17]]*Entrainement!$C120</f>
        <v>#VALUE!</v>
      </c>
      <c r="T132" s="117" t="e">
        <f>TabREP[[#This Row],[J18]]*Entrainement!$C120</f>
        <v>#VALUE!</v>
      </c>
      <c r="U132" s="117" t="e">
        <f>TabREP[[#This Row],[J19]]*Entrainement!$C120</f>
        <v>#VALUE!</v>
      </c>
      <c r="V132" s="117" t="e">
        <f>TabREP[[#This Row],[J20]]*Entrainement!$C120</f>
        <v>#VALUE!</v>
      </c>
      <c r="W132" s="117" t="e">
        <f>TabREP[[#This Row],[J21]]*Entrainement!$C120</f>
        <v>#VALUE!</v>
      </c>
      <c r="X132" s="117" t="e">
        <f>TabREP[[#This Row],[J22]]*Entrainement!$C120</f>
        <v>#VALUE!</v>
      </c>
      <c r="Y132" s="117" t="e">
        <f>TabREP[[#This Row],[J23]]*Entrainement!$C120</f>
        <v>#VALUE!</v>
      </c>
      <c r="Z132" s="117" t="e">
        <f>TabREP[[#This Row],[J24]]*Entrainement!$C120</f>
        <v>#VALUE!</v>
      </c>
      <c r="AA132" s="117" t="e">
        <f>TabREP[[#This Row],[J25]]*Entrainement!$C120</f>
        <v>#VALUE!</v>
      </c>
      <c r="AB132" s="117" t="e">
        <f>TabREP[[#This Row],[J26]]*Entrainement!$C120</f>
        <v>#VALUE!</v>
      </c>
      <c r="AC132" s="117" t="e">
        <f>TabREP[[#This Row],[J27]]*Entrainement!$C120</f>
        <v>#VALUE!</v>
      </c>
      <c r="AD132" s="117" t="e">
        <f>TabREP[[#This Row],[J28]]*Entrainement!$C120</f>
        <v>#VALUE!</v>
      </c>
      <c r="AE132" s="117" t="e">
        <f>TabREP[[#This Row],[J29]]*Entrainement!$C120</f>
        <v>#VALUE!</v>
      </c>
      <c r="AF132" s="117" t="e">
        <f>TabREP[[#This Row],[J30]]*Entrainement!$C120</f>
        <v>#VALUE!</v>
      </c>
      <c r="AG132" s="250" t="str">
        <f>'Charges collective'!E124</f>
        <v/>
      </c>
      <c r="AH132" s="49"/>
      <c r="AI132" s="48"/>
    </row>
    <row r="133" spans="2:35" ht="14.25">
      <c r="B133" s="248" t="str">
        <f>IF(INDEX(TabEntrainement[Seance],ROW()-18)&lt;&gt;0,INDEX(TabEntrainement[Seance],ROW()-18),"")</f>
        <v/>
      </c>
      <c r="C133" s="117" t="e">
        <f>TabREP[[#This Row],[J1]]*Entrainement!C121</f>
        <v>#VALUE!</v>
      </c>
      <c r="D133" s="117" t="e">
        <f>TabREP[[#This Row],[J2]]*Entrainement!C121</f>
        <v>#VALUE!</v>
      </c>
      <c r="E133" s="117" t="e">
        <f>TabREP[[#This Row],[J3]]*Entrainement!$C121</f>
        <v>#VALUE!</v>
      </c>
      <c r="F133" s="117" t="e">
        <f>TabREP[[#This Row],[J4]]*Entrainement!$C121</f>
        <v>#VALUE!</v>
      </c>
      <c r="G133" s="117" t="e">
        <f>TabREP[[#This Row],[J5]]*Entrainement!$C121</f>
        <v>#VALUE!</v>
      </c>
      <c r="H133" s="117" t="e">
        <f>TabREP[[#This Row],[J6]]*Entrainement!$C121</f>
        <v>#VALUE!</v>
      </c>
      <c r="I133" s="117" t="e">
        <f>TabREP[[#This Row],[J7]]*Entrainement!$C121</f>
        <v>#VALUE!</v>
      </c>
      <c r="J133" s="117" t="e">
        <f>TabREP[[#This Row],[J8]]*Entrainement!$C121</f>
        <v>#VALUE!</v>
      </c>
      <c r="K133" s="117" t="e">
        <f>TabREP[[#This Row],[J9]]*Entrainement!$C121</f>
        <v>#VALUE!</v>
      </c>
      <c r="L133" s="117" t="e">
        <f>TabREP[[#This Row],[J10]]*Entrainement!$C121</f>
        <v>#VALUE!</v>
      </c>
      <c r="M133" s="117" t="e">
        <f>TabREP[[#This Row],[J11]]*Entrainement!$C121</f>
        <v>#VALUE!</v>
      </c>
      <c r="N133" s="117" t="e">
        <f>TabREP[[#This Row],[J12]]*Entrainement!$C121</f>
        <v>#VALUE!</v>
      </c>
      <c r="O133" s="117" t="e">
        <f>TabREP[[#This Row],[J13]]*Entrainement!$C121</f>
        <v>#VALUE!</v>
      </c>
      <c r="P133" s="117" t="e">
        <f>TabREP[[#This Row],[J14]]*Entrainement!$C121</f>
        <v>#VALUE!</v>
      </c>
      <c r="Q133" s="117" t="e">
        <f>TabREP[[#This Row],[J15]]*Entrainement!$C121</f>
        <v>#VALUE!</v>
      </c>
      <c r="R133" s="117" t="e">
        <f>TabREP[[#This Row],[J16]]*Entrainement!$C121</f>
        <v>#VALUE!</v>
      </c>
      <c r="S133" s="117" t="e">
        <f>TabREP[[#This Row],[J17]]*Entrainement!$C121</f>
        <v>#VALUE!</v>
      </c>
      <c r="T133" s="117" t="e">
        <f>TabREP[[#This Row],[J18]]*Entrainement!$C121</f>
        <v>#VALUE!</v>
      </c>
      <c r="U133" s="117" t="e">
        <f>TabREP[[#This Row],[J19]]*Entrainement!$C121</f>
        <v>#VALUE!</v>
      </c>
      <c r="V133" s="117" t="e">
        <f>TabREP[[#This Row],[J20]]*Entrainement!$C121</f>
        <v>#VALUE!</v>
      </c>
      <c r="W133" s="117" t="e">
        <f>TabREP[[#This Row],[J21]]*Entrainement!$C121</f>
        <v>#VALUE!</v>
      </c>
      <c r="X133" s="117" t="e">
        <f>TabREP[[#This Row],[J22]]*Entrainement!$C121</f>
        <v>#VALUE!</v>
      </c>
      <c r="Y133" s="117" t="e">
        <f>TabREP[[#This Row],[J23]]*Entrainement!$C121</f>
        <v>#VALUE!</v>
      </c>
      <c r="Z133" s="117" t="e">
        <f>TabREP[[#This Row],[J24]]*Entrainement!$C121</f>
        <v>#VALUE!</v>
      </c>
      <c r="AA133" s="117" t="e">
        <f>TabREP[[#This Row],[J25]]*Entrainement!$C121</f>
        <v>#VALUE!</v>
      </c>
      <c r="AB133" s="117" t="e">
        <f>TabREP[[#This Row],[J26]]*Entrainement!$C121</f>
        <v>#VALUE!</v>
      </c>
      <c r="AC133" s="117" t="e">
        <f>TabREP[[#This Row],[J27]]*Entrainement!$C121</f>
        <v>#VALUE!</v>
      </c>
      <c r="AD133" s="117" t="e">
        <f>TabREP[[#This Row],[J28]]*Entrainement!$C121</f>
        <v>#VALUE!</v>
      </c>
      <c r="AE133" s="117" t="e">
        <f>TabREP[[#This Row],[J29]]*Entrainement!$C121</f>
        <v>#VALUE!</v>
      </c>
      <c r="AF133" s="117" t="e">
        <f>TabREP[[#This Row],[J30]]*Entrainement!$C121</f>
        <v>#VALUE!</v>
      </c>
      <c r="AG133" s="250" t="str">
        <f>'Charges collective'!E125</f>
        <v/>
      </c>
      <c r="AH133" s="49"/>
      <c r="AI133" s="48"/>
    </row>
    <row r="134" spans="2:35" ht="14.25">
      <c r="B134" s="248" t="str">
        <f>IF(INDEX(TabEntrainement[Seance],ROW()-18)&lt;&gt;0,INDEX(TabEntrainement[Seance],ROW()-18),"")</f>
        <v/>
      </c>
      <c r="C134" s="117" t="e">
        <f>TabREP[[#This Row],[J1]]*Entrainement!C122</f>
        <v>#VALUE!</v>
      </c>
      <c r="D134" s="117" t="e">
        <f>TabREP[[#This Row],[J2]]*Entrainement!C122</f>
        <v>#VALUE!</v>
      </c>
      <c r="E134" s="117" t="e">
        <f>TabREP[[#This Row],[J3]]*Entrainement!$C122</f>
        <v>#VALUE!</v>
      </c>
      <c r="F134" s="117" t="e">
        <f>TabREP[[#This Row],[J4]]*Entrainement!$C122</f>
        <v>#VALUE!</v>
      </c>
      <c r="G134" s="117" t="e">
        <f>TabREP[[#This Row],[J5]]*Entrainement!$C122</f>
        <v>#VALUE!</v>
      </c>
      <c r="H134" s="117" t="e">
        <f>TabREP[[#This Row],[J6]]*Entrainement!$C122</f>
        <v>#VALUE!</v>
      </c>
      <c r="I134" s="117" t="e">
        <f>TabREP[[#This Row],[J7]]*Entrainement!$C122</f>
        <v>#VALUE!</v>
      </c>
      <c r="J134" s="117" t="e">
        <f>TabREP[[#This Row],[J8]]*Entrainement!$C122</f>
        <v>#VALUE!</v>
      </c>
      <c r="K134" s="117" t="e">
        <f>TabREP[[#This Row],[J9]]*Entrainement!$C122</f>
        <v>#VALUE!</v>
      </c>
      <c r="L134" s="117" t="e">
        <f>TabREP[[#This Row],[J10]]*Entrainement!$C122</f>
        <v>#VALUE!</v>
      </c>
      <c r="M134" s="117" t="e">
        <f>TabREP[[#This Row],[J11]]*Entrainement!$C122</f>
        <v>#VALUE!</v>
      </c>
      <c r="N134" s="117" t="e">
        <f>TabREP[[#This Row],[J12]]*Entrainement!$C122</f>
        <v>#VALUE!</v>
      </c>
      <c r="O134" s="117" t="e">
        <f>TabREP[[#This Row],[J13]]*Entrainement!$C122</f>
        <v>#VALUE!</v>
      </c>
      <c r="P134" s="117" t="e">
        <f>TabREP[[#This Row],[J14]]*Entrainement!$C122</f>
        <v>#VALUE!</v>
      </c>
      <c r="Q134" s="117" t="e">
        <f>TabREP[[#This Row],[J15]]*Entrainement!$C122</f>
        <v>#VALUE!</v>
      </c>
      <c r="R134" s="117" t="e">
        <f>TabREP[[#This Row],[J16]]*Entrainement!$C122</f>
        <v>#VALUE!</v>
      </c>
      <c r="S134" s="117" t="e">
        <f>TabREP[[#This Row],[J17]]*Entrainement!$C122</f>
        <v>#VALUE!</v>
      </c>
      <c r="T134" s="117" t="e">
        <f>TabREP[[#This Row],[J18]]*Entrainement!$C122</f>
        <v>#VALUE!</v>
      </c>
      <c r="U134" s="117" t="e">
        <f>TabREP[[#This Row],[J19]]*Entrainement!$C122</f>
        <v>#VALUE!</v>
      </c>
      <c r="V134" s="117" t="e">
        <f>TabREP[[#This Row],[J20]]*Entrainement!$C122</f>
        <v>#VALUE!</v>
      </c>
      <c r="W134" s="117" t="e">
        <f>TabREP[[#This Row],[J21]]*Entrainement!$C122</f>
        <v>#VALUE!</v>
      </c>
      <c r="X134" s="117" t="e">
        <f>TabREP[[#This Row],[J22]]*Entrainement!$C122</f>
        <v>#VALUE!</v>
      </c>
      <c r="Y134" s="117" t="e">
        <f>TabREP[[#This Row],[J23]]*Entrainement!$C122</f>
        <v>#VALUE!</v>
      </c>
      <c r="Z134" s="117" t="e">
        <f>TabREP[[#This Row],[J24]]*Entrainement!$C122</f>
        <v>#VALUE!</v>
      </c>
      <c r="AA134" s="117" t="e">
        <f>TabREP[[#This Row],[J25]]*Entrainement!$C122</f>
        <v>#VALUE!</v>
      </c>
      <c r="AB134" s="117" t="e">
        <f>TabREP[[#This Row],[J26]]*Entrainement!$C122</f>
        <v>#VALUE!</v>
      </c>
      <c r="AC134" s="117" t="e">
        <f>TabREP[[#This Row],[J27]]*Entrainement!$C122</f>
        <v>#VALUE!</v>
      </c>
      <c r="AD134" s="117" t="e">
        <f>TabREP[[#This Row],[J28]]*Entrainement!$C122</f>
        <v>#VALUE!</v>
      </c>
      <c r="AE134" s="117" t="e">
        <f>TabREP[[#This Row],[J29]]*Entrainement!$C122</f>
        <v>#VALUE!</v>
      </c>
      <c r="AF134" s="117" t="e">
        <f>TabREP[[#This Row],[J30]]*Entrainement!$C122</f>
        <v>#VALUE!</v>
      </c>
      <c r="AG134" s="250" t="str">
        <f>'Charges collective'!E126</f>
        <v/>
      </c>
      <c r="AH134" s="49"/>
      <c r="AI134" s="48"/>
    </row>
    <row r="135" spans="2:35" ht="14.25">
      <c r="B135" s="248" t="str">
        <f>IF(INDEX(TabEntrainement[Seance],ROW()-18)&lt;&gt;0,INDEX(TabEntrainement[Seance],ROW()-18),"")</f>
        <v/>
      </c>
      <c r="C135" s="117" t="e">
        <f>TabREP[[#This Row],[J1]]*Entrainement!C123</f>
        <v>#VALUE!</v>
      </c>
      <c r="D135" s="117" t="e">
        <f>TabREP[[#This Row],[J2]]*Entrainement!C123</f>
        <v>#VALUE!</v>
      </c>
      <c r="E135" s="117" t="e">
        <f>TabREP[[#This Row],[J3]]*Entrainement!$C123</f>
        <v>#VALUE!</v>
      </c>
      <c r="F135" s="117" t="e">
        <f>TabREP[[#This Row],[J4]]*Entrainement!$C123</f>
        <v>#VALUE!</v>
      </c>
      <c r="G135" s="117" t="e">
        <f>TabREP[[#This Row],[J5]]*Entrainement!$C123</f>
        <v>#VALUE!</v>
      </c>
      <c r="H135" s="117" t="e">
        <f>TabREP[[#This Row],[J6]]*Entrainement!$C123</f>
        <v>#VALUE!</v>
      </c>
      <c r="I135" s="117" t="e">
        <f>TabREP[[#This Row],[J7]]*Entrainement!$C123</f>
        <v>#VALUE!</v>
      </c>
      <c r="J135" s="117" t="e">
        <f>TabREP[[#This Row],[J8]]*Entrainement!$C123</f>
        <v>#VALUE!</v>
      </c>
      <c r="K135" s="117" t="e">
        <f>TabREP[[#This Row],[J9]]*Entrainement!$C123</f>
        <v>#VALUE!</v>
      </c>
      <c r="L135" s="117" t="e">
        <f>TabREP[[#This Row],[J10]]*Entrainement!$C123</f>
        <v>#VALUE!</v>
      </c>
      <c r="M135" s="117" t="e">
        <f>TabREP[[#This Row],[J11]]*Entrainement!$C123</f>
        <v>#VALUE!</v>
      </c>
      <c r="N135" s="117" t="e">
        <f>TabREP[[#This Row],[J12]]*Entrainement!$C123</f>
        <v>#VALUE!</v>
      </c>
      <c r="O135" s="117" t="e">
        <f>TabREP[[#This Row],[J13]]*Entrainement!$C123</f>
        <v>#VALUE!</v>
      </c>
      <c r="P135" s="117" t="e">
        <f>TabREP[[#This Row],[J14]]*Entrainement!$C123</f>
        <v>#VALUE!</v>
      </c>
      <c r="Q135" s="117" t="e">
        <f>TabREP[[#This Row],[J15]]*Entrainement!$C123</f>
        <v>#VALUE!</v>
      </c>
      <c r="R135" s="117" t="e">
        <f>TabREP[[#This Row],[J16]]*Entrainement!$C123</f>
        <v>#VALUE!</v>
      </c>
      <c r="S135" s="117" t="e">
        <f>TabREP[[#This Row],[J17]]*Entrainement!$C123</f>
        <v>#VALUE!</v>
      </c>
      <c r="T135" s="117" t="e">
        <f>TabREP[[#This Row],[J18]]*Entrainement!$C123</f>
        <v>#VALUE!</v>
      </c>
      <c r="U135" s="117" t="e">
        <f>TabREP[[#This Row],[J19]]*Entrainement!$C123</f>
        <v>#VALUE!</v>
      </c>
      <c r="V135" s="117" t="e">
        <f>TabREP[[#This Row],[J20]]*Entrainement!$C123</f>
        <v>#VALUE!</v>
      </c>
      <c r="W135" s="117" t="e">
        <f>TabREP[[#This Row],[J21]]*Entrainement!$C123</f>
        <v>#VALUE!</v>
      </c>
      <c r="X135" s="117" t="e">
        <f>TabREP[[#This Row],[J22]]*Entrainement!$C123</f>
        <v>#VALUE!</v>
      </c>
      <c r="Y135" s="117" t="e">
        <f>TabREP[[#This Row],[J23]]*Entrainement!$C123</f>
        <v>#VALUE!</v>
      </c>
      <c r="Z135" s="117" t="e">
        <f>TabREP[[#This Row],[J24]]*Entrainement!$C123</f>
        <v>#VALUE!</v>
      </c>
      <c r="AA135" s="117" t="e">
        <f>TabREP[[#This Row],[J25]]*Entrainement!$C123</f>
        <v>#VALUE!</v>
      </c>
      <c r="AB135" s="117" t="e">
        <f>TabREP[[#This Row],[J26]]*Entrainement!$C123</f>
        <v>#VALUE!</v>
      </c>
      <c r="AC135" s="117" t="e">
        <f>TabREP[[#This Row],[J27]]*Entrainement!$C123</f>
        <v>#VALUE!</v>
      </c>
      <c r="AD135" s="117" t="e">
        <f>TabREP[[#This Row],[J28]]*Entrainement!$C123</f>
        <v>#VALUE!</v>
      </c>
      <c r="AE135" s="117" t="e">
        <f>TabREP[[#This Row],[J29]]*Entrainement!$C123</f>
        <v>#VALUE!</v>
      </c>
      <c r="AF135" s="117" t="e">
        <f>TabREP[[#This Row],[J30]]*Entrainement!$C123</f>
        <v>#VALUE!</v>
      </c>
      <c r="AG135" s="250" t="str">
        <f>'Charges collective'!E127</f>
        <v/>
      </c>
      <c r="AH135" s="49"/>
      <c r="AI135" s="48"/>
    </row>
    <row r="136" spans="2:35" ht="14.25">
      <c r="B136" s="248" t="str">
        <f>IF(INDEX(TabEntrainement[Seance],ROW()-18)&lt;&gt;0,INDEX(TabEntrainement[Seance],ROW()-18),"")</f>
        <v/>
      </c>
      <c r="C136" s="117" t="e">
        <f>TabREP[[#This Row],[J1]]*Entrainement!C124</f>
        <v>#VALUE!</v>
      </c>
      <c r="D136" s="117" t="e">
        <f>TabREP[[#This Row],[J2]]*Entrainement!C124</f>
        <v>#VALUE!</v>
      </c>
      <c r="E136" s="117" t="e">
        <f>TabREP[[#This Row],[J3]]*Entrainement!$C124</f>
        <v>#VALUE!</v>
      </c>
      <c r="F136" s="117" t="e">
        <f>TabREP[[#This Row],[J4]]*Entrainement!$C124</f>
        <v>#VALUE!</v>
      </c>
      <c r="G136" s="117" t="e">
        <f>TabREP[[#This Row],[J5]]*Entrainement!$C124</f>
        <v>#VALUE!</v>
      </c>
      <c r="H136" s="117" t="e">
        <f>TabREP[[#This Row],[J6]]*Entrainement!$C124</f>
        <v>#VALUE!</v>
      </c>
      <c r="I136" s="117" t="e">
        <f>TabREP[[#This Row],[J7]]*Entrainement!$C124</f>
        <v>#VALUE!</v>
      </c>
      <c r="J136" s="117" t="e">
        <f>TabREP[[#This Row],[J8]]*Entrainement!$C124</f>
        <v>#VALUE!</v>
      </c>
      <c r="K136" s="117" t="e">
        <f>TabREP[[#This Row],[J9]]*Entrainement!$C124</f>
        <v>#VALUE!</v>
      </c>
      <c r="L136" s="117" t="e">
        <f>TabREP[[#This Row],[J10]]*Entrainement!$C124</f>
        <v>#VALUE!</v>
      </c>
      <c r="M136" s="117" t="e">
        <f>TabREP[[#This Row],[J11]]*Entrainement!$C124</f>
        <v>#VALUE!</v>
      </c>
      <c r="N136" s="117" t="e">
        <f>TabREP[[#This Row],[J12]]*Entrainement!$C124</f>
        <v>#VALUE!</v>
      </c>
      <c r="O136" s="117" t="e">
        <f>TabREP[[#This Row],[J13]]*Entrainement!$C124</f>
        <v>#VALUE!</v>
      </c>
      <c r="P136" s="117" t="e">
        <f>TabREP[[#This Row],[J14]]*Entrainement!$C124</f>
        <v>#VALUE!</v>
      </c>
      <c r="Q136" s="117" t="e">
        <f>TabREP[[#This Row],[J15]]*Entrainement!$C124</f>
        <v>#VALUE!</v>
      </c>
      <c r="R136" s="117" t="e">
        <f>TabREP[[#This Row],[J16]]*Entrainement!$C124</f>
        <v>#VALUE!</v>
      </c>
      <c r="S136" s="117" t="e">
        <f>TabREP[[#This Row],[J17]]*Entrainement!$C124</f>
        <v>#VALUE!</v>
      </c>
      <c r="T136" s="117" t="e">
        <f>TabREP[[#This Row],[J18]]*Entrainement!$C124</f>
        <v>#VALUE!</v>
      </c>
      <c r="U136" s="117" t="e">
        <f>TabREP[[#This Row],[J19]]*Entrainement!$C124</f>
        <v>#VALUE!</v>
      </c>
      <c r="V136" s="117" t="e">
        <f>TabREP[[#This Row],[J20]]*Entrainement!$C124</f>
        <v>#VALUE!</v>
      </c>
      <c r="W136" s="117" t="e">
        <f>TabREP[[#This Row],[J21]]*Entrainement!$C124</f>
        <v>#VALUE!</v>
      </c>
      <c r="X136" s="117" t="e">
        <f>TabREP[[#This Row],[J22]]*Entrainement!$C124</f>
        <v>#VALUE!</v>
      </c>
      <c r="Y136" s="117" t="e">
        <f>TabREP[[#This Row],[J23]]*Entrainement!$C124</f>
        <v>#VALUE!</v>
      </c>
      <c r="Z136" s="117" t="e">
        <f>TabREP[[#This Row],[J24]]*Entrainement!$C124</f>
        <v>#VALUE!</v>
      </c>
      <c r="AA136" s="117" t="e">
        <f>TabREP[[#This Row],[J25]]*Entrainement!$C124</f>
        <v>#VALUE!</v>
      </c>
      <c r="AB136" s="117" t="e">
        <f>TabREP[[#This Row],[J26]]*Entrainement!$C124</f>
        <v>#VALUE!</v>
      </c>
      <c r="AC136" s="117" t="e">
        <f>TabREP[[#This Row],[J27]]*Entrainement!$C124</f>
        <v>#VALUE!</v>
      </c>
      <c r="AD136" s="117" t="e">
        <f>TabREP[[#This Row],[J28]]*Entrainement!$C124</f>
        <v>#VALUE!</v>
      </c>
      <c r="AE136" s="117" t="e">
        <f>TabREP[[#This Row],[J29]]*Entrainement!$C124</f>
        <v>#VALUE!</v>
      </c>
      <c r="AF136" s="117" t="e">
        <f>TabREP[[#This Row],[J30]]*Entrainement!$C124</f>
        <v>#VALUE!</v>
      </c>
      <c r="AG136" s="250" t="str">
        <f>'Charges collective'!E128</f>
        <v/>
      </c>
      <c r="AH136" s="49"/>
      <c r="AI136" s="48"/>
    </row>
    <row r="137" spans="2:35" ht="14.25">
      <c r="B137" s="248" t="str">
        <f>IF(INDEX(TabEntrainement[Seance],ROW()-18)&lt;&gt;0,INDEX(TabEntrainement[Seance],ROW()-18),"")</f>
        <v/>
      </c>
      <c r="C137" s="117" t="e">
        <f>TabREP[[#This Row],[J1]]*Entrainement!C125</f>
        <v>#VALUE!</v>
      </c>
      <c r="D137" s="117" t="e">
        <f>TabREP[[#This Row],[J2]]*Entrainement!C125</f>
        <v>#VALUE!</v>
      </c>
      <c r="E137" s="117" t="e">
        <f>TabREP[[#This Row],[J3]]*Entrainement!$C125</f>
        <v>#VALUE!</v>
      </c>
      <c r="F137" s="117" t="e">
        <f>TabREP[[#This Row],[J4]]*Entrainement!$C125</f>
        <v>#VALUE!</v>
      </c>
      <c r="G137" s="117" t="e">
        <f>TabREP[[#This Row],[J5]]*Entrainement!$C125</f>
        <v>#VALUE!</v>
      </c>
      <c r="H137" s="117" t="e">
        <f>TabREP[[#This Row],[J6]]*Entrainement!$C125</f>
        <v>#VALUE!</v>
      </c>
      <c r="I137" s="117" t="e">
        <f>TabREP[[#This Row],[J7]]*Entrainement!$C125</f>
        <v>#VALUE!</v>
      </c>
      <c r="J137" s="117" t="e">
        <f>TabREP[[#This Row],[J8]]*Entrainement!$C125</f>
        <v>#VALUE!</v>
      </c>
      <c r="K137" s="117" t="e">
        <f>TabREP[[#This Row],[J9]]*Entrainement!$C125</f>
        <v>#VALUE!</v>
      </c>
      <c r="L137" s="117" t="e">
        <f>TabREP[[#This Row],[J10]]*Entrainement!$C125</f>
        <v>#VALUE!</v>
      </c>
      <c r="M137" s="117" t="e">
        <f>TabREP[[#This Row],[J11]]*Entrainement!$C125</f>
        <v>#VALUE!</v>
      </c>
      <c r="N137" s="117" t="e">
        <f>TabREP[[#This Row],[J12]]*Entrainement!$C125</f>
        <v>#VALUE!</v>
      </c>
      <c r="O137" s="117" t="e">
        <f>TabREP[[#This Row],[J13]]*Entrainement!$C125</f>
        <v>#VALUE!</v>
      </c>
      <c r="P137" s="117" t="e">
        <f>TabREP[[#This Row],[J14]]*Entrainement!$C125</f>
        <v>#VALUE!</v>
      </c>
      <c r="Q137" s="117" t="e">
        <f>TabREP[[#This Row],[J15]]*Entrainement!$C125</f>
        <v>#VALUE!</v>
      </c>
      <c r="R137" s="117" t="e">
        <f>TabREP[[#This Row],[J16]]*Entrainement!$C125</f>
        <v>#VALUE!</v>
      </c>
      <c r="S137" s="117" t="e">
        <f>TabREP[[#This Row],[J17]]*Entrainement!$C125</f>
        <v>#VALUE!</v>
      </c>
      <c r="T137" s="117" t="e">
        <f>TabREP[[#This Row],[J18]]*Entrainement!$C125</f>
        <v>#VALUE!</v>
      </c>
      <c r="U137" s="117" t="e">
        <f>TabREP[[#This Row],[J19]]*Entrainement!$C125</f>
        <v>#VALUE!</v>
      </c>
      <c r="V137" s="117" t="e">
        <f>TabREP[[#This Row],[J20]]*Entrainement!$C125</f>
        <v>#VALUE!</v>
      </c>
      <c r="W137" s="117" t="e">
        <f>TabREP[[#This Row],[J21]]*Entrainement!$C125</f>
        <v>#VALUE!</v>
      </c>
      <c r="X137" s="117" t="e">
        <f>TabREP[[#This Row],[J22]]*Entrainement!$C125</f>
        <v>#VALUE!</v>
      </c>
      <c r="Y137" s="117" t="e">
        <f>TabREP[[#This Row],[J23]]*Entrainement!$C125</f>
        <v>#VALUE!</v>
      </c>
      <c r="Z137" s="117" t="e">
        <f>TabREP[[#This Row],[J24]]*Entrainement!$C125</f>
        <v>#VALUE!</v>
      </c>
      <c r="AA137" s="117" t="e">
        <f>TabREP[[#This Row],[J25]]*Entrainement!$C125</f>
        <v>#VALUE!</v>
      </c>
      <c r="AB137" s="117" t="e">
        <f>TabREP[[#This Row],[J26]]*Entrainement!$C125</f>
        <v>#VALUE!</v>
      </c>
      <c r="AC137" s="117" t="e">
        <f>TabREP[[#This Row],[J27]]*Entrainement!$C125</f>
        <v>#VALUE!</v>
      </c>
      <c r="AD137" s="117" t="e">
        <f>TabREP[[#This Row],[J28]]*Entrainement!$C125</f>
        <v>#VALUE!</v>
      </c>
      <c r="AE137" s="117" t="e">
        <f>TabREP[[#This Row],[J29]]*Entrainement!$C125</f>
        <v>#VALUE!</v>
      </c>
      <c r="AF137" s="117" t="e">
        <f>TabREP[[#This Row],[J30]]*Entrainement!$C125</f>
        <v>#VALUE!</v>
      </c>
      <c r="AG137" s="250" t="str">
        <f>'Charges collective'!E129</f>
        <v/>
      </c>
      <c r="AH137" s="49"/>
      <c r="AI137" s="48"/>
    </row>
    <row r="138" spans="2:35" ht="14.25">
      <c r="B138" s="248" t="str">
        <f>IF(INDEX(TabEntrainement[Seance],ROW()-18)&lt;&gt;0,INDEX(TabEntrainement[Seance],ROW()-18),"")</f>
        <v/>
      </c>
      <c r="C138" s="117" t="e">
        <f>TabREP[[#This Row],[J1]]*Entrainement!C126</f>
        <v>#VALUE!</v>
      </c>
      <c r="D138" s="117" t="e">
        <f>TabREP[[#This Row],[J2]]*Entrainement!C126</f>
        <v>#VALUE!</v>
      </c>
      <c r="E138" s="117" t="e">
        <f>TabREP[[#This Row],[J3]]*Entrainement!$C126</f>
        <v>#VALUE!</v>
      </c>
      <c r="F138" s="117" t="e">
        <f>TabREP[[#This Row],[J4]]*Entrainement!$C126</f>
        <v>#VALUE!</v>
      </c>
      <c r="G138" s="117" t="e">
        <f>TabREP[[#This Row],[J5]]*Entrainement!$C126</f>
        <v>#VALUE!</v>
      </c>
      <c r="H138" s="117" t="e">
        <f>TabREP[[#This Row],[J6]]*Entrainement!$C126</f>
        <v>#VALUE!</v>
      </c>
      <c r="I138" s="117" t="e">
        <f>TabREP[[#This Row],[J7]]*Entrainement!$C126</f>
        <v>#VALUE!</v>
      </c>
      <c r="J138" s="117" t="e">
        <f>TabREP[[#This Row],[J8]]*Entrainement!$C126</f>
        <v>#VALUE!</v>
      </c>
      <c r="K138" s="117" t="e">
        <f>TabREP[[#This Row],[J9]]*Entrainement!$C126</f>
        <v>#VALUE!</v>
      </c>
      <c r="L138" s="117" t="e">
        <f>TabREP[[#This Row],[J10]]*Entrainement!$C126</f>
        <v>#VALUE!</v>
      </c>
      <c r="M138" s="117" t="e">
        <f>TabREP[[#This Row],[J11]]*Entrainement!$C126</f>
        <v>#VALUE!</v>
      </c>
      <c r="N138" s="117" t="e">
        <f>TabREP[[#This Row],[J12]]*Entrainement!$C126</f>
        <v>#VALUE!</v>
      </c>
      <c r="O138" s="117" t="e">
        <f>TabREP[[#This Row],[J13]]*Entrainement!$C126</f>
        <v>#VALUE!</v>
      </c>
      <c r="P138" s="117" t="e">
        <f>TabREP[[#This Row],[J14]]*Entrainement!$C126</f>
        <v>#VALUE!</v>
      </c>
      <c r="Q138" s="117" t="e">
        <f>TabREP[[#This Row],[J15]]*Entrainement!$C126</f>
        <v>#VALUE!</v>
      </c>
      <c r="R138" s="117" t="e">
        <f>TabREP[[#This Row],[J16]]*Entrainement!$C126</f>
        <v>#VALUE!</v>
      </c>
      <c r="S138" s="117" t="e">
        <f>TabREP[[#This Row],[J17]]*Entrainement!$C126</f>
        <v>#VALUE!</v>
      </c>
      <c r="T138" s="117" t="e">
        <f>TabREP[[#This Row],[J18]]*Entrainement!$C126</f>
        <v>#VALUE!</v>
      </c>
      <c r="U138" s="117" t="e">
        <f>TabREP[[#This Row],[J19]]*Entrainement!$C126</f>
        <v>#VALUE!</v>
      </c>
      <c r="V138" s="117" t="e">
        <f>TabREP[[#This Row],[J20]]*Entrainement!$C126</f>
        <v>#VALUE!</v>
      </c>
      <c r="W138" s="117" t="e">
        <f>TabREP[[#This Row],[J21]]*Entrainement!$C126</f>
        <v>#VALUE!</v>
      </c>
      <c r="X138" s="117" t="e">
        <f>TabREP[[#This Row],[J22]]*Entrainement!$C126</f>
        <v>#VALUE!</v>
      </c>
      <c r="Y138" s="117" t="e">
        <f>TabREP[[#This Row],[J23]]*Entrainement!$C126</f>
        <v>#VALUE!</v>
      </c>
      <c r="Z138" s="117" t="e">
        <f>TabREP[[#This Row],[J24]]*Entrainement!$C126</f>
        <v>#VALUE!</v>
      </c>
      <c r="AA138" s="117" t="e">
        <f>TabREP[[#This Row],[J25]]*Entrainement!$C126</f>
        <v>#VALUE!</v>
      </c>
      <c r="AB138" s="117" t="e">
        <f>TabREP[[#This Row],[J26]]*Entrainement!$C126</f>
        <v>#VALUE!</v>
      </c>
      <c r="AC138" s="117" t="e">
        <f>TabREP[[#This Row],[J27]]*Entrainement!$C126</f>
        <v>#VALUE!</v>
      </c>
      <c r="AD138" s="117" t="e">
        <f>TabREP[[#This Row],[J28]]*Entrainement!$C126</f>
        <v>#VALUE!</v>
      </c>
      <c r="AE138" s="117" t="e">
        <f>TabREP[[#This Row],[J29]]*Entrainement!$C126</f>
        <v>#VALUE!</v>
      </c>
      <c r="AF138" s="117" t="e">
        <f>TabREP[[#This Row],[J30]]*Entrainement!$C126</f>
        <v>#VALUE!</v>
      </c>
      <c r="AG138" s="250" t="str">
        <f>'Charges collective'!E130</f>
        <v/>
      </c>
      <c r="AH138" s="49"/>
      <c r="AI138" s="48"/>
    </row>
    <row r="139" spans="2:35" ht="14.25">
      <c r="B139" s="248" t="str">
        <f>IF(INDEX(TabEntrainement[Seance],ROW()-18)&lt;&gt;0,INDEX(TabEntrainement[Seance],ROW()-18),"")</f>
        <v/>
      </c>
      <c r="C139" s="117" t="e">
        <f>TabREP[[#This Row],[J1]]*Entrainement!C127</f>
        <v>#VALUE!</v>
      </c>
      <c r="D139" s="117" t="e">
        <f>TabREP[[#This Row],[J2]]*Entrainement!C127</f>
        <v>#VALUE!</v>
      </c>
      <c r="E139" s="117" t="e">
        <f>TabREP[[#This Row],[J3]]*Entrainement!$C127</f>
        <v>#VALUE!</v>
      </c>
      <c r="F139" s="117" t="e">
        <f>TabREP[[#This Row],[J4]]*Entrainement!$C127</f>
        <v>#VALUE!</v>
      </c>
      <c r="G139" s="117" t="e">
        <f>TabREP[[#This Row],[J5]]*Entrainement!$C127</f>
        <v>#VALUE!</v>
      </c>
      <c r="H139" s="117" t="e">
        <f>TabREP[[#This Row],[J6]]*Entrainement!$C127</f>
        <v>#VALUE!</v>
      </c>
      <c r="I139" s="117" t="e">
        <f>TabREP[[#This Row],[J7]]*Entrainement!$C127</f>
        <v>#VALUE!</v>
      </c>
      <c r="J139" s="117" t="e">
        <f>TabREP[[#This Row],[J8]]*Entrainement!$C127</f>
        <v>#VALUE!</v>
      </c>
      <c r="K139" s="117" t="e">
        <f>TabREP[[#This Row],[J9]]*Entrainement!$C127</f>
        <v>#VALUE!</v>
      </c>
      <c r="L139" s="117" t="e">
        <f>TabREP[[#This Row],[J10]]*Entrainement!$C127</f>
        <v>#VALUE!</v>
      </c>
      <c r="M139" s="117" t="e">
        <f>TabREP[[#This Row],[J11]]*Entrainement!$C127</f>
        <v>#VALUE!</v>
      </c>
      <c r="N139" s="117" t="e">
        <f>TabREP[[#This Row],[J12]]*Entrainement!$C127</f>
        <v>#VALUE!</v>
      </c>
      <c r="O139" s="117" t="e">
        <f>TabREP[[#This Row],[J13]]*Entrainement!$C127</f>
        <v>#VALUE!</v>
      </c>
      <c r="P139" s="117" t="e">
        <f>TabREP[[#This Row],[J14]]*Entrainement!$C127</f>
        <v>#VALUE!</v>
      </c>
      <c r="Q139" s="117" t="e">
        <f>TabREP[[#This Row],[J15]]*Entrainement!$C127</f>
        <v>#VALUE!</v>
      </c>
      <c r="R139" s="117" t="e">
        <f>TabREP[[#This Row],[J16]]*Entrainement!$C127</f>
        <v>#VALUE!</v>
      </c>
      <c r="S139" s="117" t="e">
        <f>TabREP[[#This Row],[J17]]*Entrainement!$C127</f>
        <v>#VALUE!</v>
      </c>
      <c r="T139" s="117" t="e">
        <f>TabREP[[#This Row],[J18]]*Entrainement!$C127</f>
        <v>#VALUE!</v>
      </c>
      <c r="U139" s="117" t="e">
        <f>TabREP[[#This Row],[J19]]*Entrainement!$C127</f>
        <v>#VALUE!</v>
      </c>
      <c r="V139" s="117" t="e">
        <f>TabREP[[#This Row],[J20]]*Entrainement!$C127</f>
        <v>#VALUE!</v>
      </c>
      <c r="W139" s="117" t="e">
        <f>TabREP[[#This Row],[J21]]*Entrainement!$C127</f>
        <v>#VALUE!</v>
      </c>
      <c r="X139" s="117" t="e">
        <f>TabREP[[#This Row],[J22]]*Entrainement!$C127</f>
        <v>#VALUE!</v>
      </c>
      <c r="Y139" s="117" t="e">
        <f>TabREP[[#This Row],[J23]]*Entrainement!$C127</f>
        <v>#VALUE!</v>
      </c>
      <c r="Z139" s="117" t="e">
        <f>TabREP[[#This Row],[J24]]*Entrainement!$C127</f>
        <v>#VALUE!</v>
      </c>
      <c r="AA139" s="117" t="e">
        <f>TabREP[[#This Row],[J25]]*Entrainement!$C127</f>
        <v>#VALUE!</v>
      </c>
      <c r="AB139" s="117" t="e">
        <f>TabREP[[#This Row],[J26]]*Entrainement!$C127</f>
        <v>#VALUE!</v>
      </c>
      <c r="AC139" s="117" t="e">
        <f>TabREP[[#This Row],[J27]]*Entrainement!$C127</f>
        <v>#VALUE!</v>
      </c>
      <c r="AD139" s="117" t="e">
        <f>TabREP[[#This Row],[J28]]*Entrainement!$C127</f>
        <v>#VALUE!</v>
      </c>
      <c r="AE139" s="117" t="e">
        <f>TabREP[[#This Row],[J29]]*Entrainement!$C127</f>
        <v>#VALUE!</v>
      </c>
      <c r="AF139" s="117" t="e">
        <f>TabREP[[#This Row],[J30]]*Entrainement!$C127</f>
        <v>#VALUE!</v>
      </c>
      <c r="AG139" s="250" t="str">
        <f>'Charges collective'!E131</f>
        <v/>
      </c>
      <c r="AH139" s="49"/>
      <c r="AI139" s="48"/>
    </row>
    <row r="140" spans="2:35" ht="14.25">
      <c r="B140" s="248" t="str">
        <f>IF(INDEX(TabEntrainement[Seance],ROW()-18)&lt;&gt;0,INDEX(TabEntrainement[Seance],ROW()-18),"")</f>
        <v/>
      </c>
      <c r="C140" s="117" t="e">
        <f>TabREP[[#This Row],[J1]]*Entrainement!C128</f>
        <v>#VALUE!</v>
      </c>
      <c r="D140" s="117" t="e">
        <f>TabREP[[#This Row],[J2]]*Entrainement!C128</f>
        <v>#VALUE!</v>
      </c>
      <c r="E140" s="117" t="e">
        <f>TabREP[[#This Row],[J3]]*Entrainement!$C128</f>
        <v>#VALUE!</v>
      </c>
      <c r="F140" s="117" t="e">
        <f>TabREP[[#This Row],[J4]]*Entrainement!$C128</f>
        <v>#VALUE!</v>
      </c>
      <c r="G140" s="117" t="e">
        <f>TabREP[[#This Row],[J5]]*Entrainement!$C128</f>
        <v>#VALUE!</v>
      </c>
      <c r="H140" s="117" t="e">
        <f>TabREP[[#This Row],[J6]]*Entrainement!$C128</f>
        <v>#VALUE!</v>
      </c>
      <c r="I140" s="117" t="e">
        <f>TabREP[[#This Row],[J7]]*Entrainement!$C128</f>
        <v>#VALUE!</v>
      </c>
      <c r="J140" s="117" t="e">
        <f>TabREP[[#This Row],[J8]]*Entrainement!$C128</f>
        <v>#VALUE!</v>
      </c>
      <c r="K140" s="117" t="e">
        <f>TabREP[[#This Row],[J9]]*Entrainement!$C128</f>
        <v>#VALUE!</v>
      </c>
      <c r="L140" s="117" t="e">
        <f>TabREP[[#This Row],[J10]]*Entrainement!$C128</f>
        <v>#VALUE!</v>
      </c>
      <c r="M140" s="117" t="e">
        <f>TabREP[[#This Row],[J11]]*Entrainement!$C128</f>
        <v>#VALUE!</v>
      </c>
      <c r="N140" s="117" t="e">
        <f>TabREP[[#This Row],[J12]]*Entrainement!$C128</f>
        <v>#VALUE!</v>
      </c>
      <c r="O140" s="117" t="e">
        <f>TabREP[[#This Row],[J13]]*Entrainement!$C128</f>
        <v>#VALUE!</v>
      </c>
      <c r="P140" s="117" t="e">
        <f>TabREP[[#This Row],[J14]]*Entrainement!$C128</f>
        <v>#VALUE!</v>
      </c>
      <c r="Q140" s="117" t="e">
        <f>TabREP[[#This Row],[J15]]*Entrainement!$C128</f>
        <v>#VALUE!</v>
      </c>
      <c r="R140" s="117" t="e">
        <f>TabREP[[#This Row],[J16]]*Entrainement!$C128</f>
        <v>#VALUE!</v>
      </c>
      <c r="S140" s="117" t="e">
        <f>TabREP[[#This Row],[J17]]*Entrainement!$C128</f>
        <v>#VALUE!</v>
      </c>
      <c r="T140" s="117" t="e">
        <f>TabREP[[#This Row],[J18]]*Entrainement!$C128</f>
        <v>#VALUE!</v>
      </c>
      <c r="U140" s="117" t="e">
        <f>TabREP[[#This Row],[J19]]*Entrainement!$C128</f>
        <v>#VALUE!</v>
      </c>
      <c r="V140" s="117" t="e">
        <f>TabREP[[#This Row],[J20]]*Entrainement!$C128</f>
        <v>#VALUE!</v>
      </c>
      <c r="W140" s="117" t="e">
        <f>TabREP[[#This Row],[J21]]*Entrainement!$C128</f>
        <v>#VALUE!</v>
      </c>
      <c r="X140" s="117" t="e">
        <f>TabREP[[#This Row],[J22]]*Entrainement!$C128</f>
        <v>#VALUE!</v>
      </c>
      <c r="Y140" s="117" t="e">
        <f>TabREP[[#This Row],[J23]]*Entrainement!$C128</f>
        <v>#VALUE!</v>
      </c>
      <c r="Z140" s="117" t="e">
        <f>TabREP[[#This Row],[J24]]*Entrainement!$C128</f>
        <v>#VALUE!</v>
      </c>
      <c r="AA140" s="117" t="e">
        <f>TabREP[[#This Row],[J25]]*Entrainement!$C128</f>
        <v>#VALUE!</v>
      </c>
      <c r="AB140" s="117" t="e">
        <f>TabREP[[#This Row],[J26]]*Entrainement!$C128</f>
        <v>#VALUE!</v>
      </c>
      <c r="AC140" s="117" t="e">
        <f>TabREP[[#This Row],[J27]]*Entrainement!$C128</f>
        <v>#VALUE!</v>
      </c>
      <c r="AD140" s="117" t="e">
        <f>TabREP[[#This Row],[J28]]*Entrainement!$C128</f>
        <v>#VALUE!</v>
      </c>
      <c r="AE140" s="117" t="e">
        <f>TabREP[[#This Row],[J29]]*Entrainement!$C128</f>
        <v>#VALUE!</v>
      </c>
      <c r="AF140" s="117" t="e">
        <f>TabREP[[#This Row],[J30]]*Entrainement!$C128</f>
        <v>#VALUE!</v>
      </c>
      <c r="AG140" s="250" t="str">
        <f>'Charges collective'!E132</f>
        <v/>
      </c>
      <c r="AH140" s="49"/>
      <c r="AI140" s="48"/>
    </row>
    <row r="141" spans="2:35" ht="14.25">
      <c r="B141" s="248" t="str">
        <f>IF(INDEX(TabEntrainement[Seance],ROW()-18)&lt;&gt;0,INDEX(TabEntrainement[Seance],ROW()-18),"")</f>
        <v/>
      </c>
      <c r="C141" s="117" t="e">
        <f>TabREP[[#This Row],[J1]]*Entrainement!C129</f>
        <v>#VALUE!</v>
      </c>
      <c r="D141" s="117" t="e">
        <f>TabREP[[#This Row],[J2]]*Entrainement!C129</f>
        <v>#VALUE!</v>
      </c>
      <c r="E141" s="117" t="e">
        <f>TabREP[[#This Row],[J3]]*Entrainement!$C129</f>
        <v>#VALUE!</v>
      </c>
      <c r="F141" s="117" t="e">
        <f>TabREP[[#This Row],[J4]]*Entrainement!$C129</f>
        <v>#VALUE!</v>
      </c>
      <c r="G141" s="117" t="e">
        <f>TabREP[[#This Row],[J5]]*Entrainement!$C129</f>
        <v>#VALUE!</v>
      </c>
      <c r="H141" s="117" t="e">
        <f>TabREP[[#This Row],[J6]]*Entrainement!$C129</f>
        <v>#VALUE!</v>
      </c>
      <c r="I141" s="117" t="e">
        <f>TabREP[[#This Row],[J7]]*Entrainement!$C129</f>
        <v>#VALUE!</v>
      </c>
      <c r="J141" s="117" t="e">
        <f>TabREP[[#This Row],[J8]]*Entrainement!$C129</f>
        <v>#VALUE!</v>
      </c>
      <c r="K141" s="117" t="e">
        <f>TabREP[[#This Row],[J9]]*Entrainement!$C129</f>
        <v>#VALUE!</v>
      </c>
      <c r="L141" s="117" t="e">
        <f>TabREP[[#This Row],[J10]]*Entrainement!$C129</f>
        <v>#VALUE!</v>
      </c>
      <c r="M141" s="117" t="e">
        <f>TabREP[[#This Row],[J11]]*Entrainement!$C129</f>
        <v>#VALUE!</v>
      </c>
      <c r="N141" s="117" t="e">
        <f>TabREP[[#This Row],[J12]]*Entrainement!$C129</f>
        <v>#VALUE!</v>
      </c>
      <c r="O141" s="117" t="e">
        <f>TabREP[[#This Row],[J13]]*Entrainement!$C129</f>
        <v>#VALUE!</v>
      </c>
      <c r="P141" s="117" t="e">
        <f>TabREP[[#This Row],[J14]]*Entrainement!$C129</f>
        <v>#VALUE!</v>
      </c>
      <c r="Q141" s="117" t="e">
        <f>TabREP[[#This Row],[J15]]*Entrainement!$C129</f>
        <v>#VALUE!</v>
      </c>
      <c r="R141" s="117" t="e">
        <f>TabREP[[#This Row],[J16]]*Entrainement!$C129</f>
        <v>#VALUE!</v>
      </c>
      <c r="S141" s="117" t="e">
        <f>TabREP[[#This Row],[J17]]*Entrainement!$C129</f>
        <v>#VALUE!</v>
      </c>
      <c r="T141" s="117" t="e">
        <f>TabREP[[#This Row],[J18]]*Entrainement!$C129</f>
        <v>#VALUE!</v>
      </c>
      <c r="U141" s="117" t="e">
        <f>TabREP[[#This Row],[J19]]*Entrainement!$C129</f>
        <v>#VALUE!</v>
      </c>
      <c r="V141" s="117" t="e">
        <f>TabREP[[#This Row],[J20]]*Entrainement!$C129</f>
        <v>#VALUE!</v>
      </c>
      <c r="W141" s="117" t="e">
        <f>TabREP[[#This Row],[J21]]*Entrainement!$C129</f>
        <v>#VALUE!</v>
      </c>
      <c r="X141" s="117" t="e">
        <f>TabREP[[#This Row],[J22]]*Entrainement!$C129</f>
        <v>#VALUE!</v>
      </c>
      <c r="Y141" s="117" t="e">
        <f>TabREP[[#This Row],[J23]]*Entrainement!$C129</f>
        <v>#VALUE!</v>
      </c>
      <c r="Z141" s="117" t="e">
        <f>TabREP[[#This Row],[J24]]*Entrainement!$C129</f>
        <v>#VALUE!</v>
      </c>
      <c r="AA141" s="117" t="e">
        <f>TabREP[[#This Row],[J25]]*Entrainement!$C129</f>
        <v>#VALUE!</v>
      </c>
      <c r="AB141" s="117" t="e">
        <f>TabREP[[#This Row],[J26]]*Entrainement!$C129</f>
        <v>#VALUE!</v>
      </c>
      <c r="AC141" s="117" t="e">
        <f>TabREP[[#This Row],[J27]]*Entrainement!$C129</f>
        <v>#VALUE!</v>
      </c>
      <c r="AD141" s="117" t="e">
        <f>TabREP[[#This Row],[J28]]*Entrainement!$C129</f>
        <v>#VALUE!</v>
      </c>
      <c r="AE141" s="117" t="e">
        <f>TabREP[[#This Row],[J29]]*Entrainement!$C129</f>
        <v>#VALUE!</v>
      </c>
      <c r="AF141" s="117" t="e">
        <f>TabREP[[#This Row],[J30]]*Entrainement!$C129</f>
        <v>#VALUE!</v>
      </c>
      <c r="AG141" s="250" t="str">
        <f>'Charges collective'!E133</f>
        <v/>
      </c>
      <c r="AH141" s="49"/>
      <c r="AI141" s="48"/>
    </row>
    <row r="142" spans="2:35" ht="14.25">
      <c r="B142" s="248" t="str">
        <f>IF(INDEX(TabEntrainement[Seance],ROW()-18)&lt;&gt;0,INDEX(TabEntrainement[Seance],ROW()-18),"")</f>
        <v/>
      </c>
      <c r="C142" s="117" t="e">
        <f>TabREP[[#This Row],[J1]]*Entrainement!C130</f>
        <v>#VALUE!</v>
      </c>
      <c r="D142" s="117" t="e">
        <f>TabREP[[#This Row],[J2]]*Entrainement!C130</f>
        <v>#VALUE!</v>
      </c>
      <c r="E142" s="117" t="e">
        <f>TabREP[[#This Row],[J3]]*Entrainement!$C130</f>
        <v>#VALUE!</v>
      </c>
      <c r="F142" s="117" t="e">
        <f>TabREP[[#This Row],[J4]]*Entrainement!$C130</f>
        <v>#VALUE!</v>
      </c>
      <c r="G142" s="117" t="e">
        <f>TabREP[[#This Row],[J5]]*Entrainement!$C130</f>
        <v>#VALUE!</v>
      </c>
      <c r="H142" s="117" t="e">
        <f>TabREP[[#This Row],[J6]]*Entrainement!$C130</f>
        <v>#VALUE!</v>
      </c>
      <c r="I142" s="117" t="e">
        <f>TabREP[[#This Row],[J7]]*Entrainement!$C130</f>
        <v>#VALUE!</v>
      </c>
      <c r="J142" s="117" t="e">
        <f>TabREP[[#This Row],[J8]]*Entrainement!$C130</f>
        <v>#VALUE!</v>
      </c>
      <c r="K142" s="117" t="e">
        <f>TabREP[[#This Row],[J9]]*Entrainement!$C130</f>
        <v>#VALUE!</v>
      </c>
      <c r="L142" s="117" t="e">
        <f>TabREP[[#This Row],[J10]]*Entrainement!$C130</f>
        <v>#VALUE!</v>
      </c>
      <c r="M142" s="117" t="e">
        <f>TabREP[[#This Row],[J11]]*Entrainement!$C130</f>
        <v>#VALUE!</v>
      </c>
      <c r="N142" s="117" t="e">
        <f>TabREP[[#This Row],[J12]]*Entrainement!$C130</f>
        <v>#VALUE!</v>
      </c>
      <c r="O142" s="117" t="e">
        <f>TabREP[[#This Row],[J13]]*Entrainement!$C130</f>
        <v>#VALUE!</v>
      </c>
      <c r="P142" s="117" t="e">
        <f>TabREP[[#This Row],[J14]]*Entrainement!$C130</f>
        <v>#VALUE!</v>
      </c>
      <c r="Q142" s="117" t="e">
        <f>TabREP[[#This Row],[J15]]*Entrainement!$C130</f>
        <v>#VALUE!</v>
      </c>
      <c r="R142" s="117" t="e">
        <f>TabREP[[#This Row],[J16]]*Entrainement!$C130</f>
        <v>#VALUE!</v>
      </c>
      <c r="S142" s="117" t="e">
        <f>TabREP[[#This Row],[J17]]*Entrainement!$C130</f>
        <v>#VALUE!</v>
      </c>
      <c r="T142" s="117" t="e">
        <f>TabREP[[#This Row],[J18]]*Entrainement!$C130</f>
        <v>#VALUE!</v>
      </c>
      <c r="U142" s="117" t="e">
        <f>TabREP[[#This Row],[J19]]*Entrainement!$C130</f>
        <v>#VALUE!</v>
      </c>
      <c r="V142" s="117" t="e">
        <f>TabREP[[#This Row],[J20]]*Entrainement!$C130</f>
        <v>#VALUE!</v>
      </c>
      <c r="W142" s="117" t="e">
        <f>TabREP[[#This Row],[J21]]*Entrainement!$C130</f>
        <v>#VALUE!</v>
      </c>
      <c r="X142" s="117" t="e">
        <f>TabREP[[#This Row],[J22]]*Entrainement!$C130</f>
        <v>#VALUE!</v>
      </c>
      <c r="Y142" s="117" t="e">
        <f>TabREP[[#This Row],[J23]]*Entrainement!$C130</f>
        <v>#VALUE!</v>
      </c>
      <c r="Z142" s="117" t="e">
        <f>TabREP[[#This Row],[J24]]*Entrainement!$C130</f>
        <v>#VALUE!</v>
      </c>
      <c r="AA142" s="117" t="e">
        <f>TabREP[[#This Row],[J25]]*Entrainement!$C130</f>
        <v>#VALUE!</v>
      </c>
      <c r="AB142" s="117" t="e">
        <f>TabREP[[#This Row],[J26]]*Entrainement!$C130</f>
        <v>#VALUE!</v>
      </c>
      <c r="AC142" s="117" t="e">
        <f>TabREP[[#This Row],[J27]]*Entrainement!$C130</f>
        <v>#VALUE!</v>
      </c>
      <c r="AD142" s="117" t="e">
        <f>TabREP[[#This Row],[J28]]*Entrainement!$C130</f>
        <v>#VALUE!</v>
      </c>
      <c r="AE142" s="117" t="e">
        <f>TabREP[[#This Row],[J29]]*Entrainement!$C130</f>
        <v>#VALUE!</v>
      </c>
      <c r="AF142" s="117" t="e">
        <f>TabREP[[#This Row],[J30]]*Entrainement!$C130</f>
        <v>#VALUE!</v>
      </c>
      <c r="AG142" s="250" t="str">
        <f>'Charges collective'!E134</f>
        <v/>
      </c>
      <c r="AH142" s="49"/>
      <c r="AI142" s="48"/>
    </row>
    <row r="143" spans="2:35" ht="14.25">
      <c r="B143" s="248" t="str">
        <f>IF(INDEX(TabEntrainement[Seance],ROW()-18)&lt;&gt;0,INDEX(TabEntrainement[Seance],ROW()-18),"")</f>
        <v/>
      </c>
      <c r="C143" s="117" t="e">
        <f>TabREP[[#This Row],[J1]]*Entrainement!C131</f>
        <v>#VALUE!</v>
      </c>
      <c r="D143" s="117" t="e">
        <f>TabREP[[#This Row],[J2]]*Entrainement!C131</f>
        <v>#VALUE!</v>
      </c>
      <c r="E143" s="117" t="e">
        <f>TabREP[[#This Row],[J3]]*Entrainement!$C131</f>
        <v>#VALUE!</v>
      </c>
      <c r="F143" s="117" t="e">
        <f>TabREP[[#This Row],[J4]]*Entrainement!$C131</f>
        <v>#VALUE!</v>
      </c>
      <c r="G143" s="117" t="e">
        <f>TabREP[[#This Row],[J5]]*Entrainement!$C131</f>
        <v>#VALUE!</v>
      </c>
      <c r="H143" s="117" t="e">
        <f>TabREP[[#This Row],[J6]]*Entrainement!$C131</f>
        <v>#VALUE!</v>
      </c>
      <c r="I143" s="117" t="e">
        <f>TabREP[[#This Row],[J7]]*Entrainement!$C131</f>
        <v>#VALUE!</v>
      </c>
      <c r="J143" s="117" t="e">
        <f>TabREP[[#This Row],[J8]]*Entrainement!$C131</f>
        <v>#VALUE!</v>
      </c>
      <c r="K143" s="117" t="e">
        <f>TabREP[[#This Row],[J9]]*Entrainement!$C131</f>
        <v>#VALUE!</v>
      </c>
      <c r="L143" s="117" t="e">
        <f>TabREP[[#This Row],[J10]]*Entrainement!$C131</f>
        <v>#VALUE!</v>
      </c>
      <c r="M143" s="117" t="e">
        <f>TabREP[[#This Row],[J11]]*Entrainement!$C131</f>
        <v>#VALUE!</v>
      </c>
      <c r="N143" s="117" t="e">
        <f>TabREP[[#This Row],[J12]]*Entrainement!$C131</f>
        <v>#VALUE!</v>
      </c>
      <c r="O143" s="117" t="e">
        <f>TabREP[[#This Row],[J13]]*Entrainement!$C131</f>
        <v>#VALUE!</v>
      </c>
      <c r="P143" s="117" t="e">
        <f>TabREP[[#This Row],[J14]]*Entrainement!$C131</f>
        <v>#VALUE!</v>
      </c>
      <c r="Q143" s="117" t="e">
        <f>TabREP[[#This Row],[J15]]*Entrainement!$C131</f>
        <v>#VALUE!</v>
      </c>
      <c r="R143" s="117" t="e">
        <f>TabREP[[#This Row],[J16]]*Entrainement!$C131</f>
        <v>#VALUE!</v>
      </c>
      <c r="S143" s="117" t="e">
        <f>TabREP[[#This Row],[J17]]*Entrainement!$C131</f>
        <v>#VALUE!</v>
      </c>
      <c r="T143" s="117" t="e">
        <f>TabREP[[#This Row],[J18]]*Entrainement!$C131</f>
        <v>#VALUE!</v>
      </c>
      <c r="U143" s="117" t="e">
        <f>TabREP[[#This Row],[J19]]*Entrainement!$C131</f>
        <v>#VALUE!</v>
      </c>
      <c r="V143" s="117" t="e">
        <f>TabREP[[#This Row],[J20]]*Entrainement!$C131</f>
        <v>#VALUE!</v>
      </c>
      <c r="W143" s="117" t="e">
        <f>TabREP[[#This Row],[J21]]*Entrainement!$C131</f>
        <v>#VALUE!</v>
      </c>
      <c r="X143" s="117" t="e">
        <f>TabREP[[#This Row],[J22]]*Entrainement!$C131</f>
        <v>#VALUE!</v>
      </c>
      <c r="Y143" s="117" t="e">
        <f>TabREP[[#This Row],[J23]]*Entrainement!$C131</f>
        <v>#VALUE!</v>
      </c>
      <c r="Z143" s="117" t="e">
        <f>TabREP[[#This Row],[J24]]*Entrainement!$C131</f>
        <v>#VALUE!</v>
      </c>
      <c r="AA143" s="117" t="e">
        <f>TabREP[[#This Row],[J25]]*Entrainement!$C131</f>
        <v>#VALUE!</v>
      </c>
      <c r="AB143" s="117" t="e">
        <f>TabREP[[#This Row],[J26]]*Entrainement!$C131</f>
        <v>#VALUE!</v>
      </c>
      <c r="AC143" s="117" t="e">
        <f>TabREP[[#This Row],[J27]]*Entrainement!$C131</f>
        <v>#VALUE!</v>
      </c>
      <c r="AD143" s="117" t="e">
        <f>TabREP[[#This Row],[J28]]*Entrainement!$C131</f>
        <v>#VALUE!</v>
      </c>
      <c r="AE143" s="117" t="e">
        <f>TabREP[[#This Row],[J29]]*Entrainement!$C131</f>
        <v>#VALUE!</v>
      </c>
      <c r="AF143" s="117" t="e">
        <f>TabREP[[#This Row],[J30]]*Entrainement!$C131</f>
        <v>#VALUE!</v>
      </c>
      <c r="AG143" s="250" t="str">
        <f>'Charges collective'!E135</f>
        <v/>
      </c>
      <c r="AH143" s="49"/>
      <c r="AI143" s="48"/>
    </row>
    <row r="144" spans="2:35" ht="14.25">
      <c r="B144" s="248" t="str">
        <f>IF(INDEX(TabEntrainement[Seance],ROW()-18)&lt;&gt;0,INDEX(TabEntrainement[Seance],ROW()-18),"")</f>
        <v/>
      </c>
      <c r="C144" s="117" t="e">
        <f>TabREP[[#This Row],[J1]]*Entrainement!C132</f>
        <v>#VALUE!</v>
      </c>
      <c r="D144" s="117" t="e">
        <f>TabREP[[#This Row],[J2]]*Entrainement!C132</f>
        <v>#VALUE!</v>
      </c>
      <c r="E144" s="117" t="e">
        <f>TabREP[[#This Row],[J3]]*Entrainement!$C132</f>
        <v>#VALUE!</v>
      </c>
      <c r="F144" s="117" t="e">
        <f>TabREP[[#This Row],[J4]]*Entrainement!$C132</f>
        <v>#VALUE!</v>
      </c>
      <c r="G144" s="117" t="e">
        <f>TabREP[[#This Row],[J5]]*Entrainement!$C132</f>
        <v>#VALUE!</v>
      </c>
      <c r="H144" s="117" t="e">
        <f>TabREP[[#This Row],[J6]]*Entrainement!$C132</f>
        <v>#VALUE!</v>
      </c>
      <c r="I144" s="117" t="e">
        <f>TabREP[[#This Row],[J7]]*Entrainement!$C132</f>
        <v>#VALUE!</v>
      </c>
      <c r="J144" s="117" t="e">
        <f>TabREP[[#This Row],[J8]]*Entrainement!$C132</f>
        <v>#VALUE!</v>
      </c>
      <c r="K144" s="117" t="e">
        <f>TabREP[[#This Row],[J9]]*Entrainement!$C132</f>
        <v>#VALUE!</v>
      </c>
      <c r="L144" s="117" t="e">
        <f>TabREP[[#This Row],[J10]]*Entrainement!$C132</f>
        <v>#VALUE!</v>
      </c>
      <c r="M144" s="117" t="e">
        <f>TabREP[[#This Row],[J11]]*Entrainement!$C132</f>
        <v>#VALUE!</v>
      </c>
      <c r="N144" s="117" t="e">
        <f>TabREP[[#This Row],[J12]]*Entrainement!$C132</f>
        <v>#VALUE!</v>
      </c>
      <c r="O144" s="117" t="e">
        <f>TabREP[[#This Row],[J13]]*Entrainement!$C132</f>
        <v>#VALUE!</v>
      </c>
      <c r="P144" s="117" t="e">
        <f>TabREP[[#This Row],[J14]]*Entrainement!$C132</f>
        <v>#VALUE!</v>
      </c>
      <c r="Q144" s="117" t="e">
        <f>TabREP[[#This Row],[J15]]*Entrainement!$C132</f>
        <v>#VALUE!</v>
      </c>
      <c r="R144" s="117" t="e">
        <f>TabREP[[#This Row],[J16]]*Entrainement!$C132</f>
        <v>#VALUE!</v>
      </c>
      <c r="S144" s="117" t="e">
        <f>TabREP[[#This Row],[J17]]*Entrainement!$C132</f>
        <v>#VALUE!</v>
      </c>
      <c r="T144" s="117" t="e">
        <f>TabREP[[#This Row],[J18]]*Entrainement!$C132</f>
        <v>#VALUE!</v>
      </c>
      <c r="U144" s="117" t="e">
        <f>TabREP[[#This Row],[J19]]*Entrainement!$C132</f>
        <v>#VALUE!</v>
      </c>
      <c r="V144" s="117" t="e">
        <f>TabREP[[#This Row],[J20]]*Entrainement!$C132</f>
        <v>#VALUE!</v>
      </c>
      <c r="W144" s="117" t="e">
        <f>TabREP[[#This Row],[J21]]*Entrainement!$C132</f>
        <v>#VALUE!</v>
      </c>
      <c r="X144" s="117" t="e">
        <f>TabREP[[#This Row],[J22]]*Entrainement!$C132</f>
        <v>#VALUE!</v>
      </c>
      <c r="Y144" s="117" t="e">
        <f>TabREP[[#This Row],[J23]]*Entrainement!$C132</f>
        <v>#VALUE!</v>
      </c>
      <c r="Z144" s="117" t="e">
        <f>TabREP[[#This Row],[J24]]*Entrainement!$C132</f>
        <v>#VALUE!</v>
      </c>
      <c r="AA144" s="117" t="e">
        <f>TabREP[[#This Row],[J25]]*Entrainement!$C132</f>
        <v>#VALUE!</v>
      </c>
      <c r="AB144" s="117" t="e">
        <f>TabREP[[#This Row],[J26]]*Entrainement!$C132</f>
        <v>#VALUE!</v>
      </c>
      <c r="AC144" s="117" t="e">
        <f>TabREP[[#This Row],[J27]]*Entrainement!$C132</f>
        <v>#VALUE!</v>
      </c>
      <c r="AD144" s="117" t="e">
        <f>TabREP[[#This Row],[J28]]*Entrainement!$C132</f>
        <v>#VALUE!</v>
      </c>
      <c r="AE144" s="117" t="e">
        <f>TabREP[[#This Row],[J29]]*Entrainement!$C132</f>
        <v>#VALUE!</v>
      </c>
      <c r="AF144" s="117" t="e">
        <f>TabREP[[#This Row],[J30]]*Entrainement!$C132</f>
        <v>#VALUE!</v>
      </c>
      <c r="AG144" s="250" t="str">
        <f>'Charges collective'!E136</f>
        <v/>
      </c>
      <c r="AH144" s="49"/>
      <c r="AI144" s="48"/>
    </row>
    <row r="145" spans="2:36" ht="14.25">
      <c r="B145" s="248" t="str">
        <f>IF(INDEX(TabEntrainement[Seance],ROW()-18)&lt;&gt;0,INDEX(TabEntrainement[Seance],ROW()-18),"")</f>
        <v/>
      </c>
      <c r="C145" s="117" t="e">
        <f>TabREP[[#This Row],[J1]]*Entrainement!C133</f>
        <v>#VALUE!</v>
      </c>
      <c r="D145" s="117" t="e">
        <f>TabREP[[#This Row],[J2]]*Entrainement!C133</f>
        <v>#VALUE!</v>
      </c>
      <c r="E145" s="117" t="e">
        <f>TabREP[[#This Row],[J3]]*Entrainement!$C133</f>
        <v>#VALUE!</v>
      </c>
      <c r="F145" s="117" t="e">
        <f>TabREP[[#This Row],[J4]]*Entrainement!$C133</f>
        <v>#VALUE!</v>
      </c>
      <c r="G145" s="117" t="e">
        <f>TabREP[[#This Row],[J5]]*Entrainement!$C133</f>
        <v>#VALUE!</v>
      </c>
      <c r="H145" s="117" t="e">
        <f>TabREP[[#This Row],[J6]]*Entrainement!$C133</f>
        <v>#VALUE!</v>
      </c>
      <c r="I145" s="117" t="e">
        <f>TabREP[[#This Row],[J7]]*Entrainement!$C133</f>
        <v>#VALUE!</v>
      </c>
      <c r="J145" s="117" t="e">
        <f>TabREP[[#This Row],[J8]]*Entrainement!$C133</f>
        <v>#VALUE!</v>
      </c>
      <c r="K145" s="117" t="e">
        <f>TabREP[[#This Row],[J9]]*Entrainement!$C133</f>
        <v>#VALUE!</v>
      </c>
      <c r="L145" s="117" t="e">
        <f>TabREP[[#This Row],[J10]]*Entrainement!$C133</f>
        <v>#VALUE!</v>
      </c>
      <c r="M145" s="117" t="e">
        <f>TabREP[[#This Row],[J11]]*Entrainement!$C133</f>
        <v>#VALUE!</v>
      </c>
      <c r="N145" s="117" t="e">
        <f>TabREP[[#This Row],[J12]]*Entrainement!$C133</f>
        <v>#VALUE!</v>
      </c>
      <c r="O145" s="117" t="e">
        <f>TabREP[[#This Row],[J13]]*Entrainement!$C133</f>
        <v>#VALUE!</v>
      </c>
      <c r="P145" s="117" t="e">
        <f>TabREP[[#This Row],[J14]]*Entrainement!$C133</f>
        <v>#VALUE!</v>
      </c>
      <c r="Q145" s="117" t="e">
        <f>TabREP[[#This Row],[J15]]*Entrainement!$C133</f>
        <v>#VALUE!</v>
      </c>
      <c r="R145" s="117" t="e">
        <f>TabREP[[#This Row],[J16]]*Entrainement!$C133</f>
        <v>#VALUE!</v>
      </c>
      <c r="S145" s="117" t="e">
        <f>TabREP[[#This Row],[J17]]*Entrainement!$C133</f>
        <v>#VALUE!</v>
      </c>
      <c r="T145" s="117" t="e">
        <f>TabREP[[#This Row],[J18]]*Entrainement!$C133</f>
        <v>#VALUE!</v>
      </c>
      <c r="U145" s="117" t="e">
        <f>TabREP[[#This Row],[J19]]*Entrainement!$C133</f>
        <v>#VALUE!</v>
      </c>
      <c r="V145" s="117" t="e">
        <f>TabREP[[#This Row],[J20]]*Entrainement!$C133</f>
        <v>#VALUE!</v>
      </c>
      <c r="W145" s="117" t="e">
        <f>TabREP[[#This Row],[J21]]*Entrainement!$C133</f>
        <v>#VALUE!</v>
      </c>
      <c r="X145" s="117" t="e">
        <f>TabREP[[#This Row],[J22]]*Entrainement!$C133</f>
        <v>#VALUE!</v>
      </c>
      <c r="Y145" s="117" t="e">
        <f>TabREP[[#This Row],[J23]]*Entrainement!$C133</f>
        <v>#VALUE!</v>
      </c>
      <c r="Z145" s="117" t="e">
        <f>TabREP[[#This Row],[J24]]*Entrainement!$C133</f>
        <v>#VALUE!</v>
      </c>
      <c r="AA145" s="117" t="e">
        <f>TabREP[[#This Row],[J25]]*Entrainement!$C133</f>
        <v>#VALUE!</v>
      </c>
      <c r="AB145" s="117" t="e">
        <f>TabREP[[#This Row],[J26]]*Entrainement!$C133</f>
        <v>#VALUE!</v>
      </c>
      <c r="AC145" s="117" t="e">
        <f>TabREP[[#This Row],[J27]]*Entrainement!$C133</f>
        <v>#VALUE!</v>
      </c>
      <c r="AD145" s="117" t="e">
        <f>TabREP[[#This Row],[J28]]*Entrainement!$C133</f>
        <v>#VALUE!</v>
      </c>
      <c r="AE145" s="117" t="e">
        <f>TabREP[[#This Row],[J29]]*Entrainement!$C133</f>
        <v>#VALUE!</v>
      </c>
      <c r="AF145" s="117" t="e">
        <f>TabREP[[#This Row],[J30]]*Entrainement!$C133</f>
        <v>#VALUE!</v>
      </c>
      <c r="AG145" s="250" t="str">
        <f>'Charges collective'!E137</f>
        <v/>
      </c>
      <c r="AH145" s="49"/>
      <c r="AI145" s="48"/>
    </row>
    <row r="146" spans="2:36" ht="14.25">
      <c r="B146" s="248" t="str">
        <f>IF(INDEX(TabEntrainement[Seance],ROW()-18)&lt;&gt;0,INDEX(TabEntrainement[Seance],ROW()-18),"")</f>
        <v/>
      </c>
      <c r="C146" s="117" t="e">
        <f>TabREP[[#This Row],[J1]]*Entrainement!C134</f>
        <v>#VALUE!</v>
      </c>
      <c r="D146" s="117" t="e">
        <f>TabREP[[#This Row],[J2]]*Entrainement!C134</f>
        <v>#VALUE!</v>
      </c>
      <c r="E146" s="117" t="e">
        <f>TabREP[[#This Row],[J3]]*Entrainement!$C134</f>
        <v>#VALUE!</v>
      </c>
      <c r="F146" s="117" t="e">
        <f>TabREP[[#This Row],[J4]]*Entrainement!$C134</f>
        <v>#VALUE!</v>
      </c>
      <c r="G146" s="117" t="e">
        <f>TabREP[[#This Row],[J5]]*Entrainement!$C134</f>
        <v>#VALUE!</v>
      </c>
      <c r="H146" s="117" t="e">
        <f>TabREP[[#This Row],[J6]]*Entrainement!$C134</f>
        <v>#VALUE!</v>
      </c>
      <c r="I146" s="117" t="e">
        <f>TabREP[[#This Row],[J7]]*Entrainement!$C134</f>
        <v>#VALUE!</v>
      </c>
      <c r="J146" s="117" t="e">
        <f>TabREP[[#This Row],[J8]]*Entrainement!$C134</f>
        <v>#VALUE!</v>
      </c>
      <c r="K146" s="117" t="e">
        <f>TabREP[[#This Row],[J9]]*Entrainement!$C134</f>
        <v>#VALUE!</v>
      </c>
      <c r="L146" s="117" t="e">
        <f>TabREP[[#This Row],[J10]]*Entrainement!$C134</f>
        <v>#VALUE!</v>
      </c>
      <c r="M146" s="117" t="e">
        <f>TabREP[[#This Row],[J11]]*Entrainement!$C134</f>
        <v>#VALUE!</v>
      </c>
      <c r="N146" s="117" t="e">
        <f>TabREP[[#This Row],[J12]]*Entrainement!$C134</f>
        <v>#VALUE!</v>
      </c>
      <c r="O146" s="117" t="e">
        <f>TabREP[[#This Row],[J13]]*Entrainement!$C134</f>
        <v>#VALUE!</v>
      </c>
      <c r="P146" s="117" t="e">
        <f>TabREP[[#This Row],[J14]]*Entrainement!$C134</f>
        <v>#VALUE!</v>
      </c>
      <c r="Q146" s="117" t="e">
        <f>TabREP[[#This Row],[J15]]*Entrainement!$C134</f>
        <v>#VALUE!</v>
      </c>
      <c r="R146" s="117" t="e">
        <f>TabREP[[#This Row],[J16]]*Entrainement!$C134</f>
        <v>#VALUE!</v>
      </c>
      <c r="S146" s="117" t="e">
        <f>TabREP[[#This Row],[J17]]*Entrainement!$C134</f>
        <v>#VALUE!</v>
      </c>
      <c r="T146" s="117" t="e">
        <f>TabREP[[#This Row],[J18]]*Entrainement!$C134</f>
        <v>#VALUE!</v>
      </c>
      <c r="U146" s="117" t="e">
        <f>TabREP[[#This Row],[J19]]*Entrainement!$C134</f>
        <v>#VALUE!</v>
      </c>
      <c r="V146" s="117" t="e">
        <f>TabREP[[#This Row],[J20]]*Entrainement!$C134</f>
        <v>#VALUE!</v>
      </c>
      <c r="W146" s="117" t="e">
        <f>TabREP[[#This Row],[J21]]*Entrainement!$C134</f>
        <v>#VALUE!</v>
      </c>
      <c r="X146" s="117" t="e">
        <f>TabREP[[#This Row],[J22]]*Entrainement!$C134</f>
        <v>#VALUE!</v>
      </c>
      <c r="Y146" s="117" t="e">
        <f>TabREP[[#This Row],[J23]]*Entrainement!$C134</f>
        <v>#VALUE!</v>
      </c>
      <c r="Z146" s="117" t="e">
        <f>TabREP[[#This Row],[J24]]*Entrainement!$C134</f>
        <v>#VALUE!</v>
      </c>
      <c r="AA146" s="117" t="e">
        <f>TabREP[[#This Row],[J25]]*Entrainement!$C134</f>
        <v>#VALUE!</v>
      </c>
      <c r="AB146" s="117" t="e">
        <f>TabREP[[#This Row],[J26]]*Entrainement!$C134</f>
        <v>#VALUE!</v>
      </c>
      <c r="AC146" s="117" t="e">
        <f>TabREP[[#This Row],[J27]]*Entrainement!$C134</f>
        <v>#VALUE!</v>
      </c>
      <c r="AD146" s="117" t="e">
        <f>TabREP[[#This Row],[J28]]*Entrainement!$C134</f>
        <v>#VALUE!</v>
      </c>
      <c r="AE146" s="117" t="e">
        <f>TabREP[[#This Row],[J29]]*Entrainement!$C134</f>
        <v>#VALUE!</v>
      </c>
      <c r="AF146" s="117" t="e">
        <f>TabREP[[#This Row],[J30]]*Entrainement!$C134</f>
        <v>#VALUE!</v>
      </c>
      <c r="AG146" s="250" t="str">
        <f>'Charges collective'!E138</f>
        <v/>
      </c>
      <c r="AH146" s="49"/>
      <c r="AI146" s="48"/>
    </row>
    <row r="147" spans="2:36" ht="14.25">
      <c r="B147" s="248" t="str">
        <f>IF(INDEX(TabEntrainement[Seance],ROW()-18)&lt;&gt;0,INDEX(TabEntrainement[Seance],ROW()-18),"")</f>
        <v/>
      </c>
      <c r="C147" s="117" t="e">
        <f>TabREP[[#This Row],[J1]]*Entrainement!C135</f>
        <v>#VALUE!</v>
      </c>
      <c r="D147" s="117" t="e">
        <f>TabREP[[#This Row],[J2]]*Entrainement!C135</f>
        <v>#VALUE!</v>
      </c>
      <c r="E147" s="117" t="e">
        <f>TabREP[[#This Row],[J3]]*Entrainement!$C135</f>
        <v>#VALUE!</v>
      </c>
      <c r="F147" s="117" t="e">
        <f>TabREP[[#This Row],[J4]]*Entrainement!$C135</f>
        <v>#VALUE!</v>
      </c>
      <c r="G147" s="117" t="e">
        <f>TabREP[[#This Row],[J5]]*Entrainement!$C135</f>
        <v>#VALUE!</v>
      </c>
      <c r="H147" s="117" t="e">
        <f>TabREP[[#This Row],[J6]]*Entrainement!$C135</f>
        <v>#VALUE!</v>
      </c>
      <c r="I147" s="117" t="e">
        <f>TabREP[[#This Row],[J7]]*Entrainement!$C135</f>
        <v>#VALUE!</v>
      </c>
      <c r="J147" s="117" t="e">
        <f>TabREP[[#This Row],[J8]]*Entrainement!$C135</f>
        <v>#VALUE!</v>
      </c>
      <c r="K147" s="117" t="e">
        <f>TabREP[[#This Row],[J9]]*Entrainement!$C135</f>
        <v>#VALUE!</v>
      </c>
      <c r="L147" s="117" t="e">
        <f>TabREP[[#This Row],[J10]]*Entrainement!$C135</f>
        <v>#VALUE!</v>
      </c>
      <c r="M147" s="117" t="e">
        <f>TabREP[[#This Row],[J11]]*Entrainement!$C135</f>
        <v>#VALUE!</v>
      </c>
      <c r="N147" s="117" t="e">
        <f>TabREP[[#This Row],[J12]]*Entrainement!$C135</f>
        <v>#VALUE!</v>
      </c>
      <c r="O147" s="117" t="e">
        <f>TabREP[[#This Row],[J13]]*Entrainement!$C135</f>
        <v>#VALUE!</v>
      </c>
      <c r="P147" s="117" t="e">
        <f>TabREP[[#This Row],[J14]]*Entrainement!$C135</f>
        <v>#VALUE!</v>
      </c>
      <c r="Q147" s="117" t="e">
        <f>TabREP[[#This Row],[J15]]*Entrainement!$C135</f>
        <v>#VALUE!</v>
      </c>
      <c r="R147" s="117" t="e">
        <f>TabREP[[#This Row],[J16]]*Entrainement!$C135</f>
        <v>#VALUE!</v>
      </c>
      <c r="S147" s="117" t="e">
        <f>TabREP[[#This Row],[J17]]*Entrainement!$C135</f>
        <v>#VALUE!</v>
      </c>
      <c r="T147" s="117" t="e">
        <f>TabREP[[#This Row],[J18]]*Entrainement!$C135</f>
        <v>#VALUE!</v>
      </c>
      <c r="U147" s="117" t="e">
        <f>TabREP[[#This Row],[J19]]*Entrainement!$C135</f>
        <v>#VALUE!</v>
      </c>
      <c r="V147" s="117" t="e">
        <f>TabREP[[#This Row],[J20]]*Entrainement!$C135</f>
        <v>#VALUE!</v>
      </c>
      <c r="W147" s="117" t="e">
        <f>TabREP[[#This Row],[J21]]*Entrainement!$C135</f>
        <v>#VALUE!</v>
      </c>
      <c r="X147" s="117" t="e">
        <f>TabREP[[#This Row],[J22]]*Entrainement!$C135</f>
        <v>#VALUE!</v>
      </c>
      <c r="Y147" s="117" t="e">
        <f>TabREP[[#This Row],[J23]]*Entrainement!$C135</f>
        <v>#VALUE!</v>
      </c>
      <c r="Z147" s="117" t="e">
        <f>TabREP[[#This Row],[J24]]*Entrainement!$C135</f>
        <v>#VALUE!</v>
      </c>
      <c r="AA147" s="117" t="e">
        <f>TabREP[[#This Row],[J25]]*Entrainement!$C135</f>
        <v>#VALUE!</v>
      </c>
      <c r="AB147" s="117" t="e">
        <f>TabREP[[#This Row],[J26]]*Entrainement!$C135</f>
        <v>#VALUE!</v>
      </c>
      <c r="AC147" s="117" t="e">
        <f>TabREP[[#This Row],[J27]]*Entrainement!$C135</f>
        <v>#VALUE!</v>
      </c>
      <c r="AD147" s="117" t="e">
        <f>TabREP[[#This Row],[J28]]*Entrainement!$C135</f>
        <v>#VALUE!</v>
      </c>
      <c r="AE147" s="117" t="e">
        <f>TabREP[[#This Row],[J29]]*Entrainement!$C135</f>
        <v>#VALUE!</v>
      </c>
      <c r="AF147" s="117" t="e">
        <f>TabREP[[#This Row],[J30]]*Entrainement!$C135</f>
        <v>#VALUE!</v>
      </c>
      <c r="AG147" s="250" t="str">
        <f>'Charges collective'!E139</f>
        <v/>
      </c>
      <c r="AH147" s="49"/>
      <c r="AI147" s="48"/>
    </row>
    <row r="148" spans="2:36" ht="14.25">
      <c r="B148" s="248" t="str">
        <f>IF(INDEX(TabEntrainement[Seance],ROW()-18)&lt;&gt;0,INDEX(TabEntrainement[Seance],ROW()-18),"")</f>
        <v/>
      </c>
      <c r="C148" s="117" t="e">
        <f>TabREP[[#This Row],[J1]]*Entrainement!C136</f>
        <v>#VALUE!</v>
      </c>
      <c r="D148" s="117" t="e">
        <f>TabREP[[#This Row],[J2]]*Entrainement!C136</f>
        <v>#VALUE!</v>
      </c>
      <c r="E148" s="117" t="e">
        <f>TabREP[[#This Row],[J3]]*Entrainement!$C136</f>
        <v>#VALUE!</v>
      </c>
      <c r="F148" s="117" t="e">
        <f>TabREP[[#This Row],[J4]]*Entrainement!$C136</f>
        <v>#VALUE!</v>
      </c>
      <c r="G148" s="117" t="e">
        <f>TabREP[[#This Row],[J5]]*Entrainement!$C136</f>
        <v>#VALUE!</v>
      </c>
      <c r="H148" s="117" t="e">
        <f>TabREP[[#This Row],[J6]]*Entrainement!$C136</f>
        <v>#VALUE!</v>
      </c>
      <c r="I148" s="117" t="e">
        <f>TabREP[[#This Row],[J7]]*Entrainement!$C136</f>
        <v>#VALUE!</v>
      </c>
      <c r="J148" s="117" t="e">
        <f>TabREP[[#This Row],[J8]]*Entrainement!$C136</f>
        <v>#VALUE!</v>
      </c>
      <c r="K148" s="117" t="e">
        <f>TabREP[[#This Row],[J9]]*Entrainement!$C136</f>
        <v>#VALUE!</v>
      </c>
      <c r="L148" s="117" t="e">
        <f>TabREP[[#This Row],[J10]]*Entrainement!$C136</f>
        <v>#VALUE!</v>
      </c>
      <c r="M148" s="117" t="e">
        <f>TabREP[[#This Row],[J11]]*Entrainement!$C136</f>
        <v>#VALUE!</v>
      </c>
      <c r="N148" s="117" t="e">
        <f>TabREP[[#This Row],[J12]]*Entrainement!$C136</f>
        <v>#VALUE!</v>
      </c>
      <c r="O148" s="117" t="e">
        <f>TabREP[[#This Row],[J13]]*Entrainement!$C136</f>
        <v>#VALUE!</v>
      </c>
      <c r="P148" s="117" t="e">
        <f>TabREP[[#This Row],[J14]]*Entrainement!$C136</f>
        <v>#VALUE!</v>
      </c>
      <c r="Q148" s="117" t="e">
        <f>TabREP[[#This Row],[J15]]*Entrainement!$C136</f>
        <v>#VALUE!</v>
      </c>
      <c r="R148" s="117" t="e">
        <f>TabREP[[#This Row],[J16]]*Entrainement!$C136</f>
        <v>#VALUE!</v>
      </c>
      <c r="S148" s="117" t="e">
        <f>TabREP[[#This Row],[J17]]*Entrainement!$C136</f>
        <v>#VALUE!</v>
      </c>
      <c r="T148" s="117" t="e">
        <f>TabREP[[#This Row],[J18]]*Entrainement!$C136</f>
        <v>#VALUE!</v>
      </c>
      <c r="U148" s="117" t="e">
        <f>TabREP[[#This Row],[J19]]*Entrainement!$C136</f>
        <v>#VALUE!</v>
      </c>
      <c r="V148" s="117" t="e">
        <f>TabREP[[#This Row],[J20]]*Entrainement!$C136</f>
        <v>#VALUE!</v>
      </c>
      <c r="W148" s="117" t="e">
        <f>TabREP[[#This Row],[J21]]*Entrainement!$C136</f>
        <v>#VALUE!</v>
      </c>
      <c r="X148" s="117" t="e">
        <f>TabREP[[#This Row],[J22]]*Entrainement!$C136</f>
        <v>#VALUE!</v>
      </c>
      <c r="Y148" s="117" t="e">
        <f>TabREP[[#This Row],[J23]]*Entrainement!$C136</f>
        <v>#VALUE!</v>
      </c>
      <c r="Z148" s="117" t="e">
        <f>TabREP[[#This Row],[J24]]*Entrainement!$C136</f>
        <v>#VALUE!</v>
      </c>
      <c r="AA148" s="117" t="e">
        <f>TabREP[[#This Row],[J25]]*Entrainement!$C136</f>
        <v>#VALUE!</v>
      </c>
      <c r="AB148" s="117" t="e">
        <f>TabREP[[#This Row],[J26]]*Entrainement!$C136</f>
        <v>#VALUE!</v>
      </c>
      <c r="AC148" s="117" t="e">
        <f>TabREP[[#This Row],[J27]]*Entrainement!$C136</f>
        <v>#VALUE!</v>
      </c>
      <c r="AD148" s="117" t="e">
        <f>TabREP[[#This Row],[J28]]*Entrainement!$C136</f>
        <v>#VALUE!</v>
      </c>
      <c r="AE148" s="117" t="e">
        <f>TabREP[[#This Row],[J29]]*Entrainement!$C136</f>
        <v>#VALUE!</v>
      </c>
      <c r="AF148" s="117" t="e">
        <f>TabREP[[#This Row],[J30]]*Entrainement!$C136</f>
        <v>#VALUE!</v>
      </c>
      <c r="AG148" s="250" t="str">
        <f>'Charges collective'!E140</f>
        <v/>
      </c>
      <c r="AH148" s="49"/>
      <c r="AI148" s="48"/>
    </row>
    <row r="149" spans="2:36" ht="14.25">
      <c r="B149" s="248" t="str">
        <f>IF(INDEX(TabEntrainement[Seance],ROW()-18)&lt;&gt;0,INDEX(TabEntrainement[Seance],ROW()-18),"")</f>
        <v/>
      </c>
      <c r="C149" s="117" t="e">
        <f>TabREP[[#This Row],[J1]]*Entrainement!C137</f>
        <v>#VALUE!</v>
      </c>
      <c r="D149" s="117" t="e">
        <f>TabREP[[#This Row],[J2]]*Entrainement!C137</f>
        <v>#VALUE!</v>
      </c>
      <c r="E149" s="117" t="e">
        <f>TabREP[[#This Row],[J3]]*Entrainement!$C137</f>
        <v>#VALUE!</v>
      </c>
      <c r="F149" s="117" t="e">
        <f>TabREP[[#This Row],[J4]]*Entrainement!$C137</f>
        <v>#VALUE!</v>
      </c>
      <c r="G149" s="117" t="e">
        <f>TabREP[[#This Row],[J5]]*Entrainement!$C137</f>
        <v>#VALUE!</v>
      </c>
      <c r="H149" s="117" t="e">
        <f>TabREP[[#This Row],[J6]]*Entrainement!$C137</f>
        <v>#VALUE!</v>
      </c>
      <c r="I149" s="117" t="e">
        <f>TabREP[[#This Row],[J7]]*Entrainement!$C137</f>
        <v>#VALUE!</v>
      </c>
      <c r="J149" s="117" t="e">
        <f>TabREP[[#This Row],[J8]]*Entrainement!$C137</f>
        <v>#VALUE!</v>
      </c>
      <c r="K149" s="117" t="e">
        <f>TabREP[[#This Row],[J9]]*Entrainement!$C137</f>
        <v>#VALUE!</v>
      </c>
      <c r="L149" s="117" t="e">
        <f>TabREP[[#This Row],[J10]]*Entrainement!$C137</f>
        <v>#VALUE!</v>
      </c>
      <c r="M149" s="117" t="e">
        <f>TabREP[[#This Row],[J11]]*Entrainement!$C137</f>
        <v>#VALUE!</v>
      </c>
      <c r="N149" s="117" t="e">
        <f>TabREP[[#This Row],[J12]]*Entrainement!$C137</f>
        <v>#VALUE!</v>
      </c>
      <c r="O149" s="117" t="e">
        <f>TabREP[[#This Row],[J13]]*Entrainement!$C137</f>
        <v>#VALUE!</v>
      </c>
      <c r="P149" s="117" t="e">
        <f>TabREP[[#This Row],[J14]]*Entrainement!$C137</f>
        <v>#VALUE!</v>
      </c>
      <c r="Q149" s="117" t="e">
        <f>TabREP[[#This Row],[J15]]*Entrainement!$C137</f>
        <v>#VALUE!</v>
      </c>
      <c r="R149" s="117" t="e">
        <f>TabREP[[#This Row],[J16]]*Entrainement!$C137</f>
        <v>#VALUE!</v>
      </c>
      <c r="S149" s="117" t="e">
        <f>TabREP[[#This Row],[J17]]*Entrainement!$C137</f>
        <v>#VALUE!</v>
      </c>
      <c r="T149" s="117" t="e">
        <f>TabREP[[#This Row],[J18]]*Entrainement!$C137</f>
        <v>#VALUE!</v>
      </c>
      <c r="U149" s="117" t="e">
        <f>TabREP[[#This Row],[J19]]*Entrainement!$C137</f>
        <v>#VALUE!</v>
      </c>
      <c r="V149" s="117" t="e">
        <f>TabREP[[#This Row],[J20]]*Entrainement!$C137</f>
        <v>#VALUE!</v>
      </c>
      <c r="W149" s="117" t="e">
        <f>TabREP[[#This Row],[J21]]*Entrainement!$C137</f>
        <v>#VALUE!</v>
      </c>
      <c r="X149" s="117" t="e">
        <f>TabREP[[#This Row],[J22]]*Entrainement!$C137</f>
        <v>#VALUE!</v>
      </c>
      <c r="Y149" s="117" t="e">
        <f>TabREP[[#This Row],[J23]]*Entrainement!$C137</f>
        <v>#VALUE!</v>
      </c>
      <c r="Z149" s="117" t="e">
        <f>TabREP[[#This Row],[J24]]*Entrainement!$C137</f>
        <v>#VALUE!</v>
      </c>
      <c r="AA149" s="117" t="e">
        <f>TabREP[[#This Row],[J25]]*Entrainement!$C137</f>
        <v>#VALUE!</v>
      </c>
      <c r="AB149" s="117" t="e">
        <f>TabREP[[#This Row],[J26]]*Entrainement!$C137</f>
        <v>#VALUE!</v>
      </c>
      <c r="AC149" s="117" t="e">
        <f>TabREP[[#This Row],[J27]]*Entrainement!$C137</f>
        <v>#VALUE!</v>
      </c>
      <c r="AD149" s="117" t="e">
        <f>TabREP[[#This Row],[J28]]*Entrainement!$C137</f>
        <v>#VALUE!</v>
      </c>
      <c r="AE149" s="117" t="e">
        <f>TabREP[[#This Row],[J29]]*Entrainement!$C137</f>
        <v>#VALUE!</v>
      </c>
      <c r="AF149" s="117" t="e">
        <f>TabREP[[#This Row],[J30]]*Entrainement!$C137</f>
        <v>#VALUE!</v>
      </c>
      <c r="AG149" s="250" t="str">
        <f>'Charges collective'!E141</f>
        <v/>
      </c>
      <c r="AH149" s="49"/>
      <c r="AI149" s="48"/>
    </row>
    <row r="150" spans="2:36" ht="13.5">
      <c r="B150" s="12"/>
      <c r="C150" s="249" t="e">
        <f>SUBTOTAL(109,TabREP39[J1])</f>
        <v>#VALUE!</v>
      </c>
      <c r="D150" s="249" t="e">
        <f>SUBTOTAL(109,TabREP39[J2])</f>
        <v>#VALUE!</v>
      </c>
      <c r="E150" s="249" t="e">
        <f>SUBTOTAL(109,TabREP39[J3])</f>
        <v>#VALUE!</v>
      </c>
      <c r="F150" s="249" t="e">
        <f>SUBTOTAL(109,TabREP39[J4])</f>
        <v>#VALUE!</v>
      </c>
      <c r="G150" s="249" t="e">
        <f>SUBTOTAL(109,TabREP39[J5])</f>
        <v>#VALUE!</v>
      </c>
      <c r="H150" s="249" t="e">
        <f>SUBTOTAL(109,TabREP39[J6])</f>
        <v>#VALUE!</v>
      </c>
      <c r="I150" s="249" t="e">
        <f>SUBTOTAL(109,TabREP39[J7])</f>
        <v>#VALUE!</v>
      </c>
      <c r="J150" s="249" t="e">
        <f>SUBTOTAL(109,TabREP39[J8])</f>
        <v>#VALUE!</v>
      </c>
      <c r="K150" s="249" t="e">
        <f>SUBTOTAL(109,TabREP39[J9])</f>
        <v>#VALUE!</v>
      </c>
      <c r="L150" s="249" t="e">
        <f>SUBTOTAL(109,TabREP39[J10])</f>
        <v>#VALUE!</v>
      </c>
      <c r="M150" s="249" t="e">
        <f>SUBTOTAL(109,TabREP39[J11])</f>
        <v>#VALUE!</v>
      </c>
      <c r="N150" s="249" t="e">
        <f>SUBTOTAL(109,TabREP39[J12])</f>
        <v>#VALUE!</v>
      </c>
      <c r="O150" s="249" t="e">
        <f>SUBTOTAL(109,TabREP39[J13])</f>
        <v>#VALUE!</v>
      </c>
      <c r="P150" s="249" t="e">
        <f>SUBTOTAL(109,TabREP39[J14])</f>
        <v>#VALUE!</v>
      </c>
      <c r="Q150" s="249" t="e">
        <f>SUBTOTAL(109,TabREP39[J15])</f>
        <v>#VALUE!</v>
      </c>
      <c r="R150" s="249" t="e">
        <f>SUBTOTAL(109,TabREP39[J16])</f>
        <v>#VALUE!</v>
      </c>
      <c r="S150" s="249" t="e">
        <f>SUBTOTAL(109,TabREP39[J17])</f>
        <v>#VALUE!</v>
      </c>
      <c r="T150" s="249" t="e">
        <f>SUBTOTAL(109,TabREP39[J18])</f>
        <v>#VALUE!</v>
      </c>
      <c r="U150" s="249" t="e">
        <f>SUBTOTAL(109,TabREP39[J19])</f>
        <v>#VALUE!</v>
      </c>
      <c r="V150" s="249" t="e">
        <f>SUBTOTAL(109,TabREP39[J20])</f>
        <v>#VALUE!</v>
      </c>
      <c r="W150" s="249" t="e">
        <f>SUBTOTAL(109,TabREP39[J21])</f>
        <v>#VALUE!</v>
      </c>
      <c r="X150" s="249" t="e">
        <f>SUBTOTAL(109,TabREP39[J22])</f>
        <v>#VALUE!</v>
      </c>
      <c r="Y150" s="249" t="e">
        <f>SUBTOTAL(109,TabREP39[J23])</f>
        <v>#VALUE!</v>
      </c>
      <c r="Z150" s="249" t="e">
        <f>SUBTOTAL(109,TabREP39[J24])</f>
        <v>#VALUE!</v>
      </c>
      <c r="AA150" s="249" t="e">
        <f>SUBTOTAL(109,TabREP39[J25])</f>
        <v>#VALUE!</v>
      </c>
      <c r="AB150" s="249" t="e">
        <f>SUBTOTAL(109,TabREP39[J26])</f>
        <v>#VALUE!</v>
      </c>
      <c r="AC150" s="249" t="e">
        <f>SUBTOTAL(109,TabREP39[J27])</f>
        <v>#VALUE!</v>
      </c>
      <c r="AD150" s="249" t="e">
        <f>SUBTOTAL(109,TabREP39[J28])</f>
        <v>#VALUE!</v>
      </c>
      <c r="AE150" s="249" t="e">
        <f>SUBTOTAL(109,TabREP39[J29])</f>
        <v>#VALUE!</v>
      </c>
      <c r="AF150" s="249" t="e">
        <f>SUBTOTAL(109,TabREP39[J30])</f>
        <v>#VALUE!</v>
      </c>
      <c r="AG150" s="253">
        <f>SUBTOTAL(109,TabREP39[Groupe])</f>
        <v>6720.5478676552193</v>
      </c>
      <c r="AH150" s="24"/>
      <c r="AI150" s="24"/>
    </row>
    <row r="151" spans="2:36" ht="14.25">
      <c r="B151" s="31"/>
      <c r="C151" s="32"/>
      <c r="D151" s="32"/>
      <c r="E151" s="32"/>
      <c r="F151" s="32"/>
      <c r="G151" s="32"/>
      <c r="H151" s="32"/>
      <c r="I151" s="32"/>
      <c r="J151" s="32"/>
      <c r="K151" s="32"/>
      <c r="L151" s="32"/>
      <c r="M151" s="32"/>
      <c r="N151" s="32"/>
      <c r="O151" s="32"/>
      <c r="P151" s="32"/>
      <c r="Q151" s="32"/>
      <c r="R151" s="32"/>
      <c r="S151" s="32"/>
      <c r="T151" s="32"/>
      <c r="U151" s="32"/>
      <c r="V151" s="32"/>
      <c r="W151" s="32"/>
      <c r="X151" s="32"/>
      <c r="Y151" s="32"/>
      <c r="Z151" s="32"/>
      <c r="AA151" s="32"/>
      <c r="AB151" s="32"/>
      <c r="AC151" s="32"/>
      <c r="AD151" s="32"/>
      <c r="AE151" s="32"/>
      <c r="AF151" s="32"/>
      <c r="AG151" s="32"/>
      <c r="AH151" s="33"/>
      <c r="AI151" s="34"/>
      <c r="AJ151" s="35"/>
    </row>
    <row r="152" spans="2:36" ht="14.25">
      <c r="B152" s="31"/>
      <c r="C152" s="32"/>
      <c r="D152" s="32"/>
      <c r="E152" s="32"/>
      <c r="F152" s="32"/>
      <c r="G152" s="32"/>
      <c r="H152" s="32"/>
      <c r="I152" s="32"/>
      <c r="J152" s="32"/>
      <c r="K152" s="32"/>
      <c r="L152" s="32"/>
      <c r="M152" s="32"/>
      <c r="N152" s="32"/>
      <c r="O152" s="32"/>
      <c r="P152" s="32"/>
      <c r="Q152" s="32"/>
      <c r="R152" s="32"/>
      <c r="S152" s="32"/>
      <c r="T152" s="32"/>
      <c r="U152" s="32"/>
      <c r="V152" s="32"/>
      <c r="W152" s="32"/>
      <c r="X152" s="32"/>
      <c r="Y152" s="32"/>
      <c r="Z152" s="32"/>
      <c r="AA152" s="32"/>
      <c r="AB152" s="32"/>
      <c r="AC152" s="32"/>
      <c r="AD152" s="32"/>
      <c r="AE152" s="32"/>
      <c r="AF152" s="32"/>
      <c r="AG152" s="32"/>
      <c r="AH152" s="33"/>
      <c r="AI152" s="34"/>
      <c r="AJ152" s="35"/>
    </row>
    <row r="153" spans="2:36" ht="14.25">
      <c r="AG153" s="13"/>
      <c r="AH153" s="33"/>
      <c r="AI153" s="24"/>
      <c r="AJ153" s="16"/>
    </row>
  </sheetData>
  <conditionalFormatting sqref="C19:AF149">
    <cfRule type="cellIs" dxfId="252" priority="1" operator="equal">
      <formula>0</formula>
    </cfRule>
  </conditionalFormatting>
  <pageMargins left="0.7" right="0.7" top="0.75" bottom="0.75" header="0.3" footer="0.3"/>
  <pageSetup paperSize="9" orientation="portrait" verticalDpi="0" r:id="rId1"/>
  <ignoredErrors>
    <ignoredError sqref="C20:AF149 C19 E19:AF19" unlockedFormula="1"/>
  </ignoredErrors>
  <drawing r:id="rId2"/>
  <legacyDrawing r:id="rId3"/>
  <mc:AlternateContent xmlns:mc="http://schemas.openxmlformats.org/markup-compatibility/2006">
    <mc:Choice Requires="x14">
      <controls>
        <mc:AlternateContent xmlns:mc="http://schemas.openxmlformats.org/markup-compatibility/2006">
          <mc:Choice Requires="x14">
            <control shapeId="11266" r:id="rId4" name="Button 2">
              <controlPr defaultSize="0" print="0" autoFill="0" autoPict="0" macro="[0]!CloseOnglet">
                <anchor moveWithCells="1" sizeWithCells="1">
                  <from>
                    <xdr:col>19</xdr:col>
                    <xdr:colOff>609600</xdr:colOff>
                    <xdr:row>1</xdr:row>
                    <xdr:rowOff>28575</xdr:rowOff>
                  </from>
                  <to>
                    <xdr:col>22</xdr:col>
                    <xdr:colOff>38100</xdr:colOff>
                    <xdr:row>1</xdr:row>
                    <xdr:rowOff>409575</xdr:rowOff>
                  </to>
                </anchor>
              </controlPr>
            </control>
          </mc:Choice>
        </mc:AlternateContent>
      </controls>
    </mc:Choice>
  </mc:AlternateContent>
  <tableParts count="1">
    <tablePart r:id="rId5"/>
  </tableParts>
  <extLst>
    <ext xmlns:x14="http://schemas.microsoft.com/office/spreadsheetml/2009/9/main" uri="{78C0D931-6437-407d-A8EE-F0AAD7539E65}">
      <x14:conditionalFormattings>
        <x14:conditionalFormatting xmlns:xm="http://schemas.microsoft.com/office/excel/2006/main">
          <x14:cfRule type="dataBar" priority="6" id="{C1E45762-9DC0-4ABF-9831-9274B45DC9EB}">
            <x14:dataBar minLength="0" maxLength="100" gradient="0">
              <x14:cfvo type="num">
                <xm:f>Paramétres!$H$5</xm:f>
              </x14:cfvo>
              <x14:cfvo type="num">
                <xm:f>Paramétres!$H$14</xm:f>
              </x14:cfvo>
              <x14:fillColor theme="1" tint="0.249977111117893"/>
              <x14:negativeFillColor theme="0"/>
              <x14:axisColor rgb="FF000000"/>
            </x14:dataBar>
          </x14:cfRule>
          <xm:sqref>AH19:AH149</xm:sqref>
        </x14:conditionalFormatting>
        <x14:conditionalFormatting xmlns:xm="http://schemas.microsoft.com/office/excel/2006/main">
          <x14:cfRule type="cellIs" priority="2" operator="between" id="{35649E71-02AB-4DA4-B9EC-88666F12BA9B}">
            <xm:f>Paramétres!$L$8</xm:f>
            <xm:f>Paramétres!$M$8</xm:f>
            <x14:dxf>
              <fill>
                <patternFill>
                  <bgColor theme="7"/>
                </patternFill>
              </fill>
            </x14:dxf>
          </x14:cfRule>
          <x14:cfRule type="cellIs" priority="3" operator="between" id="{4F129925-F96E-4418-8DBC-760C42565443}">
            <xm:f>Paramétres!$L$7</xm:f>
            <xm:f>Paramétres!$M$7</xm:f>
            <x14:dxf>
              <fill>
                <patternFill>
                  <bgColor theme="9"/>
                </patternFill>
              </fill>
            </x14:dxf>
          </x14:cfRule>
          <x14:cfRule type="cellIs" priority="4" operator="between" id="{1E7D578E-2B61-4004-ACB6-CD077298FD7E}">
            <xm:f>Paramétres!$L$6</xm:f>
            <xm:f>Paramétres!$M$6</xm:f>
            <x14:dxf>
              <fill>
                <patternFill>
                  <bgColor theme="5"/>
                </patternFill>
              </fill>
            </x14:dxf>
          </x14:cfRule>
          <x14:cfRule type="cellIs" priority="5" operator="lessThan" id="{A1661DF3-059D-47B8-82D8-C5A636F732CE}">
            <xm:f>Paramétres!$M$5</xm:f>
            <x14:dxf>
              <fill>
                <patternFill>
                  <bgColor theme="4"/>
                </patternFill>
              </fill>
            </x14:dxf>
          </x14:cfRule>
          <xm:sqref>C19:AF149</xm:sqref>
        </x14:conditionalFormatting>
      </x14:conditionalFormattings>
    </ext>
    <ext xmlns:x14="http://schemas.microsoft.com/office/spreadsheetml/2009/9/main" uri="{05C60535-1F16-4fd2-B633-F4F36F0B64E0}">
      <x14:sparklineGroups xmlns:xm="http://schemas.microsoft.com/office/excel/2006/main">
        <x14:sparklineGroup manualMax="0" manualMin="0" displayEmptyCellsAs="gap" markers="1" high="1" low="1" first="1" last="1" negative="1" xr2:uid="{00000000-0003-0000-0700-000009000000}">
          <x14:colorSeries theme="0" tint="-0.499984740745262"/>
          <x14:colorNegative theme="6"/>
          <x14:colorAxis rgb="FF000000"/>
          <x14:colorMarkers theme="7"/>
          <x14:colorFirst theme="7"/>
          <x14:colorLast theme="7"/>
          <x14:colorHigh theme="7"/>
          <x14:colorLow theme="7"/>
          <x14:sparklines>
            <x14:sparkline>
              <xm:f>'Charges individuel'!C151:AF151</xm:f>
              <xm:sqref>AH151</xm:sqref>
            </x14:sparkline>
            <x14:sparkline>
              <xm:f>'Charges individuel'!C152:AF152</xm:f>
              <xm:sqref>AH152</xm:sqref>
            </x14:sparkline>
          </x14:sparklines>
        </x14:sparklineGroup>
        <x14:sparklineGroup manualMax="0" manualMin="0" displayEmptyCellsAs="gap" xr2:uid="{00000000-0003-0000-0700-00000A000000}">
          <x14:colorSeries theme="0" tint="-0.14999847407452621"/>
          <x14:colorNegative theme="5"/>
          <x14:colorAxis rgb="FF000000"/>
          <x14:colorMarkers theme="4" tint="-0.499984740745262"/>
          <x14:colorFirst theme="4" tint="0.39997558519241921"/>
          <x14:colorLast theme="4" tint="0.39997558519241921"/>
          <x14:colorHigh theme="4"/>
          <x14:colorLow theme="4"/>
          <x14:sparklines>
            <x14:sparkline>
              <xm:f>'Charges individuel'!C19:AF19</xm:f>
              <xm:sqref>AI19</xm:sqref>
            </x14:sparkline>
            <x14:sparkline>
              <xm:f>'Charges individuel'!C20:AF20</xm:f>
              <xm:sqref>AI20</xm:sqref>
            </x14:sparkline>
            <x14:sparkline>
              <xm:f>'Charges individuel'!C21:AF21</xm:f>
              <xm:sqref>AI21</xm:sqref>
            </x14:sparkline>
            <x14:sparkline>
              <xm:f>'Charges individuel'!C22:AF22</xm:f>
              <xm:sqref>AI22</xm:sqref>
            </x14:sparkline>
            <x14:sparkline>
              <xm:f>'Charges individuel'!C23:AF23</xm:f>
              <xm:sqref>AI23</xm:sqref>
            </x14:sparkline>
            <x14:sparkline>
              <xm:f>'Charges individuel'!C24:AF24</xm:f>
              <xm:sqref>AI24</xm:sqref>
            </x14:sparkline>
            <x14:sparkline>
              <xm:f>'Charges individuel'!C25:AF25</xm:f>
              <xm:sqref>AI25</xm:sqref>
            </x14:sparkline>
            <x14:sparkline>
              <xm:f>'Charges individuel'!C26:AF26</xm:f>
              <xm:sqref>AI26</xm:sqref>
            </x14:sparkline>
            <x14:sparkline>
              <xm:f>'Charges individuel'!C27:AF27</xm:f>
              <xm:sqref>AI27</xm:sqref>
            </x14:sparkline>
            <x14:sparkline>
              <xm:f>'Charges individuel'!C28:AF28</xm:f>
              <xm:sqref>AI28</xm:sqref>
            </x14:sparkline>
            <x14:sparkline>
              <xm:f>'Charges individuel'!C29:AF29</xm:f>
              <xm:sqref>AI29</xm:sqref>
            </x14:sparkline>
            <x14:sparkline>
              <xm:f>'Charges individuel'!C30:AF30</xm:f>
              <xm:sqref>AI30</xm:sqref>
            </x14:sparkline>
            <x14:sparkline>
              <xm:f>'Charges individuel'!C31:AF31</xm:f>
              <xm:sqref>AI31</xm:sqref>
            </x14:sparkline>
            <x14:sparkline>
              <xm:f>'Charges individuel'!C32:AF32</xm:f>
              <xm:sqref>AI32</xm:sqref>
            </x14:sparkline>
            <x14:sparkline>
              <xm:f>'Charges individuel'!C33:AF33</xm:f>
              <xm:sqref>AI33</xm:sqref>
            </x14:sparkline>
            <x14:sparkline>
              <xm:f>'Charges individuel'!C34:AF34</xm:f>
              <xm:sqref>AI34</xm:sqref>
            </x14:sparkline>
            <x14:sparkline>
              <xm:f>'Charges individuel'!C35:AF35</xm:f>
              <xm:sqref>AI35</xm:sqref>
            </x14:sparkline>
            <x14:sparkline>
              <xm:f>'Charges individuel'!C36:AF36</xm:f>
              <xm:sqref>AI36</xm:sqref>
            </x14:sparkline>
            <x14:sparkline>
              <xm:f>'Charges individuel'!C37:AF37</xm:f>
              <xm:sqref>AI37</xm:sqref>
            </x14:sparkline>
            <x14:sparkline>
              <xm:f>'Charges individuel'!C38:AF38</xm:f>
              <xm:sqref>AI38</xm:sqref>
            </x14:sparkline>
            <x14:sparkline>
              <xm:f>'Charges individuel'!C39:AF39</xm:f>
              <xm:sqref>AI39</xm:sqref>
            </x14:sparkline>
            <x14:sparkline>
              <xm:f>'Charges individuel'!C40:AF40</xm:f>
              <xm:sqref>AI40</xm:sqref>
            </x14:sparkline>
            <x14:sparkline>
              <xm:f>'Charges individuel'!C41:AF41</xm:f>
              <xm:sqref>AI41</xm:sqref>
            </x14:sparkline>
            <x14:sparkline>
              <xm:f>'Charges individuel'!C42:AF42</xm:f>
              <xm:sqref>AI42</xm:sqref>
            </x14:sparkline>
            <x14:sparkline>
              <xm:f>'Charges individuel'!C43:AF43</xm:f>
              <xm:sqref>AI43</xm:sqref>
            </x14:sparkline>
            <x14:sparkline>
              <xm:f>'Charges individuel'!C44:AF44</xm:f>
              <xm:sqref>AI44</xm:sqref>
            </x14:sparkline>
            <x14:sparkline>
              <xm:f>'Charges individuel'!C45:AF45</xm:f>
              <xm:sqref>AI45</xm:sqref>
            </x14:sparkline>
            <x14:sparkline>
              <xm:f>'Charges individuel'!C46:AF46</xm:f>
              <xm:sqref>AI46</xm:sqref>
            </x14:sparkline>
            <x14:sparkline>
              <xm:f>'Charges individuel'!C47:AF47</xm:f>
              <xm:sqref>AI47</xm:sqref>
            </x14:sparkline>
            <x14:sparkline>
              <xm:f>'Charges individuel'!C48:AF48</xm:f>
              <xm:sqref>AI48</xm:sqref>
            </x14:sparkline>
            <x14:sparkline>
              <xm:f>'Charges individuel'!C49:AF49</xm:f>
              <xm:sqref>AI49</xm:sqref>
            </x14:sparkline>
            <x14:sparkline>
              <xm:f>'Charges individuel'!C50:AF50</xm:f>
              <xm:sqref>AI50</xm:sqref>
            </x14:sparkline>
            <x14:sparkline>
              <xm:f>'Charges individuel'!C51:AF51</xm:f>
              <xm:sqref>AI51</xm:sqref>
            </x14:sparkline>
            <x14:sparkline>
              <xm:f>'Charges individuel'!C52:AF52</xm:f>
              <xm:sqref>AI52</xm:sqref>
            </x14:sparkline>
            <x14:sparkline>
              <xm:f>'Charges individuel'!C53:AF53</xm:f>
              <xm:sqref>AI53</xm:sqref>
            </x14:sparkline>
            <x14:sparkline>
              <xm:f>'Charges individuel'!C54:AF54</xm:f>
              <xm:sqref>AI54</xm:sqref>
            </x14:sparkline>
            <x14:sparkline>
              <xm:f>'Charges individuel'!C55:AF55</xm:f>
              <xm:sqref>AI55</xm:sqref>
            </x14:sparkline>
            <x14:sparkline>
              <xm:f>'Charges individuel'!C56:AF56</xm:f>
              <xm:sqref>AI56</xm:sqref>
            </x14:sparkline>
            <x14:sparkline>
              <xm:f>'Charges individuel'!C57:AF57</xm:f>
              <xm:sqref>AI57</xm:sqref>
            </x14:sparkline>
            <x14:sparkline>
              <xm:f>'Charges individuel'!C58:AF58</xm:f>
              <xm:sqref>AI58</xm:sqref>
            </x14:sparkline>
            <x14:sparkline>
              <xm:f>'Charges individuel'!C59:AF59</xm:f>
              <xm:sqref>AI59</xm:sqref>
            </x14:sparkline>
            <x14:sparkline>
              <xm:f>'Charges individuel'!C60:AF60</xm:f>
              <xm:sqref>AI60</xm:sqref>
            </x14:sparkline>
            <x14:sparkline>
              <xm:f>'Charges individuel'!C61:AF61</xm:f>
              <xm:sqref>AI61</xm:sqref>
            </x14:sparkline>
            <x14:sparkline>
              <xm:f>'Charges individuel'!C62:AF62</xm:f>
              <xm:sqref>AI62</xm:sqref>
            </x14:sparkline>
            <x14:sparkline>
              <xm:f>'Charges individuel'!C63:AF63</xm:f>
              <xm:sqref>AI63</xm:sqref>
            </x14:sparkline>
            <x14:sparkline>
              <xm:f>'Charges individuel'!C64:AF64</xm:f>
              <xm:sqref>AI64</xm:sqref>
            </x14:sparkline>
            <x14:sparkline>
              <xm:f>'Charges individuel'!C65:AF65</xm:f>
              <xm:sqref>AI65</xm:sqref>
            </x14:sparkline>
            <x14:sparkline>
              <xm:f>'Charges individuel'!C66:AF66</xm:f>
              <xm:sqref>AI66</xm:sqref>
            </x14:sparkline>
            <x14:sparkline>
              <xm:f>'Charges individuel'!C67:AF67</xm:f>
              <xm:sqref>AI67</xm:sqref>
            </x14:sparkline>
            <x14:sparkline>
              <xm:f>'Charges individuel'!C68:AF68</xm:f>
              <xm:sqref>AI68</xm:sqref>
            </x14:sparkline>
            <x14:sparkline>
              <xm:f>'Charges individuel'!C69:AF69</xm:f>
              <xm:sqref>AI69</xm:sqref>
            </x14:sparkline>
            <x14:sparkline>
              <xm:f>'Charges individuel'!C70:AF70</xm:f>
              <xm:sqref>AI70</xm:sqref>
            </x14:sparkline>
            <x14:sparkline>
              <xm:f>'Charges individuel'!C71:AF71</xm:f>
              <xm:sqref>AI71</xm:sqref>
            </x14:sparkline>
            <x14:sparkline>
              <xm:f>'Charges individuel'!C72:AF72</xm:f>
              <xm:sqref>AI72</xm:sqref>
            </x14:sparkline>
            <x14:sparkline>
              <xm:f>'Charges individuel'!C73:AF73</xm:f>
              <xm:sqref>AI73</xm:sqref>
            </x14:sparkline>
            <x14:sparkline>
              <xm:f>'Charges individuel'!C74:AF74</xm:f>
              <xm:sqref>AI74</xm:sqref>
            </x14:sparkline>
            <x14:sparkline>
              <xm:f>'Charges individuel'!C75:AF75</xm:f>
              <xm:sqref>AI75</xm:sqref>
            </x14:sparkline>
            <x14:sparkline>
              <xm:f>'Charges individuel'!C76:AF76</xm:f>
              <xm:sqref>AI76</xm:sqref>
            </x14:sparkline>
            <x14:sparkline>
              <xm:f>'Charges individuel'!C77:AF77</xm:f>
              <xm:sqref>AI77</xm:sqref>
            </x14:sparkline>
            <x14:sparkline>
              <xm:f>'Charges individuel'!C78:AF78</xm:f>
              <xm:sqref>AI78</xm:sqref>
            </x14:sparkline>
            <x14:sparkline>
              <xm:f>'Charges individuel'!C79:AF79</xm:f>
              <xm:sqref>AI79</xm:sqref>
            </x14:sparkline>
            <x14:sparkline>
              <xm:f>'Charges individuel'!C80:AF80</xm:f>
              <xm:sqref>AI80</xm:sqref>
            </x14:sparkline>
            <x14:sparkline>
              <xm:f>'Charges individuel'!C81:AF81</xm:f>
              <xm:sqref>AI81</xm:sqref>
            </x14:sparkline>
            <x14:sparkline>
              <xm:f>'Charges individuel'!C82:AF82</xm:f>
              <xm:sqref>AI82</xm:sqref>
            </x14:sparkline>
            <x14:sparkline>
              <xm:f>'Charges individuel'!C83:AF83</xm:f>
              <xm:sqref>AI83</xm:sqref>
            </x14:sparkline>
            <x14:sparkline>
              <xm:f>'Charges individuel'!C84:AF84</xm:f>
              <xm:sqref>AI84</xm:sqref>
            </x14:sparkline>
            <x14:sparkline>
              <xm:f>'Charges individuel'!C85:AF85</xm:f>
              <xm:sqref>AI85</xm:sqref>
            </x14:sparkline>
            <x14:sparkline>
              <xm:f>'Charges individuel'!C86:AF86</xm:f>
              <xm:sqref>AI86</xm:sqref>
            </x14:sparkline>
            <x14:sparkline>
              <xm:f>'Charges individuel'!C87:AF87</xm:f>
              <xm:sqref>AI87</xm:sqref>
            </x14:sparkline>
            <x14:sparkline>
              <xm:f>'Charges individuel'!C88:AF88</xm:f>
              <xm:sqref>AI88</xm:sqref>
            </x14:sparkline>
            <x14:sparkline>
              <xm:f>'Charges individuel'!C89:AF89</xm:f>
              <xm:sqref>AI89</xm:sqref>
            </x14:sparkline>
            <x14:sparkline>
              <xm:f>'Charges individuel'!C90:AF90</xm:f>
              <xm:sqref>AI90</xm:sqref>
            </x14:sparkline>
            <x14:sparkline>
              <xm:f>'Charges individuel'!C91:AF91</xm:f>
              <xm:sqref>AI91</xm:sqref>
            </x14:sparkline>
            <x14:sparkline>
              <xm:f>'Charges individuel'!C92:AF92</xm:f>
              <xm:sqref>AI92</xm:sqref>
            </x14:sparkline>
            <x14:sparkline>
              <xm:f>'Charges individuel'!C93:AF93</xm:f>
              <xm:sqref>AI93</xm:sqref>
            </x14:sparkline>
            <x14:sparkline>
              <xm:f>'Charges individuel'!C94:AF94</xm:f>
              <xm:sqref>AI94</xm:sqref>
            </x14:sparkline>
            <x14:sparkline>
              <xm:f>'Charges individuel'!C95:AF95</xm:f>
              <xm:sqref>AI95</xm:sqref>
            </x14:sparkline>
            <x14:sparkline>
              <xm:f>'Charges individuel'!C96:AF96</xm:f>
              <xm:sqref>AI96</xm:sqref>
            </x14:sparkline>
            <x14:sparkline>
              <xm:f>'Charges individuel'!C97:AF97</xm:f>
              <xm:sqref>AI97</xm:sqref>
            </x14:sparkline>
            <x14:sparkline>
              <xm:f>'Charges individuel'!C98:AF98</xm:f>
              <xm:sqref>AI98</xm:sqref>
            </x14:sparkline>
            <x14:sparkline>
              <xm:f>'Charges individuel'!C99:AF99</xm:f>
              <xm:sqref>AI99</xm:sqref>
            </x14:sparkline>
            <x14:sparkline>
              <xm:f>'Charges individuel'!C100:AF100</xm:f>
              <xm:sqref>AI100</xm:sqref>
            </x14:sparkline>
            <x14:sparkline>
              <xm:f>'Charges individuel'!C101:AF101</xm:f>
              <xm:sqref>AI101</xm:sqref>
            </x14:sparkline>
            <x14:sparkline>
              <xm:f>'Charges individuel'!C102:AF102</xm:f>
              <xm:sqref>AI102</xm:sqref>
            </x14:sparkline>
            <x14:sparkline>
              <xm:f>'Charges individuel'!C103:AF103</xm:f>
              <xm:sqref>AI103</xm:sqref>
            </x14:sparkline>
            <x14:sparkline>
              <xm:f>'Charges individuel'!C104:AF104</xm:f>
              <xm:sqref>AI104</xm:sqref>
            </x14:sparkline>
            <x14:sparkline>
              <xm:f>'Charges individuel'!C105:AF105</xm:f>
              <xm:sqref>AI105</xm:sqref>
            </x14:sparkline>
            <x14:sparkline>
              <xm:f>'Charges individuel'!C106:AF106</xm:f>
              <xm:sqref>AI106</xm:sqref>
            </x14:sparkline>
            <x14:sparkline>
              <xm:f>'Charges individuel'!C107:AF107</xm:f>
              <xm:sqref>AI107</xm:sqref>
            </x14:sparkline>
            <x14:sparkline>
              <xm:f>'Charges individuel'!C108:AF108</xm:f>
              <xm:sqref>AI108</xm:sqref>
            </x14:sparkline>
            <x14:sparkline>
              <xm:f>'Charges individuel'!C109:AF109</xm:f>
              <xm:sqref>AI109</xm:sqref>
            </x14:sparkline>
            <x14:sparkline>
              <xm:f>'Charges individuel'!C110:AF110</xm:f>
              <xm:sqref>AI110</xm:sqref>
            </x14:sparkline>
            <x14:sparkline>
              <xm:f>'Charges individuel'!C111:AF111</xm:f>
              <xm:sqref>AI111</xm:sqref>
            </x14:sparkline>
            <x14:sparkline>
              <xm:f>'Charges individuel'!C112:AF112</xm:f>
              <xm:sqref>AI112</xm:sqref>
            </x14:sparkline>
            <x14:sparkline>
              <xm:f>'Charges individuel'!C113:AF113</xm:f>
              <xm:sqref>AI113</xm:sqref>
            </x14:sparkline>
            <x14:sparkline>
              <xm:f>'Charges individuel'!C114:AF114</xm:f>
              <xm:sqref>AI114</xm:sqref>
            </x14:sparkline>
            <x14:sparkline>
              <xm:f>'Charges individuel'!C115:AF115</xm:f>
              <xm:sqref>AI115</xm:sqref>
            </x14:sparkline>
            <x14:sparkline>
              <xm:f>'Charges individuel'!C116:AF116</xm:f>
              <xm:sqref>AI116</xm:sqref>
            </x14:sparkline>
            <x14:sparkline>
              <xm:f>'Charges individuel'!C117:AF117</xm:f>
              <xm:sqref>AI117</xm:sqref>
            </x14:sparkline>
            <x14:sparkline>
              <xm:f>'Charges individuel'!C118:AF118</xm:f>
              <xm:sqref>AI118</xm:sqref>
            </x14:sparkline>
            <x14:sparkline>
              <xm:f>'Charges individuel'!C119:AF119</xm:f>
              <xm:sqref>AI119</xm:sqref>
            </x14:sparkline>
            <x14:sparkline>
              <xm:f>'Charges individuel'!C120:AF120</xm:f>
              <xm:sqref>AI120</xm:sqref>
            </x14:sparkline>
            <x14:sparkline>
              <xm:f>'Charges individuel'!C121:AF121</xm:f>
              <xm:sqref>AI121</xm:sqref>
            </x14:sparkline>
            <x14:sparkline>
              <xm:f>'Charges individuel'!C122:AF122</xm:f>
              <xm:sqref>AI122</xm:sqref>
            </x14:sparkline>
            <x14:sparkline>
              <xm:f>'Charges individuel'!C123:AF123</xm:f>
              <xm:sqref>AI123</xm:sqref>
            </x14:sparkline>
            <x14:sparkline>
              <xm:f>'Charges individuel'!C124:AF124</xm:f>
              <xm:sqref>AI124</xm:sqref>
            </x14:sparkline>
            <x14:sparkline>
              <xm:f>'Charges individuel'!C125:AF125</xm:f>
              <xm:sqref>AI125</xm:sqref>
            </x14:sparkline>
            <x14:sparkline>
              <xm:f>'Charges individuel'!C126:AF126</xm:f>
              <xm:sqref>AI126</xm:sqref>
            </x14:sparkline>
            <x14:sparkline>
              <xm:f>'Charges individuel'!C127:AF127</xm:f>
              <xm:sqref>AI127</xm:sqref>
            </x14:sparkline>
            <x14:sparkline>
              <xm:f>'Charges individuel'!C128:AF128</xm:f>
              <xm:sqref>AI128</xm:sqref>
            </x14:sparkline>
            <x14:sparkline>
              <xm:f>'Charges individuel'!C129:AF129</xm:f>
              <xm:sqref>AI129</xm:sqref>
            </x14:sparkline>
            <x14:sparkline>
              <xm:f>'Charges individuel'!C130:AF130</xm:f>
              <xm:sqref>AI130</xm:sqref>
            </x14:sparkline>
            <x14:sparkline>
              <xm:f>'Charges individuel'!C131:AF131</xm:f>
              <xm:sqref>AI131</xm:sqref>
            </x14:sparkline>
            <x14:sparkline>
              <xm:f>'Charges individuel'!C132:AF132</xm:f>
              <xm:sqref>AI132</xm:sqref>
            </x14:sparkline>
            <x14:sparkline>
              <xm:f>'Charges individuel'!C133:AF133</xm:f>
              <xm:sqref>AI133</xm:sqref>
            </x14:sparkline>
            <x14:sparkline>
              <xm:f>'Charges individuel'!C134:AF134</xm:f>
              <xm:sqref>AI134</xm:sqref>
            </x14:sparkline>
            <x14:sparkline>
              <xm:f>'Charges individuel'!C135:AF135</xm:f>
              <xm:sqref>AI135</xm:sqref>
            </x14:sparkline>
            <x14:sparkline>
              <xm:f>'Charges individuel'!C136:AF136</xm:f>
              <xm:sqref>AI136</xm:sqref>
            </x14:sparkline>
            <x14:sparkline>
              <xm:f>'Charges individuel'!C137:AF137</xm:f>
              <xm:sqref>AI137</xm:sqref>
            </x14:sparkline>
            <x14:sparkline>
              <xm:f>'Charges individuel'!C138:AF138</xm:f>
              <xm:sqref>AI138</xm:sqref>
            </x14:sparkline>
            <x14:sparkline>
              <xm:f>'Charges individuel'!C139:AF139</xm:f>
              <xm:sqref>AI139</xm:sqref>
            </x14:sparkline>
            <x14:sparkline>
              <xm:f>'Charges individuel'!C140:AF140</xm:f>
              <xm:sqref>AI140</xm:sqref>
            </x14:sparkline>
            <x14:sparkline>
              <xm:f>'Charges individuel'!C141:AF141</xm:f>
              <xm:sqref>AI141</xm:sqref>
            </x14:sparkline>
            <x14:sparkline>
              <xm:f>'Charges individuel'!C142:AF142</xm:f>
              <xm:sqref>AI142</xm:sqref>
            </x14:sparkline>
            <x14:sparkline>
              <xm:f>'Charges individuel'!C143:AF143</xm:f>
              <xm:sqref>AI143</xm:sqref>
            </x14:sparkline>
            <x14:sparkline>
              <xm:f>'Charges individuel'!C144:AF144</xm:f>
              <xm:sqref>AI144</xm:sqref>
            </x14:sparkline>
            <x14:sparkline>
              <xm:f>'Charges individuel'!C145:AF145</xm:f>
              <xm:sqref>AI145</xm:sqref>
            </x14:sparkline>
            <x14:sparkline>
              <xm:f>'Charges individuel'!C146:AF146</xm:f>
              <xm:sqref>AI146</xm:sqref>
            </x14:sparkline>
            <x14:sparkline>
              <xm:f>'Charges individuel'!C147:AF147</xm:f>
              <xm:sqref>AI147</xm:sqref>
            </x14:sparkline>
            <x14:sparkline>
              <xm:f>'Charges individuel'!C148:AF148</xm:f>
              <xm:sqref>AI148</xm:sqref>
            </x14:sparkline>
            <x14:sparkline>
              <xm:f>'Charges individuel'!C149:AF149</xm:f>
              <xm:sqref>AI149</xm:sqref>
            </x14:sparkline>
          </x14:sparklines>
        </x14:sparklineGroup>
      </x14:sparklineGroups>
    </ext>
  </extLst>
</worksheet>
</file>

<file path=xl/worksheets/sheet1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Feuil8">
    <tabColor theme="7"/>
  </sheetPr>
  <dimension ref="B2:U157"/>
  <sheetViews>
    <sheetView showGridLines="0" workbookViewId="0">
      <selection activeCell="K18" sqref="K18"/>
    </sheetView>
  </sheetViews>
  <sheetFormatPr baseColWidth="10" defaultColWidth="11" defaultRowHeight="12.75"/>
  <cols>
    <col min="1" max="1" width="3.140625" style="284" customWidth="1"/>
    <col min="2" max="2" width="11" style="284"/>
    <col min="3" max="3" width="11.140625" style="284" bestFit="1" customWidth="1"/>
    <col min="4" max="18" width="11" style="284"/>
    <col min="19" max="19" width="17.85546875" style="284" bestFit="1" customWidth="1"/>
    <col min="20" max="16384" width="11" style="284"/>
  </cols>
  <sheetData>
    <row r="2" spans="2:21" ht="32.25">
      <c r="B2" s="283" t="s">
        <v>173</v>
      </c>
    </row>
    <row r="4" spans="2:21">
      <c r="C4" s="584" t="s">
        <v>115</v>
      </c>
      <c r="D4" s="584"/>
      <c r="E4" s="285"/>
      <c r="F4" s="585" t="s">
        <v>110</v>
      </c>
      <c r="G4" s="585"/>
      <c r="H4" s="285"/>
      <c r="I4" s="586" t="s">
        <v>112</v>
      </c>
      <c r="J4" s="586"/>
      <c r="K4" s="285"/>
      <c r="L4" s="587" t="s">
        <v>111</v>
      </c>
      <c r="M4" s="587"/>
      <c r="N4" s="285"/>
      <c r="O4" s="588" t="s">
        <v>85</v>
      </c>
      <c r="P4" s="588"/>
    </row>
    <row r="5" spans="2:21">
      <c r="C5" s="553" t="str">
        <f>CONCATENATE("&lt; ",Paramétres!M5)</f>
        <v>&lt; 140</v>
      </c>
      <c r="D5" s="553"/>
      <c r="F5" s="554" t="str">
        <f>CONCATENATE("De ",Paramétres!L6," à ",Paramétres!M6)</f>
        <v>De 140 à 210</v>
      </c>
      <c r="G5" s="554"/>
      <c r="I5" s="555" t="str">
        <f>CONCATENATE("De ",Paramétres!L7," à ",Paramétres!M7)</f>
        <v>De 210 à 350</v>
      </c>
      <c r="J5" s="555"/>
      <c r="L5" s="556" t="str">
        <f>CONCATENATE("De ",Paramétres!L8," à ",Paramétres!M8)</f>
        <v>De 350 à 490</v>
      </c>
      <c r="M5" s="556"/>
      <c r="O5" s="557" t="str">
        <f>CONCATENATE("De ",Paramétres!L9," à ",Paramétres!M9)</f>
        <v>De 490 à 700</v>
      </c>
      <c r="P5" s="557"/>
    </row>
    <row r="7" spans="2:21">
      <c r="C7" s="286"/>
      <c r="F7" s="567"/>
      <c r="G7" s="567"/>
    </row>
    <row r="10" spans="2:21" ht="14.25">
      <c r="B10" s="287" t="s">
        <v>5</v>
      </c>
      <c r="C10" s="287" t="s">
        <v>114</v>
      </c>
      <c r="D10" s="288" t="s">
        <v>7</v>
      </c>
      <c r="E10" s="289" t="s">
        <v>108</v>
      </c>
      <c r="I10" s="287" t="s">
        <v>273</v>
      </c>
      <c r="J10" s="287" t="s">
        <v>274</v>
      </c>
      <c r="K10" s="513" t="s">
        <v>684</v>
      </c>
      <c r="L10" s="512" t="s">
        <v>686</v>
      </c>
      <c r="M10" s="315" t="s">
        <v>685</v>
      </c>
      <c r="N10" s="315" t="s">
        <v>687</v>
      </c>
      <c r="R10" s="287" t="s">
        <v>75</v>
      </c>
      <c r="S10" s="287" t="s">
        <v>85</v>
      </c>
      <c r="T10" s="288" t="s">
        <v>7</v>
      </c>
      <c r="U10" s="289" t="s">
        <v>108</v>
      </c>
    </row>
    <row r="11" spans="2:21" ht="14.25">
      <c r="B11" s="290">
        <f>IF(INDEX(TabEntrainement[Seance],ROW()-10)&lt;&gt;0,INDEX(TabEntrainement[Seance],ROW()-10),"")</f>
        <v>43318</v>
      </c>
      <c r="C11" s="291">
        <f>INDEX(TabEntrainement[Durée],ROW()-10)</f>
        <v>67</v>
      </c>
      <c r="D11" s="292">
        <f>INDEX(TabREP[Moyenne],ROW()-10)</f>
        <v>5.333333333333333</v>
      </c>
      <c r="E11" s="293">
        <f>IF(TabBilanMental15[[#This Row],[Durée]]="","",TabBilanMental15[[#This Row],[Durée]]*TabBilanMental15[[#This Row],[RPE]])</f>
        <v>357.33333333333331</v>
      </c>
      <c r="I11" s="294">
        <v>1</v>
      </c>
      <c r="J11" s="291">
        <v>1125</v>
      </c>
      <c r="K11" s="291">
        <v>1275</v>
      </c>
      <c r="L11" s="291">
        <f>TabBilanMental152340[[#This Row],[C. Réel]]-TabBilanMental152340[[#This Row],[C. Prévue]]</f>
        <v>150</v>
      </c>
      <c r="M11" s="511"/>
      <c r="N11" s="511"/>
      <c r="R11" s="290">
        <f>Match!X7</f>
        <v>43334</v>
      </c>
      <c r="S11" s="335" t="str">
        <f>Match!X5</f>
        <v>AFC - Choisy au Bac</v>
      </c>
      <c r="T11" s="292">
        <f>Match!AA40</f>
        <v>5</v>
      </c>
      <c r="U11" s="293">
        <f>Match!AB40</f>
        <v>318.75</v>
      </c>
    </row>
    <row r="12" spans="2:21" ht="14.25">
      <c r="B12" s="290">
        <f>IF(INDEX(TabEntrainement[Seance],ROW()-10)&lt;&gt;0,INDEX(TabEntrainement[Seance],ROW()-10),"")</f>
        <v>43319</v>
      </c>
      <c r="C12" s="291">
        <f>INDEX(TabEntrainement[Durée],ROW()-10)</f>
        <v>62</v>
      </c>
      <c r="D12" s="292">
        <f>INDEX(TabREP[Moyenne],ROW()-10)</f>
        <v>4.7777777777777777</v>
      </c>
      <c r="E12" s="293">
        <f>IF(TabBilanMental15[[#This Row],[Durée]]="","",TabBilanMental15[[#This Row],[Durée]]*TabBilanMental15[[#This Row],[RPE]])</f>
        <v>296.22222222222223</v>
      </c>
      <c r="I12" s="294">
        <v>2</v>
      </c>
      <c r="J12" s="291">
        <v>1600</v>
      </c>
      <c r="K12" s="291">
        <v>1663</v>
      </c>
      <c r="L12" s="291">
        <f>TabBilanMental152340[[#This Row],[C. Réel]]-TabBilanMental152340[[#This Row],[C. Prévue]]</f>
        <v>63</v>
      </c>
      <c r="M12" s="515">
        <f>TabBilanMental152340[[#This Row],[C. Réel]]-K11</f>
        <v>388</v>
      </c>
      <c r="N12" s="516"/>
      <c r="R12" s="290">
        <f>Match!AH7</f>
        <v>43337</v>
      </c>
      <c r="S12" s="335" t="str">
        <f>Match!AH5</f>
        <v>Le Portel - AFC</v>
      </c>
      <c r="T12" s="292">
        <f>Match!AK40</f>
        <v>4.7058823529411766</v>
      </c>
      <c r="U12" s="293">
        <f>Match!AL40</f>
        <v>300.1875</v>
      </c>
    </row>
    <row r="13" spans="2:21" ht="14.25">
      <c r="B13" s="290">
        <f>IF(INDEX(TabEntrainement[Seance],ROW()-10)&lt;&gt;0,INDEX(TabEntrainement[Seance],ROW()-10),"")</f>
        <v>43321</v>
      </c>
      <c r="C13" s="291">
        <f>INDEX(TabEntrainement[Durée],ROW()-10)</f>
        <v>66</v>
      </c>
      <c r="D13" s="292">
        <f>INDEX(TabREP[Moyenne],ROW()-10)</f>
        <v>3.6363636363636362</v>
      </c>
      <c r="E13" s="293">
        <f>IF(TabBilanMental15[[#This Row],[Durée]]="","",TabBilanMental15[[#This Row],[Durée]]*TabBilanMental15[[#This Row],[RPE]])</f>
        <v>240</v>
      </c>
      <c r="I13" s="294">
        <v>3</v>
      </c>
      <c r="J13" s="291">
        <v>1700</v>
      </c>
      <c r="K13" s="291">
        <v>1788</v>
      </c>
      <c r="L13" s="291">
        <f>TabBilanMental152340[[#This Row],[C. Réel]]-TabBilanMental152340[[#This Row],[C. Prévue]]</f>
        <v>88</v>
      </c>
      <c r="M13" s="515">
        <f>TabBilanMental152340[[#This Row],[C. Réel]]-K12</f>
        <v>125</v>
      </c>
      <c r="N13" s="516"/>
      <c r="R13" s="290">
        <f>Match!AR7</f>
        <v>43344</v>
      </c>
      <c r="S13" s="335" t="str">
        <f>Match!AR5</f>
        <v>Beauvais - AFC</v>
      </c>
      <c r="T13" s="292">
        <f>Match!AU40</f>
        <v>6.6875</v>
      </c>
      <c r="U13" s="293">
        <f>Match!AV40</f>
        <v>411.625</v>
      </c>
    </row>
    <row r="14" spans="2:21" ht="14.25">
      <c r="B14" s="290">
        <f>IF(INDEX(TabEntrainement[Seance],ROW()-10)&lt;&gt;0,INDEX(TabEntrainement[Seance],ROW()-10),"")</f>
        <v>43322</v>
      </c>
      <c r="C14" s="291">
        <f>INDEX(TabEntrainement[Durée],ROW()-10)</f>
        <v>75</v>
      </c>
      <c r="D14" s="292">
        <f>INDEX(TabREP[Moyenne],ROW()-10)</f>
        <v>5.166666666666667</v>
      </c>
      <c r="E14" s="293">
        <f>IF(TabBilanMental15[[#This Row],[Durée]]="","",TabBilanMental15[[#This Row],[Durée]]*TabBilanMental15[[#This Row],[RPE]])</f>
        <v>387.5</v>
      </c>
      <c r="I14" s="294">
        <v>4</v>
      </c>
      <c r="J14" s="291">
        <v>1500</v>
      </c>
      <c r="K14" s="291">
        <v>1462</v>
      </c>
      <c r="L14" s="291">
        <f>TabBilanMental152340[[#This Row],[C. Réel]]-TabBilanMental152340[[#This Row],[C. Prévue]]</f>
        <v>-38</v>
      </c>
      <c r="M14" s="515">
        <f>TabBilanMental152340[[#This Row],[C. Réel]]-K13</f>
        <v>-326</v>
      </c>
      <c r="N14" s="516"/>
      <c r="R14" s="290">
        <f>Match!BB7</f>
        <v>43352</v>
      </c>
      <c r="S14" s="335" t="str">
        <f>Match!BB5</f>
        <v>AFC - Cambrai</v>
      </c>
      <c r="T14" s="292">
        <f>Match!BE40</f>
        <v>5.8571428571428568</v>
      </c>
      <c r="U14" s="293">
        <f>Match!BF40</f>
        <v>415.5</v>
      </c>
    </row>
    <row r="15" spans="2:21" ht="14.25">
      <c r="B15" s="290">
        <f>IF(INDEX(TabEntrainement[Seance],ROW()-10)&lt;&gt;0,INDEX(TabEntrainement[Seance],ROW()-10),"")</f>
        <v>43325</v>
      </c>
      <c r="C15" s="291">
        <f>INDEX(TabEntrainement[Durée],ROW()-10)</f>
        <v>63</v>
      </c>
      <c r="D15" s="292">
        <f>INDEX(TabREP[Moyenne],ROW()-10)</f>
        <v>5.5454545454545459</v>
      </c>
      <c r="E15" s="293">
        <f>IF(TabBilanMental15[[#This Row],[Durée]]="","",TabBilanMental15[[#This Row],[Durée]]*TabBilanMental15[[#This Row],[RPE]])</f>
        <v>349.36363636363637</v>
      </c>
      <c r="I15" s="294">
        <v>5</v>
      </c>
      <c r="J15" s="291">
        <v>1200</v>
      </c>
      <c r="K15" s="291">
        <v>1138</v>
      </c>
      <c r="L15" s="291">
        <f>TabBilanMental152340[[#This Row],[C. Réel]]-TabBilanMental152340[[#This Row],[C. Prévue]]</f>
        <v>-62</v>
      </c>
      <c r="M15" s="515">
        <f>TabBilanMental152340[[#This Row],[C. Réel]]-K14</f>
        <v>-324</v>
      </c>
      <c r="N15" s="516"/>
      <c r="R15" s="290">
        <f>Match!BL7</f>
        <v>43359</v>
      </c>
      <c r="S15" s="335" t="str">
        <f>Match!BL5</f>
        <v>Château T. - AFC</v>
      </c>
      <c r="T15" s="292">
        <f>Match!BO40</f>
        <v>7.9285714285714288</v>
      </c>
      <c r="U15" s="509">
        <f>Match!BP40</f>
        <v>558.5</v>
      </c>
    </row>
    <row r="16" spans="2:21" ht="14.25">
      <c r="B16" s="290">
        <f>IF(INDEX(TabEntrainement[Seance],ROW()-10)&lt;&gt;0,INDEX(TabEntrainement[Seance],ROW()-10),"")</f>
        <v>43326</v>
      </c>
      <c r="C16" s="291">
        <f>INDEX(TabEntrainement[Durée],ROW()-10)</f>
        <v>71</v>
      </c>
      <c r="D16" s="292">
        <f>INDEX(TabREP[Moyenne],ROW()-10)</f>
        <v>4.666666666666667</v>
      </c>
      <c r="E16" s="293">
        <f>IF(TabBilanMental15[[#This Row],[Durée]]="","",TabBilanMental15[[#This Row],[Durée]]*TabBilanMental15[[#This Row],[RPE]])</f>
        <v>331.33333333333337</v>
      </c>
      <c r="I16" s="294">
        <v>6</v>
      </c>
      <c r="J16" s="291">
        <v>1300</v>
      </c>
      <c r="K16" s="291">
        <v>1356</v>
      </c>
      <c r="L16" s="291">
        <f>TabBilanMental152340[[#This Row],[C. Réel]]-TabBilanMental152340[[#This Row],[C. Prévue]]</f>
        <v>56</v>
      </c>
      <c r="M16" s="515">
        <f>TabBilanMental152340[[#This Row],[C. Réel]]-K15</f>
        <v>218</v>
      </c>
      <c r="N16" s="516"/>
      <c r="R16" s="290" t="str">
        <f>Match!BV7</f>
        <v>.. /.. /..</v>
      </c>
      <c r="S16" s="335">
        <f>Match!BV5</f>
        <v>0</v>
      </c>
      <c r="T16" s="292" t="str">
        <f>Match!BY40</f>
        <v/>
      </c>
      <c r="U16" s="509" t="str">
        <f>Match!BZ40</f>
        <v/>
      </c>
    </row>
    <row r="17" spans="2:21" ht="14.25">
      <c r="B17" s="290">
        <f>IF(INDEX(TabEntrainement[Seance],ROW()-10)&lt;&gt;0,INDEX(TabEntrainement[Seance],ROW()-10),"")</f>
        <v>43327</v>
      </c>
      <c r="C17" s="291">
        <f>INDEX(TabEntrainement[Durée],ROW()-10)</f>
        <v>55</v>
      </c>
      <c r="D17" s="292">
        <f>INDEX(TabREP[Moyenne],ROW()-10)</f>
        <v>3.4285714285714284</v>
      </c>
      <c r="E17" s="293">
        <f>IF(TabBilanMental15[[#This Row],[Durée]]="","",TabBilanMental15[[#This Row],[Durée]]*TabBilanMental15[[#This Row],[RPE]])</f>
        <v>188.57142857142856</v>
      </c>
      <c r="I17" s="294">
        <v>7</v>
      </c>
      <c r="J17" s="291">
        <v>1000</v>
      </c>
      <c r="K17" s="291"/>
      <c r="L17" s="291">
        <f>TabBilanMental152340[[#This Row],[C. Réel]]-TabBilanMental152340[[#This Row],[C. Prévue]]</f>
        <v>-1000</v>
      </c>
      <c r="M17" s="515">
        <f>TabBilanMental152340[[#This Row],[C. Réel]]-K16</f>
        <v>-1356</v>
      </c>
      <c r="N17" s="516"/>
      <c r="R17" s="290" t="str">
        <f>Match!CF7</f>
        <v>.. /.. /..</v>
      </c>
      <c r="S17" s="335">
        <f>Match!CF5</f>
        <v>0</v>
      </c>
      <c r="T17" s="292" t="str">
        <f>Match!CI40</f>
        <v/>
      </c>
      <c r="U17" s="293" t="str">
        <f>Match!CJ40</f>
        <v/>
      </c>
    </row>
    <row r="18" spans="2:21" ht="14.25">
      <c r="B18" s="290">
        <f>IF(INDEX(TabEntrainement[Seance],ROW()-10)&lt;&gt;0,INDEX(TabEntrainement[Seance],ROW()-10),"")</f>
        <v>43328</v>
      </c>
      <c r="C18" s="291">
        <f>INDEX(TabEntrainement[Durée],ROW()-10)</f>
        <v>67</v>
      </c>
      <c r="D18" s="292">
        <f>INDEX(TabREP[Moyenne],ROW()-10)</f>
        <v>4.1538461538461542</v>
      </c>
      <c r="E18" s="293">
        <f>IF(TabBilanMental15[[#This Row],[Durée]]="","",TabBilanMental15[[#This Row],[Durée]]*TabBilanMental15[[#This Row],[RPE]])</f>
        <v>278.30769230769232</v>
      </c>
      <c r="I18" s="294">
        <v>8</v>
      </c>
      <c r="J18" s="291"/>
      <c r="K18" s="291"/>
      <c r="L18" s="291">
        <f>TabBilanMental152340[[#This Row],[C. Réel]]-TabBilanMental152340[[#This Row],[C. Prévue]]</f>
        <v>0</v>
      </c>
      <c r="M18" s="515">
        <f>TabBilanMental152340[[#This Row],[C. Réel]]-K17</f>
        <v>0</v>
      </c>
      <c r="N18" s="516"/>
      <c r="R18" s="290" t="str">
        <f>Match!CP7</f>
        <v>.. /.. /..</v>
      </c>
      <c r="S18" s="335">
        <f>Match!CP5</f>
        <v>0</v>
      </c>
      <c r="T18" s="292" t="str">
        <f>Match!CS40</f>
        <v/>
      </c>
      <c r="U18" s="293" t="str">
        <f>Match!CT40</f>
        <v/>
      </c>
    </row>
    <row r="19" spans="2:21" ht="14.25">
      <c r="B19" s="290">
        <f>IF(INDEX(TabEntrainement[Seance],ROW()-10)&lt;&gt;0,INDEX(TabEntrainement[Seance],ROW()-10),"")</f>
        <v>43329</v>
      </c>
      <c r="C19" s="291">
        <f>INDEX(TabEntrainement[Durée],ROW()-10)</f>
        <v>61</v>
      </c>
      <c r="D19" s="292">
        <f>INDEX(TabREP[Moyenne],ROW()-10)</f>
        <v>5.6</v>
      </c>
      <c r="E19" s="293">
        <f>IF(TabBilanMental15[[#This Row],[Durée]]="","",TabBilanMental15[[#This Row],[Durée]]*TabBilanMental15[[#This Row],[RPE]])</f>
        <v>341.59999999999997</v>
      </c>
      <c r="I19" s="294">
        <v>9</v>
      </c>
      <c r="J19" s="291"/>
      <c r="K19" s="291"/>
      <c r="L19" s="291">
        <f>TabBilanMental152340[[#This Row],[C. Réel]]-TabBilanMental152340[[#This Row],[C. Prévue]]</f>
        <v>0</v>
      </c>
      <c r="M19" s="515">
        <f>TabBilanMental152340[[#This Row],[C. Réel]]-K18</f>
        <v>0</v>
      </c>
      <c r="N19" s="516"/>
      <c r="R19" s="290" t="str">
        <f>Match!CZ7</f>
        <v>.. /.. /..</v>
      </c>
      <c r="S19" s="335">
        <f>Match!CZ5</f>
        <v>0</v>
      </c>
      <c r="T19" s="292" t="str">
        <f>Match!DC40</f>
        <v/>
      </c>
      <c r="U19" s="293" t="str">
        <f>Match!DD40</f>
        <v/>
      </c>
    </row>
    <row r="20" spans="2:21" ht="14.25">
      <c r="B20" s="290">
        <f>IF(INDEX(TabEntrainement[Seance],ROW()-10)&lt;&gt;0,INDEX(TabEntrainement[Seance],ROW()-10),"")</f>
        <v>43330</v>
      </c>
      <c r="C20" s="291">
        <f>INDEX(TabEntrainement[Durée],ROW()-10)</f>
        <v>70</v>
      </c>
      <c r="D20" s="292">
        <f>INDEX(TabREP[Moyenne],ROW()-10)</f>
        <v>3.9166666666666665</v>
      </c>
      <c r="E20" s="293">
        <f>IF(TabBilanMental15[[#This Row],[Durée]]="","",TabBilanMental15[[#This Row],[Durée]]*TabBilanMental15[[#This Row],[RPE]])</f>
        <v>274.16666666666663</v>
      </c>
      <c r="I20" s="294">
        <v>10</v>
      </c>
      <c r="J20" s="291"/>
      <c r="K20" s="291"/>
      <c r="L20" s="291">
        <f>TabBilanMental152340[[#This Row],[C. Réel]]-TabBilanMental152340[[#This Row],[C. Prévue]]</f>
        <v>0</v>
      </c>
      <c r="M20" s="515">
        <f>TabBilanMental152340[[#This Row],[C. Réel]]-K19</f>
        <v>0</v>
      </c>
      <c r="N20" s="516"/>
      <c r="R20" s="290" t="str">
        <f>Match!DJ7</f>
        <v>.. /.. /..</v>
      </c>
      <c r="S20" s="335">
        <f>Match!DJ5</f>
        <v>0</v>
      </c>
      <c r="T20" s="292" t="str">
        <f>Match!DM40</f>
        <v/>
      </c>
      <c r="U20" s="293" t="str">
        <f>Match!DN40</f>
        <v/>
      </c>
    </row>
    <row r="21" spans="2:21" ht="14.25">
      <c r="B21" s="290">
        <f>IF(INDEX(TabEntrainement[Seance],ROW()-10)&lt;&gt;0,INDEX(TabEntrainement[Seance],ROW()-10),"")</f>
        <v>43332</v>
      </c>
      <c r="C21" s="291">
        <f>INDEX(TabEntrainement[Durée],ROW()-10)</f>
        <v>69</v>
      </c>
      <c r="D21" s="292">
        <f>INDEX(TabREP[Moyenne],ROW()-10)</f>
        <v>7.3571428571428568</v>
      </c>
      <c r="E21" s="293">
        <f>IF(TabBilanMental15[[#This Row],[Durée]]="","",TabBilanMental15[[#This Row],[Durée]]*TabBilanMental15[[#This Row],[RPE]])</f>
        <v>507.64285714285711</v>
      </c>
      <c r="I21" s="294">
        <v>11</v>
      </c>
      <c r="J21" s="291"/>
      <c r="K21" s="291"/>
      <c r="L21" s="291">
        <f>TabBilanMental152340[[#This Row],[C. Réel]]-TabBilanMental152340[[#This Row],[C. Prévue]]</f>
        <v>0</v>
      </c>
      <c r="M21" s="515">
        <f>TabBilanMental152340[[#This Row],[C. Réel]]-K20</f>
        <v>0</v>
      </c>
      <c r="N21" s="516"/>
      <c r="O21" s="301"/>
      <c r="R21" s="290" t="str">
        <f>Match!DT7</f>
        <v>.. /.. /..</v>
      </c>
      <c r="S21" s="335">
        <f>Match!DT5</f>
        <v>0</v>
      </c>
      <c r="T21" s="292" t="str">
        <f>Match!DW40</f>
        <v/>
      </c>
      <c r="U21" s="293" t="str">
        <f>Match!DX40</f>
        <v/>
      </c>
    </row>
    <row r="22" spans="2:21" ht="14.25">
      <c r="B22" s="290">
        <f>IF(INDEX(TabEntrainement[Seance],ROW()-10)&lt;&gt;0,INDEX(TabEntrainement[Seance],ROW()-10),"")</f>
        <v>43333</v>
      </c>
      <c r="C22" s="291">
        <f>INDEX(TabEntrainement[Durée],ROW()-10)</f>
        <v>50</v>
      </c>
      <c r="D22" s="292">
        <f>INDEX(TabREP[Moyenne],ROW()-10)</f>
        <v>5.4615384615384617</v>
      </c>
      <c r="E22" s="293">
        <f>IF(TabBilanMental15[[#This Row],[Durée]]="","",TabBilanMental15[[#This Row],[Durée]]*TabBilanMental15[[#This Row],[RPE]])</f>
        <v>273.07692307692309</v>
      </c>
      <c r="I22" s="294">
        <v>12</v>
      </c>
      <c r="J22" s="291"/>
      <c r="K22" s="291"/>
      <c r="L22" s="291">
        <f>TabBilanMental152340[[#This Row],[C. Réel]]-TabBilanMental152340[[#This Row],[C. Prévue]]</f>
        <v>0</v>
      </c>
      <c r="M22" s="515">
        <f>TabBilanMental152340[[#This Row],[C. Réel]]-K21</f>
        <v>0</v>
      </c>
      <c r="N22" s="516"/>
      <c r="R22" s="290" t="str">
        <f>Match!ED7</f>
        <v>.. /.. /..</v>
      </c>
      <c r="S22" s="335">
        <f>Match!ED5</f>
        <v>0</v>
      </c>
      <c r="T22" s="292" t="str">
        <f>Match!EG40</f>
        <v/>
      </c>
      <c r="U22" s="293" t="str">
        <f>Match!EH40</f>
        <v/>
      </c>
    </row>
    <row r="23" spans="2:21" ht="14.25">
      <c r="B23" s="290">
        <f>IF(INDEX(TabEntrainement[Seance],ROW()-10)&lt;&gt;0,INDEX(TabEntrainement[Seance],ROW()-10),"")</f>
        <v>43335</v>
      </c>
      <c r="C23" s="291">
        <f>INDEX(TabEntrainement[Durée],ROW()-10)</f>
        <v>55</v>
      </c>
      <c r="D23" s="292">
        <f>INDEX(TabREP[Moyenne],ROW()-10)</f>
        <v>2.6428571428571428</v>
      </c>
      <c r="E23" s="293">
        <f>IF(TabBilanMental15[[#This Row],[Durée]]="","",TabBilanMental15[[#This Row],[Durée]]*TabBilanMental15[[#This Row],[RPE]])</f>
        <v>145.35714285714286</v>
      </c>
      <c r="I23" s="294">
        <v>13</v>
      </c>
      <c r="J23" s="291"/>
      <c r="K23" s="291"/>
      <c r="L23" s="291">
        <f>TabBilanMental152340[[#This Row],[C. Réel]]-TabBilanMental152340[[#This Row],[C. Prévue]]</f>
        <v>0</v>
      </c>
      <c r="M23" s="515">
        <f>TabBilanMental152340[[#This Row],[C. Réel]]-K22</f>
        <v>0</v>
      </c>
      <c r="N23" s="516"/>
      <c r="R23" s="290" t="str">
        <f>Match!EN7</f>
        <v>.. /.. /..</v>
      </c>
      <c r="S23" s="335">
        <f>Match!EN5</f>
        <v>0</v>
      </c>
      <c r="T23" s="292" t="str">
        <f>Match!EQ40</f>
        <v/>
      </c>
      <c r="U23" s="293" t="str">
        <f>Match!ER40</f>
        <v/>
      </c>
    </row>
    <row r="24" spans="2:21" ht="14.25">
      <c r="B24" s="290">
        <f>IF(INDEX(TabEntrainement[Seance],ROW()-10)&lt;&gt;0,INDEX(TabEntrainement[Seance],ROW()-10),"")</f>
        <v>43336</v>
      </c>
      <c r="C24" s="291">
        <f>INDEX(TabEntrainement[Durée],ROW()-10)</f>
        <v>70</v>
      </c>
      <c r="D24" s="292">
        <f>INDEX(TabREP[Moyenne],ROW()-10)</f>
        <v>3.4705882352941178</v>
      </c>
      <c r="E24" s="293">
        <f>IF(TabBilanMental15[[#This Row],[Durée]]="","",TabBilanMental15[[#This Row],[Durée]]*TabBilanMental15[[#This Row],[RPE]])</f>
        <v>242.94117647058823</v>
      </c>
      <c r="I24" s="294">
        <v>14</v>
      </c>
      <c r="J24" s="291"/>
      <c r="K24" s="291"/>
      <c r="L24" s="291">
        <f>TabBilanMental152340[[#This Row],[C. Réel]]-TabBilanMental152340[[#This Row],[C. Prévue]]</f>
        <v>0</v>
      </c>
      <c r="M24" s="515">
        <f>TabBilanMental152340[[#This Row],[C. Réel]]-K23</f>
        <v>0</v>
      </c>
      <c r="N24" s="516"/>
      <c r="R24" s="290" t="str">
        <f>Match!EX7</f>
        <v>.. /.. /..</v>
      </c>
      <c r="S24" s="335">
        <f>Match!EX5</f>
        <v>0</v>
      </c>
      <c r="T24" s="292" t="str">
        <f>Match!FA40</f>
        <v/>
      </c>
      <c r="U24" s="293" t="str">
        <f>Match!FB40</f>
        <v/>
      </c>
    </row>
    <row r="25" spans="2:21" ht="14.25">
      <c r="B25" s="290">
        <f>IF(INDEX(TabEntrainement[Seance],ROW()-10)&lt;&gt;0,INDEX(TabEntrainement[Seance],ROW()-10),"")</f>
        <v>43339</v>
      </c>
      <c r="C25" s="291">
        <f>INDEX(TabEntrainement[Durée],ROW()-10)</f>
        <v>64</v>
      </c>
      <c r="D25" s="292">
        <f>INDEX(TabREP[Moyenne],ROW()-10)</f>
        <v>5.1333333333333337</v>
      </c>
      <c r="E25" s="293">
        <f>IF(TabBilanMental15[[#This Row],[Durée]]="","",TabBilanMental15[[#This Row],[Durée]]*TabBilanMental15[[#This Row],[RPE]])</f>
        <v>328.53333333333336</v>
      </c>
      <c r="I25" s="294">
        <v>15</v>
      </c>
      <c r="J25" s="291"/>
      <c r="K25" s="291"/>
      <c r="L25" s="291">
        <f>TabBilanMental152340[[#This Row],[C. Réel]]-TabBilanMental152340[[#This Row],[C. Prévue]]</f>
        <v>0</v>
      </c>
      <c r="M25" s="515">
        <f>TabBilanMental152340[[#This Row],[C. Réel]]-K24</f>
        <v>0</v>
      </c>
      <c r="N25" s="516"/>
      <c r="R25" s="290" t="str">
        <f>Match!FH7</f>
        <v>.. /.. /..</v>
      </c>
      <c r="S25" s="335">
        <f>Match!FH5</f>
        <v>0</v>
      </c>
      <c r="T25" s="292" t="str">
        <f>Match!FK40</f>
        <v/>
      </c>
      <c r="U25" s="293" t="str">
        <f>Match!FL40</f>
        <v/>
      </c>
    </row>
    <row r="26" spans="2:21" ht="14.25">
      <c r="B26" s="290">
        <f>IF(INDEX(TabEntrainement[Seance],ROW()-10)&lt;&gt;0,INDEX(TabEntrainement[Seance],ROW()-10),"")</f>
        <v>43340</v>
      </c>
      <c r="C26" s="291">
        <f>INDEX(TabEntrainement[Durée],ROW()-10)</f>
        <v>60</v>
      </c>
      <c r="D26" s="292">
        <f>INDEX(TabREP[Moyenne],ROW()-10)</f>
        <v>4.5882352941176467</v>
      </c>
      <c r="E26" s="293">
        <f>IF(TabBilanMental15[[#This Row],[Durée]]="","",TabBilanMental15[[#This Row],[Durée]]*TabBilanMental15[[#This Row],[RPE]])</f>
        <v>275.29411764705878</v>
      </c>
      <c r="I26" s="294">
        <v>16</v>
      </c>
      <c r="J26" s="291"/>
      <c r="K26" s="291"/>
      <c r="L26" s="291">
        <f>TabBilanMental152340[[#This Row],[C. Réel]]-TabBilanMental152340[[#This Row],[C. Prévue]]</f>
        <v>0</v>
      </c>
      <c r="M26" s="515">
        <f>TabBilanMental152340[[#This Row],[C. Réel]]-K25</f>
        <v>0</v>
      </c>
      <c r="N26" s="516"/>
      <c r="R26" s="290" t="str">
        <f>Match!FR7</f>
        <v>.. /.. /..</v>
      </c>
      <c r="S26" s="335">
        <f>Match!FR5</f>
        <v>0</v>
      </c>
      <c r="T26" s="292" t="str">
        <f>Match!FU40</f>
        <v/>
      </c>
      <c r="U26" s="293" t="str">
        <f>Match!FV40</f>
        <v/>
      </c>
    </row>
    <row r="27" spans="2:21" ht="14.25">
      <c r="B27" s="290">
        <f>IF(INDEX(TabEntrainement[Seance],ROW()-10)&lt;&gt;0,INDEX(TabEntrainement[Seance],ROW()-10),"")</f>
        <v>43342</v>
      </c>
      <c r="C27" s="291">
        <f>INDEX(TabEntrainement[Durée],ROW()-10)</f>
        <v>57</v>
      </c>
      <c r="D27" s="292">
        <f>INDEX(TabREP[Moyenne],ROW()-10)</f>
        <v>4.5999999999999996</v>
      </c>
      <c r="E27" s="293">
        <f>IF(TabBilanMental15[[#This Row],[Durée]]="","",TabBilanMental15[[#This Row],[Durée]]*TabBilanMental15[[#This Row],[RPE]])</f>
        <v>262.2</v>
      </c>
      <c r="I27" s="294">
        <v>17</v>
      </c>
      <c r="J27" s="291"/>
      <c r="K27" s="291"/>
      <c r="L27" s="291">
        <f>TabBilanMental152340[[#This Row],[C. Réel]]-TabBilanMental152340[[#This Row],[C. Prévue]]</f>
        <v>0</v>
      </c>
      <c r="M27" s="515">
        <f>TabBilanMental152340[[#This Row],[C. Réel]]-K26</f>
        <v>0</v>
      </c>
      <c r="N27" s="516"/>
      <c r="R27" s="290" t="str">
        <f>Match!GB7</f>
        <v>.. /.. /..</v>
      </c>
      <c r="S27" s="335">
        <f>Match!GB5</f>
        <v>0</v>
      </c>
      <c r="T27" s="292" t="str">
        <f>Match!GE40</f>
        <v/>
      </c>
      <c r="U27" s="293" t="str">
        <f>Match!GF40</f>
        <v/>
      </c>
    </row>
    <row r="28" spans="2:21" ht="14.25">
      <c r="B28" s="290">
        <f>IF(INDEX(TabEntrainement[Seance],ROW()-10)&lt;&gt;0,INDEX(TabEntrainement[Seance],ROW()-10),"")</f>
        <v>43343</v>
      </c>
      <c r="C28" s="291">
        <f>INDEX(TabEntrainement[Durée],ROW()-10)</f>
        <v>50</v>
      </c>
      <c r="D28" s="292">
        <f>INDEX(TabREP[Moyenne],ROW()-10)</f>
        <v>3.6875</v>
      </c>
      <c r="E28" s="293">
        <f>IF(TabBilanMental15[[#This Row],[Durée]]="","",TabBilanMental15[[#This Row],[Durée]]*TabBilanMental15[[#This Row],[RPE]])</f>
        <v>184.375</v>
      </c>
      <c r="I28" s="294">
        <v>18</v>
      </c>
      <c r="J28" s="291"/>
      <c r="K28" s="291"/>
      <c r="L28" s="291">
        <f>TabBilanMental152340[[#This Row],[C. Réel]]-TabBilanMental152340[[#This Row],[C. Prévue]]</f>
        <v>0</v>
      </c>
      <c r="M28" s="515">
        <f>TabBilanMental152340[[#This Row],[C. Réel]]-K27</f>
        <v>0</v>
      </c>
      <c r="N28" s="516"/>
      <c r="R28" s="290" t="str">
        <f>Match!GL7</f>
        <v>.. /.. /..</v>
      </c>
      <c r="S28" s="335">
        <f>Match!GL5</f>
        <v>0</v>
      </c>
      <c r="T28" s="292" t="str">
        <f>Match!GO40</f>
        <v/>
      </c>
      <c r="U28" s="293" t="str">
        <f>Match!GP40</f>
        <v/>
      </c>
    </row>
    <row r="29" spans="2:21" ht="14.25">
      <c r="B29" s="290">
        <f>IF(INDEX(TabEntrainement[Seance],ROW()-10)&lt;&gt;0,INDEX(TabEntrainement[Seance],ROW()-10),"")</f>
        <v>43347</v>
      </c>
      <c r="C29" s="291">
        <f>INDEX(TabEntrainement[Durée],ROW()-10)</f>
        <v>65</v>
      </c>
      <c r="D29" s="292">
        <f>INDEX(TabREP[Moyenne],ROW()-10)</f>
        <v>4.2857142857142856</v>
      </c>
      <c r="E29" s="293">
        <f>IF(TabBilanMental15[[#This Row],[Durée]]="","",TabBilanMental15[[#This Row],[Durée]]*TabBilanMental15[[#This Row],[RPE]])</f>
        <v>278.57142857142856</v>
      </c>
      <c r="I29" s="294">
        <v>19</v>
      </c>
      <c r="J29" s="291"/>
      <c r="K29" s="291"/>
      <c r="L29" s="291">
        <f>TabBilanMental152340[[#This Row],[C. Réel]]-TabBilanMental152340[[#This Row],[C. Prévue]]</f>
        <v>0</v>
      </c>
      <c r="M29" s="515">
        <f>TabBilanMental152340[[#This Row],[C. Réel]]-K28</f>
        <v>0</v>
      </c>
      <c r="N29" s="516"/>
      <c r="R29" s="290" t="str">
        <f>Match!GV7</f>
        <v>.. /.. /..</v>
      </c>
      <c r="S29" s="335">
        <f>Match!GV5</f>
        <v>0</v>
      </c>
      <c r="T29" s="292" t="str">
        <f>Match!GY40</f>
        <v/>
      </c>
      <c r="U29" s="293" t="str">
        <f>Match!GZ40</f>
        <v/>
      </c>
    </row>
    <row r="30" spans="2:21" ht="14.25">
      <c r="B30" s="290">
        <f>IF(INDEX(TabEntrainement[Seance],ROW()-10)&lt;&gt;0,INDEX(TabEntrainement[Seance],ROW()-10),"")</f>
        <v>43349</v>
      </c>
      <c r="C30" s="291">
        <f>INDEX(TabEntrainement[Durée],ROW()-10)</f>
        <v>70</v>
      </c>
      <c r="D30" s="292">
        <f>INDEX(TabREP[Moyenne],ROW()-10)</f>
        <v>4.166666666666667</v>
      </c>
      <c r="E30" s="293">
        <f>IF(TabBilanMental15[[#This Row],[Durée]]="","",TabBilanMental15[[#This Row],[Durée]]*TabBilanMental15[[#This Row],[RPE]])</f>
        <v>291.66666666666669</v>
      </c>
      <c r="I30" s="294">
        <v>20</v>
      </c>
      <c r="J30" s="291"/>
      <c r="K30" s="291"/>
      <c r="L30" s="291">
        <f>TabBilanMental152340[[#This Row],[C. Réel]]-TabBilanMental152340[[#This Row],[C. Prévue]]</f>
        <v>0</v>
      </c>
      <c r="M30" s="515">
        <f>TabBilanMental152340[[#This Row],[C. Réel]]-K29</f>
        <v>0</v>
      </c>
      <c r="N30" s="516"/>
      <c r="R30" s="290" t="str">
        <f>Match!HF7</f>
        <v>.. /.. /..</v>
      </c>
      <c r="S30" s="335">
        <f>Match!HF5</f>
        <v>0</v>
      </c>
      <c r="T30" s="292" t="str">
        <f>Match!HI40</f>
        <v/>
      </c>
      <c r="U30" s="293" t="str">
        <f>Match!HJ40</f>
        <v/>
      </c>
    </row>
    <row r="31" spans="2:21" ht="14.25">
      <c r="B31" s="290">
        <f>IF(INDEX(TabEntrainement[Seance],ROW()-10)&lt;&gt;0,INDEX(TabEntrainement[Seance],ROW()-10),"")</f>
        <v>43350</v>
      </c>
      <c r="C31" s="291">
        <f>INDEX(TabEntrainement[Durée],ROW()-10)</f>
        <v>45</v>
      </c>
      <c r="D31" s="292">
        <f>INDEX(TabREP[Moyenne],ROW()-10)</f>
        <v>3.3333333333333335</v>
      </c>
      <c r="E31" s="293">
        <f>IF(TabBilanMental15[[#This Row],[Durée]]="","",TabBilanMental15[[#This Row],[Durée]]*TabBilanMental15[[#This Row],[RPE]])</f>
        <v>150</v>
      </c>
      <c r="I31" s="294">
        <v>21</v>
      </c>
      <c r="J31" s="291"/>
      <c r="K31" s="291"/>
      <c r="L31" s="291">
        <f>TabBilanMental152340[[#This Row],[C. Réel]]-TabBilanMental152340[[#This Row],[C. Prévue]]</f>
        <v>0</v>
      </c>
      <c r="M31" s="515">
        <f>TabBilanMental152340[[#This Row],[C. Réel]]-K30</f>
        <v>0</v>
      </c>
      <c r="N31" s="516"/>
      <c r="R31" s="290" t="str">
        <f>Match!HP7</f>
        <v>.. /.. /..</v>
      </c>
      <c r="S31" s="335">
        <f>Match!HP5</f>
        <v>0</v>
      </c>
      <c r="T31" s="292" t="str">
        <f>Match!HS40</f>
        <v/>
      </c>
      <c r="U31" s="293" t="str">
        <f>Match!HT40</f>
        <v/>
      </c>
    </row>
    <row r="32" spans="2:21" ht="14.25">
      <c r="B32" s="290">
        <f>IF(INDEX(TabEntrainement[Seance],ROW()-10)&lt;&gt;0,INDEX(TabEntrainement[Seance],ROW()-10),"")</f>
        <v>43354</v>
      </c>
      <c r="C32" s="291">
        <f>INDEX(TabEntrainement[Durée],ROW()-10)</f>
        <v>60</v>
      </c>
      <c r="D32" s="292">
        <f>INDEX(TabREP[Moyenne],ROW()-10)</f>
        <v>4.583333333333333</v>
      </c>
      <c r="E32" s="293">
        <f>IF(TabBilanMental15[[#This Row],[Durée]]="","",TabBilanMental15[[#This Row],[Durée]]*TabBilanMental15[[#This Row],[RPE]])</f>
        <v>275</v>
      </c>
      <c r="I32" s="294">
        <v>22</v>
      </c>
      <c r="J32" s="291"/>
      <c r="K32" s="291"/>
      <c r="L32" s="291">
        <f>TabBilanMental152340[[#This Row],[C. Réel]]-TabBilanMental152340[[#This Row],[C. Prévue]]</f>
        <v>0</v>
      </c>
      <c r="M32" s="515">
        <f>TabBilanMental152340[[#This Row],[C. Réel]]-K31</f>
        <v>0</v>
      </c>
      <c r="N32" s="516"/>
      <c r="R32" s="290" t="str">
        <f>Match!HZ7</f>
        <v>.. /.. /..</v>
      </c>
      <c r="S32" s="335">
        <f>Match!HZ5</f>
        <v>0</v>
      </c>
      <c r="T32" s="292" t="str">
        <f>Match!IC40</f>
        <v/>
      </c>
      <c r="U32" s="293" t="str">
        <f>Match!ID40</f>
        <v/>
      </c>
    </row>
    <row r="33" spans="2:21" ht="14.25">
      <c r="B33" s="290">
        <f>IF(INDEX(TabEntrainement[Seance],ROW()-10)&lt;&gt;0,INDEX(TabEntrainement[Seance],ROW()-10),"")</f>
        <v>43357</v>
      </c>
      <c r="C33" s="291">
        <f>INDEX(TabEntrainement[Durée],ROW()-10)</f>
        <v>74</v>
      </c>
      <c r="D33" s="292">
        <f>INDEX(TabREP[Moyenne],ROW()-10)</f>
        <v>4.5999999999999996</v>
      </c>
      <c r="E33" s="293">
        <f>IF(TabBilanMental15[[#This Row],[Durée]]="","",TabBilanMental15[[#This Row],[Durée]]*TabBilanMental15[[#This Row],[RPE]])</f>
        <v>340.4</v>
      </c>
      <c r="I33" s="294">
        <v>23</v>
      </c>
      <c r="J33" s="291"/>
      <c r="K33" s="291"/>
      <c r="L33" s="291">
        <f>TabBilanMental152340[[#This Row],[C. Réel]]-TabBilanMental152340[[#This Row],[C. Prévue]]</f>
        <v>0</v>
      </c>
      <c r="M33" s="515">
        <f>TabBilanMental152340[[#This Row],[C. Réel]]-K32</f>
        <v>0</v>
      </c>
      <c r="N33" s="516"/>
      <c r="R33" s="290" t="str">
        <f>Match!IJ7</f>
        <v>.. /.. /..</v>
      </c>
      <c r="S33" s="335">
        <f>Match!IJ5</f>
        <v>0</v>
      </c>
      <c r="T33" s="292" t="str">
        <f>Match!IM40</f>
        <v/>
      </c>
      <c r="U33" s="293" t="str">
        <f>Match!IN40</f>
        <v/>
      </c>
    </row>
    <row r="34" spans="2:21" ht="14.25">
      <c r="B34" s="290">
        <f>IF(INDEX(TabEntrainement[Seance],ROW()-10)&lt;&gt;0,INDEX(TabEntrainement[Seance],ROW()-10),"")</f>
        <v>43358</v>
      </c>
      <c r="C34" s="291">
        <f>INDEX(TabEntrainement[Durée],ROW()-10)</f>
        <v>36</v>
      </c>
      <c r="D34" s="292">
        <f>INDEX(TabREP[Moyenne],ROW()-10)</f>
        <v>3.3636363636363638</v>
      </c>
      <c r="E34" s="293">
        <f>IF(TabBilanMental15[[#This Row],[Durée]]="","",TabBilanMental15[[#This Row],[Durée]]*TabBilanMental15[[#This Row],[RPE]])</f>
        <v>121.09090909090909</v>
      </c>
      <c r="I34" s="294">
        <v>24</v>
      </c>
      <c r="J34" s="291"/>
      <c r="K34" s="291"/>
      <c r="L34" s="291">
        <f>TabBilanMental152340[[#This Row],[C. Réel]]-TabBilanMental152340[[#This Row],[C. Prévue]]</f>
        <v>0</v>
      </c>
      <c r="M34" s="515">
        <f>TabBilanMental152340[[#This Row],[C. Réel]]-K33</f>
        <v>0</v>
      </c>
      <c r="N34" s="516"/>
      <c r="R34" s="290" t="str">
        <f>Match!IT7</f>
        <v>.. /.. /..</v>
      </c>
      <c r="S34" s="335">
        <f>Match!IT5</f>
        <v>0</v>
      </c>
      <c r="T34" s="292" t="str">
        <f>Match!IW40</f>
        <v/>
      </c>
      <c r="U34" s="293" t="str">
        <f>Match!IX40</f>
        <v/>
      </c>
    </row>
    <row r="35" spans="2:21" ht="14.25">
      <c r="B35" s="290" t="str">
        <f>IF(INDEX(TabEntrainement[Seance],ROW()-10)&lt;&gt;0,INDEX(TabEntrainement[Seance],ROW()-10),"")</f>
        <v/>
      </c>
      <c r="C35" s="291" t="str">
        <f>INDEX(TabEntrainement[Durée],ROW()-10)</f>
        <v/>
      </c>
      <c r="D35" s="292" t="str">
        <f>INDEX(TabREP[Moyenne],ROW()-10)</f>
        <v/>
      </c>
      <c r="E35" s="510" t="str">
        <f>IF(TabBilanMental15[[#This Row],[Durée]]="","",TabBilanMental15[[#This Row],[Durée]]*TabBilanMental15[[#This Row],[RPE]])</f>
        <v/>
      </c>
      <c r="I35" s="294">
        <v>25</v>
      </c>
      <c r="J35" s="291"/>
      <c r="K35" s="291"/>
      <c r="L35" s="291">
        <f>TabBilanMental152340[[#This Row],[C. Réel]]-TabBilanMental152340[[#This Row],[C. Prévue]]</f>
        <v>0</v>
      </c>
      <c r="M35" s="515">
        <f>TabBilanMental152340[[#This Row],[C. Réel]]-K34</f>
        <v>0</v>
      </c>
      <c r="N35" s="516"/>
      <c r="R35" s="290" t="str">
        <f>Match!JD7</f>
        <v>.. /.. /..</v>
      </c>
      <c r="S35" s="335">
        <f>Match!JD5</f>
        <v>0</v>
      </c>
      <c r="T35" s="292" t="str">
        <f>Match!JG40</f>
        <v/>
      </c>
      <c r="U35" s="293" t="str">
        <f>Match!JH40</f>
        <v/>
      </c>
    </row>
    <row r="36" spans="2:21" ht="14.25">
      <c r="B36" s="290" t="str">
        <f>IF(INDEX(TabEntrainement[Seance],ROW()-10)&lt;&gt;0,INDEX(TabEntrainement[Seance],ROW()-10),"")</f>
        <v/>
      </c>
      <c r="C36" s="291" t="str">
        <f>INDEX(TabEntrainement[Durée],ROW()-10)</f>
        <v/>
      </c>
      <c r="D36" s="292" t="str">
        <f>INDEX(TabREP[Moyenne],ROW()-10)</f>
        <v/>
      </c>
      <c r="E36" s="293" t="str">
        <f>IF(TabBilanMental15[[#This Row],[Durée]]="","",TabBilanMental15[[#This Row],[Durée]]*TabBilanMental15[[#This Row],[RPE]])</f>
        <v/>
      </c>
      <c r="I36" s="294">
        <v>26</v>
      </c>
      <c r="J36" s="291"/>
      <c r="K36" s="291"/>
      <c r="L36" s="291">
        <f>TabBilanMental152340[[#This Row],[C. Réel]]-TabBilanMental152340[[#This Row],[C. Prévue]]</f>
        <v>0</v>
      </c>
      <c r="M36" s="515">
        <f>TabBilanMental152340[[#This Row],[C. Réel]]-K35</f>
        <v>0</v>
      </c>
      <c r="N36" s="516"/>
      <c r="R36" s="290" t="str">
        <f>Match!JN7</f>
        <v>.. /.. /..</v>
      </c>
      <c r="S36" s="335">
        <f>Match!JN5</f>
        <v>0</v>
      </c>
      <c r="T36" s="292" t="str">
        <f>Match!JQ40</f>
        <v/>
      </c>
      <c r="U36" s="293" t="str">
        <f>Match!JR40</f>
        <v/>
      </c>
    </row>
    <row r="37" spans="2:21" ht="14.25">
      <c r="B37" s="290" t="str">
        <f>IF(INDEX(TabEntrainement[Seance],ROW()-10)&lt;&gt;0,INDEX(TabEntrainement[Seance],ROW()-10),"")</f>
        <v/>
      </c>
      <c r="C37" s="291" t="str">
        <f>INDEX(TabEntrainement[Durée],ROW()-10)</f>
        <v/>
      </c>
      <c r="D37" s="292" t="str">
        <f>INDEX(TabREP[Moyenne],ROW()-10)</f>
        <v/>
      </c>
      <c r="E37" s="293" t="str">
        <f>IF(TabBilanMental15[[#This Row],[Durée]]="","",TabBilanMental15[[#This Row],[Durée]]*TabBilanMental15[[#This Row],[RPE]])</f>
        <v/>
      </c>
      <c r="I37" s="294">
        <v>27</v>
      </c>
      <c r="J37" s="291"/>
      <c r="K37" s="291"/>
      <c r="L37" s="291">
        <f>TabBilanMental152340[[#This Row],[C. Réel]]-TabBilanMental152340[[#This Row],[C. Prévue]]</f>
        <v>0</v>
      </c>
      <c r="M37" s="515">
        <f>TabBilanMental152340[[#This Row],[C. Réel]]-K36</f>
        <v>0</v>
      </c>
      <c r="N37" s="516"/>
      <c r="R37" s="290" t="str">
        <f>Match!JX7</f>
        <v>.. /.. /..</v>
      </c>
      <c r="S37" s="335">
        <f>Match!JX5</f>
        <v>0</v>
      </c>
      <c r="T37" s="292" t="str">
        <f>Match!KA40</f>
        <v/>
      </c>
      <c r="U37" s="293" t="str">
        <f>Match!KB40</f>
        <v/>
      </c>
    </row>
    <row r="38" spans="2:21" ht="14.25">
      <c r="B38" s="290" t="str">
        <f>IF(INDEX(TabEntrainement[Seance],ROW()-10)&lt;&gt;0,INDEX(TabEntrainement[Seance],ROW()-10),"")</f>
        <v/>
      </c>
      <c r="C38" s="291" t="str">
        <f>INDEX(TabEntrainement[Durée],ROW()-10)</f>
        <v/>
      </c>
      <c r="D38" s="292" t="str">
        <f>INDEX(TabREP[Moyenne],ROW()-10)</f>
        <v/>
      </c>
      <c r="E38" s="293" t="str">
        <f>IF(TabBilanMental15[[#This Row],[Durée]]="","",TabBilanMental15[[#This Row],[Durée]]*TabBilanMental15[[#This Row],[RPE]])</f>
        <v/>
      </c>
      <c r="I38" s="294">
        <v>28</v>
      </c>
      <c r="J38" s="291"/>
      <c r="K38" s="291"/>
      <c r="L38" s="291">
        <f>TabBilanMental152340[[#This Row],[C. Réel]]-TabBilanMental152340[[#This Row],[C. Prévue]]</f>
        <v>0</v>
      </c>
      <c r="M38" s="515">
        <f>TabBilanMental152340[[#This Row],[C. Réel]]-K37</f>
        <v>0</v>
      </c>
      <c r="N38" s="516"/>
      <c r="R38" s="290" t="str">
        <f>Match!KH7</f>
        <v>.. /.. /..</v>
      </c>
      <c r="S38" s="335">
        <f>Match!KH5</f>
        <v>0</v>
      </c>
      <c r="T38" s="292" t="str">
        <f>Match!KK40</f>
        <v/>
      </c>
      <c r="U38" s="293" t="str">
        <f>Match!KL40</f>
        <v/>
      </c>
    </row>
    <row r="39" spans="2:21" ht="14.25">
      <c r="B39" s="290" t="str">
        <f>IF(INDEX(TabEntrainement[Seance],ROW()-10)&lt;&gt;0,INDEX(TabEntrainement[Seance],ROW()-10),"")</f>
        <v/>
      </c>
      <c r="C39" s="291" t="str">
        <f>INDEX(TabEntrainement[Durée],ROW()-10)</f>
        <v/>
      </c>
      <c r="D39" s="292" t="str">
        <f>INDEX(TabREP[Moyenne],ROW()-10)</f>
        <v/>
      </c>
      <c r="E39" s="293" t="str">
        <f>IF(TabBilanMental15[[#This Row],[Durée]]="","",TabBilanMental15[[#This Row],[Durée]]*TabBilanMental15[[#This Row],[RPE]])</f>
        <v/>
      </c>
      <c r="I39" s="294">
        <v>29</v>
      </c>
      <c r="J39" s="291"/>
      <c r="K39" s="291"/>
      <c r="L39" s="291">
        <f>TabBilanMental152340[[#This Row],[C. Réel]]-TabBilanMental152340[[#This Row],[C. Prévue]]</f>
        <v>0</v>
      </c>
      <c r="M39" s="515">
        <f>TabBilanMental152340[[#This Row],[C. Réel]]-K38</f>
        <v>0</v>
      </c>
      <c r="N39" s="516"/>
      <c r="R39" s="290" t="str">
        <f>Match!KR7</f>
        <v>.. /.. /..</v>
      </c>
      <c r="S39" s="335">
        <f>Match!KR5</f>
        <v>0</v>
      </c>
      <c r="T39" s="292" t="str">
        <f>Match!KU40</f>
        <v/>
      </c>
      <c r="U39" s="293" t="str">
        <f>Match!KV40</f>
        <v/>
      </c>
    </row>
    <row r="40" spans="2:21" ht="14.25">
      <c r="B40" s="290" t="str">
        <f>IF(INDEX(TabEntrainement[Seance],ROW()-10)&lt;&gt;0,INDEX(TabEntrainement[Seance],ROW()-10),"")</f>
        <v/>
      </c>
      <c r="C40" s="291" t="str">
        <f>INDEX(TabEntrainement[Durée],ROW()-10)</f>
        <v/>
      </c>
      <c r="D40" s="292" t="str">
        <f>INDEX(TabREP[Moyenne],ROW()-10)</f>
        <v/>
      </c>
      <c r="E40" s="293" t="str">
        <f>IF(TabBilanMental15[[#This Row],[Durée]]="","",TabBilanMental15[[#This Row],[Durée]]*TabBilanMental15[[#This Row],[RPE]])</f>
        <v/>
      </c>
      <c r="I40" s="294">
        <v>30</v>
      </c>
      <c r="J40" s="291"/>
      <c r="K40" s="291"/>
      <c r="L40" s="291">
        <f>TabBilanMental152340[[#This Row],[C. Réel]]-TabBilanMental152340[[#This Row],[C. Prévue]]</f>
        <v>0</v>
      </c>
      <c r="M40" s="515">
        <f>TabBilanMental152340[[#This Row],[C. Réel]]-K39</f>
        <v>0</v>
      </c>
      <c r="N40" s="516"/>
      <c r="R40" s="290" t="str">
        <f>Match!LB7</f>
        <v>.. /.. /..</v>
      </c>
      <c r="S40" s="335">
        <f>Match!LB5</f>
        <v>0</v>
      </c>
      <c r="T40" s="292" t="str">
        <f>Match!LE40</f>
        <v/>
      </c>
      <c r="U40" s="293" t="str">
        <f>Match!LF40</f>
        <v/>
      </c>
    </row>
    <row r="41" spans="2:21" ht="14.25">
      <c r="B41" s="290" t="str">
        <f>IF(INDEX(TabEntrainement[Seance],ROW()-10)&lt;&gt;0,INDEX(TabEntrainement[Seance],ROW()-10),"")</f>
        <v/>
      </c>
      <c r="C41" s="291" t="str">
        <f>INDEX(TabEntrainement[Durée],ROW()-10)</f>
        <v/>
      </c>
      <c r="D41" s="292" t="str">
        <f>INDEX(TabREP[Moyenne],ROW()-10)</f>
        <v/>
      </c>
      <c r="E41" s="293" t="str">
        <f>IF(TabBilanMental15[[#This Row],[Durée]]="","",TabBilanMental15[[#This Row],[Durée]]*TabBilanMental15[[#This Row],[RPE]])</f>
        <v/>
      </c>
      <c r="I41" s="294">
        <v>31</v>
      </c>
      <c r="J41" s="291"/>
      <c r="K41" s="291"/>
      <c r="L41" s="291">
        <f>TabBilanMental152340[[#This Row],[C. Réel]]-TabBilanMental152340[[#This Row],[C. Prévue]]</f>
        <v>0</v>
      </c>
      <c r="M41" s="515">
        <f>TabBilanMental152340[[#This Row],[C. Réel]]-K40</f>
        <v>0</v>
      </c>
      <c r="N41" s="516"/>
      <c r="R41" s="290" t="str">
        <f>Match!LL7</f>
        <v>.. /.. /..</v>
      </c>
      <c r="S41" s="335">
        <f>Match!LL5</f>
        <v>0</v>
      </c>
      <c r="T41" s="292" t="str">
        <f>Match!LO40</f>
        <v/>
      </c>
      <c r="U41" s="293" t="str">
        <f>Match!LP40</f>
        <v/>
      </c>
    </row>
    <row r="42" spans="2:21" ht="14.25">
      <c r="B42" s="290" t="str">
        <f>IF(INDEX(TabEntrainement[Seance],ROW()-10)&lt;&gt;0,INDEX(TabEntrainement[Seance],ROW()-10),"")</f>
        <v/>
      </c>
      <c r="C42" s="291" t="str">
        <f>INDEX(TabEntrainement[Durée],ROW()-10)</f>
        <v/>
      </c>
      <c r="D42" s="292" t="str">
        <f>INDEX(TabREP[Moyenne],ROW()-10)</f>
        <v/>
      </c>
      <c r="E42" s="293" t="str">
        <f>IF(TabBilanMental15[[#This Row],[Durée]]="","",TabBilanMental15[[#This Row],[Durée]]*TabBilanMental15[[#This Row],[RPE]])</f>
        <v/>
      </c>
      <c r="I42" s="294">
        <v>32</v>
      </c>
      <c r="J42" s="291"/>
      <c r="K42" s="291"/>
      <c r="L42" s="291">
        <f>TabBilanMental152340[[#This Row],[C. Réel]]-TabBilanMental152340[[#This Row],[C. Prévue]]</f>
        <v>0</v>
      </c>
      <c r="M42" s="515">
        <f>TabBilanMental152340[[#This Row],[C. Réel]]-K41</f>
        <v>0</v>
      </c>
      <c r="N42" s="516"/>
      <c r="R42" s="290" t="str">
        <f>Match!LV7</f>
        <v>.. /.. /..</v>
      </c>
      <c r="S42" s="335">
        <f>Match!LV5</f>
        <v>0</v>
      </c>
      <c r="T42" s="292" t="str">
        <f>Match!LY40</f>
        <v/>
      </c>
      <c r="U42" s="293" t="str">
        <f>Match!LZ40</f>
        <v/>
      </c>
    </row>
    <row r="43" spans="2:21" ht="14.25">
      <c r="B43" s="290" t="str">
        <f>IF(INDEX(TabEntrainement[Seance],ROW()-10)&lt;&gt;0,INDEX(TabEntrainement[Seance],ROW()-10),"")</f>
        <v/>
      </c>
      <c r="C43" s="291" t="str">
        <f>INDEX(TabEntrainement[Durée],ROW()-10)</f>
        <v/>
      </c>
      <c r="D43" s="292" t="str">
        <f>INDEX(TabREP[Moyenne],ROW()-10)</f>
        <v/>
      </c>
      <c r="E43" s="293" t="str">
        <f>IF(TabBilanMental15[[#This Row],[Durée]]="","",TabBilanMental15[[#This Row],[Durée]]*TabBilanMental15[[#This Row],[RPE]])</f>
        <v/>
      </c>
      <c r="I43" s="294">
        <v>33</v>
      </c>
      <c r="J43" s="291"/>
      <c r="K43" s="291"/>
      <c r="L43" s="291">
        <f>TabBilanMental152340[[#This Row],[C. Réel]]-TabBilanMental152340[[#This Row],[C. Prévue]]</f>
        <v>0</v>
      </c>
      <c r="M43" s="515">
        <f>TabBilanMental152340[[#This Row],[C. Réel]]-K42</f>
        <v>0</v>
      </c>
      <c r="N43" s="516"/>
      <c r="R43" s="332" t="s">
        <v>9</v>
      </c>
      <c r="S43" s="333"/>
      <c r="T43" s="85">
        <f>SUBTOTAL(101,TabBilanMental1523[RPE])</f>
        <v>6.035819327731093</v>
      </c>
      <c r="U43" s="334">
        <f>SUBTOTAL(101,TabBilanMental1523[Charge])</f>
        <v>400.91250000000002</v>
      </c>
    </row>
    <row r="44" spans="2:21" ht="14.25">
      <c r="B44" s="290" t="str">
        <f>IF(INDEX(TabEntrainement[Seance],ROW()-10)&lt;&gt;0,INDEX(TabEntrainement[Seance],ROW()-10),"")</f>
        <v/>
      </c>
      <c r="C44" s="291" t="str">
        <f>INDEX(TabEntrainement[Durée],ROW()-10)</f>
        <v/>
      </c>
      <c r="D44" s="292" t="str">
        <f>INDEX(TabREP[Moyenne],ROW()-10)</f>
        <v/>
      </c>
      <c r="E44" s="293" t="str">
        <f>IF(TabBilanMental15[[#This Row],[Durée]]="","",TabBilanMental15[[#This Row],[Durée]]*TabBilanMental15[[#This Row],[RPE]])</f>
        <v/>
      </c>
      <c r="I44" s="294">
        <v>34</v>
      </c>
      <c r="J44" s="291"/>
      <c r="K44" s="291"/>
      <c r="L44" s="291">
        <f>TabBilanMental152340[[#This Row],[C. Réel]]-TabBilanMental152340[[#This Row],[C. Prévue]]</f>
        <v>0</v>
      </c>
      <c r="M44" s="515">
        <f>TabBilanMental152340[[#This Row],[C. Réel]]-K43</f>
        <v>0</v>
      </c>
      <c r="N44" s="516"/>
      <c r="R44" s="290"/>
      <c r="S44" s="291"/>
      <c r="T44" s="292"/>
      <c r="U44" s="293"/>
    </row>
    <row r="45" spans="2:21" ht="14.25">
      <c r="B45" s="290" t="str">
        <f>IF(INDEX(TabEntrainement[Seance],ROW()-10)&lt;&gt;0,INDEX(TabEntrainement[Seance],ROW()-10),"")</f>
        <v/>
      </c>
      <c r="C45" s="291" t="str">
        <f>INDEX(TabEntrainement[Durée],ROW()-10)</f>
        <v/>
      </c>
      <c r="D45" s="292" t="str">
        <f>INDEX(TabREP[Moyenne],ROW()-10)</f>
        <v/>
      </c>
      <c r="E45" s="293" t="str">
        <f>IF(TabBilanMental15[[#This Row],[Durée]]="","",TabBilanMental15[[#This Row],[Durée]]*TabBilanMental15[[#This Row],[RPE]])</f>
        <v/>
      </c>
      <c r="I45" s="294">
        <v>35</v>
      </c>
      <c r="J45" s="291"/>
      <c r="K45" s="291"/>
      <c r="L45" s="291">
        <f>TabBilanMental152340[[#This Row],[C. Réel]]-TabBilanMental152340[[#This Row],[C. Prévue]]</f>
        <v>0</v>
      </c>
      <c r="M45" s="515">
        <f>TabBilanMental152340[[#This Row],[C. Réel]]-K44</f>
        <v>0</v>
      </c>
      <c r="N45" s="516"/>
      <c r="R45" s="290"/>
      <c r="S45" s="291"/>
      <c r="T45" s="292"/>
      <c r="U45" s="293"/>
    </row>
    <row r="46" spans="2:21" ht="14.25">
      <c r="B46" s="290" t="str">
        <f>IF(INDEX(TabEntrainement[Seance],ROW()-10)&lt;&gt;0,INDEX(TabEntrainement[Seance],ROW()-10),"")</f>
        <v/>
      </c>
      <c r="C46" s="291" t="str">
        <f>INDEX(TabEntrainement[Durée],ROW()-10)</f>
        <v/>
      </c>
      <c r="D46" s="292" t="str">
        <f>INDEX(TabREP[Moyenne],ROW()-10)</f>
        <v/>
      </c>
      <c r="E46" s="293" t="str">
        <f>IF(TabBilanMental15[[#This Row],[Durée]]="","",TabBilanMental15[[#This Row],[Durée]]*TabBilanMental15[[#This Row],[RPE]])</f>
        <v/>
      </c>
      <c r="I46" s="294">
        <v>36</v>
      </c>
      <c r="J46" s="291"/>
      <c r="K46" s="291"/>
      <c r="L46" s="291">
        <f>TabBilanMental152340[[#This Row],[C. Réel]]-TabBilanMental152340[[#This Row],[C. Prévue]]</f>
        <v>0</v>
      </c>
      <c r="M46" s="515">
        <f>TabBilanMental152340[[#This Row],[C. Réel]]-K45</f>
        <v>0</v>
      </c>
      <c r="N46" s="516"/>
      <c r="R46" s="290"/>
      <c r="S46" s="291"/>
      <c r="T46" s="292"/>
      <c r="U46" s="293"/>
    </row>
    <row r="47" spans="2:21" ht="13.5">
      <c r="B47" s="290" t="str">
        <f>IF(INDEX(TabEntrainement[Seance],ROW()-10)&lt;&gt;0,INDEX(TabEntrainement[Seance],ROW()-10),"")</f>
        <v/>
      </c>
      <c r="C47" s="291" t="str">
        <f>INDEX(TabEntrainement[Durée],ROW()-10)</f>
        <v/>
      </c>
      <c r="D47" s="292" t="str">
        <f>INDEX(TabREP[Moyenne],ROW()-10)</f>
        <v/>
      </c>
      <c r="E47" s="293" t="str">
        <f>IF(TabBilanMental15[[#This Row],[Durée]]="","",TabBilanMental15[[#This Row],[Durée]]*TabBilanMental15[[#This Row],[RPE]])</f>
        <v/>
      </c>
      <c r="I47" s="332" t="s">
        <v>9</v>
      </c>
      <c r="J47" s="333">
        <f>SUBTOTAL(109,TabBilanMental152340[C. Prévue])</f>
        <v>9425</v>
      </c>
      <c r="K47" s="514">
        <f>SUBTOTAL(109,TabBilanMental152340[C. Réel])</f>
        <v>8682</v>
      </c>
      <c r="L47" s="334">
        <f>SUBTOTAL(109,TabBilanMental152340[Réel - Prévue])</f>
        <v>-743</v>
      </c>
      <c r="M47" s="35"/>
      <c r="N47" s="35"/>
      <c r="R47" s="290"/>
      <c r="S47" s="291"/>
      <c r="T47" s="292"/>
      <c r="U47" s="293"/>
    </row>
    <row r="48" spans="2:21" ht="13.5">
      <c r="B48" s="290" t="str">
        <f>IF(INDEX(TabEntrainement[Seance],ROW()-10)&lt;&gt;0,INDEX(TabEntrainement[Seance],ROW()-10),"")</f>
        <v/>
      </c>
      <c r="C48" s="291" t="str">
        <f>INDEX(TabEntrainement[Durée],ROW()-10)</f>
        <v/>
      </c>
      <c r="D48" s="292" t="str">
        <f>INDEX(TabREP[Moyenne],ROW()-10)</f>
        <v/>
      </c>
      <c r="E48" s="293" t="str">
        <f>IF(TabBilanMental15[[#This Row],[Durée]]="","",TabBilanMental15[[#This Row],[Durée]]*TabBilanMental15[[#This Row],[RPE]])</f>
        <v/>
      </c>
      <c r="R48" s="290"/>
      <c r="S48" s="291"/>
      <c r="T48" s="292"/>
      <c r="U48" s="293"/>
    </row>
    <row r="49" spans="2:21" ht="13.5">
      <c r="B49" s="290" t="str">
        <f>IF(INDEX(TabEntrainement[Seance],ROW()-10)&lt;&gt;0,INDEX(TabEntrainement[Seance],ROW()-10),"")</f>
        <v/>
      </c>
      <c r="C49" s="291" t="str">
        <f>INDEX(TabEntrainement[Durée],ROW()-10)</f>
        <v/>
      </c>
      <c r="D49" s="292" t="str">
        <f>INDEX(TabREP[Moyenne],ROW()-10)</f>
        <v/>
      </c>
      <c r="E49" s="293" t="str">
        <f>IF(TabBilanMental15[[#This Row],[Durée]]="","",TabBilanMental15[[#This Row],[Durée]]*TabBilanMental15[[#This Row],[RPE]])</f>
        <v/>
      </c>
      <c r="R49" s="290"/>
      <c r="S49" s="291"/>
      <c r="T49" s="292"/>
      <c r="U49" s="293"/>
    </row>
    <row r="50" spans="2:21" ht="13.5">
      <c r="B50" s="290" t="str">
        <f>IF(INDEX(TabEntrainement[Seance],ROW()-10)&lt;&gt;0,INDEX(TabEntrainement[Seance],ROW()-10),"")</f>
        <v/>
      </c>
      <c r="C50" s="291" t="str">
        <f>INDEX(TabEntrainement[Durée],ROW()-10)</f>
        <v/>
      </c>
      <c r="D50" s="292" t="str">
        <f>INDEX(TabREP[Moyenne],ROW()-10)</f>
        <v/>
      </c>
      <c r="E50" s="293" t="str">
        <f>IF(TabBilanMental15[[#This Row],[Durée]]="","",TabBilanMental15[[#This Row],[Durée]]*TabBilanMental15[[#This Row],[RPE]])</f>
        <v/>
      </c>
      <c r="R50" s="290"/>
      <c r="S50" s="291"/>
      <c r="T50" s="292"/>
      <c r="U50" s="293"/>
    </row>
    <row r="51" spans="2:21" ht="13.5">
      <c r="B51" s="290" t="str">
        <f>IF(INDEX(TabEntrainement[Seance],ROW()-10)&lt;&gt;0,INDEX(TabEntrainement[Seance],ROW()-10),"")</f>
        <v/>
      </c>
      <c r="C51" s="291" t="str">
        <f>INDEX(TabEntrainement[Durée],ROW()-10)</f>
        <v/>
      </c>
      <c r="D51" s="292" t="str">
        <f>INDEX(TabREP[Moyenne],ROW()-10)</f>
        <v/>
      </c>
      <c r="E51" s="293" t="str">
        <f>IF(TabBilanMental15[[#This Row],[Durée]]="","",TabBilanMental15[[#This Row],[Durée]]*TabBilanMental15[[#This Row],[RPE]])</f>
        <v/>
      </c>
      <c r="R51" s="290"/>
      <c r="S51" s="291"/>
      <c r="T51" s="292"/>
      <c r="U51" s="293"/>
    </row>
    <row r="52" spans="2:21" ht="13.5">
      <c r="B52" s="290" t="str">
        <f>IF(INDEX(TabEntrainement[Seance],ROW()-10)&lt;&gt;0,INDEX(TabEntrainement[Seance],ROW()-10),"")</f>
        <v/>
      </c>
      <c r="C52" s="291" t="str">
        <f>INDEX(TabEntrainement[Durée],ROW()-10)</f>
        <v/>
      </c>
      <c r="D52" s="292" t="str">
        <f>INDEX(TabREP[Moyenne],ROW()-10)</f>
        <v/>
      </c>
      <c r="E52" s="293" t="str">
        <f>IF(TabBilanMental15[[#This Row],[Durée]]="","",TabBilanMental15[[#This Row],[Durée]]*TabBilanMental15[[#This Row],[RPE]])</f>
        <v/>
      </c>
      <c r="R52" s="290"/>
      <c r="S52" s="291"/>
      <c r="T52" s="292"/>
      <c r="U52" s="293"/>
    </row>
    <row r="53" spans="2:21" ht="13.5">
      <c r="B53" s="290" t="str">
        <f>IF(INDEX(TabEntrainement[Seance],ROW()-10)&lt;&gt;0,INDEX(TabEntrainement[Seance],ROW()-10),"")</f>
        <v/>
      </c>
      <c r="C53" s="291" t="str">
        <f>INDEX(TabEntrainement[Durée],ROW()-10)</f>
        <v/>
      </c>
      <c r="D53" s="292" t="str">
        <f>INDEX(TabREP[Moyenne],ROW()-10)</f>
        <v/>
      </c>
      <c r="E53" s="293" t="str">
        <f>IF(TabBilanMental15[[#This Row],[Durée]]="","",TabBilanMental15[[#This Row],[Durée]]*TabBilanMental15[[#This Row],[RPE]])</f>
        <v/>
      </c>
      <c r="R53" s="290"/>
      <c r="S53" s="291"/>
      <c r="T53" s="292"/>
      <c r="U53" s="293"/>
    </row>
    <row r="54" spans="2:21" ht="13.5">
      <c r="B54" s="290" t="str">
        <f>IF(INDEX(TabEntrainement[Seance],ROW()-10)&lt;&gt;0,INDEX(TabEntrainement[Seance],ROW()-10),"")</f>
        <v/>
      </c>
      <c r="C54" s="291" t="str">
        <f>INDEX(TabEntrainement[Durée],ROW()-10)</f>
        <v/>
      </c>
      <c r="D54" s="292" t="str">
        <f>INDEX(TabREP[Moyenne],ROW()-10)</f>
        <v/>
      </c>
      <c r="E54" s="293" t="str">
        <f>IF(TabBilanMental15[[#This Row],[Durée]]="","",TabBilanMental15[[#This Row],[Durée]]*TabBilanMental15[[#This Row],[RPE]])</f>
        <v/>
      </c>
      <c r="R54" s="290"/>
      <c r="S54" s="291"/>
      <c r="T54" s="292"/>
      <c r="U54" s="293"/>
    </row>
    <row r="55" spans="2:21" ht="13.5">
      <c r="B55" s="290" t="str">
        <f>IF(INDEX(TabEntrainement[Seance],ROW()-10)&lt;&gt;0,INDEX(TabEntrainement[Seance],ROW()-10),"")</f>
        <v/>
      </c>
      <c r="C55" s="291" t="str">
        <f>INDEX(TabEntrainement[Durée],ROW()-10)</f>
        <v/>
      </c>
      <c r="D55" s="292" t="str">
        <f>INDEX(TabREP[Moyenne],ROW()-10)</f>
        <v/>
      </c>
      <c r="E55" s="293" t="str">
        <f>IF(TabBilanMental15[[#This Row],[Durée]]="","",TabBilanMental15[[#This Row],[Durée]]*TabBilanMental15[[#This Row],[RPE]])</f>
        <v/>
      </c>
      <c r="R55" s="290"/>
      <c r="S55" s="291"/>
      <c r="T55" s="292"/>
      <c r="U55" s="293"/>
    </row>
    <row r="56" spans="2:21" ht="13.5">
      <c r="B56" s="290" t="str">
        <f>IF(INDEX(TabEntrainement[Seance],ROW()-10)&lt;&gt;0,INDEX(TabEntrainement[Seance],ROW()-10),"")</f>
        <v/>
      </c>
      <c r="C56" s="291" t="str">
        <f>INDEX(TabEntrainement[Durée],ROW()-10)</f>
        <v/>
      </c>
      <c r="D56" s="292" t="str">
        <f>INDEX(TabREP[Moyenne],ROW()-10)</f>
        <v/>
      </c>
      <c r="E56" s="293" t="str">
        <f>IF(TabBilanMental15[[#This Row],[Durée]]="","",TabBilanMental15[[#This Row],[Durée]]*TabBilanMental15[[#This Row],[RPE]])</f>
        <v/>
      </c>
      <c r="R56" s="290"/>
      <c r="S56" s="291"/>
      <c r="T56" s="292"/>
      <c r="U56" s="293"/>
    </row>
    <row r="57" spans="2:21" ht="13.5" customHeight="1">
      <c r="B57" s="290" t="str">
        <f>IF(INDEX(TabEntrainement[Seance],ROW()-10)&lt;&gt;0,INDEX(TabEntrainement[Seance],ROW()-10),"")</f>
        <v/>
      </c>
      <c r="C57" s="291" t="str">
        <f>INDEX(TabEntrainement[Durée],ROW()-10)</f>
        <v/>
      </c>
      <c r="D57" s="292" t="str">
        <f>INDEX(TabREP[Moyenne],ROW()-10)</f>
        <v/>
      </c>
      <c r="E57" s="293" t="str">
        <f>IF(TabBilanMental15[[#This Row],[Durée]]="","",TabBilanMental15[[#This Row],[Durée]]*TabBilanMental15[[#This Row],[RPE]])</f>
        <v/>
      </c>
      <c r="G57" s="574" t="s">
        <v>447</v>
      </c>
      <c r="H57" s="575"/>
      <c r="I57" s="575"/>
      <c r="J57" s="575"/>
      <c r="K57" s="575"/>
      <c r="L57" s="575"/>
      <c r="M57" s="575"/>
      <c r="N57" s="575"/>
      <c r="O57" s="575"/>
      <c r="P57" s="575"/>
      <c r="Q57" s="575"/>
      <c r="R57" s="290"/>
      <c r="S57" s="291"/>
      <c r="T57" s="292"/>
      <c r="U57" s="293"/>
    </row>
    <row r="58" spans="2:21" ht="13.5" customHeight="1">
      <c r="B58" s="290" t="str">
        <f>IF(INDEX(TabEntrainement[Seance],ROW()-10)&lt;&gt;0,INDEX(TabEntrainement[Seance],ROW()-10),"")</f>
        <v/>
      </c>
      <c r="C58" s="291" t="str">
        <f>INDEX(TabEntrainement[Durée],ROW()-10)</f>
        <v/>
      </c>
      <c r="D58" s="292" t="str">
        <f>INDEX(TabREP[Moyenne],ROW()-10)</f>
        <v/>
      </c>
      <c r="E58" s="293" t="str">
        <f>IF(TabBilanMental15[[#This Row],[Durée]]="","",TabBilanMental15[[#This Row],[Durée]]*TabBilanMental15[[#This Row],[RPE]])</f>
        <v/>
      </c>
      <c r="G58" s="575"/>
      <c r="H58" s="575"/>
      <c r="I58" s="575"/>
      <c r="J58" s="575"/>
      <c r="K58" s="575"/>
      <c r="L58" s="575"/>
      <c r="M58" s="575"/>
      <c r="N58" s="575"/>
      <c r="O58" s="575"/>
      <c r="P58" s="575"/>
      <c r="Q58" s="575"/>
      <c r="R58" s="290"/>
      <c r="S58" s="291"/>
      <c r="T58" s="292"/>
      <c r="U58" s="293"/>
    </row>
    <row r="59" spans="2:21" ht="13.5">
      <c r="B59" s="290" t="str">
        <f>IF(INDEX(TabEntrainement[Seance],ROW()-10)&lt;&gt;0,INDEX(TabEntrainement[Seance],ROW()-10),"")</f>
        <v/>
      </c>
      <c r="C59" s="291" t="str">
        <f>INDEX(TabEntrainement[Durée],ROW()-10)</f>
        <v/>
      </c>
      <c r="D59" s="292" t="str">
        <f>INDEX(TabREP[Moyenne],ROW()-10)</f>
        <v/>
      </c>
      <c r="E59" s="293" t="str">
        <f>IF(TabBilanMental15[[#This Row],[Durée]]="","",TabBilanMental15[[#This Row],[Durée]]*TabBilanMental15[[#This Row],[RPE]])</f>
        <v/>
      </c>
      <c r="R59" s="290"/>
      <c r="S59" s="291"/>
      <c r="T59" s="292"/>
      <c r="U59" s="293"/>
    </row>
    <row r="60" spans="2:21" ht="13.5">
      <c r="B60" s="290" t="str">
        <f>IF(INDEX(TabEntrainement[Seance],ROW()-10)&lt;&gt;0,INDEX(TabEntrainement[Seance],ROW()-10),"")</f>
        <v/>
      </c>
      <c r="C60" s="291" t="str">
        <f>INDEX(TabEntrainement[Durée],ROW()-10)</f>
        <v/>
      </c>
      <c r="D60" s="292" t="str">
        <f>INDEX(TabREP[Moyenne],ROW()-10)</f>
        <v/>
      </c>
      <c r="E60" s="293" t="str">
        <f>IF(TabBilanMental15[[#This Row],[Durée]]="","",TabBilanMental15[[#This Row],[Durée]]*TabBilanMental15[[#This Row],[RPE]])</f>
        <v/>
      </c>
      <c r="H60" s="576" t="s">
        <v>179</v>
      </c>
      <c r="I60" s="578" t="s">
        <v>181</v>
      </c>
      <c r="J60" s="578" t="s">
        <v>182</v>
      </c>
      <c r="K60" s="578" t="s">
        <v>183</v>
      </c>
      <c r="L60" s="582" t="s">
        <v>184</v>
      </c>
      <c r="M60" s="578" t="s">
        <v>185</v>
      </c>
      <c r="N60" s="578" t="s">
        <v>186</v>
      </c>
      <c r="O60" s="578" t="s">
        <v>187</v>
      </c>
      <c r="P60" s="580" t="s">
        <v>63</v>
      </c>
      <c r="R60" s="290"/>
      <c r="S60" s="291"/>
      <c r="T60" s="292"/>
      <c r="U60" s="293"/>
    </row>
    <row r="61" spans="2:21" ht="13.5">
      <c r="B61" s="290" t="str">
        <f>IF(INDEX(TabEntrainement[Seance],ROW()-10)&lt;&gt;0,INDEX(TabEntrainement[Seance],ROW()-10),"")</f>
        <v/>
      </c>
      <c r="C61" s="291" t="str">
        <f>INDEX(TabEntrainement[Durée],ROW()-10)</f>
        <v/>
      </c>
      <c r="D61" s="292" t="str">
        <f>INDEX(TabREP[Moyenne],ROW()-10)</f>
        <v/>
      </c>
      <c r="E61" s="293" t="str">
        <f>IF(TabBilanMental15[[#This Row],[Durée]]="","",TabBilanMental15[[#This Row],[Durée]]*TabBilanMental15[[#This Row],[RPE]])</f>
        <v/>
      </c>
      <c r="H61" s="577"/>
      <c r="I61" s="579"/>
      <c r="J61" s="579"/>
      <c r="K61" s="579"/>
      <c r="L61" s="583"/>
      <c r="M61" s="579"/>
      <c r="N61" s="579"/>
      <c r="O61" s="579"/>
      <c r="P61" s="581"/>
      <c r="R61" s="290"/>
      <c r="S61" s="291"/>
      <c r="T61" s="292"/>
      <c r="U61" s="293"/>
    </row>
    <row r="62" spans="2:21" ht="13.5">
      <c r="B62" s="290" t="str">
        <f>IF(INDEX(TabEntrainement[Seance],ROW()-10)&lt;&gt;0,INDEX(TabEntrainement[Seance],ROW()-10),"")</f>
        <v/>
      </c>
      <c r="C62" s="291" t="str">
        <f>INDEX(TabEntrainement[Durée],ROW()-10)</f>
        <v/>
      </c>
      <c r="D62" s="292" t="str">
        <f>INDEX(TabREP[Moyenne],ROW()-10)</f>
        <v/>
      </c>
      <c r="E62" s="293" t="str">
        <f>IF(TabBilanMental15[[#This Row],[Durée]]="","",TabBilanMental15[[#This Row],[Durée]]*TabBilanMental15[[#This Row],[RPE]])</f>
        <v/>
      </c>
      <c r="H62" s="576" t="s">
        <v>180</v>
      </c>
      <c r="I62" s="568"/>
      <c r="J62" s="568">
        <v>275</v>
      </c>
      <c r="K62" s="568"/>
      <c r="L62" s="568">
        <v>360</v>
      </c>
      <c r="M62" s="568">
        <v>121</v>
      </c>
      <c r="N62" s="568"/>
      <c r="O62" s="568">
        <v>559</v>
      </c>
      <c r="P62" s="572">
        <f>SUM(I62:O63)</f>
        <v>1315</v>
      </c>
      <c r="R62" s="290"/>
      <c r="S62" s="291"/>
      <c r="T62" s="292"/>
      <c r="U62" s="293"/>
    </row>
    <row r="63" spans="2:21" ht="13.5">
      <c r="B63" s="290" t="str">
        <f>IF(INDEX(TabEntrainement[Seance],ROW()-10)&lt;&gt;0,INDEX(TabEntrainement[Seance],ROW()-10),"")</f>
        <v/>
      </c>
      <c r="C63" s="291" t="str">
        <f>INDEX(TabEntrainement[Durée],ROW()-10)</f>
        <v/>
      </c>
      <c r="D63" s="292" t="str">
        <f>INDEX(TabREP[Moyenne],ROW()-10)</f>
        <v/>
      </c>
      <c r="E63" s="293" t="str">
        <f>IF(TabBilanMental15[[#This Row],[Durée]]="","",TabBilanMental15[[#This Row],[Durée]]*TabBilanMental15[[#This Row],[RPE]])</f>
        <v/>
      </c>
      <c r="H63" s="577"/>
      <c r="I63" s="569"/>
      <c r="J63" s="569"/>
      <c r="K63" s="569"/>
      <c r="L63" s="569"/>
      <c r="M63" s="569"/>
      <c r="N63" s="569"/>
      <c r="O63" s="569"/>
      <c r="P63" s="573"/>
      <c r="R63" s="290"/>
      <c r="S63" s="291"/>
      <c r="T63" s="292"/>
      <c r="U63" s="293"/>
    </row>
    <row r="64" spans="2:21" ht="13.5">
      <c r="B64" s="290" t="str">
        <f>IF(INDEX(TabEntrainement[Seance],ROW()-10)&lt;&gt;0,INDEX(TabEntrainement[Seance],ROW()-10),"")</f>
        <v/>
      </c>
      <c r="C64" s="291" t="str">
        <f>INDEX(TabEntrainement[Durée],ROW()-10)</f>
        <v/>
      </c>
      <c r="D64" s="292" t="str">
        <f>INDEX(TabREP[Moyenne],ROW()-10)</f>
        <v/>
      </c>
      <c r="E64" s="293" t="str">
        <f>IF(TabBilanMental15[[#This Row],[Durée]]="","",TabBilanMental15[[#This Row],[Durée]]*TabBilanMental15[[#This Row],[RPE]])</f>
        <v/>
      </c>
      <c r="H64" s="570" t="str">
        <f>IF(P62&lt;=Paramétres!M12,Paramétres!N12,IF(AND(P62&gt;=Paramétres!L13,P62&lt;=Paramétres!M13),Paramétres!N13,IF(AND(P62&gt;=Paramétres!L14,P62&lt;=Paramétres!M14),Paramétres!N14,IF(P62&gt;Paramétres!L15,Paramétres!N15))))</f>
        <v>Semaine élevée</v>
      </c>
      <c r="I64" s="570"/>
      <c r="J64" s="570"/>
      <c r="K64" s="570"/>
      <c r="L64" s="570"/>
      <c r="M64" s="570"/>
      <c r="N64" s="570"/>
      <c r="O64" s="570"/>
      <c r="P64" s="570"/>
      <c r="R64" s="290"/>
      <c r="S64" s="291"/>
      <c r="T64" s="292"/>
      <c r="U64" s="293"/>
    </row>
    <row r="65" spans="2:21" ht="13.5">
      <c r="B65" s="290" t="str">
        <f>IF(INDEX(TabEntrainement[Seance],ROW()-10)&lt;&gt;0,INDEX(TabEntrainement[Seance],ROW()-10),"")</f>
        <v/>
      </c>
      <c r="C65" s="291" t="str">
        <f>INDEX(TabEntrainement[Durée],ROW()-10)</f>
        <v/>
      </c>
      <c r="D65" s="292" t="str">
        <f>INDEX(TabREP[Moyenne],ROW()-10)</f>
        <v/>
      </c>
      <c r="E65" s="293" t="str">
        <f>IF(TabBilanMental15[[#This Row],[Durée]]="","",TabBilanMental15[[#This Row],[Durée]]*TabBilanMental15[[#This Row],[RPE]])</f>
        <v/>
      </c>
      <c r="H65" s="571"/>
      <c r="I65" s="571"/>
      <c r="J65" s="571"/>
      <c r="K65" s="571"/>
      <c r="L65" s="571"/>
      <c r="M65" s="571"/>
      <c r="N65" s="571"/>
      <c r="O65" s="571"/>
      <c r="P65" s="571"/>
      <c r="R65" s="290"/>
      <c r="S65" s="291"/>
      <c r="T65" s="292"/>
      <c r="U65" s="293"/>
    </row>
    <row r="66" spans="2:21" ht="13.5">
      <c r="B66" s="290" t="str">
        <f>IF(INDEX(TabEntrainement[Seance],ROW()-10)&lt;&gt;0,INDEX(TabEntrainement[Seance],ROW()-10),"")</f>
        <v/>
      </c>
      <c r="C66" s="291" t="str">
        <f>INDEX(TabEntrainement[Durée],ROW()-10)</f>
        <v/>
      </c>
      <c r="D66" s="292" t="str">
        <f>INDEX(TabREP[Moyenne],ROW()-10)</f>
        <v/>
      </c>
      <c r="E66" s="293" t="str">
        <f>IF(TabBilanMental15[[#This Row],[Durée]]="","",TabBilanMental15[[#This Row],[Durée]]*TabBilanMental15[[#This Row],[RPE]])</f>
        <v/>
      </c>
      <c r="J66" s="561"/>
      <c r="K66" s="561"/>
      <c r="L66" s="561"/>
      <c r="M66" s="561"/>
      <c r="R66" s="290"/>
      <c r="S66" s="291"/>
      <c r="T66" s="292"/>
      <c r="U66" s="293"/>
    </row>
    <row r="67" spans="2:21" ht="13.5">
      <c r="B67" s="290" t="str">
        <f>IF(INDEX(TabEntrainement[Seance],ROW()-10)&lt;&gt;0,INDEX(TabEntrainement[Seance],ROW()-10),"")</f>
        <v/>
      </c>
      <c r="C67" s="291" t="str">
        <f>INDEX(TabEntrainement[Durée],ROW()-10)</f>
        <v/>
      </c>
      <c r="D67" s="292" t="str">
        <f>INDEX(TabREP[Moyenne],ROW()-10)</f>
        <v/>
      </c>
      <c r="E67" s="293" t="str">
        <f>IF(TabBilanMental15[[#This Row],[Durée]]="","",TabBilanMental15[[#This Row],[Durée]]*TabBilanMental15[[#This Row],[RPE]])</f>
        <v/>
      </c>
      <c r="J67" s="562"/>
      <c r="K67" s="562"/>
      <c r="L67" s="562"/>
      <c r="M67" s="562"/>
      <c r="R67" s="290"/>
      <c r="S67" s="291"/>
      <c r="T67" s="292"/>
      <c r="U67" s="293"/>
    </row>
    <row r="68" spans="2:21" ht="13.5">
      <c r="B68" s="290" t="str">
        <f>IF(INDEX(TabEntrainement[Seance],ROW()-10)&lt;&gt;0,INDEX(TabEntrainement[Seance],ROW()-10),"")</f>
        <v/>
      </c>
      <c r="C68" s="291" t="str">
        <f>INDEX(TabEntrainement[Durée],ROW()-10)</f>
        <v/>
      </c>
      <c r="D68" s="292" t="str">
        <f>INDEX(TabREP[Moyenne],ROW()-10)</f>
        <v/>
      </c>
      <c r="E68" s="293" t="str">
        <f>IF(TabBilanMental15[[#This Row],[Durée]]="","",TabBilanMental15[[#This Row],[Durée]]*TabBilanMental15[[#This Row],[RPE]])</f>
        <v/>
      </c>
      <c r="J68" s="299"/>
      <c r="K68" s="299"/>
      <c r="L68" s="299"/>
      <c r="M68" s="299"/>
      <c r="R68" s="290"/>
      <c r="S68" s="291"/>
      <c r="T68" s="292"/>
      <c r="U68" s="293"/>
    </row>
    <row r="69" spans="2:21" ht="13.5">
      <c r="B69" s="290" t="str">
        <f>IF(INDEX(TabEntrainement[Seance],ROW()-10)&lt;&gt;0,INDEX(TabEntrainement[Seance],ROW()-10),"")</f>
        <v/>
      </c>
      <c r="C69" s="291" t="str">
        <f>INDEX(TabEntrainement[Durée],ROW()-10)</f>
        <v/>
      </c>
      <c r="D69" s="292" t="str">
        <f>INDEX(TabREP[Moyenne],ROW()-10)</f>
        <v/>
      </c>
      <c r="E69" s="293" t="str">
        <f>IF(TabBilanMental15[[#This Row],[Durée]]="","",TabBilanMental15[[#This Row],[Durée]]*TabBilanMental15[[#This Row],[RPE]])</f>
        <v/>
      </c>
      <c r="J69" s="299"/>
      <c r="K69" s="299"/>
      <c r="L69" s="299"/>
      <c r="M69" s="299"/>
      <c r="R69" s="290"/>
      <c r="S69" s="291"/>
      <c r="T69" s="292"/>
      <c r="U69" s="293"/>
    </row>
    <row r="70" spans="2:21" ht="13.5">
      <c r="B70" s="290" t="str">
        <f>IF(INDEX(TabEntrainement[Seance],ROW()-10)&lt;&gt;0,INDEX(TabEntrainement[Seance],ROW()-10),"")</f>
        <v/>
      </c>
      <c r="C70" s="291" t="str">
        <f>INDEX(TabEntrainement[Durée],ROW()-10)</f>
        <v/>
      </c>
      <c r="D70" s="292" t="str">
        <f>INDEX(TabREP[Moyenne],ROW()-10)</f>
        <v/>
      </c>
      <c r="E70" s="293" t="str">
        <f>IF(TabBilanMental15[[#This Row],[Durée]]="","",TabBilanMental15[[#This Row],[Durée]]*TabBilanMental15[[#This Row],[RPE]])</f>
        <v/>
      </c>
      <c r="R70" s="290"/>
      <c r="S70" s="291"/>
      <c r="T70" s="292"/>
      <c r="U70" s="293"/>
    </row>
    <row r="71" spans="2:21" ht="13.5">
      <c r="B71" s="290" t="str">
        <f>IF(INDEX(TabEntrainement[Seance],ROW()-10)&lt;&gt;0,INDEX(TabEntrainement[Seance],ROW()-10),"")</f>
        <v/>
      </c>
      <c r="C71" s="291" t="str">
        <f>INDEX(TabEntrainement[Durée],ROW()-10)</f>
        <v/>
      </c>
      <c r="D71" s="292" t="str">
        <f>INDEX(TabREP[Moyenne],ROW()-10)</f>
        <v/>
      </c>
      <c r="E71" s="293" t="str">
        <f>IF(TabBilanMental15[[#This Row],[Durée]]="","",TabBilanMental15[[#This Row],[Durée]]*TabBilanMental15[[#This Row],[RPE]])</f>
        <v/>
      </c>
      <c r="R71" s="290"/>
      <c r="S71" s="291"/>
      <c r="T71" s="292"/>
      <c r="U71" s="293"/>
    </row>
    <row r="72" spans="2:21" ht="13.5">
      <c r="B72" s="290" t="str">
        <f>IF(INDEX(TabEntrainement[Seance],ROW()-10)&lt;&gt;0,INDEX(TabEntrainement[Seance],ROW()-10),"")</f>
        <v/>
      </c>
      <c r="C72" s="291" t="str">
        <f>INDEX(TabEntrainement[Durée],ROW()-10)</f>
        <v/>
      </c>
      <c r="D72" s="292" t="str">
        <f>INDEX(TabREP[Moyenne],ROW()-10)</f>
        <v/>
      </c>
      <c r="E72" s="293" t="str">
        <f>IF(TabBilanMental15[[#This Row],[Durée]]="","",TabBilanMental15[[#This Row],[Durée]]*TabBilanMental15[[#This Row],[RPE]])</f>
        <v/>
      </c>
      <c r="R72" s="290"/>
      <c r="S72" s="291"/>
      <c r="T72" s="292"/>
      <c r="U72" s="293"/>
    </row>
    <row r="73" spans="2:21" ht="13.5">
      <c r="B73" s="290" t="str">
        <f>IF(INDEX(TabEntrainement[Seance],ROW()-10)&lt;&gt;0,INDEX(TabEntrainement[Seance],ROW()-10),"")</f>
        <v/>
      </c>
      <c r="C73" s="291" t="str">
        <f>INDEX(TabEntrainement[Durée],ROW()-10)</f>
        <v/>
      </c>
      <c r="D73" s="292" t="str">
        <f>INDEX(TabREP[Moyenne],ROW()-10)</f>
        <v/>
      </c>
      <c r="E73" s="293" t="str">
        <f>IF(TabBilanMental15[[#This Row],[Durée]]="","",TabBilanMental15[[#This Row],[Durée]]*TabBilanMental15[[#This Row],[RPE]])</f>
        <v/>
      </c>
      <c r="R73" s="290"/>
      <c r="S73" s="291"/>
      <c r="T73" s="292"/>
      <c r="U73" s="293"/>
    </row>
    <row r="74" spans="2:21" ht="13.5">
      <c r="B74" s="290" t="str">
        <f>IF(INDEX(TabEntrainement[Seance],ROW()-10)&lt;&gt;0,INDEX(TabEntrainement[Seance],ROW()-10),"")</f>
        <v/>
      </c>
      <c r="C74" s="291" t="str">
        <f>INDEX(TabEntrainement[Durée],ROW()-10)</f>
        <v/>
      </c>
      <c r="D74" s="292" t="str">
        <f>INDEX(TabREP[Moyenne],ROW()-10)</f>
        <v/>
      </c>
      <c r="E74" s="293" t="str">
        <f>IF(TabBilanMental15[[#This Row],[Durée]]="","",TabBilanMental15[[#This Row],[Durée]]*TabBilanMental15[[#This Row],[RPE]])</f>
        <v/>
      </c>
      <c r="R74" s="290"/>
      <c r="S74" s="291"/>
      <c r="T74" s="292"/>
      <c r="U74" s="293"/>
    </row>
    <row r="75" spans="2:21" ht="13.5">
      <c r="B75" s="290" t="str">
        <f>IF(INDEX(TabEntrainement[Seance],ROW()-10)&lt;&gt;0,INDEX(TabEntrainement[Seance],ROW()-10),"")</f>
        <v/>
      </c>
      <c r="C75" s="291" t="str">
        <f>INDEX(TabEntrainement[Durée],ROW()-10)</f>
        <v/>
      </c>
      <c r="D75" s="292" t="str">
        <f>INDEX(TabREP[Moyenne],ROW()-10)</f>
        <v/>
      </c>
      <c r="E75" s="293" t="str">
        <f>IF(TabBilanMental15[[#This Row],[Durée]]="","",TabBilanMental15[[#This Row],[Durée]]*TabBilanMental15[[#This Row],[RPE]])</f>
        <v/>
      </c>
      <c r="R75" s="290"/>
      <c r="S75" s="291"/>
      <c r="T75" s="292"/>
      <c r="U75" s="293"/>
    </row>
    <row r="76" spans="2:21" ht="13.5">
      <c r="B76" s="290" t="str">
        <f>IF(INDEX(TabEntrainement[Seance],ROW()-10)&lt;&gt;0,INDEX(TabEntrainement[Seance],ROW()-10),"")</f>
        <v/>
      </c>
      <c r="C76" s="291" t="str">
        <f>INDEX(TabEntrainement[Durée],ROW()-10)</f>
        <v/>
      </c>
      <c r="D76" s="292" t="str">
        <f>INDEX(TabREP[Moyenne],ROW()-10)</f>
        <v/>
      </c>
      <c r="E76" s="293" t="str">
        <f>IF(TabBilanMental15[[#This Row],[Durée]]="","",TabBilanMental15[[#This Row],[Durée]]*TabBilanMental15[[#This Row],[RPE]])</f>
        <v/>
      </c>
      <c r="R76" s="290"/>
      <c r="S76" s="291"/>
      <c r="T76" s="292"/>
      <c r="U76" s="293"/>
    </row>
    <row r="77" spans="2:21" ht="13.5">
      <c r="B77" s="290" t="str">
        <f>IF(INDEX(TabEntrainement[Seance],ROW()-10)&lt;&gt;0,INDEX(TabEntrainement[Seance],ROW()-10),"")</f>
        <v/>
      </c>
      <c r="C77" s="291" t="str">
        <f>INDEX(TabEntrainement[Durée],ROW()-10)</f>
        <v/>
      </c>
      <c r="D77" s="292" t="str">
        <f>INDEX(TabREP[Moyenne],ROW()-10)</f>
        <v/>
      </c>
      <c r="E77" s="293" t="str">
        <f>IF(TabBilanMental15[[#This Row],[Durée]]="","",TabBilanMental15[[#This Row],[Durée]]*TabBilanMental15[[#This Row],[RPE]])</f>
        <v/>
      </c>
      <c r="R77" s="290"/>
      <c r="S77" s="291"/>
      <c r="T77" s="292"/>
      <c r="U77" s="293"/>
    </row>
    <row r="78" spans="2:21" ht="13.5">
      <c r="B78" s="290" t="str">
        <f>IF(INDEX(TabEntrainement[Seance],ROW()-10)&lt;&gt;0,INDEX(TabEntrainement[Seance],ROW()-10),"")</f>
        <v/>
      </c>
      <c r="C78" s="291" t="str">
        <f>INDEX(TabEntrainement[Durée],ROW()-10)</f>
        <v/>
      </c>
      <c r="D78" s="292" t="str">
        <f>INDEX(TabREP[Moyenne],ROW()-10)</f>
        <v/>
      </c>
      <c r="E78" s="293" t="str">
        <f>IF(TabBilanMental15[[#This Row],[Durée]]="","",TabBilanMental15[[#This Row],[Durée]]*TabBilanMental15[[#This Row],[RPE]])</f>
        <v/>
      </c>
      <c r="R78" s="290"/>
      <c r="S78" s="291"/>
      <c r="T78" s="292"/>
      <c r="U78" s="293"/>
    </row>
    <row r="79" spans="2:21" ht="13.5">
      <c r="B79" s="290" t="str">
        <f>IF(INDEX(TabEntrainement[Seance],ROW()-10)&lt;&gt;0,INDEX(TabEntrainement[Seance],ROW()-10),"")</f>
        <v/>
      </c>
      <c r="C79" s="291" t="str">
        <f>INDEX(TabEntrainement[Durée],ROW()-10)</f>
        <v/>
      </c>
      <c r="D79" s="292" t="str">
        <f>INDEX(TabREP[Moyenne],ROW()-10)</f>
        <v/>
      </c>
      <c r="E79" s="293" t="str">
        <f>IF(TabBilanMental15[[#This Row],[Durée]]="","",TabBilanMental15[[#This Row],[Durée]]*TabBilanMental15[[#This Row],[RPE]])</f>
        <v/>
      </c>
      <c r="R79" s="290"/>
      <c r="S79" s="291"/>
      <c r="T79" s="292"/>
      <c r="U79" s="293"/>
    </row>
    <row r="80" spans="2:21" ht="13.5">
      <c r="B80" s="290" t="str">
        <f>IF(INDEX(TabEntrainement[Seance],ROW()-10)&lt;&gt;0,INDEX(TabEntrainement[Seance],ROW()-10),"")</f>
        <v/>
      </c>
      <c r="C80" s="291" t="str">
        <f>INDEX(TabEntrainement[Durée],ROW()-10)</f>
        <v/>
      </c>
      <c r="D80" s="292" t="str">
        <f>INDEX(TabREP[Moyenne],ROW()-10)</f>
        <v/>
      </c>
      <c r="E80" s="293" t="str">
        <f>IF(TabBilanMental15[[#This Row],[Durée]]="","",TabBilanMental15[[#This Row],[Durée]]*TabBilanMental15[[#This Row],[RPE]])</f>
        <v/>
      </c>
      <c r="R80" s="290"/>
      <c r="S80" s="291"/>
      <c r="T80" s="292"/>
      <c r="U80" s="293"/>
    </row>
    <row r="81" spans="2:21" ht="13.5">
      <c r="B81" s="290" t="str">
        <f>IF(INDEX(TabEntrainement[Seance],ROW()-10)&lt;&gt;0,INDEX(TabEntrainement[Seance],ROW()-10),"")</f>
        <v/>
      </c>
      <c r="C81" s="291" t="str">
        <f>INDEX(TabEntrainement[Durée],ROW()-10)</f>
        <v/>
      </c>
      <c r="D81" s="292" t="str">
        <f>INDEX(TabREP[Moyenne],ROW()-10)</f>
        <v/>
      </c>
      <c r="E81" s="293" t="str">
        <f>IF(TabBilanMental15[[#This Row],[Durée]]="","",TabBilanMental15[[#This Row],[Durée]]*TabBilanMental15[[#This Row],[RPE]])</f>
        <v/>
      </c>
      <c r="R81" s="290"/>
      <c r="S81" s="291"/>
      <c r="T81" s="292"/>
      <c r="U81" s="293"/>
    </row>
    <row r="82" spans="2:21" ht="13.5">
      <c r="B82" s="290" t="str">
        <f>IF(INDEX(TabEntrainement[Seance],ROW()-10)&lt;&gt;0,INDEX(TabEntrainement[Seance],ROW()-10),"")</f>
        <v/>
      </c>
      <c r="C82" s="291" t="str">
        <f>INDEX(TabEntrainement[Durée],ROW()-10)</f>
        <v/>
      </c>
      <c r="D82" s="292" t="str">
        <f>INDEX(TabREP[Moyenne],ROW()-10)</f>
        <v/>
      </c>
      <c r="E82" s="293" t="str">
        <f>IF(TabBilanMental15[[#This Row],[Durée]]="","",TabBilanMental15[[#This Row],[Durée]]*TabBilanMental15[[#This Row],[RPE]])</f>
        <v/>
      </c>
      <c r="R82" s="290"/>
      <c r="S82" s="291"/>
      <c r="T82" s="292"/>
      <c r="U82" s="293"/>
    </row>
    <row r="83" spans="2:21" ht="13.5">
      <c r="B83" s="290" t="str">
        <f>IF(INDEX(TabEntrainement[Seance],ROW()-10)&lt;&gt;0,INDEX(TabEntrainement[Seance],ROW()-10),"")</f>
        <v/>
      </c>
      <c r="C83" s="291" t="str">
        <f>INDEX(TabEntrainement[Durée],ROW()-10)</f>
        <v/>
      </c>
      <c r="D83" s="292" t="str">
        <f>INDEX(TabREP[Moyenne],ROW()-10)</f>
        <v/>
      </c>
      <c r="E83" s="293" t="str">
        <f>IF(TabBilanMental15[[#This Row],[Durée]]="","",TabBilanMental15[[#This Row],[Durée]]*TabBilanMental15[[#This Row],[RPE]])</f>
        <v/>
      </c>
      <c r="R83" s="290"/>
      <c r="S83" s="291"/>
      <c r="T83" s="292"/>
      <c r="U83" s="293"/>
    </row>
    <row r="84" spans="2:21" ht="13.5">
      <c r="B84" s="290" t="str">
        <f>IF(INDEX(TabEntrainement[Seance],ROW()-10)&lt;&gt;0,INDEX(TabEntrainement[Seance],ROW()-10),"")</f>
        <v/>
      </c>
      <c r="C84" s="291" t="str">
        <f>INDEX(TabEntrainement[Durée],ROW()-10)</f>
        <v/>
      </c>
      <c r="D84" s="292" t="str">
        <f>INDEX(TabREP[Moyenne],ROW()-10)</f>
        <v/>
      </c>
      <c r="E84" s="293" t="str">
        <f>IF(TabBilanMental15[[#This Row],[Durée]]="","",TabBilanMental15[[#This Row],[Durée]]*TabBilanMental15[[#This Row],[RPE]])</f>
        <v/>
      </c>
      <c r="R84" s="290"/>
      <c r="S84" s="291"/>
      <c r="T84" s="292"/>
      <c r="U84" s="293"/>
    </row>
    <row r="85" spans="2:21" ht="13.5">
      <c r="B85" s="290" t="str">
        <f>IF(INDEX(TabEntrainement[Seance],ROW()-10)&lt;&gt;0,INDEX(TabEntrainement[Seance],ROW()-10),"")</f>
        <v/>
      </c>
      <c r="C85" s="291" t="str">
        <f>INDEX(TabEntrainement[Durée],ROW()-10)</f>
        <v/>
      </c>
      <c r="D85" s="292" t="str">
        <f>INDEX(TabREP[Moyenne],ROW()-10)</f>
        <v/>
      </c>
      <c r="E85" s="293" t="str">
        <f>IF(TabBilanMental15[[#This Row],[Durée]]="","",TabBilanMental15[[#This Row],[Durée]]*TabBilanMental15[[#This Row],[RPE]])</f>
        <v/>
      </c>
      <c r="R85" s="290"/>
      <c r="S85" s="291"/>
      <c r="T85" s="292"/>
      <c r="U85" s="293"/>
    </row>
    <row r="86" spans="2:21" ht="13.5">
      <c r="B86" s="290" t="str">
        <f>IF(INDEX(TabEntrainement[Seance],ROW()-10)&lt;&gt;0,INDEX(TabEntrainement[Seance],ROW()-10),"")</f>
        <v/>
      </c>
      <c r="C86" s="291" t="str">
        <f>INDEX(TabEntrainement[Durée],ROW()-10)</f>
        <v/>
      </c>
      <c r="D86" s="292" t="str">
        <f>INDEX(TabREP[Moyenne],ROW()-10)</f>
        <v/>
      </c>
      <c r="E86" s="293" t="str">
        <f>IF(TabBilanMental15[[#This Row],[Durée]]="","",TabBilanMental15[[#This Row],[Durée]]*TabBilanMental15[[#This Row],[RPE]])</f>
        <v/>
      </c>
      <c r="R86" s="290"/>
      <c r="S86" s="291"/>
      <c r="T86" s="292"/>
      <c r="U86" s="293"/>
    </row>
    <row r="87" spans="2:21" ht="13.5">
      <c r="B87" s="290" t="str">
        <f>IF(INDEX(TabEntrainement[Seance],ROW()-10)&lt;&gt;0,INDEX(TabEntrainement[Seance],ROW()-10),"")</f>
        <v/>
      </c>
      <c r="C87" s="291" t="str">
        <f>INDEX(TabEntrainement[Durée],ROW()-10)</f>
        <v/>
      </c>
      <c r="D87" s="292" t="str">
        <f>INDEX(TabREP[Moyenne],ROW()-10)</f>
        <v/>
      </c>
      <c r="E87" s="293" t="str">
        <f>IF(TabBilanMental15[[#This Row],[Durée]]="","",TabBilanMental15[[#This Row],[Durée]]*TabBilanMental15[[#This Row],[RPE]])</f>
        <v/>
      </c>
      <c r="R87" s="290"/>
      <c r="S87" s="291"/>
      <c r="T87" s="292"/>
      <c r="U87" s="293"/>
    </row>
    <row r="88" spans="2:21" ht="13.5">
      <c r="B88" s="290" t="str">
        <f>IF(INDEX(TabEntrainement[Seance],ROW()-10)&lt;&gt;0,INDEX(TabEntrainement[Seance],ROW()-10),"")</f>
        <v/>
      </c>
      <c r="C88" s="291" t="str">
        <f>INDEX(TabEntrainement[Durée],ROW()-10)</f>
        <v/>
      </c>
      <c r="D88" s="292" t="str">
        <f>INDEX(TabREP[Moyenne],ROW()-10)</f>
        <v/>
      </c>
      <c r="E88" s="293" t="str">
        <f>IF(TabBilanMental15[[#This Row],[Durée]]="","",TabBilanMental15[[#This Row],[Durée]]*TabBilanMental15[[#This Row],[RPE]])</f>
        <v/>
      </c>
      <c r="G88" s="566" t="s">
        <v>188</v>
      </c>
      <c r="H88" s="566"/>
      <c r="I88" s="349"/>
      <c r="J88" s="565" t="s">
        <v>189</v>
      </c>
      <c r="K88" s="565"/>
      <c r="M88" s="563" t="s">
        <v>190</v>
      </c>
      <c r="N88" s="563"/>
      <c r="O88" s="94"/>
      <c r="P88" s="564" t="s">
        <v>191</v>
      </c>
      <c r="Q88" s="564"/>
      <c r="R88" s="290"/>
      <c r="S88" s="291"/>
      <c r="T88" s="292"/>
      <c r="U88" s="293"/>
    </row>
    <row r="89" spans="2:21" ht="13.5">
      <c r="B89" s="290" t="str">
        <f>IF(INDEX(TabEntrainement[Seance],ROW()-10)&lt;&gt;0,INDEX(TabEntrainement[Seance],ROW()-10),"")</f>
        <v/>
      </c>
      <c r="C89" s="291" t="str">
        <f>INDEX(TabEntrainement[Durée],ROW()-10)</f>
        <v/>
      </c>
      <c r="D89" s="292" t="str">
        <f>INDEX(TabREP[Moyenne],ROW()-10)</f>
        <v/>
      </c>
      <c r="E89" s="293" t="str">
        <f>IF(TabBilanMental15[[#This Row],[Durée]]="","",TabBilanMental15[[#This Row],[Durée]]*TabBilanMental15[[#This Row],[RPE]])</f>
        <v/>
      </c>
      <c r="G89" s="355" t="s">
        <v>347</v>
      </c>
      <c r="H89" s="354">
        <f>Paramétres!M12</f>
        <v>1100</v>
      </c>
      <c r="I89" s="351"/>
      <c r="J89" s="360" t="str">
        <f>CONCATENATE("De ", Paramétres!M12)</f>
        <v>De 1100</v>
      </c>
      <c r="K89" s="359" t="str">
        <f>CONCATENATE("à ", Paramétres!L14)</f>
        <v>à 1300</v>
      </c>
      <c r="M89" s="361" t="str">
        <f>CONCATENATE("De ", Paramétres!L14)</f>
        <v>De 1300</v>
      </c>
      <c r="N89" s="358" t="str">
        <f>CONCATENATE("à ", Paramétres!L15)</f>
        <v>à 1700</v>
      </c>
      <c r="P89" s="356" t="s">
        <v>348</v>
      </c>
      <c r="Q89" s="357">
        <f>Paramétres!L15</f>
        <v>1700</v>
      </c>
      <c r="R89" s="290"/>
      <c r="S89" s="291"/>
      <c r="T89" s="292"/>
      <c r="U89" s="293"/>
    </row>
    <row r="90" spans="2:21" ht="13.5">
      <c r="B90" s="290" t="str">
        <f>IF(INDEX(TabEntrainement[Seance],ROW()-10)&lt;&gt;0,INDEX(TabEntrainement[Seance],ROW()-10),"")</f>
        <v/>
      </c>
      <c r="C90" s="291" t="str">
        <f>INDEX(TabEntrainement[Durée],ROW()-10)</f>
        <v/>
      </c>
      <c r="D90" s="292" t="str">
        <f>INDEX(TabREP[Moyenne],ROW()-10)</f>
        <v/>
      </c>
      <c r="E90" s="293" t="str">
        <f>IF(TabBilanMental15[[#This Row],[Durée]]="","",TabBilanMental15[[#This Row],[Durée]]*TabBilanMental15[[#This Row],[RPE]])</f>
        <v/>
      </c>
      <c r="G90" s="559"/>
      <c r="H90" s="559"/>
      <c r="I90" s="351"/>
      <c r="J90" s="558"/>
      <c r="K90" s="558"/>
      <c r="M90" s="558"/>
      <c r="N90" s="560"/>
      <c r="P90" s="558"/>
      <c r="Q90" s="560"/>
      <c r="R90" s="290"/>
      <c r="S90" s="291"/>
      <c r="T90" s="292"/>
      <c r="U90" s="293"/>
    </row>
    <row r="91" spans="2:21" ht="13.5">
      <c r="B91" s="290" t="str">
        <f>IF(INDEX(TabEntrainement[Seance],ROW()-10)&lt;&gt;0,INDEX(TabEntrainement[Seance],ROW()-10),"")</f>
        <v/>
      </c>
      <c r="C91" s="291" t="str">
        <f>INDEX(TabEntrainement[Durée],ROW()-10)</f>
        <v/>
      </c>
      <c r="D91" s="292" t="str">
        <f>INDEX(TabREP[Moyenne],ROW()-10)</f>
        <v/>
      </c>
      <c r="E91" s="293" t="str">
        <f>IF(TabBilanMental15[[#This Row],[Durée]]="","",TabBilanMental15[[#This Row],[Durée]]*TabBilanMental15[[#This Row],[RPE]])</f>
        <v/>
      </c>
      <c r="R91" s="290"/>
      <c r="S91" s="291"/>
      <c r="T91" s="292"/>
      <c r="U91" s="293"/>
    </row>
    <row r="92" spans="2:21" ht="13.5">
      <c r="B92" s="290" t="str">
        <f>IF(INDEX(TabEntrainement[Seance],ROW()-10)&lt;&gt;0,INDEX(TabEntrainement[Seance],ROW()-10),"")</f>
        <v/>
      </c>
      <c r="C92" s="291" t="str">
        <f>INDEX(TabEntrainement[Durée],ROW()-10)</f>
        <v/>
      </c>
      <c r="D92" s="292" t="str">
        <f>INDEX(TabREP[Moyenne],ROW()-10)</f>
        <v/>
      </c>
      <c r="E92" s="293" t="str">
        <f>IF(TabBilanMental15[[#This Row],[Durée]]="","",TabBilanMental15[[#This Row],[Durée]]*TabBilanMental15[[#This Row],[RPE]])</f>
        <v/>
      </c>
      <c r="R92" s="290"/>
      <c r="S92" s="291"/>
      <c r="T92" s="292"/>
      <c r="U92" s="293"/>
    </row>
    <row r="93" spans="2:21" ht="13.5">
      <c r="B93" s="290" t="str">
        <f>IF(INDEX(TabEntrainement[Seance],ROW()-10)&lt;&gt;0,INDEX(TabEntrainement[Seance],ROW()-10),"")</f>
        <v/>
      </c>
      <c r="C93" s="291" t="str">
        <f>INDEX(TabEntrainement[Durée],ROW()-10)</f>
        <v/>
      </c>
      <c r="D93" s="292" t="str">
        <f>INDEX(TabREP[Moyenne],ROW()-10)</f>
        <v/>
      </c>
      <c r="E93" s="293" t="str">
        <f>IF(TabBilanMental15[[#This Row],[Durée]]="","",TabBilanMental15[[#This Row],[Durée]]*TabBilanMental15[[#This Row],[RPE]])</f>
        <v/>
      </c>
      <c r="R93" s="290"/>
      <c r="S93" s="291"/>
      <c r="T93" s="292"/>
      <c r="U93" s="293"/>
    </row>
    <row r="94" spans="2:21" ht="13.5">
      <c r="B94" s="290" t="str">
        <f>IF(INDEX(TabEntrainement[Seance],ROW()-10)&lt;&gt;0,INDEX(TabEntrainement[Seance],ROW()-10),"")</f>
        <v/>
      </c>
      <c r="C94" s="291" t="str">
        <f>INDEX(TabEntrainement[Durée],ROW()-10)</f>
        <v/>
      </c>
      <c r="D94" s="292" t="str">
        <f>INDEX(TabREP[Moyenne],ROW()-10)</f>
        <v/>
      </c>
      <c r="E94" s="293" t="str">
        <f>IF(TabBilanMental15[[#This Row],[Durée]]="","",TabBilanMental15[[#This Row],[Durée]]*TabBilanMental15[[#This Row],[RPE]])</f>
        <v/>
      </c>
      <c r="R94" s="290"/>
      <c r="S94" s="291"/>
      <c r="T94" s="292"/>
      <c r="U94" s="293"/>
    </row>
    <row r="95" spans="2:21" ht="13.5">
      <c r="B95" s="290" t="str">
        <f>IF(INDEX(TabEntrainement[Seance],ROW()-10)&lt;&gt;0,INDEX(TabEntrainement[Seance],ROW()-10),"")</f>
        <v/>
      </c>
      <c r="C95" s="291" t="str">
        <f>INDEX(TabEntrainement[Durée],ROW()-10)</f>
        <v/>
      </c>
      <c r="D95" s="292" t="str">
        <f>INDEX(TabREP[Moyenne],ROW()-10)</f>
        <v/>
      </c>
      <c r="E95" s="293" t="str">
        <f>IF(TabBilanMental15[[#This Row],[Durée]]="","",TabBilanMental15[[#This Row],[Durée]]*TabBilanMental15[[#This Row],[RPE]])</f>
        <v/>
      </c>
      <c r="R95" s="290"/>
      <c r="S95" s="291"/>
      <c r="T95" s="292"/>
      <c r="U95" s="293"/>
    </row>
    <row r="96" spans="2:21" ht="13.5">
      <c r="B96" s="290" t="str">
        <f>IF(INDEX(TabEntrainement[Seance],ROW()-10)&lt;&gt;0,INDEX(TabEntrainement[Seance],ROW()-10),"")</f>
        <v/>
      </c>
      <c r="C96" s="291" t="str">
        <f>INDEX(TabEntrainement[Durée],ROW()-10)</f>
        <v/>
      </c>
      <c r="D96" s="292" t="str">
        <f>INDEX(TabREP[Moyenne],ROW()-10)</f>
        <v/>
      </c>
      <c r="E96" s="293" t="str">
        <f>IF(TabBilanMental15[[#This Row],[Durée]]="","",TabBilanMental15[[#This Row],[Durée]]*TabBilanMental15[[#This Row],[RPE]])</f>
        <v/>
      </c>
      <c r="R96" s="290"/>
      <c r="S96" s="291"/>
      <c r="T96" s="292"/>
      <c r="U96" s="293"/>
    </row>
    <row r="97" spans="2:21" ht="13.5">
      <c r="B97" s="290" t="str">
        <f>IF(INDEX(TabEntrainement[Seance],ROW()-10)&lt;&gt;0,INDEX(TabEntrainement[Seance],ROW()-10),"")</f>
        <v/>
      </c>
      <c r="C97" s="291" t="str">
        <f>INDEX(TabEntrainement[Durée],ROW()-10)</f>
        <v/>
      </c>
      <c r="D97" s="292" t="str">
        <f>INDEX(TabREP[Moyenne],ROW()-10)</f>
        <v/>
      </c>
      <c r="E97" s="293" t="str">
        <f>IF(TabBilanMental15[[#This Row],[Durée]]="","",TabBilanMental15[[#This Row],[Durée]]*TabBilanMental15[[#This Row],[RPE]])</f>
        <v/>
      </c>
      <c r="R97" s="290"/>
      <c r="S97" s="291"/>
      <c r="T97" s="292"/>
      <c r="U97" s="293"/>
    </row>
    <row r="98" spans="2:21" ht="13.5">
      <c r="B98" s="290" t="str">
        <f>IF(INDEX(TabEntrainement[Seance],ROW()-10)&lt;&gt;0,INDEX(TabEntrainement[Seance],ROW()-10),"")</f>
        <v/>
      </c>
      <c r="C98" s="291" t="str">
        <f>INDEX(TabEntrainement[Durée],ROW()-10)</f>
        <v/>
      </c>
      <c r="D98" s="292" t="str">
        <f>INDEX(TabREP[Moyenne],ROW()-10)</f>
        <v/>
      </c>
      <c r="E98" s="293" t="str">
        <f>IF(TabBilanMental15[[#This Row],[Durée]]="","",TabBilanMental15[[#This Row],[Durée]]*TabBilanMental15[[#This Row],[RPE]])</f>
        <v/>
      </c>
      <c r="R98" s="290"/>
      <c r="S98" s="291"/>
      <c r="T98" s="292"/>
      <c r="U98" s="293"/>
    </row>
    <row r="99" spans="2:21" ht="13.5">
      <c r="B99" s="290" t="str">
        <f>IF(INDEX(TabEntrainement[Seance],ROW()-10)&lt;&gt;0,INDEX(TabEntrainement[Seance],ROW()-10),"")</f>
        <v/>
      </c>
      <c r="C99" s="291" t="str">
        <f>INDEX(TabEntrainement[Durée],ROW()-10)</f>
        <v/>
      </c>
      <c r="D99" s="292" t="str">
        <f>INDEX(TabREP[Moyenne],ROW()-10)</f>
        <v/>
      </c>
      <c r="E99" s="293" t="str">
        <f>IF(TabBilanMental15[[#This Row],[Durée]]="","",TabBilanMental15[[#This Row],[Durée]]*TabBilanMental15[[#This Row],[RPE]])</f>
        <v/>
      </c>
      <c r="R99" s="290"/>
      <c r="S99" s="291"/>
      <c r="T99" s="292"/>
      <c r="U99" s="293"/>
    </row>
    <row r="100" spans="2:21" ht="13.5">
      <c r="B100" s="290" t="str">
        <f>IF(INDEX(TabEntrainement[Seance],ROW()-10)&lt;&gt;0,INDEX(TabEntrainement[Seance],ROW()-10),"")</f>
        <v/>
      </c>
      <c r="C100" s="291" t="str">
        <f>INDEX(TabEntrainement[Durée],ROW()-10)</f>
        <v/>
      </c>
      <c r="D100" s="292" t="str">
        <f>INDEX(TabREP[Moyenne],ROW()-10)</f>
        <v/>
      </c>
      <c r="E100" s="293" t="str">
        <f>IF(TabBilanMental15[[#This Row],[Durée]]="","",TabBilanMental15[[#This Row],[Durée]]*TabBilanMental15[[#This Row],[RPE]])</f>
        <v/>
      </c>
      <c r="R100" s="290"/>
      <c r="S100" s="291"/>
      <c r="T100" s="292"/>
      <c r="U100" s="293"/>
    </row>
    <row r="101" spans="2:21" ht="13.5">
      <c r="B101" s="290" t="str">
        <f>IF(INDEX(TabEntrainement[Seance],ROW()-10)&lt;&gt;0,INDEX(TabEntrainement[Seance],ROW()-10),"")</f>
        <v/>
      </c>
      <c r="C101" s="291" t="str">
        <f>INDEX(TabEntrainement[Durée],ROW()-10)</f>
        <v/>
      </c>
      <c r="D101" s="292" t="str">
        <f>INDEX(TabREP[Moyenne],ROW()-10)</f>
        <v/>
      </c>
      <c r="E101" s="293" t="str">
        <f>IF(TabBilanMental15[[#This Row],[Durée]]="","",TabBilanMental15[[#This Row],[Durée]]*TabBilanMental15[[#This Row],[RPE]])</f>
        <v/>
      </c>
      <c r="R101" s="290"/>
      <c r="S101" s="291"/>
      <c r="T101" s="292"/>
      <c r="U101" s="293"/>
    </row>
    <row r="102" spans="2:21" ht="13.5">
      <c r="B102" s="290" t="str">
        <f>IF(INDEX(TabEntrainement[Seance],ROW()-10)&lt;&gt;0,INDEX(TabEntrainement[Seance],ROW()-10),"")</f>
        <v/>
      </c>
      <c r="C102" s="291" t="str">
        <f>INDEX(TabEntrainement[Durée],ROW()-10)</f>
        <v/>
      </c>
      <c r="D102" s="292" t="str">
        <f>INDEX(TabREP[Moyenne],ROW()-10)</f>
        <v/>
      </c>
      <c r="E102" s="293" t="str">
        <f>IF(TabBilanMental15[[#This Row],[Durée]]="","",TabBilanMental15[[#This Row],[Durée]]*TabBilanMental15[[#This Row],[RPE]])</f>
        <v/>
      </c>
      <c r="R102" s="290"/>
      <c r="S102" s="291"/>
      <c r="T102" s="292"/>
      <c r="U102" s="293"/>
    </row>
    <row r="103" spans="2:21" ht="13.5">
      <c r="B103" s="290" t="str">
        <f>IF(INDEX(TabEntrainement[Seance],ROW()-10)&lt;&gt;0,INDEX(TabEntrainement[Seance],ROW()-10),"")</f>
        <v/>
      </c>
      <c r="C103" s="291" t="str">
        <f>INDEX(TabEntrainement[Durée],ROW()-10)</f>
        <v/>
      </c>
      <c r="D103" s="292" t="str">
        <f>INDEX(TabREP[Moyenne],ROW()-10)</f>
        <v/>
      </c>
      <c r="E103" s="293" t="str">
        <f>IF(TabBilanMental15[[#This Row],[Durée]]="","",TabBilanMental15[[#This Row],[Durée]]*TabBilanMental15[[#This Row],[RPE]])</f>
        <v/>
      </c>
      <c r="G103" s="352"/>
      <c r="H103" s="352"/>
      <c r="I103" s="352"/>
      <c r="J103" s="352"/>
      <c r="R103" s="290"/>
      <c r="S103" s="291"/>
      <c r="T103" s="292"/>
      <c r="U103" s="293"/>
    </row>
    <row r="104" spans="2:21" ht="13.5">
      <c r="B104" s="290" t="str">
        <f>IF(INDEX(TabEntrainement[Seance],ROW()-10)&lt;&gt;0,INDEX(TabEntrainement[Seance],ROW()-10),"")</f>
        <v/>
      </c>
      <c r="C104" s="291" t="str">
        <f>INDEX(TabEntrainement[Durée],ROW()-10)</f>
        <v/>
      </c>
      <c r="D104" s="292" t="str">
        <f>INDEX(TabREP[Moyenne],ROW()-10)</f>
        <v/>
      </c>
      <c r="E104" s="293" t="str">
        <f>IF(TabBilanMental15[[#This Row],[Durée]]="","",TabBilanMental15[[#This Row],[Durée]]*TabBilanMental15[[#This Row],[RPE]])</f>
        <v/>
      </c>
      <c r="G104" s="353"/>
      <c r="H104" s="353"/>
      <c r="I104" s="350"/>
      <c r="J104" s="352"/>
      <c r="R104" s="290"/>
      <c r="S104" s="291"/>
      <c r="T104" s="292"/>
      <c r="U104" s="293"/>
    </row>
    <row r="105" spans="2:21" ht="13.5">
      <c r="B105" s="290" t="str">
        <f>IF(INDEX(TabEntrainement[Seance],ROW()-10)&lt;&gt;0,INDEX(TabEntrainement[Seance],ROW()-10),"")</f>
        <v/>
      </c>
      <c r="C105" s="291" t="str">
        <f>INDEX(TabEntrainement[Durée],ROW()-10)</f>
        <v/>
      </c>
      <c r="D105" s="292" t="str">
        <f>INDEX(TabREP[Moyenne],ROW()-10)</f>
        <v/>
      </c>
      <c r="E105" s="293" t="str">
        <f>IF(TabBilanMental15[[#This Row],[Durée]]="","",TabBilanMental15[[#This Row],[Durée]]*TabBilanMental15[[#This Row],[RPE]])</f>
        <v/>
      </c>
      <c r="G105" s="353"/>
      <c r="H105" s="353"/>
      <c r="I105" s="350"/>
      <c r="J105" s="352"/>
      <c r="R105" s="290"/>
      <c r="S105" s="291"/>
      <c r="T105" s="292"/>
      <c r="U105" s="293"/>
    </row>
    <row r="106" spans="2:21" ht="13.5">
      <c r="B106" s="290" t="str">
        <f>IF(INDEX(TabEntrainement[Seance],ROW()-10)&lt;&gt;0,INDEX(TabEntrainement[Seance],ROW()-10),"")</f>
        <v/>
      </c>
      <c r="C106" s="291" t="str">
        <f>INDEX(TabEntrainement[Durée],ROW()-10)</f>
        <v/>
      </c>
      <c r="D106" s="292" t="str">
        <f>INDEX(TabREP[Moyenne],ROW()-10)</f>
        <v/>
      </c>
      <c r="E106" s="293" t="str">
        <f>IF(TabBilanMental15[[#This Row],[Durée]]="","",TabBilanMental15[[#This Row],[Durée]]*TabBilanMental15[[#This Row],[RPE]])</f>
        <v/>
      </c>
      <c r="G106" s="353"/>
      <c r="H106" s="353"/>
      <c r="I106" s="350"/>
      <c r="J106" s="352"/>
      <c r="R106" s="290"/>
      <c r="S106" s="291"/>
      <c r="T106" s="292"/>
      <c r="U106" s="293"/>
    </row>
    <row r="107" spans="2:21" ht="13.5">
      <c r="B107" s="290" t="str">
        <f>IF(INDEX(TabEntrainement[Seance],ROW()-10)&lt;&gt;0,INDEX(TabEntrainement[Seance],ROW()-10),"")</f>
        <v/>
      </c>
      <c r="C107" s="291" t="str">
        <f>INDEX(TabEntrainement[Durée],ROW()-10)</f>
        <v/>
      </c>
      <c r="D107" s="292" t="str">
        <f>INDEX(TabREP[Moyenne],ROW()-10)</f>
        <v/>
      </c>
      <c r="E107" s="293" t="str">
        <f>IF(TabBilanMental15[[#This Row],[Durée]]="","",TabBilanMental15[[#This Row],[Durée]]*TabBilanMental15[[#This Row],[RPE]])</f>
        <v/>
      </c>
      <c r="G107" s="353"/>
      <c r="H107" s="353"/>
      <c r="I107" s="350"/>
      <c r="J107" s="352"/>
      <c r="R107" s="290"/>
      <c r="S107" s="291"/>
      <c r="T107" s="292"/>
      <c r="U107" s="293"/>
    </row>
    <row r="108" spans="2:21" ht="13.5">
      <c r="B108" s="290" t="str">
        <f>IF(INDEX(TabEntrainement[Seance],ROW()-10)&lt;&gt;0,INDEX(TabEntrainement[Seance],ROW()-10),"")</f>
        <v/>
      </c>
      <c r="C108" s="291" t="str">
        <f>INDEX(TabEntrainement[Durée],ROW()-10)</f>
        <v/>
      </c>
      <c r="D108" s="292" t="str">
        <f>INDEX(TabREP[Moyenne],ROW()-10)</f>
        <v/>
      </c>
      <c r="E108" s="293" t="str">
        <f>IF(TabBilanMental15[[#This Row],[Durée]]="","",TabBilanMental15[[#This Row],[Durée]]*TabBilanMental15[[#This Row],[RPE]])</f>
        <v/>
      </c>
      <c r="G108" s="352"/>
      <c r="H108" s="352"/>
      <c r="I108" s="352"/>
      <c r="J108" s="352"/>
      <c r="R108" s="290"/>
      <c r="S108" s="291"/>
      <c r="T108" s="292"/>
      <c r="U108" s="293"/>
    </row>
    <row r="109" spans="2:21" ht="13.5">
      <c r="B109" s="290" t="str">
        <f>IF(INDEX(TabEntrainement[Seance],ROW()-10)&lt;&gt;0,INDEX(TabEntrainement[Seance],ROW()-10),"")</f>
        <v/>
      </c>
      <c r="C109" s="291" t="str">
        <f>INDEX(TabEntrainement[Durée],ROW()-10)</f>
        <v/>
      </c>
      <c r="D109" s="292" t="str">
        <f>INDEX(TabREP[Moyenne],ROW()-10)</f>
        <v/>
      </c>
      <c r="E109" s="293" t="str">
        <f>IF(TabBilanMental15[[#This Row],[Durée]]="","",TabBilanMental15[[#This Row],[Durée]]*TabBilanMental15[[#This Row],[RPE]])</f>
        <v/>
      </c>
      <c r="G109" s="352"/>
      <c r="H109" s="352"/>
      <c r="I109" s="352"/>
      <c r="J109" s="352"/>
      <c r="R109" s="290"/>
      <c r="S109" s="291"/>
      <c r="T109" s="292"/>
      <c r="U109" s="293"/>
    </row>
    <row r="110" spans="2:21" ht="13.5">
      <c r="B110" s="290" t="str">
        <f>IF(INDEX(TabEntrainement[Seance],ROW()-10)&lt;&gt;0,INDEX(TabEntrainement[Seance],ROW()-10),"")</f>
        <v/>
      </c>
      <c r="C110" s="291" t="str">
        <f>INDEX(TabEntrainement[Durée],ROW()-10)</f>
        <v/>
      </c>
      <c r="D110" s="292" t="str">
        <f>INDEX(TabREP[Moyenne],ROW()-10)</f>
        <v/>
      </c>
      <c r="E110" s="293" t="str">
        <f>IF(TabBilanMental15[[#This Row],[Durée]]="","",TabBilanMental15[[#This Row],[Durée]]*TabBilanMental15[[#This Row],[RPE]])</f>
        <v/>
      </c>
      <c r="R110" s="290"/>
      <c r="S110" s="291"/>
      <c r="T110" s="292"/>
      <c r="U110" s="293"/>
    </row>
    <row r="111" spans="2:21" ht="13.5">
      <c r="B111" s="290" t="str">
        <f>IF(INDEX(TabEntrainement[Seance],ROW()-10)&lt;&gt;0,INDEX(TabEntrainement[Seance],ROW()-10),"")</f>
        <v/>
      </c>
      <c r="C111" s="291" t="str">
        <f>INDEX(TabEntrainement[Durée],ROW()-10)</f>
        <v/>
      </c>
      <c r="D111" s="292" t="str">
        <f>INDEX(TabREP[Moyenne],ROW()-10)</f>
        <v/>
      </c>
      <c r="E111" s="293" t="str">
        <f>IF(TabBilanMental15[[#This Row],[Durée]]="","",TabBilanMental15[[#This Row],[Durée]]*TabBilanMental15[[#This Row],[RPE]])</f>
        <v/>
      </c>
      <c r="R111" s="290"/>
      <c r="S111" s="291"/>
      <c r="T111" s="292"/>
      <c r="U111" s="293"/>
    </row>
    <row r="112" spans="2:21" ht="13.5">
      <c r="B112" s="290" t="str">
        <f>IF(INDEX(TabEntrainement[Seance],ROW()-10)&lt;&gt;0,INDEX(TabEntrainement[Seance],ROW()-10),"")</f>
        <v/>
      </c>
      <c r="C112" s="291" t="str">
        <f>INDEX(TabEntrainement[Durée],ROW()-10)</f>
        <v/>
      </c>
      <c r="D112" s="292" t="str">
        <f>INDEX(TabREP[Moyenne],ROW()-10)</f>
        <v/>
      </c>
      <c r="E112" s="293" t="str">
        <f>IF(TabBilanMental15[[#This Row],[Durée]]="","",TabBilanMental15[[#This Row],[Durée]]*TabBilanMental15[[#This Row],[RPE]])</f>
        <v/>
      </c>
      <c r="R112" s="290"/>
      <c r="S112" s="291"/>
      <c r="T112" s="292"/>
      <c r="U112" s="293"/>
    </row>
    <row r="113" spans="2:21" ht="13.5">
      <c r="B113" s="290" t="str">
        <f>IF(INDEX(TabEntrainement[Seance],ROW()-10)&lt;&gt;0,INDEX(TabEntrainement[Seance],ROW()-10),"")</f>
        <v/>
      </c>
      <c r="C113" s="291" t="str">
        <f>INDEX(TabEntrainement[Durée],ROW()-10)</f>
        <v/>
      </c>
      <c r="D113" s="292" t="str">
        <f>INDEX(TabREP[Moyenne],ROW()-10)</f>
        <v/>
      </c>
      <c r="E113" s="293" t="str">
        <f>IF(TabBilanMental15[[#This Row],[Durée]]="","",TabBilanMental15[[#This Row],[Durée]]*TabBilanMental15[[#This Row],[RPE]])</f>
        <v/>
      </c>
      <c r="R113" s="290"/>
      <c r="S113" s="291"/>
      <c r="T113" s="292"/>
      <c r="U113" s="293"/>
    </row>
    <row r="114" spans="2:21" ht="13.5">
      <c r="B114" s="290" t="str">
        <f>IF(INDEX(TabEntrainement[Seance],ROW()-10)&lt;&gt;0,INDEX(TabEntrainement[Seance],ROW()-10),"")</f>
        <v/>
      </c>
      <c r="C114" s="291" t="str">
        <f>INDEX(TabEntrainement[Durée],ROW()-10)</f>
        <v/>
      </c>
      <c r="D114" s="292" t="str">
        <f>INDEX(TabREP[Moyenne],ROW()-10)</f>
        <v/>
      </c>
      <c r="E114" s="293" t="str">
        <f>IF(TabBilanMental15[[#This Row],[Durée]]="","",TabBilanMental15[[#This Row],[Durée]]*TabBilanMental15[[#This Row],[RPE]])</f>
        <v/>
      </c>
      <c r="R114" s="290"/>
      <c r="S114" s="291"/>
      <c r="T114" s="292"/>
      <c r="U114" s="293"/>
    </row>
    <row r="115" spans="2:21" ht="13.5">
      <c r="B115" s="290" t="str">
        <f>IF(INDEX(TabEntrainement[Seance],ROW()-10)&lt;&gt;0,INDEX(TabEntrainement[Seance],ROW()-10),"")</f>
        <v/>
      </c>
      <c r="C115" s="291" t="str">
        <f>INDEX(TabEntrainement[Durée],ROW()-10)</f>
        <v/>
      </c>
      <c r="D115" s="292" t="str">
        <f>INDEX(TabREP[Moyenne],ROW()-10)</f>
        <v/>
      </c>
      <c r="E115" s="293" t="str">
        <f>IF(TabBilanMental15[[#This Row],[Durée]]="","",TabBilanMental15[[#This Row],[Durée]]*TabBilanMental15[[#This Row],[RPE]])</f>
        <v/>
      </c>
      <c r="R115" s="290"/>
      <c r="S115" s="291"/>
      <c r="T115" s="292"/>
      <c r="U115" s="293"/>
    </row>
    <row r="116" spans="2:21" ht="13.5">
      <c r="B116" s="290" t="str">
        <f>IF(INDEX(TabEntrainement[Seance],ROW()-10)&lt;&gt;0,INDEX(TabEntrainement[Seance],ROW()-10),"")</f>
        <v/>
      </c>
      <c r="C116" s="291" t="str">
        <f>INDEX(TabEntrainement[Durée],ROW()-10)</f>
        <v/>
      </c>
      <c r="D116" s="292" t="str">
        <f>INDEX(TabREP[Moyenne],ROW()-10)</f>
        <v/>
      </c>
      <c r="E116" s="293" t="str">
        <f>IF(TabBilanMental15[[#This Row],[Durée]]="","",TabBilanMental15[[#This Row],[Durée]]*TabBilanMental15[[#This Row],[RPE]])</f>
        <v/>
      </c>
      <c r="R116" s="290"/>
      <c r="S116" s="291"/>
      <c r="T116" s="292"/>
      <c r="U116" s="293"/>
    </row>
    <row r="117" spans="2:21" ht="13.5">
      <c r="B117" s="290" t="str">
        <f>IF(INDEX(TabEntrainement[Seance],ROW()-10)&lt;&gt;0,INDEX(TabEntrainement[Seance],ROW()-10),"")</f>
        <v/>
      </c>
      <c r="C117" s="291" t="str">
        <f>INDEX(TabEntrainement[Durée],ROW()-10)</f>
        <v/>
      </c>
      <c r="D117" s="292" t="str">
        <f>INDEX(TabREP[Moyenne],ROW()-10)</f>
        <v/>
      </c>
      <c r="E117" s="293" t="str">
        <f>IF(TabBilanMental15[[#This Row],[Durée]]="","",TabBilanMental15[[#This Row],[Durée]]*TabBilanMental15[[#This Row],[RPE]])</f>
        <v/>
      </c>
      <c r="R117" s="290"/>
      <c r="S117" s="291"/>
      <c r="T117" s="292"/>
      <c r="U117" s="293"/>
    </row>
    <row r="118" spans="2:21" ht="13.5">
      <c r="B118" s="290" t="str">
        <f>IF(INDEX(TabEntrainement[Seance],ROW()-10)&lt;&gt;0,INDEX(TabEntrainement[Seance],ROW()-10),"")</f>
        <v/>
      </c>
      <c r="C118" s="291" t="str">
        <f>INDEX(TabEntrainement[Durée],ROW()-10)</f>
        <v/>
      </c>
      <c r="D118" s="292" t="str">
        <f>INDEX(TabREP[Moyenne],ROW()-10)</f>
        <v/>
      </c>
      <c r="E118" s="293" t="str">
        <f>IF(TabBilanMental15[[#This Row],[Durée]]="","",TabBilanMental15[[#This Row],[Durée]]*TabBilanMental15[[#This Row],[RPE]])</f>
        <v/>
      </c>
      <c r="R118" s="290"/>
      <c r="S118" s="291"/>
      <c r="T118" s="292"/>
      <c r="U118" s="293"/>
    </row>
    <row r="119" spans="2:21" ht="13.5">
      <c r="B119" s="290" t="str">
        <f>IF(INDEX(TabEntrainement[Seance],ROW()-10)&lt;&gt;0,INDEX(TabEntrainement[Seance],ROW()-10),"")</f>
        <v/>
      </c>
      <c r="C119" s="291" t="str">
        <f>INDEX(TabEntrainement[Durée],ROW()-10)</f>
        <v/>
      </c>
      <c r="D119" s="292" t="str">
        <f>INDEX(TabREP[Moyenne],ROW()-10)</f>
        <v/>
      </c>
      <c r="E119" s="293" t="str">
        <f>IF(TabBilanMental15[[#This Row],[Durée]]="","",TabBilanMental15[[#This Row],[Durée]]*TabBilanMental15[[#This Row],[RPE]])</f>
        <v/>
      </c>
      <c r="R119" s="290"/>
      <c r="S119" s="291"/>
      <c r="T119" s="292"/>
      <c r="U119" s="293"/>
    </row>
    <row r="120" spans="2:21" ht="13.5">
      <c r="B120" s="290" t="str">
        <f>IF(INDEX(TabEntrainement[Seance],ROW()-10)&lt;&gt;0,INDEX(TabEntrainement[Seance],ROW()-10),"")</f>
        <v/>
      </c>
      <c r="C120" s="291" t="str">
        <f>INDEX(TabEntrainement[Durée],ROW()-10)</f>
        <v/>
      </c>
      <c r="D120" s="292" t="str">
        <f>INDEX(TabREP[Moyenne],ROW()-10)</f>
        <v/>
      </c>
      <c r="E120" s="293" t="str">
        <f>IF(TabBilanMental15[[#This Row],[Durée]]="","",TabBilanMental15[[#This Row],[Durée]]*TabBilanMental15[[#This Row],[RPE]])</f>
        <v/>
      </c>
      <c r="R120" s="290"/>
      <c r="S120" s="291"/>
      <c r="T120" s="292"/>
      <c r="U120" s="293"/>
    </row>
    <row r="121" spans="2:21" ht="13.5">
      <c r="B121" s="290" t="str">
        <f>IF(INDEX(TabEntrainement[Seance],ROW()-10)&lt;&gt;0,INDEX(TabEntrainement[Seance],ROW()-10),"")</f>
        <v/>
      </c>
      <c r="C121" s="291" t="str">
        <f>INDEX(TabEntrainement[Durée],ROW()-10)</f>
        <v/>
      </c>
      <c r="D121" s="292" t="str">
        <f>INDEX(TabREP[Moyenne],ROW()-10)</f>
        <v/>
      </c>
      <c r="E121" s="293" t="str">
        <f>IF(TabBilanMental15[[#This Row],[Durée]]="","",TabBilanMental15[[#This Row],[Durée]]*TabBilanMental15[[#This Row],[RPE]])</f>
        <v/>
      </c>
      <c r="R121" s="290"/>
      <c r="S121" s="291"/>
      <c r="T121" s="292"/>
      <c r="U121" s="293"/>
    </row>
    <row r="122" spans="2:21" ht="13.5">
      <c r="B122" s="290" t="str">
        <f>IF(INDEX(TabEntrainement[Seance],ROW()-10)&lt;&gt;0,INDEX(TabEntrainement[Seance],ROW()-10),"")</f>
        <v/>
      </c>
      <c r="C122" s="291" t="str">
        <f>INDEX(TabEntrainement[Durée],ROW()-10)</f>
        <v/>
      </c>
      <c r="D122" s="292" t="str">
        <f>INDEX(TabREP[Moyenne],ROW()-10)</f>
        <v/>
      </c>
      <c r="E122" s="293" t="str">
        <f>IF(TabBilanMental15[[#This Row],[Durée]]="","",TabBilanMental15[[#This Row],[Durée]]*TabBilanMental15[[#This Row],[RPE]])</f>
        <v/>
      </c>
      <c r="R122" s="290"/>
      <c r="S122" s="291"/>
      <c r="T122" s="292"/>
      <c r="U122" s="293"/>
    </row>
    <row r="123" spans="2:21" ht="13.5">
      <c r="B123" s="290" t="str">
        <f>IF(INDEX(TabEntrainement[Seance],ROW()-10)&lt;&gt;0,INDEX(TabEntrainement[Seance],ROW()-10),"")</f>
        <v/>
      </c>
      <c r="C123" s="291" t="str">
        <f>INDEX(TabEntrainement[Durée],ROW()-10)</f>
        <v/>
      </c>
      <c r="D123" s="292" t="str">
        <f>INDEX(TabREP[Moyenne],ROW()-10)</f>
        <v/>
      </c>
      <c r="E123" s="293" t="str">
        <f>IF(TabBilanMental15[[#This Row],[Durée]]="","",TabBilanMental15[[#This Row],[Durée]]*TabBilanMental15[[#This Row],[RPE]])</f>
        <v/>
      </c>
      <c r="R123" s="290"/>
      <c r="S123" s="291"/>
      <c r="T123" s="292"/>
      <c r="U123" s="293"/>
    </row>
    <row r="124" spans="2:21" ht="13.5">
      <c r="B124" s="290" t="str">
        <f>IF(INDEX(TabEntrainement[Seance],ROW()-10)&lt;&gt;0,INDEX(TabEntrainement[Seance],ROW()-10),"")</f>
        <v/>
      </c>
      <c r="C124" s="291" t="str">
        <f>INDEX(TabEntrainement[Durée],ROW()-10)</f>
        <v/>
      </c>
      <c r="D124" s="292" t="str">
        <f>INDEX(TabREP[Moyenne],ROW()-10)</f>
        <v/>
      </c>
      <c r="E124" s="293" t="str">
        <f>IF(TabBilanMental15[[#This Row],[Durée]]="","",TabBilanMental15[[#This Row],[Durée]]*TabBilanMental15[[#This Row],[RPE]])</f>
        <v/>
      </c>
      <c r="R124" s="290"/>
      <c r="S124" s="291"/>
      <c r="T124" s="292"/>
      <c r="U124" s="293"/>
    </row>
    <row r="125" spans="2:21" ht="13.5">
      <c r="B125" s="290" t="str">
        <f>IF(INDEX(TabEntrainement[Seance],ROW()-10)&lt;&gt;0,INDEX(TabEntrainement[Seance],ROW()-10),"")</f>
        <v/>
      </c>
      <c r="C125" s="291" t="str">
        <f>INDEX(TabEntrainement[Durée],ROW()-10)</f>
        <v/>
      </c>
      <c r="D125" s="292" t="str">
        <f>INDEX(TabREP[Moyenne],ROW()-10)</f>
        <v/>
      </c>
      <c r="E125" s="293" t="str">
        <f>IF(TabBilanMental15[[#This Row],[Durée]]="","",TabBilanMental15[[#This Row],[Durée]]*TabBilanMental15[[#This Row],[RPE]])</f>
        <v/>
      </c>
      <c r="R125" s="290"/>
      <c r="S125" s="291"/>
      <c r="T125" s="292"/>
      <c r="U125" s="293"/>
    </row>
    <row r="126" spans="2:21" ht="13.5">
      <c r="B126" s="290" t="str">
        <f>IF(INDEX(TabEntrainement[Seance],ROW()-10)&lt;&gt;0,INDEX(TabEntrainement[Seance],ROW()-10),"")</f>
        <v/>
      </c>
      <c r="C126" s="291" t="str">
        <f>INDEX(TabEntrainement[Durée],ROW()-10)</f>
        <v/>
      </c>
      <c r="D126" s="292" t="str">
        <f>INDEX(TabREP[Moyenne],ROW()-10)</f>
        <v/>
      </c>
      <c r="E126" s="293" t="str">
        <f>IF(TabBilanMental15[[#This Row],[Durée]]="","",TabBilanMental15[[#This Row],[Durée]]*TabBilanMental15[[#This Row],[RPE]])</f>
        <v/>
      </c>
      <c r="R126" s="290"/>
      <c r="S126" s="291"/>
      <c r="T126" s="292"/>
      <c r="U126" s="293"/>
    </row>
    <row r="127" spans="2:21" ht="13.5">
      <c r="B127" s="290" t="str">
        <f>IF(INDEX(TabEntrainement[Seance],ROW()-10)&lt;&gt;0,INDEX(TabEntrainement[Seance],ROW()-10),"")</f>
        <v/>
      </c>
      <c r="C127" s="291" t="str">
        <f>INDEX(TabEntrainement[Durée],ROW()-10)</f>
        <v/>
      </c>
      <c r="D127" s="292" t="str">
        <f>INDEX(TabREP[Moyenne],ROW()-10)</f>
        <v/>
      </c>
      <c r="E127" s="293" t="str">
        <f>IF(TabBilanMental15[[#This Row],[Durée]]="","",TabBilanMental15[[#This Row],[Durée]]*TabBilanMental15[[#This Row],[RPE]])</f>
        <v/>
      </c>
      <c r="R127" s="290"/>
      <c r="S127" s="291"/>
      <c r="T127" s="292"/>
      <c r="U127" s="293"/>
    </row>
    <row r="128" spans="2:21" ht="13.5">
      <c r="B128" s="290" t="str">
        <f>IF(INDEX(TabEntrainement[Seance],ROW()-10)&lt;&gt;0,INDEX(TabEntrainement[Seance],ROW()-10),"")</f>
        <v/>
      </c>
      <c r="C128" s="291" t="str">
        <f>INDEX(TabEntrainement[Durée],ROW()-10)</f>
        <v/>
      </c>
      <c r="D128" s="292" t="str">
        <f>INDEX(TabREP[Moyenne],ROW()-10)</f>
        <v/>
      </c>
      <c r="E128" s="293" t="str">
        <f>IF(TabBilanMental15[[#This Row],[Durée]]="","",TabBilanMental15[[#This Row],[Durée]]*TabBilanMental15[[#This Row],[RPE]])</f>
        <v/>
      </c>
      <c r="R128" s="290"/>
      <c r="S128" s="291"/>
      <c r="T128" s="292"/>
      <c r="U128" s="293"/>
    </row>
    <row r="129" spans="2:21" ht="13.5">
      <c r="B129" s="290" t="str">
        <f>IF(INDEX(TabEntrainement[Seance],ROW()-10)&lt;&gt;0,INDEX(TabEntrainement[Seance],ROW()-10),"")</f>
        <v/>
      </c>
      <c r="C129" s="291" t="str">
        <f>INDEX(TabEntrainement[Durée],ROW()-10)</f>
        <v/>
      </c>
      <c r="D129" s="292" t="str">
        <f>INDEX(TabREP[Moyenne],ROW()-10)</f>
        <v/>
      </c>
      <c r="E129" s="293" t="str">
        <f>IF(TabBilanMental15[[#This Row],[Durée]]="","",TabBilanMental15[[#This Row],[Durée]]*TabBilanMental15[[#This Row],[RPE]])</f>
        <v/>
      </c>
      <c r="R129" s="290"/>
      <c r="S129" s="291"/>
      <c r="T129" s="292"/>
      <c r="U129" s="293"/>
    </row>
    <row r="130" spans="2:21" ht="13.5">
      <c r="B130" s="290" t="str">
        <f>IF(INDEX(TabEntrainement[Seance],ROW()-10)&lt;&gt;0,INDEX(TabEntrainement[Seance],ROW()-10),"")</f>
        <v/>
      </c>
      <c r="C130" s="291" t="str">
        <f>INDEX(TabEntrainement[Durée],ROW()-10)</f>
        <v/>
      </c>
      <c r="D130" s="292" t="str">
        <f>INDEX(TabREP[Moyenne],ROW()-10)</f>
        <v/>
      </c>
      <c r="E130" s="293" t="str">
        <f>IF(TabBilanMental15[[#This Row],[Durée]]="","",TabBilanMental15[[#This Row],[Durée]]*TabBilanMental15[[#This Row],[RPE]])</f>
        <v/>
      </c>
      <c r="R130" s="290"/>
      <c r="S130" s="291"/>
      <c r="T130" s="292"/>
      <c r="U130" s="293"/>
    </row>
    <row r="131" spans="2:21" ht="13.5">
      <c r="B131" s="290" t="str">
        <f>IF(INDEX(TabEntrainement[Seance],ROW()-10)&lt;&gt;0,INDEX(TabEntrainement[Seance],ROW()-10),"")</f>
        <v/>
      </c>
      <c r="C131" s="291" t="str">
        <f>INDEX(TabEntrainement[Durée],ROW()-10)</f>
        <v/>
      </c>
      <c r="D131" s="292" t="str">
        <f>INDEX(TabREP[Moyenne],ROW()-10)</f>
        <v/>
      </c>
      <c r="E131" s="293" t="str">
        <f>IF(TabBilanMental15[[#This Row],[Durée]]="","",TabBilanMental15[[#This Row],[Durée]]*TabBilanMental15[[#This Row],[RPE]])</f>
        <v/>
      </c>
      <c r="R131" s="290"/>
      <c r="S131" s="291"/>
      <c r="T131" s="292"/>
      <c r="U131" s="293"/>
    </row>
    <row r="132" spans="2:21" ht="13.5">
      <c r="B132" s="290" t="str">
        <f>IF(INDEX(TabEntrainement[Seance],ROW()-10)&lt;&gt;0,INDEX(TabEntrainement[Seance],ROW()-10),"")</f>
        <v/>
      </c>
      <c r="C132" s="291" t="str">
        <f>INDEX(TabEntrainement[Durée],ROW()-10)</f>
        <v/>
      </c>
      <c r="D132" s="292" t="str">
        <f>INDEX(TabREP[Moyenne],ROW()-10)</f>
        <v/>
      </c>
      <c r="E132" s="293" t="str">
        <f>IF(TabBilanMental15[[#This Row],[Durée]]="","",TabBilanMental15[[#This Row],[Durée]]*TabBilanMental15[[#This Row],[RPE]])</f>
        <v/>
      </c>
      <c r="R132" s="290"/>
      <c r="S132" s="291"/>
      <c r="T132" s="292"/>
      <c r="U132" s="293"/>
    </row>
    <row r="133" spans="2:21" ht="13.5">
      <c r="B133" s="290" t="str">
        <f>IF(INDEX(TabEntrainement[Seance],ROW()-10)&lt;&gt;0,INDEX(TabEntrainement[Seance],ROW()-10),"")</f>
        <v/>
      </c>
      <c r="C133" s="291" t="str">
        <f>INDEX(TabEntrainement[Durée],ROW()-10)</f>
        <v/>
      </c>
      <c r="D133" s="292" t="str">
        <f>INDEX(TabREP[Moyenne],ROW()-10)</f>
        <v/>
      </c>
      <c r="E133" s="293" t="str">
        <f>IF(TabBilanMental15[[#This Row],[Durée]]="","",TabBilanMental15[[#This Row],[Durée]]*TabBilanMental15[[#This Row],[RPE]])</f>
        <v/>
      </c>
      <c r="R133" s="290"/>
      <c r="S133" s="291"/>
      <c r="T133" s="292"/>
      <c r="U133" s="293"/>
    </row>
    <row r="134" spans="2:21" ht="13.5">
      <c r="B134" s="290" t="str">
        <f>IF(INDEX(TabEntrainement[Seance],ROW()-10)&lt;&gt;0,INDEX(TabEntrainement[Seance],ROW()-10),"")</f>
        <v/>
      </c>
      <c r="C134" s="291" t="str">
        <f>INDEX(TabEntrainement[Durée],ROW()-10)</f>
        <v/>
      </c>
      <c r="D134" s="292" t="str">
        <f>INDEX(TabREP[Moyenne],ROW()-10)</f>
        <v/>
      </c>
      <c r="E134" s="293" t="str">
        <f>IF(TabBilanMental15[[#This Row],[Durée]]="","",TabBilanMental15[[#This Row],[Durée]]*TabBilanMental15[[#This Row],[RPE]])</f>
        <v/>
      </c>
      <c r="R134" s="290"/>
      <c r="S134" s="291"/>
      <c r="T134" s="292"/>
      <c r="U134" s="293"/>
    </row>
    <row r="135" spans="2:21" ht="13.5">
      <c r="B135" s="290" t="str">
        <f>IF(INDEX(TabEntrainement[Seance],ROW()-10)&lt;&gt;0,INDEX(TabEntrainement[Seance],ROW()-10),"")</f>
        <v/>
      </c>
      <c r="C135" s="291" t="str">
        <f>INDEX(TabEntrainement[Durée],ROW()-10)</f>
        <v/>
      </c>
      <c r="D135" s="292" t="str">
        <f>INDEX(TabREP[Moyenne],ROW()-10)</f>
        <v/>
      </c>
      <c r="E135" s="293" t="str">
        <f>IF(TabBilanMental15[[#This Row],[Durée]]="","",TabBilanMental15[[#This Row],[Durée]]*TabBilanMental15[[#This Row],[RPE]])</f>
        <v/>
      </c>
      <c r="R135" s="290"/>
      <c r="S135" s="291"/>
      <c r="T135" s="292"/>
      <c r="U135" s="293"/>
    </row>
    <row r="136" spans="2:21" ht="13.5">
      <c r="B136" s="290" t="str">
        <f>IF(INDEX(TabEntrainement[Seance],ROW()-10)&lt;&gt;0,INDEX(TabEntrainement[Seance],ROW()-10),"")</f>
        <v/>
      </c>
      <c r="C136" s="291" t="str">
        <f>INDEX(TabEntrainement[Durée],ROW()-10)</f>
        <v/>
      </c>
      <c r="D136" s="292" t="str">
        <f>INDEX(TabREP[Moyenne],ROW()-10)</f>
        <v/>
      </c>
      <c r="E136" s="293" t="str">
        <f>IF(TabBilanMental15[[#This Row],[Durée]]="","",TabBilanMental15[[#This Row],[Durée]]*TabBilanMental15[[#This Row],[RPE]])</f>
        <v/>
      </c>
      <c r="R136" s="290"/>
      <c r="S136" s="291"/>
      <c r="T136" s="292"/>
      <c r="U136" s="293"/>
    </row>
    <row r="137" spans="2:21" ht="13.5">
      <c r="B137" s="290" t="str">
        <f>IF(INDEX(TabEntrainement[Seance],ROW()-10)&lt;&gt;0,INDEX(TabEntrainement[Seance],ROW()-10),"")</f>
        <v/>
      </c>
      <c r="C137" s="291" t="str">
        <f>INDEX(TabEntrainement[Durée],ROW()-10)</f>
        <v/>
      </c>
      <c r="D137" s="292" t="str">
        <f>INDEX(TabREP[Moyenne],ROW()-10)</f>
        <v/>
      </c>
      <c r="E137" s="293" t="str">
        <f>IF(TabBilanMental15[[#This Row],[Durée]]="","",TabBilanMental15[[#This Row],[Durée]]*TabBilanMental15[[#This Row],[RPE]])</f>
        <v/>
      </c>
      <c r="R137" s="290"/>
      <c r="S137" s="291"/>
      <c r="T137" s="292"/>
      <c r="U137" s="293"/>
    </row>
    <row r="138" spans="2:21" ht="13.5">
      <c r="B138" s="290" t="str">
        <f>IF(INDEX(TabEntrainement[Seance],ROW()-10)&lt;&gt;0,INDEX(TabEntrainement[Seance],ROW()-10),"")</f>
        <v/>
      </c>
      <c r="C138" s="291" t="str">
        <f>INDEX(TabEntrainement[Durée],ROW()-10)</f>
        <v/>
      </c>
      <c r="D138" s="292" t="str">
        <f>INDEX(TabREP[Moyenne],ROW()-10)</f>
        <v/>
      </c>
      <c r="E138" s="293" t="str">
        <f>IF(TabBilanMental15[[#This Row],[Durée]]="","",TabBilanMental15[[#This Row],[Durée]]*TabBilanMental15[[#This Row],[RPE]])</f>
        <v/>
      </c>
      <c r="R138" s="290"/>
      <c r="S138" s="291"/>
      <c r="T138" s="292"/>
      <c r="U138" s="293"/>
    </row>
    <row r="139" spans="2:21" ht="13.5">
      <c r="B139" s="290" t="str">
        <f>IF(INDEX(TabEntrainement[Seance],ROW()-10)&lt;&gt;0,INDEX(TabEntrainement[Seance],ROW()-10),"")</f>
        <v/>
      </c>
      <c r="C139" s="291" t="str">
        <f>INDEX(TabEntrainement[Durée],ROW()-10)</f>
        <v/>
      </c>
      <c r="D139" s="292" t="str">
        <f>INDEX(TabREP[Moyenne],ROW()-10)</f>
        <v/>
      </c>
      <c r="E139" s="293" t="str">
        <f>IF(TabBilanMental15[[#This Row],[Durée]]="","",TabBilanMental15[[#This Row],[Durée]]*TabBilanMental15[[#This Row],[RPE]])</f>
        <v/>
      </c>
      <c r="R139" s="290"/>
      <c r="S139" s="291"/>
      <c r="T139" s="292"/>
      <c r="U139" s="293"/>
    </row>
    <row r="140" spans="2:21" ht="13.5">
      <c r="B140" s="290" t="str">
        <f>IF(INDEX(TabEntrainement[Seance],ROW()-10)&lt;&gt;0,INDEX(TabEntrainement[Seance],ROW()-10),"")</f>
        <v/>
      </c>
      <c r="C140" s="291" t="str">
        <f>INDEX(TabEntrainement[Durée],ROW()-10)</f>
        <v/>
      </c>
      <c r="D140" s="292" t="str">
        <f>INDEX(TabREP[Moyenne],ROW()-10)</f>
        <v/>
      </c>
      <c r="E140" s="293" t="str">
        <f>IF(TabBilanMental15[[#This Row],[Durée]]="","",TabBilanMental15[[#This Row],[Durée]]*TabBilanMental15[[#This Row],[RPE]])</f>
        <v/>
      </c>
      <c r="R140" s="290"/>
      <c r="S140" s="291"/>
      <c r="T140" s="292"/>
      <c r="U140" s="293"/>
    </row>
    <row r="141" spans="2:21" ht="13.5">
      <c r="B141" s="290" t="str">
        <f>IF(INDEX(TabEntrainement[Seance],ROW()-10)&lt;&gt;0,INDEX(TabEntrainement[Seance],ROW()-10),"")</f>
        <v/>
      </c>
      <c r="C141" s="291" t="str">
        <f>INDEX(TabEntrainement[Durée],ROW()-10)</f>
        <v/>
      </c>
      <c r="D141" s="292" t="str">
        <f>INDEX(TabREP[Moyenne],ROW()-10)</f>
        <v/>
      </c>
      <c r="E141" s="293" t="str">
        <f>IF(TabBilanMental15[[#This Row],[Durée]]="","",TabBilanMental15[[#This Row],[Durée]]*TabBilanMental15[[#This Row],[RPE]])</f>
        <v/>
      </c>
      <c r="R141" s="290"/>
      <c r="S141" s="291"/>
      <c r="T141" s="292"/>
      <c r="U141" s="293"/>
    </row>
    <row r="142" spans="2:21" ht="13.5">
      <c r="B142" s="295" t="s">
        <v>9</v>
      </c>
      <c r="C142" s="296"/>
      <c r="D142" s="297">
        <f>SUBTOTAL(101,TabBilanMental15[RPE])</f>
        <v>4.4791344242631004</v>
      </c>
      <c r="E142" s="298">
        <f>SUBTOTAL(101,TabBilanMental15[Charge])</f>
        <v>280.02282781896747</v>
      </c>
      <c r="R142" s="300"/>
      <c r="S142" s="300"/>
      <c r="T142" s="300"/>
      <c r="U142" s="300"/>
    </row>
    <row r="143" spans="2:21">
      <c r="R143" s="300"/>
      <c r="S143" s="300"/>
      <c r="T143" s="300"/>
      <c r="U143" s="300"/>
    </row>
    <row r="144" spans="2:21">
      <c r="R144" s="300"/>
      <c r="S144" s="300"/>
      <c r="T144" s="300"/>
      <c r="U144" s="300"/>
    </row>
    <row r="145" spans="18:21">
      <c r="R145" s="300"/>
      <c r="S145" s="300"/>
      <c r="T145" s="300"/>
      <c r="U145" s="300"/>
    </row>
    <row r="146" spans="18:21">
      <c r="R146" s="300"/>
      <c r="S146" s="300"/>
      <c r="T146" s="300"/>
      <c r="U146" s="300"/>
    </row>
    <row r="147" spans="18:21">
      <c r="R147" s="300"/>
      <c r="S147" s="300"/>
      <c r="T147" s="300"/>
      <c r="U147" s="300"/>
    </row>
    <row r="148" spans="18:21">
      <c r="R148" s="300"/>
      <c r="S148" s="300"/>
      <c r="T148" s="300"/>
      <c r="U148" s="300"/>
    </row>
    <row r="149" spans="18:21">
      <c r="R149" s="300"/>
      <c r="S149" s="300"/>
      <c r="T149" s="300"/>
      <c r="U149" s="300"/>
    </row>
    <row r="150" spans="18:21">
      <c r="R150" s="300"/>
      <c r="S150" s="300"/>
      <c r="T150" s="300"/>
      <c r="U150" s="300"/>
    </row>
    <row r="151" spans="18:21">
      <c r="R151" s="300"/>
      <c r="S151" s="300"/>
      <c r="T151" s="300"/>
      <c r="U151" s="300"/>
    </row>
    <row r="152" spans="18:21">
      <c r="R152" s="300"/>
      <c r="S152" s="300"/>
      <c r="T152" s="300"/>
      <c r="U152" s="300"/>
    </row>
    <row r="153" spans="18:21">
      <c r="R153" s="300"/>
      <c r="S153" s="300"/>
      <c r="T153" s="300"/>
      <c r="U153" s="300"/>
    </row>
    <row r="154" spans="18:21">
      <c r="R154" s="300"/>
      <c r="S154" s="300"/>
      <c r="T154" s="300"/>
      <c r="U154" s="300"/>
    </row>
    <row r="155" spans="18:21">
      <c r="R155" s="300"/>
      <c r="S155" s="300"/>
      <c r="T155" s="300"/>
      <c r="U155" s="300"/>
    </row>
    <row r="156" spans="18:21">
      <c r="R156" s="300"/>
      <c r="S156" s="300"/>
      <c r="T156" s="300"/>
      <c r="U156" s="300"/>
    </row>
    <row r="157" spans="18:21">
      <c r="R157" s="300"/>
      <c r="S157" s="300"/>
      <c r="T157" s="300"/>
      <c r="U157" s="300"/>
    </row>
  </sheetData>
  <sheetProtection sort="0" autoFilter="0"/>
  <mergeCells count="43">
    <mergeCell ref="C4:D4"/>
    <mergeCell ref="F4:G4"/>
    <mergeCell ref="I4:J4"/>
    <mergeCell ref="L4:M4"/>
    <mergeCell ref="O4:P4"/>
    <mergeCell ref="H62:H63"/>
    <mergeCell ref="I62:I63"/>
    <mergeCell ref="K60:K61"/>
    <mergeCell ref="L60:L61"/>
    <mergeCell ref="M60:M61"/>
    <mergeCell ref="J62:J63"/>
    <mergeCell ref="K62:K63"/>
    <mergeCell ref="F7:G7"/>
    <mergeCell ref="M66:M67"/>
    <mergeCell ref="N62:N63"/>
    <mergeCell ref="H64:P65"/>
    <mergeCell ref="J66:J67"/>
    <mergeCell ref="L62:L63"/>
    <mergeCell ref="M62:M63"/>
    <mergeCell ref="O62:O63"/>
    <mergeCell ref="P62:P63"/>
    <mergeCell ref="G57:Q58"/>
    <mergeCell ref="H60:H61"/>
    <mergeCell ref="I60:I61"/>
    <mergeCell ref="N60:N61"/>
    <mergeCell ref="O60:O61"/>
    <mergeCell ref="P60:P61"/>
    <mergeCell ref="J60:J61"/>
    <mergeCell ref="J90:K90"/>
    <mergeCell ref="G90:H90"/>
    <mergeCell ref="M90:N90"/>
    <mergeCell ref="P90:Q90"/>
    <mergeCell ref="K66:K67"/>
    <mergeCell ref="L66:L67"/>
    <mergeCell ref="M88:N88"/>
    <mergeCell ref="P88:Q88"/>
    <mergeCell ref="J88:K88"/>
    <mergeCell ref="G88:H88"/>
    <mergeCell ref="C5:D5"/>
    <mergeCell ref="F5:G5"/>
    <mergeCell ref="I5:J5"/>
    <mergeCell ref="L5:M5"/>
    <mergeCell ref="O5:P5"/>
  </mergeCells>
  <phoneticPr fontId="24" type="noConversion"/>
  <conditionalFormatting sqref="E11:E141 U11:U42 I62:O63">
    <cfRule type="cellIs" dxfId="176" priority="25" operator="between">
      <formula>700</formula>
      <formula>750</formula>
    </cfRule>
  </conditionalFormatting>
  <conditionalFormatting sqref="H64">
    <cfRule type="containsText" dxfId="175" priority="19" operator="containsText" text="Semaine légére">
      <formula>NOT(ISERROR(SEARCH("Semaine légére",H64)))</formula>
    </cfRule>
  </conditionalFormatting>
  <conditionalFormatting sqref="J68:M69 H64">
    <cfRule type="containsText" dxfId="174" priority="16" operator="containsText" text="Semaine très élevée">
      <formula>NOT(ISERROR(SEARCH("Semaine très élevée",H64)))</formula>
    </cfRule>
    <cfRule type="containsText" dxfId="173" priority="17" operator="containsText" text="Semaine élevée">
      <formula>NOT(ISERROR(SEARCH("Semaine élevée",H64)))</formula>
    </cfRule>
    <cfRule type="containsText" dxfId="172" priority="18" operator="containsText" text="Semaine modérée">
      <formula>NOT(ISERROR(SEARCH("Semaine modérée",H64)))</formula>
    </cfRule>
  </conditionalFormatting>
  <conditionalFormatting sqref="I62:O63 E11:E141 U11:U42">
    <cfRule type="containsBlanks" dxfId="171" priority="1">
      <formula>LEN(TRIM(E11))=0</formula>
    </cfRule>
  </conditionalFormatting>
  <dataValidations count="1">
    <dataValidation type="whole" allowBlank="1" showInputMessage="1" showErrorMessage="1" sqref="I62:O63 J66:M67" xr:uid="{00000000-0002-0000-0800-000000000000}">
      <formula1>0</formula1>
      <formula2>9999999</formula2>
    </dataValidation>
  </dataValidations>
  <pageMargins left="0.7" right="0.7" top="0.75" bottom="0.75" header="0.3" footer="0.3"/>
  <pageSetup paperSize="9" orientation="portrait" r:id="rId1"/>
  <ignoredErrors>
    <ignoredError sqref="T11:U11 T12:U14 T15:U17 T18:U42 R25:R42 R19:R24 R12:R17 R11 R18" calculatedColumn="1"/>
  </ignoredErrors>
  <drawing r:id="rId2"/>
  <legacyDrawing r:id="rId3"/>
  <mc:AlternateContent xmlns:mc="http://schemas.openxmlformats.org/markup-compatibility/2006">
    <mc:Choice Requires="x14">
      <controls>
        <mc:AlternateContent xmlns:mc="http://schemas.openxmlformats.org/markup-compatibility/2006">
          <mc:Choice Requires="x14">
            <control shapeId="12289" r:id="rId4" name="Button 1">
              <controlPr defaultSize="0" print="0" autoFill="0" autoPict="0" macro="[0]!CloseOnglet">
                <anchor moveWithCells="1" sizeWithCells="1">
                  <from>
                    <xdr:col>18</xdr:col>
                    <xdr:colOff>657225</xdr:colOff>
                    <xdr:row>2</xdr:row>
                    <xdr:rowOff>114300</xdr:rowOff>
                  </from>
                  <to>
                    <xdr:col>20</xdr:col>
                    <xdr:colOff>352425</xdr:colOff>
                    <xdr:row>4</xdr:row>
                    <xdr:rowOff>142875</xdr:rowOff>
                  </to>
                </anchor>
              </controlPr>
            </control>
          </mc:Choice>
        </mc:AlternateContent>
      </controls>
    </mc:Choice>
  </mc:AlternateContent>
  <tableParts count="3">
    <tablePart r:id="rId5"/>
    <tablePart r:id="rId6"/>
    <tablePart r:id="rId7"/>
  </tableParts>
  <extLst>
    <ext xmlns:x14="http://schemas.microsoft.com/office/spreadsheetml/2009/9/main" uri="{78C0D931-6437-407d-A8EE-F0AAD7539E65}">
      <x14:conditionalFormattings>
        <x14:conditionalFormatting xmlns:xm="http://schemas.microsoft.com/office/excel/2006/main">
          <x14:cfRule type="cellIs" priority="26" operator="greaterThanOrEqual" id="{03A2B0CA-CE5F-9843-A404-C1E57DD73F4F}">
            <xm:f>Paramétres!$L$8</xm:f>
            <x14:dxf>
              <font>
                <b/>
                <i val="0"/>
                <strike val="0"/>
                <color auto="1"/>
              </font>
              <fill>
                <patternFill>
                  <bgColor theme="7"/>
                </patternFill>
              </fill>
            </x14:dxf>
          </x14:cfRule>
          <x14:cfRule type="cellIs" priority="27" operator="between" id="{F1600656-0014-D140-84F7-9B49F767A14F}">
            <xm:f>Paramétres!$L$7</xm:f>
            <xm:f>Paramétres!$L$8</xm:f>
            <x14:dxf>
              <font>
                <b/>
                <i val="0"/>
                <strike val="0"/>
                <color auto="1"/>
              </font>
              <fill>
                <patternFill>
                  <bgColor theme="9"/>
                </patternFill>
              </fill>
            </x14:dxf>
          </x14:cfRule>
          <x14:cfRule type="cellIs" priority="29" operator="lessThanOrEqual" id="{4D174F6A-57ED-0C4D-9C22-BFBC7530D347}">
            <xm:f>Paramétres!$M$5</xm:f>
            <x14:dxf>
              <font>
                <b/>
                <i val="0"/>
                <strike val="0"/>
                <color auto="1"/>
              </font>
              <fill>
                <patternFill>
                  <bgColor theme="4"/>
                </patternFill>
              </fill>
            </x14:dxf>
          </x14:cfRule>
          <xm:sqref>E11:E141 U11:U42 I62:O63</xm:sqref>
        </x14:conditionalFormatting>
        <x14:conditionalFormatting xmlns:xm="http://schemas.microsoft.com/office/excel/2006/main">
          <x14:cfRule type="cellIs" priority="2" operator="greaterThan" id="{54863890-9840-4E9F-AC99-2C522A2C705D}">
            <xm:f>Paramétres!$L$15</xm:f>
            <x14:dxf>
              <fill>
                <patternFill>
                  <bgColor theme="7"/>
                </patternFill>
              </fill>
            </x14:dxf>
          </x14:cfRule>
          <x14:cfRule type="cellIs" priority="3" operator="between" id="{7CBEEF4F-93A6-45A2-BD73-C96665469BD3}">
            <xm:f>Paramétres!$L$14</xm:f>
            <xm:f>Paramétres!$M$14</xm:f>
            <x14:dxf>
              <fill>
                <patternFill>
                  <bgColor theme="9"/>
                </patternFill>
              </fill>
            </x14:dxf>
          </x14:cfRule>
          <x14:cfRule type="cellIs" priority="4" operator="between" id="{F36FEE7E-7E57-4BD7-8396-047C57EDEA4B}">
            <xm:f>Paramétres!$L$13</xm:f>
            <xm:f>Paramétres!$M$13</xm:f>
            <x14:dxf>
              <fill>
                <patternFill>
                  <bgColor theme="5"/>
                </patternFill>
              </fill>
            </x14:dxf>
          </x14:cfRule>
          <x14:cfRule type="cellIs" priority="5" operator="lessThan" id="{1B63863E-C5B5-498D-957D-BBB1E5370550}">
            <xm:f>Paramétres!$M$12</xm:f>
            <x14:dxf>
              <fill>
                <patternFill>
                  <bgColor theme="4"/>
                </patternFill>
              </fill>
            </x14:dxf>
          </x14:cfRule>
          <xm:sqref>K11:K46</xm:sqref>
        </x14:conditionalFormatting>
        <x14:conditionalFormatting xmlns:xm="http://schemas.microsoft.com/office/excel/2006/main">
          <x14:cfRule type="cellIs" priority="28" operator="between" id="{28BB4DCE-33DA-D24D-944F-2AFEF06F7C44}">
            <xm:f>Paramétres!$L$6</xm:f>
            <xm:f>Paramétres!$L$7</xm:f>
            <x14:dxf>
              <font>
                <b/>
                <i val="0"/>
                <strike val="0"/>
                <color auto="1"/>
              </font>
              <fill>
                <patternFill>
                  <bgColor theme="5"/>
                </patternFill>
              </fill>
            </x14:dxf>
          </x14:cfRule>
          <xm:sqref>E11:E141 U11:U42 I39 I62:O63</xm:sqref>
        </x14:conditionalFormatting>
      </x14:conditionalFormattings>
    </ext>
  </extLst>
</worksheet>
</file>

<file path=xl/worksheets/sheet1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Feuil9">
    <tabColor theme="7"/>
  </sheetPr>
  <dimension ref="G362"/>
  <sheetViews>
    <sheetView showGridLines="0" zoomScale="80" zoomScaleNormal="80" workbookViewId="0">
      <selection activeCell="V4" sqref="V4"/>
    </sheetView>
  </sheetViews>
  <sheetFormatPr baseColWidth="10" defaultRowHeight="12.75"/>
  <sheetData>
    <row r="362" spans="7:7" ht="14.25">
      <c r="G362" s="303" t="s">
        <v>279</v>
      </c>
    </row>
  </sheetData>
  <pageMargins left="0.7" right="0.7" top="0.75" bottom="0.75" header="0.3" footer="0.3"/>
  <pageSetup paperSize="9" orientation="portrait" horizontalDpi="0" verticalDpi="0"/>
  <drawing r:id="rId1"/>
  <legacyDrawing r:id="rId2"/>
  <mc:AlternateContent xmlns:mc="http://schemas.openxmlformats.org/markup-compatibility/2006">
    <mc:Choice Requires="x14">
      <controls>
        <mc:AlternateContent xmlns:mc="http://schemas.openxmlformats.org/markup-compatibility/2006">
          <mc:Choice Requires="x14">
            <control shapeId="13313" r:id="rId3" name="Button 1">
              <controlPr defaultSize="0" print="0" autoFill="0" autoPict="0" macro="[0]!CloseOnglet">
                <anchor moveWithCells="1" sizeWithCells="1">
                  <from>
                    <xdr:col>24</xdr:col>
                    <xdr:colOff>571500</xdr:colOff>
                    <xdr:row>1</xdr:row>
                    <xdr:rowOff>28575</xdr:rowOff>
                  </from>
                  <to>
                    <xdr:col>26</xdr:col>
                    <xdr:colOff>695325</xdr:colOff>
                    <xdr:row>3</xdr:row>
                    <xdr:rowOff>47625</xdr:rowOff>
                  </to>
                </anchor>
              </controlPr>
            </control>
          </mc:Choice>
        </mc:AlternateContent>
      </controls>
    </mc:Choice>
  </mc:AlternateContent>
</worksheet>
</file>

<file path=xl/worksheets/sheet2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Feuil10">
    <tabColor theme="5" tint="-0.249977111117893"/>
  </sheetPr>
  <dimension ref="B1:AF40"/>
  <sheetViews>
    <sheetView showGridLines="0" workbookViewId="0">
      <selection activeCell="B6" sqref="B6"/>
    </sheetView>
  </sheetViews>
  <sheetFormatPr baseColWidth="10" defaultRowHeight="12.75"/>
  <cols>
    <col min="1" max="1" width="2.85546875" customWidth="1"/>
    <col min="2" max="2" width="22.85546875" customWidth="1"/>
    <col min="3" max="32" width="6.85546875" customWidth="1"/>
  </cols>
  <sheetData>
    <row r="1" spans="2:32" ht="14.1" customHeight="1"/>
    <row r="2" spans="2:32" ht="33" customHeight="1">
      <c r="B2" s="54" t="s">
        <v>229</v>
      </c>
    </row>
    <row r="3" spans="2:32" ht="14.1" customHeight="1" thickBot="1"/>
    <row r="4" spans="2:32" ht="14.1" customHeight="1">
      <c r="C4" s="594">
        <v>42948</v>
      </c>
      <c r="D4" s="595"/>
      <c r="E4" s="596"/>
      <c r="F4" s="594">
        <v>42979</v>
      </c>
      <c r="G4" s="595"/>
      <c r="H4" s="596"/>
      <c r="I4" s="594">
        <v>43009</v>
      </c>
      <c r="J4" s="595"/>
      <c r="K4" s="596"/>
      <c r="L4" s="594">
        <v>43040</v>
      </c>
      <c r="M4" s="595"/>
      <c r="N4" s="596"/>
      <c r="O4" s="594">
        <v>43070</v>
      </c>
      <c r="P4" s="595"/>
      <c r="Q4" s="596"/>
      <c r="R4" s="594">
        <v>43101</v>
      </c>
      <c r="S4" s="595"/>
      <c r="T4" s="596"/>
      <c r="U4" s="594">
        <v>43132</v>
      </c>
      <c r="V4" s="595"/>
      <c r="W4" s="596"/>
      <c r="X4" s="594">
        <v>43160</v>
      </c>
      <c r="Y4" s="595"/>
      <c r="Z4" s="596"/>
      <c r="AA4" s="594">
        <v>43191</v>
      </c>
      <c r="AB4" s="595"/>
      <c r="AC4" s="596"/>
      <c r="AD4" s="594">
        <v>43221</v>
      </c>
      <c r="AE4" s="595"/>
      <c r="AF4" s="596"/>
    </row>
    <row r="5" spans="2:32" ht="13.5" thickBot="1">
      <c r="C5" s="202" t="s">
        <v>33</v>
      </c>
      <c r="D5" s="203" t="s">
        <v>34</v>
      </c>
      <c r="E5" s="204" t="s">
        <v>35</v>
      </c>
      <c r="F5" s="202" t="s">
        <v>33</v>
      </c>
      <c r="G5" s="203" t="s">
        <v>34</v>
      </c>
      <c r="H5" s="204" t="s">
        <v>35</v>
      </c>
      <c r="I5" s="202" t="s">
        <v>33</v>
      </c>
      <c r="J5" s="203" t="s">
        <v>34</v>
      </c>
      <c r="K5" s="204" t="s">
        <v>35</v>
      </c>
      <c r="L5" s="202" t="s">
        <v>33</v>
      </c>
      <c r="M5" s="203" t="s">
        <v>34</v>
      </c>
      <c r="N5" s="204" t="s">
        <v>35</v>
      </c>
      <c r="O5" s="202" t="s">
        <v>33</v>
      </c>
      <c r="P5" s="203" t="s">
        <v>34</v>
      </c>
      <c r="Q5" s="204" t="s">
        <v>35</v>
      </c>
      <c r="R5" s="202" t="s">
        <v>33</v>
      </c>
      <c r="S5" s="203" t="s">
        <v>34</v>
      </c>
      <c r="T5" s="204" t="s">
        <v>35</v>
      </c>
      <c r="U5" s="202" t="s">
        <v>33</v>
      </c>
      <c r="V5" s="203" t="s">
        <v>34</v>
      </c>
      <c r="W5" s="204" t="s">
        <v>35</v>
      </c>
      <c r="X5" s="202" t="s">
        <v>33</v>
      </c>
      <c r="Y5" s="203" t="s">
        <v>34</v>
      </c>
      <c r="Z5" s="204" t="s">
        <v>35</v>
      </c>
      <c r="AA5" s="202" t="s">
        <v>33</v>
      </c>
      <c r="AB5" s="203" t="s">
        <v>34</v>
      </c>
      <c r="AC5" s="204" t="s">
        <v>35</v>
      </c>
      <c r="AD5" s="202" t="s">
        <v>33</v>
      </c>
      <c r="AE5" s="203" t="s">
        <v>34</v>
      </c>
      <c r="AF5" s="204" t="s">
        <v>35</v>
      </c>
    </row>
    <row r="6" spans="2:32">
      <c r="B6" s="186" t="str">
        <f>'BDD - Joueurs'!$B2</f>
        <v>ADDA Matteo</v>
      </c>
      <c r="C6" s="211">
        <v>1.62</v>
      </c>
      <c r="D6" s="212">
        <v>58</v>
      </c>
      <c r="E6" s="205">
        <f>IF(C6=0,0,D6/(C6*C6))</f>
        <v>22.10028959000152</v>
      </c>
      <c r="F6" s="211">
        <v>1.67</v>
      </c>
      <c r="G6" s="212">
        <v>56</v>
      </c>
      <c r="H6" s="205">
        <f>IF(F6=0," ",G6/(F6*F6))</f>
        <v>20.07960127648894</v>
      </c>
      <c r="I6" s="211"/>
      <c r="J6" s="212"/>
      <c r="K6" s="205" t="str">
        <f>IF(I6=0," ",J6/(I6*I6))</f>
        <v xml:space="preserve"> </v>
      </c>
      <c r="L6" s="219"/>
      <c r="M6" s="212"/>
      <c r="N6" s="205" t="str">
        <f>IF(L6=0," ",M6/(L6*L6))</f>
        <v xml:space="preserve"> </v>
      </c>
      <c r="O6" s="219"/>
      <c r="P6" s="212"/>
      <c r="Q6" s="205" t="str">
        <f>IF(O6=0," ",P6/(O6*O6))</f>
        <v xml:space="preserve"> </v>
      </c>
      <c r="R6" s="219"/>
      <c r="S6" s="212"/>
      <c r="T6" s="205" t="str">
        <f>IF(R6=0," ",S6/(R6*R6))</f>
        <v xml:space="preserve"> </v>
      </c>
      <c r="U6" s="219"/>
      <c r="V6" s="212"/>
      <c r="W6" s="205" t="str">
        <f>IF(U6=0," ",V6/(U6*U6))</f>
        <v xml:space="preserve"> </v>
      </c>
      <c r="X6" s="219"/>
      <c r="Y6" s="212"/>
      <c r="Z6" s="205" t="str">
        <f>IF(X6=0," ",Y6/(X6*X6))</f>
        <v xml:space="preserve"> </v>
      </c>
      <c r="AA6" s="219"/>
      <c r="AB6" s="212"/>
      <c r="AC6" s="205" t="str">
        <f>IF(AA6=0," ",AB6/(AA6*AA6))</f>
        <v xml:space="preserve"> </v>
      </c>
      <c r="AD6" s="211"/>
      <c r="AE6" s="212"/>
      <c r="AF6" s="205" t="str">
        <f>IF(AD6=0," ",AE6/(AD6*AD6))</f>
        <v xml:space="preserve"> </v>
      </c>
    </row>
    <row r="7" spans="2:32" s="73" customFormat="1">
      <c r="B7" s="200" t="str">
        <f>'BDD - Joueurs'!$B3</f>
        <v>ALFONSO Joao</v>
      </c>
      <c r="C7" s="213">
        <v>1.66</v>
      </c>
      <c r="D7" s="214">
        <v>55</v>
      </c>
      <c r="E7" s="206">
        <f>IF(C7=0," ",D7/(C7*C7))</f>
        <v>19.959355494266223</v>
      </c>
      <c r="F7" s="213"/>
      <c r="G7" s="214"/>
      <c r="H7" s="207" t="str">
        <f>IF(F7=0," ",G7/(F7*F7))</f>
        <v xml:space="preserve"> </v>
      </c>
      <c r="I7" s="213"/>
      <c r="J7" s="214"/>
      <c r="K7" s="207" t="str">
        <f t="shared" ref="K7:K35" si="0">IF(I7=0," ",J7/(I7*I7))</f>
        <v xml:space="preserve"> </v>
      </c>
      <c r="L7" s="220"/>
      <c r="M7" s="214"/>
      <c r="N7" s="207" t="str">
        <f t="shared" ref="N7:N35" si="1">IF(L7=0," ",M7/(L7*L7))</f>
        <v xml:space="preserve"> </v>
      </c>
      <c r="O7" s="220"/>
      <c r="P7" s="214"/>
      <c r="Q7" s="207" t="str">
        <f t="shared" ref="Q7:Q35" si="2">IF(O7=0," ",P7/(O7*O7))</f>
        <v xml:space="preserve"> </v>
      </c>
      <c r="R7" s="220"/>
      <c r="S7" s="214"/>
      <c r="T7" s="207" t="str">
        <f t="shared" ref="T7:T35" si="3">IF(R7=0," ",S7/(R7*R7))</f>
        <v xml:space="preserve"> </v>
      </c>
      <c r="U7" s="220"/>
      <c r="V7" s="214"/>
      <c r="W7" s="207" t="str">
        <f t="shared" ref="W7:W35" si="4">IF(U7=0," ",V7/(U7*U7))</f>
        <v xml:space="preserve"> </v>
      </c>
      <c r="X7" s="220"/>
      <c r="Y7" s="214"/>
      <c r="Z7" s="207" t="str">
        <f t="shared" ref="Z7:Z35" si="5">IF(X7=0," ",Y7/(X7*X7))</f>
        <v xml:space="preserve"> </v>
      </c>
      <c r="AA7" s="220"/>
      <c r="AB7" s="214"/>
      <c r="AC7" s="207" t="str">
        <f t="shared" ref="AC7:AC35" si="6">IF(AA7=0," ",AB7/(AA7*AA7))</f>
        <v xml:space="preserve"> </v>
      </c>
      <c r="AD7" s="213"/>
      <c r="AE7" s="214"/>
      <c r="AF7" s="207" t="str">
        <f t="shared" ref="AF7:AF35" si="7">IF(AD7=0," ",AE7/(AD7*AD7))</f>
        <v xml:space="preserve"> </v>
      </c>
    </row>
    <row r="8" spans="2:32">
      <c r="B8" s="187" t="str">
        <f>'BDD - Joueurs'!$B4</f>
        <v>BERDAH Matis</v>
      </c>
      <c r="C8" s="215">
        <v>1.66</v>
      </c>
      <c r="D8" s="216">
        <v>55</v>
      </c>
      <c r="E8" s="207">
        <f t="shared" ref="E8:E35" si="8">IF(C8=0,"",D8/(C8*C8))</f>
        <v>19.959355494266223</v>
      </c>
      <c r="F8" s="215">
        <v>1.67</v>
      </c>
      <c r="G8" s="216">
        <v>55</v>
      </c>
      <c r="H8" s="207">
        <f t="shared" ref="H8:H35" si="9">IF(F8=0," ",G8/(F8*F8))</f>
        <v>19.721036967980208</v>
      </c>
      <c r="I8" s="215"/>
      <c r="J8" s="216"/>
      <c r="K8" s="207" t="str">
        <f t="shared" si="0"/>
        <v xml:space="preserve"> </v>
      </c>
      <c r="L8" s="221"/>
      <c r="M8" s="216"/>
      <c r="N8" s="207" t="str">
        <f t="shared" si="1"/>
        <v xml:space="preserve"> </v>
      </c>
      <c r="O8" s="221"/>
      <c r="P8" s="216"/>
      <c r="Q8" s="207" t="str">
        <f t="shared" si="2"/>
        <v xml:space="preserve"> </v>
      </c>
      <c r="R8" s="221"/>
      <c r="S8" s="216"/>
      <c r="T8" s="207" t="str">
        <f t="shared" si="3"/>
        <v xml:space="preserve"> </v>
      </c>
      <c r="U8" s="221"/>
      <c r="V8" s="216"/>
      <c r="W8" s="207" t="str">
        <f t="shared" si="4"/>
        <v xml:space="preserve"> </v>
      </c>
      <c r="X8" s="221"/>
      <c r="Y8" s="216"/>
      <c r="Z8" s="207" t="str">
        <f t="shared" si="5"/>
        <v xml:space="preserve"> </v>
      </c>
      <c r="AA8" s="221"/>
      <c r="AB8" s="216"/>
      <c r="AC8" s="207" t="str">
        <f t="shared" si="6"/>
        <v xml:space="preserve"> </v>
      </c>
      <c r="AD8" s="215"/>
      <c r="AE8" s="216"/>
      <c r="AF8" s="207" t="str">
        <f t="shared" si="7"/>
        <v xml:space="preserve"> </v>
      </c>
    </row>
    <row r="9" spans="2:32" s="73" customFormat="1">
      <c r="B9" s="200" t="str">
        <f>'BDD - Joueurs'!$B5</f>
        <v>CAMARA Bandiougou</v>
      </c>
      <c r="C9" s="213">
        <v>1.71</v>
      </c>
      <c r="D9" s="214">
        <v>54</v>
      </c>
      <c r="E9" s="206">
        <f t="shared" si="8"/>
        <v>18.467220683287167</v>
      </c>
      <c r="F9" s="213">
        <v>1.71</v>
      </c>
      <c r="G9" s="214">
        <v>55</v>
      </c>
      <c r="H9" s="207">
        <f t="shared" si="9"/>
        <v>18.809206251496189</v>
      </c>
      <c r="I9" s="213"/>
      <c r="J9" s="214"/>
      <c r="K9" s="207" t="str">
        <f t="shared" si="0"/>
        <v xml:space="preserve"> </v>
      </c>
      <c r="L9" s="220"/>
      <c r="M9" s="214"/>
      <c r="N9" s="207" t="str">
        <f t="shared" si="1"/>
        <v xml:space="preserve"> </v>
      </c>
      <c r="O9" s="220"/>
      <c r="P9" s="214"/>
      <c r="Q9" s="207" t="str">
        <f t="shared" si="2"/>
        <v xml:space="preserve"> </v>
      </c>
      <c r="R9" s="220"/>
      <c r="S9" s="214"/>
      <c r="T9" s="207" t="str">
        <f t="shared" si="3"/>
        <v xml:space="preserve"> </v>
      </c>
      <c r="U9" s="220"/>
      <c r="V9" s="214"/>
      <c r="W9" s="207" t="str">
        <f t="shared" si="4"/>
        <v xml:space="preserve"> </v>
      </c>
      <c r="X9" s="220"/>
      <c r="Y9" s="214"/>
      <c r="Z9" s="207" t="str">
        <f t="shared" si="5"/>
        <v xml:space="preserve"> </v>
      </c>
      <c r="AA9" s="220"/>
      <c r="AB9" s="214"/>
      <c r="AC9" s="207" t="str">
        <f t="shared" si="6"/>
        <v xml:space="preserve"> </v>
      </c>
      <c r="AD9" s="213"/>
      <c r="AE9" s="214"/>
      <c r="AF9" s="207" t="str">
        <f t="shared" si="7"/>
        <v xml:space="preserve"> </v>
      </c>
    </row>
    <row r="10" spans="2:32">
      <c r="B10" s="187" t="str">
        <f>'BDD - Joueurs'!$B6</f>
        <v>CAMARA Moussa</v>
      </c>
      <c r="C10" s="215">
        <v>1.72</v>
      </c>
      <c r="D10" s="216">
        <v>50</v>
      </c>
      <c r="E10" s="207">
        <f t="shared" si="8"/>
        <v>16.901027582477017</v>
      </c>
      <c r="F10" s="215">
        <v>1.72</v>
      </c>
      <c r="G10" s="216">
        <v>50</v>
      </c>
      <c r="H10" s="207">
        <f t="shared" si="9"/>
        <v>16.901027582477017</v>
      </c>
      <c r="I10" s="215"/>
      <c r="J10" s="216"/>
      <c r="K10" s="207" t="str">
        <f t="shared" si="0"/>
        <v xml:space="preserve"> </v>
      </c>
      <c r="L10" s="221"/>
      <c r="M10" s="216"/>
      <c r="N10" s="207" t="str">
        <f t="shared" si="1"/>
        <v xml:space="preserve"> </v>
      </c>
      <c r="O10" s="221"/>
      <c r="P10" s="216"/>
      <c r="Q10" s="207" t="str">
        <f t="shared" si="2"/>
        <v xml:space="preserve"> </v>
      </c>
      <c r="R10" s="221"/>
      <c r="S10" s="216"/>
      <c r="T10" s="207" t="str">
        <f t="shared" si="3"/>
        <v xml:space="preserve"> </v>
      </c>
      <c r="U10" s="221"/>
      <c r="V10" s="216"/>
      <c r="W10" s="207" t="str">
        <f t="shared" si="4"/>
        <v xml:space="preserve"> </v>
      </c>
      <c r="X10" s="221"/>
      <c r="Y10" s="216"/>
      <c r="Z10" s="207" t="str">
        <f t="shared" si="5"/>
        <v xml:space="preserve"> </v>
      </c>
      <c r="AA10" s="221"/>
      <c r="AB10" s="216"/>
      <c r="AC10" s="207" t="str">
        <f t="shared" si="6"/>
        <v xml:space="preserve"> </v>
      </c>
      <c r="AD10" s="215"/>
      <c r="AE10" s="216"/>
      <c r="AF10" s="207" t="str">
        <f t="shared" si="7"/>
        <v xml:space="preserve"> </v>
      </c>
    </row>
    <row r="11" spans="2:32" s="73" customFormat="1">
      <c r="B11" s="200" t="str">
        <f>'BDD - Joueurs'!$B7</f>
        <v>CARREAU Ethan</v>
      </c>
      <c r="C11" s="213">
        <v>1.76</v>
      </c>
      <c r="D11" s="214">
        <v>67</v>
      </c>
      <c r="E11" s="206">
        <f t="shared" si="8"/>
        <v>21.629648760330578</v>
      </c>
      <c r="F11" s="213"/>
      <c r="G11" s="214"/>
      <c r="H11" s="207" t="str">
        <f t="shared" si="9"/>
        <v xml:space="preserve"> </v>
      </c>
      <c r="I11" s="213"/>
      <c r="J11" s="214"/>
      <c r="K11" s="207" t="str">
        <f t="shared" si="0"/>
        <v xml:space="preserve"> </v>
      </c>
      <c r="L11" s="220"/>
      <c r="M11" s="214"/>
      <c r="N11" s="207" t="str">
        <f t="shared" si="1"/>
        <v xml:space="preserve"> </v>
      </c>
      <c r="O11" s="220"/>
      <c r="P11" s="214"/>
      <c r="Q11" s="207" t="str">
        <f t="shared" si="2"/>
        <v xml:space="preserve"> </v>
      </c>
      <c r="R11" s="220"/>
      <c r="S11" s="214"/>
      <c r="T11" s="207" t="str">
        <f t="shared" si="3"/>
        <v xml:space="preserve"> </v>
      </c>
      <c r="U11" s="220"/>
      <c r="V11" s="214"/>
      <c r="W11" s="207" t="str">
        <f t="shared" si="4"/>
        <v xml:space="preserve"> </v>
      </c>
      <c r="X11" s="220"/>
      <c r="Y11" s="214"/>
      <c r="Z11" s="207" t="str">
        <f t="shared" si="5"/>
        <v xml:space="preserve"> </v>
      </c>
      <c r="AA11" s="220"/>
      <c r="AB11" s="214"/>
      <c r="AC11" s="207" t="str">
        <f t="shared" si="6"/>
        <v xml:space="preserve"> </v>
      </c>
      <c r="AD11" s="213"/>
      <c r="AE11" s="214"/>
      <c r="AF11" s="207" t="str">
        <f t="shared" si="7"/>
        <v xml:space="preserve"> </v>
      </c>
    </row>
    <row r="12" spans="2:32">
      <c r="B12" s="187" t="str">
        <f>'BDD - Joueurs'!$B8</f>
        <v>CHEROD Alexis</v>
      </c>
      <c r="C12" s="215">
        <v>1.73</v>
      </c>
      <c r="D12" s="216">
        <v>67</v>
      </c>
      <c r="E12" s="207">
        <f t="shared" si="8"/>
        <v>22.386314277122523</v>
      </c>
      <c r="F12" s="215">
        <v>1.74</v>
      </c>
      <c r="G12" s="216">
        <v>67</v>
      </c>
      <c r="H12" s="207">
        <f t="shared" si="9"/>
        <v>22.129739727837229</v>
      </c>
      <c r="I12" s="215"/>
      <c r="J12" s="216"/>
      <c r="K12" s="207" t="str">
        <f t="shared" si="0"/>
        <v xml:space="preserve"> </v>
      </c>
      <c r="L12" s="221"/>
      <c r="M12" s="216"/>
      <c r="N12" s="207" t="str">
        <f t="shared" si="1"/>
        <v xml:space="preserve"> </v>
      </c>
      <c r="O12" s="221"/>
      <c r="P12" s="216"/>
      <c r="Q12" s="207" t="str">
        <f t="shared" si="2"/>
        <v xml:space="preserve"> </v>
      </c>
      <c r="R12" s="221"/>
      <c r="S12" s="216"/>
      <c r="T12" s="207" t="str">
        <f t="shared" si="3"/>
        <v xml:space="preserve"> </v>
      </c>
      <c r="U12" s="221"/>
      <c r="V12" s="216"/>
      <c r="W12" s="207" t="str">
        <f t="shared" si="4"/>
        <v xml:space="preserve"> </v>
      </c>
      <c r="X12" s="221"/>
      <c r="Y12" s="216"/>
      <c r="Z12" s="207" t="str">
        <f t="shared" si="5"/>
        <v xml:space="preserve"> </v>
      </c>
      <c r="AA12" s="221"/>
      <c r="AB12" s="216"/>
      <c r="AC12" s="207" t="str">
        <f t="shared" si="6"/>
        <v xml:space="preserve"> </v>
      </c>
      <c r="AD12" s="215"/>
      <c r="AE12" s="216"/>
      <c r="AF12" s="207" t="str">
        <f t="shared" si="7"/>
        <v xml:space="preserve"> </v>
      </c>
    </row>
    <row r="13" spans="2:32" s="73" customFormat="1">
      <c r="B13" s="200" t="str">
        <f>'BDD - Joueurs'!$B9</f>
        <v>DJEHICHE Ramzi</v>
      </c>
      <c r="C13" s="213">
        <v>1.58</v>
      </c>
      <c r="D13" s="214">
        <v>48</v>
      </c>
      <c r="E13" s="206">
        <f t="shared" si="8"/>
        <v>19.227687870533565</v>
      </c>
      <c r="F13" s="213">
        <v>1.58</v>
      </c>
      <c r="G13" s="214">
        <v>48</v>
      </c>
      <c r="H13" s="207">
        <f t="shared" si="9"/>
        <v>19.227687870533565</v>
      </c>
      <c r="I13" s="213"/>
      <c r="J13" s="214"/>
      <c r="K13" s="207" t="str">
        <f t="shared" si="0"/>
        <v xml:space="preserve"> </v>
      </c>
      <c r="L13" s="220"/>
      <c r="M13" s="214"/>
      <c r="N13" s="207" t="str">
        <f t="shared" si="1"/>
        <v xml:space="preserve"> </v>
      </c>
      <c r="O13" s="220"/>
      <c r="P13" s="214"/>
      <c r="Q13" s="207" t="str">
        <f t="shared" si="2"/>
        <v xml:space="preserve"> </v>
      </c>
      <c r="R13" s="220"/>
      <c r="S13" s="214"/>
      <c r="T13" s="207" t="str">
        <f t="shared" si="3"/>
        <v xml:space="preserve"> </v>
      </c>
      <c r="U13" s="220"/>
      <c r="V13" s="214"/>
      <c r="W13" s="207" t="str">
        <f t="shared" si="4"/>
        <v xml:space="preserve"> </v>
      </c>
      <c r="X13" s="220"/>
      <c r="Y13" s="214"/>
      <c r="Z13" s="207" t="str">
        <f t="shared" si="5"/>
        <v xml:space="preserve"> </v>
      </c>
      <c r="AA13" s="220"/>
      <c r="AB13" s="214"/>
      <c r="AC13" s="207" t="str">
        <f t="shared" si="6"/>
        <v xml:space="preserve"> </v>
      </c>
      <c r="AD13" s="213"/>
      <c r="AE13" s="214"/>
      <c r="AF13" s="207" t="str">
        <f t="shared" si="7"/>
        <v xml:space="preserve"> </v>
      </c>
    </row>
    <row r="14" spans="2:32">
      <c r="B14" s="187" t="str">
        <f>'BDD - Joueurs'!$B10</f>
        <v>DOSIERE Baptiste</v>
      </c>
      <c r="C14" s="215">
        <v>1.7</v>
      </c>
      <c r="D14" s="216">
        <v>55</v>
      </c>
      <c r="E14" s="207">
        <f t="shared" si="8"/>
        <v>19.031141868512112</v>
      </c>
      <c r="F14" s="215">
        <v>1.7</v>
      </c>
      <c r="G14" s="216">
        <v>55</v>
      </c>
      <c r="H14" s="207">
        <f t="shared" si="9"/>
        <v>19.031141868512112</v>
      </c>
      <c r="I14" s="215"/>
      <c r="J14" s="216"/>
      <c r="K14" s="207" t="str">
        <f t="shared" si="0"/>
        <v xml:space="preserve"> </v>
      </c>
      <c r="L14" s="221"/>
      <c r="M14" s="216"/>
      <c r="N14" s="207" t="str">
        <f t="shared" si="1"/>
        <v xml:space="preserve"> </v>
      </c>
      <c r="O14" s="221"/>
      <c r="P14" s="216"/>
      <c r="Q14" s="207" t="str">
        <f t="shared" si="2"/>
        <v xml:space="preserve"> </v>
      </c>
      <c r="R14" s="221"/>
      <c r="S14" s="216"/>
      <c r="T14" s="207" t="str">
        <f t="shared" si="3"/>
        <v xml:space="preserve"> </v>
      </c>
      <c r="U14" s="221"/>
      <c r="V14" s="216"/>
      <c r="W14" s="207" t="str">
        <f t="shared" si="4"/>
        <v xml:space="preserve"> </v>
      </c>
      <c r="X14" s="221"/>
      <c r="Y14" s="216"/>
      <c r="Z14" s="207" t="str">
        <f t="shared" si="5"/>
        <v xml:space="preserve"> </v>
      </c>
      <c r="AA14" s="221"/>
      <c r="AB14" s="216"/>
      <c r="AC14" s="207" t="str">
        <f t="shared" si="6"/>
        <v xml:space="preserve"> </v>
      </c>
      <c r="AD14" s="215"/>
      <c r="AE14" s="216"/>
      <c r="AF14" s="207" t="str">
        <f t="shared" si="7"/>
        <v xml:space="preserve"> </v>
      </c>
    </row>
    <row r="15" spans="2:32" s="73" customFormat="1">
      <c r="B15" s="200" t="str">
        <f>'BDD - Joueurs'!$B11</f>
        <v>DUQUENOY Thomas</v>
      </c>
      <c r="C15" s="213">
        <v>1.77</v>
      </c>
      <c r="D15" s="214">
        <v>54</v>
      </c>
      <c r="E15" s="206">
        <f t="shared" si="8"/>
        <v>17.236426314277505</v>
      </c>
      <c r="F15" s="213">
        <v>1.77</v>
      </c>
      <c r="G15" s="214">
        <v>54</v>
      </c>
      <c r="H15" s="207">
        <f t="shared" si="9"/>
        <v>17.236426314277505</v>
      </c>
      <c r="I15" s="213"/>
      <c r="J15" s="214"/>
      <c r="K15" s="207" t="str">
        <f t="shared" si="0"/>
        <v xml:space="preserve"> </v>
      </c>
      <c r="L15" s="220"/>
      <c r="M15" s="214"/>
      <c r="N15" s="207" t="str">
        <f t="shared" si="1"/>
        <v xml:space="preserve"> </v>
      </c>
      <c r="O15" s="220"/>
      <c r="P15" s="214"/>
      <c r="Q15" s="207" t="str">
        <f t="shared" si="2"/>
        <v xml:space="preserve"> </v>
      </c>
      <c r="R15" s="220"/>
      <c r="S15" s="214"/>
      <c r="T15" s="207" t="str">
        <f t="shared" si="3"/>
        <v xml:space="preserve"> </v>
      </c>
      <c r="U15" s="220"/>
      <c r="V15" s="214"/>
      <c r="W15" s="207" t="str">
        <f t="shared" si="4"/>
        <v xml:space="preserve"> </v>
      </c>
      <c r="X15" s="220"/>
      <c r="Y15" s="214"/>
      <c r="Z15" s="207" t="str">
        <f t="shared" si="5"/>
        <v xml:space="preserve"> </v>
      </c>
      <c r="AA15" s="220"/>
      <c r="AB15" s="214"/>
      <c r="AC15" s="207" t="str">
        <f t="shared" si="6"/>
        <v xml:space="preserve"> </v>
      </c>
      <c r="AD15" s="213"/>
      <c r="AE15" s="214"/>
      <c r="AF15" s="207" t="str">
        <f t="shared" si="7"/>
        <v xml:space="preserve"> </v>
      </c>
    </row>
    <row r="16" spans="2:32">
      <c r="B16" s="187" t="str">
        <f>'BDD - Joueurs'!$B12</f>
        <v>KIPRE Jordan</v>
      </c>
      <c r="C16" s="215"/>
      <c r="D16" s="216"/>
      <c r="E16" s="207" t="str">
        <f t="shared" si="8"/>
        <v/>
      </c>
      <c r="F16" s="215"/>
      <c r="G16" s="216"/>
      <c r="H16" s="207" t="str">
        <f t="shared" si="9"/>
        <v xml:space="preserve"> </v>
      </c>
      <c r="I16" s="215"/>
      <c r="J16" s="216"/>
      <c r="K16" s="207" t="str">
        <f t="shared" si="0"/>
        <v xml:space="preserve"> </v>
      </c>
      <c r="L16" s="221"/>
      <c r="M16" s="216"/>
      <c r="N16" s="207" t="str">
        <f t="shared" si="1"/>
        <v xml:space="preserve"> </v>
      </c>
      <c r="O16" s="221"/>
      <c r="P16" s="216"/>
      <c r="Q16" s="207" t="str">
        <f t="shared" si="2"/>
        <v xml:space="preserve"> </v>
      </c>
      <c r="R16" s="221"/>
      <c r="S16" s="216"/>
      <c r="T16" s="207" t="str">
        <f t="shared" si="3"/>
        <v xml:space="preserve"> </v>
      </c>
      <c r="U16" s="221"/>
      <c r="V16" s="216"/>
      <c r="W16" s="207" t="str">
        <f t="shared" si="4"/>
        <v xml:space="preserve"> </v>
      </c>
      <c r="X16" s="221"/>
      <c r="Y16" s="216"/>
      <c r="Z16" s="207" t="str">
        <f t="shared" si="5"/>
        <v xml:space="preserve"> </v>
      </c>
      <c r="AA16" s="221"/>
      <c r="AB16" s="216"/>
      <c r="AC16" s="207" t="str">
        <f t="shared" si="6"/>
        <v xml:space="preserve"> </v>
      </c>
      <c r="AD16" s="215"/>
      <c r="AE16" s="216"/>
      <c r="AF16" s="207" t="str">
        <f t="shared" si="7"/>
        <v xml:space="preserve"> </v>
      </c>
    </row>
    <row r="17" spans="2:32" s="73" customFormat="1">
      <c r="B17" s="200" t="str">
        <f>'BDD - Joueurs'!$B13</f>
        <v>KONATE Mamadou</v>
      </c>
      <c r="C17" s="213">
        <v>1.75</v>
      </c>
      <c r="D17" s="214">
        <v>53</v>
      </c>
      <c r="E17" s="206">
        <f t="shared" si="8"/>
        <v>17.306122448979593</v>
      </c>
      <c r="F17" s="213">
        <v>1.77</v>
      </c>
      <c r="G17" s="214">
        <v>54</v>
      </c>
      <c r="H17" s="207">
        <f t="shared" si="9"/>
        <v>17.236426314277505</v>
      </c>
      <c r="I17" s="213"/>
      <c r="J17" s="214"/>
      <c r="K17" s="207" t="str">
        <f t="shared" si="0"/>
        <v xml:space="preserve"> </v>
      </c>
      <c r="L17" s="220"/>
      <c r="M17" s="214"/>
      <c r="N17" s="207" t="str">
        <f t="shared" si="1"/>
        <v xml:space="preserve"> </v>
      </c>
      <c r="O17" s="220"/>
      <c r="P17" s="214"/>
      <c r="Q17" s="207" t="str">
        <f t="shared" si="2"/>
        <v xml:space="preserve"> </v>
      </c>
      <c r="R17" s="220"/>
      <c r="S17" s="214"/>
      <c r="T17" s="207" t="str">
        <f t="shared" si="3"/>
        <v xml:space="preserve"> </v>
      </c>
      <c r="U17" s="220"/>
      <c r="V17" s="214"/>
      <c r="W17" s="207" t="str">
        <f t="shared" si="4"/>
        <v xml:space="preserve"> </v>
      </c>
      <c r="X17" s="220"/>
      <c r="Y17" s="214"/>
      <c r="Z17" s="207" t="str">
        <f t="shared" si="5"/>
        <v xml:space="preserve"> </v>
      </c>
      <c r="AA17" s="220"/>
      <c r="AB17" s="214"/>
      <c r="AC17" s="207" t="str">
        <f t="shared" si="6"/>
        <v xml:space="preserve"> </v>
      </c>
      <c r="AD17" s="213"/>
      <c r="AE17" s="214"/>
      <c r="AF17" s="207" t="str">
        <f t="shared" si="7"/>
        <v xml:space="preserve"> </v>
      </c>
    </row>
    <row r="18" spans="2:32">
      <c r="B18" s="187" t="str">
        <f>'BDD - Joueurs'!$B14</f>
        <v>LECOUFFE Hugo</v>
      </c>
      <c r="C18" s="215">
        <v>1.57</v>
      </c>
      <c r="D18" s="216">
        <v>50</v>
      </c>
      <c r="E18" s="207">
        <f t="shared" si="8"/>
        <v>20.28479857195018</v>
      </c>
      <c r="F18" s="215">
        <v>1.57</v>
      </c>
      <c r="G18" s="216">
        <v>50</v>
      </c>
      <c r="H18" s="207">
        <f t="shared" si="9"/>
        <v>20.28479857195018</v>
      </c>
      <c r="I18" s="215"/>
      <c r="J18" s="216"/>
      <c r="K18" s="207" t="str">
        <f t="shared" si="0"/>
        <v xml:space="preserve"> </v>
      </c>
      <c r="L18" s="221"/>
      <c r="M18" s="216"/>
      <c r="N18" s="207" t="str">
        <f t="shared" si="1"/>
        <v xml:space="preserve"> </v>
      </c>
      <c r="O18" s="221"/>
      <c r="P18" s="216"/>
      <c r="Q18" s="207" t="str">
        <f t="shared" si="2"/>
        <v xml:space="preserve"> </v>
      </c>
      <c r="R18" s="221"/>
      <c r="S18" s="216"/>
      <c r="T18" s="207" t="str">
        <f t="shared" si="3"/>
        <v xml:space="preserve"> </v>
      </c>
      <c r="U18" s="221"/>
      <c r="V18" s="216"/>
      <c r="W18" s="207" t="str">
        <f t="shared" si="4"/>
        <v xml:space="preserve"> </v>
      </c>
      <c r="X18" s="221"/>
      <c r="Y18" s="216"/>
      <c r="Z18" s="207" t="str">
        <f t="shared" si="5"/>
        <v xml:space="preserve"> </v>
      </c>
      <c r="AA18" s="221"/>
      <c r="AB18" s="216"/>
      <c r="AC18" s="207" t="str">
        <f t="shared" si="6"/>
        <v xml:space="preserve"> </v>
      </c>
      <c r="AD18" s="215"/>
      <c r="AE18" s="216"/>
      <c r="AF18" s="207" t="str">
        <f t="shared" si="7"/>
        <v xml:space="preserve"> </v>
      </c>
    </row>
    <row r="19" spans="2:32" s="73" customFormat="1">
      <c r="B19" s="200" t="str">
        <f>'BDD - Joueurs'!$B15</f>
        <v>LEFRANC Nathan</v>
      </c>
      <c r="C19" s="213">
        <v>1.74</v>
      </c>
      <c r="D19" s="214">
        <v>57</v>
      </c>
      <c r="E19" s="206">
        <f t="shared" si="8"/>
        <v>18.826793499801823</v>
      </c>
      <c r="F19" s="213"/>
      <c r="G19" s="214"/>
      <c r="H19" s="207" t="str">
        <f t="shared" si="9"/>
        <v xml:space="preserve"> </v>
      </c>
      <c r="I19" s="213"/>
      <c r="J19" s="214"/>
      <c r="K19" s="207" t="str">
        <f t="shared" si="0"/>
        <v xml:space="preserve"> </v>
      </c>
      <c r="L19" s="220"/>
      <c r="M19" s="214"/>
      <c r="N19" s="207" t="str">
        <f t="shared" si="1"/>
        <v xml:space="preserve"> </v>
      </c>
      <c r="O19" s="220"/>
      <c r="P19" s="214"/>
      <c r="Q19" s="207" t="str">
        <f t="shared" si="2"/>
        <v xml:space="preserve"> </v>
      </c>
      <c r="R19" s="220"/>
      <c r="S19" s="214"/>
      <c r="T19" s="207" t="str">
        <f t="shared" si="3"/>
        <v xml:space="preserve"> </v>
      </c>
      <c r="U19" s="220"/>
      <c r="V19" s="214"/>
      <c r="W19" s="207" t="str">
        <f t="shared" si="4"/>
        <v xml:space="preserve"> </v>
      </c>
      <c r="X19" s="220"/>
      <c r="Y19" s="214"/>
      <c r="Z19" s="207" t="str">
        <f t="shared" si="5"/>
        <v xml:space="preserve"> </v>
      </c>
      <c r="AA19" s="220"/>
      <c r="AB19" s="214"/>
      <c r="AC19" s="207" t="str">
        <f t="shared" si="6"/>
        <v xml:space="preserve"> </v>
      </c>
      <c r="AD19" s="213"/>
      <c r="AE19" s="214"/>
      <c r="AF19" s="207" t="str">
        <f t="shared" si="7"/>
        <v xml:space="preserve"> </v>
      </c>
    </row>
    <row r="20" spans="2:32">
      <c r="B20" s="187" t="str">
        <f>'BDD - Joueurs'!$B16</f>
        <v>MASSOUSSI Elie</v>
      </c>
      <c r="C20" s="215">
        <v>1.85</v>
      </c>
      <c r="D20" s="216">
        <v>74</v>
      </c>
      <c r="E20" s="207">
        <f t="shared" si="8"/>
        <v>21.621621621621621</v>
      </c>
      <c r="F20" s="215">
        <v>1.86</v>
      </c>
      <c r="G20" s="216">
        <v>75</v>
      </c>
      <c r="H20" s="207">
        <f t="shared" si="9"/>
        <v>21.678806798473808</v>
      </c>
      <c r="I20" s="215"/>
      <c r="J20" s="216"/>
      <c r="K20" s="207" t="str">
        <f t="shared" si="0"/>
        <v xml:space="preserve"> </v>
      </c>
      <c r="L20" s="221"/>
      <c r="M20" s="216"/>
      <c r="N20" s="207" t="str">
        <f t="shared" si="1"/>
        <v xml:space="preserve"> </v>
      </c>
      <c r="O20" s="221"/>
      <c r="P20" s="216"/>
      <c r="Q20" s="207" t="str">
        <f t="shared" si="2"/>
        <v xml:space="preserve"> </v>
      </c>
      <c r="R20" s="221"/>
      <c r="S20" s="216"/>
      <c r="T20" s="207" t="str">
        <f t="shared" si="3"/>
        <v xml:space="preserve"> </v>
      </c>
      <c r="U20" s="221"/>
      <c r="V20" s="216"/>
      <c r="W20" s="207" t="str">
        <f t="shared" si="4"/>
        <v xml:space="preserve"> </v>
      </c>
      <c r="X20" s="221"/>
      <c r="Y20" s="216"/>
      <c r="Z20" s="207" t="str">
        <f t="shared" si="5"/>
        <v xml:space="preserve"> </v>
      </c>
      <c r="AA20" s="221"/>
      <c r="AB20" s="216"/>
      <c r="AC20" s="207" t="str">
        <f t="shared" si="6"/>
        <v xml:space="preserve"> </v>
      </c>
      <c r="AD20" s="215"/>
      <c r="AE20" s="216"/>
      <c r="AF20" s="207" t="str">
        <f t="shared" si="7"/>
        <v xml:space="preserve"> </v>
      </c>
    </row>
    <row r="21" spans="2:32" s="73" customFormat="1">
      <c r="B21" s="200" t="str">
        <f>'BDD - Joueurs'!$B17</f>
        <v>NGOUABI Yoann</v>
      </c>
      <c r="C21" s="213">
        <v>1.74</v>
      </c>
      <c r="D21" s="214">
        <v>58</v>
      </c>
      <c r="E21" s="206">
        <f t="shared" si="8"/>
        <v>19.157088122605362</v>
      </c>
      <c r="F21" s="213">
        <v>1.74</v>
      </c>
      <c r="G21" s="214">
        <v>58</v>
      </c>
      <c r="H21" s="207">
        <f t="shared" si="9"/>
        <v>19.157088122605362</v>
      </c>
      <c r="I21" s="213"/>
      <c r="J21" s="214"/>
      <c r="K21" s="207" t="str">
        <f t="shared" si="0"/>
        <v xml:space="preserve"> </v>
      </c>
      <c r="L21" s="220"/>
      <c r="M21" s="214"/>
      <c r="N21" s="207" t="str">
        <f t="shared" si="1"/>
        <v xml:space="preserve"> </v>
      </c>
      <c r="O21" s="220"/>
      <c r="P21" s="214"/>
      <c r="Q21" s="207" t="str">
        <f t="shared" si="2"/>
        <v xml:space="preserve"> </v>
      </c>
      <c r="R21" s="220"/>
      <c r="S21" s="214"/>
      <c r="T21" s="207" t="str">
        <f t="shared" si="3"/>
        <v xml:space="preserve"> </v>
      </c>
      <c r="U21" s="220"/>
      <c r="V21" s="214"/>
      <c r="W21" s="207" t="str">
        <f t="shared" si="4"/>
        <v xml:space="preserve"> </v>
      </c>
      <c r="X21" s="220"/>
      <c r="Y21" s="214"/>
      <c r="Z21" s="207" t="str">
        <f t="shared" si="5"/>
        <v xml:space="preserve"> </v>
      </c>
      <c r="AA21" s="220"/>
      <c r="AB21" s="214"/>
      <c r="AC21" s="207" t="str">
        <f t="shared" si="6"/>
        <v xml:space="preserve"> </v>
      </c>
      <c r="AD21" s="213"/>
      <c r="AE21" s="214"/>
      <c r="AF21" s="207" t="str">
        <f t="shared" si="7"/>
        <v xml:space="preserve"> </v>
      </c>
    </row>
    <row r="22" spans="2:32">
      <c r="B22" s="187" t="str">
        <f>'BDD - Joueurs'!$B18</f>
        <v>PLANET Mathis</v>
      </c>
      <c r="C22" s="215">
        <v>1.71</v>
      </c>
      <c r="D22" s="216">
        <v>60</v>
      </c>
      <c r="E22" s="207">
        <f t="shared" si="8"/>
        <v>20.519134092541297</v>
      </c>
      <c r="F22" s="215">
        <v>1.71</v>
      </c>
      <c r="G22" s="216">
        <v>59</v>
      </c>
      <c r="H22" s="207">
        <f t="shared" si="9"/>
        <v>20.177148524332274</v>
      </c>
      <c r="I22" s="215"/>
      <c r="J22" s="216"/>
      <c r="K22" s="207" t="str">
        <f t="shared" si="0"/>
        <v xml:space="preserve"> </v>
      </c>
      <c r="L22" s="221"/>
      <c r="M22" s="216"/>
      <c r="N22" s="207" t="str">
        <f t="shared" si="1"/>
        <v xml:space="preserve"> </v>
      </c>
      <c r="O22" s="221"/>
      <c r="P22" s="216"/>
      <c r="Q22" s="207" t="str">
        <f t="shared" si="2"/>
        <v xml:space="preserve"> </v>
      </c>
      <c r="R22" s="221"/>
      <c r="S22" s="216"/>
      <c r="T22" s="207" t="str">
        <f t="shared" si="3"/>
        <v xml:space="preserve"> </v>
      </c>
      <c r="U22" s="221"/>
      <c r="V22" s="216"/>
      <c r="W22" s="207" t="str">
        <f t="shared" si="4"/>
        <v xml:space="preserve"> </v>
      </c>
      <c r="X22" s="221"/>
      <c r="Y22" s="216"/>
      <c r="Z22" s="207" t="str">
        <f t="shared" si="5"/>
        <v xml:space="preserve"> </v>
      </c>
      <c r="AA22" s="221"/>
      <c r="AB22" s="216"/>
      <c r="AC22" s="207" t="str">
        <f t="shared" si="6"/>
        <v xml:space="preserve"> </v>
      </c>
      <c r="AD22" s="215"/>
      <c r="AE22" s="216"/>
      <c r="AF22" s="207" t="str">
        <f t="shared" si="7"/>
        <v xml:space="preserve"> </v>
      </c>
    </row>
    <row r="23" spans="2:32" s="73" customFormat="1">
      <c r="B23" s="200" t="str">
        <f>'BDD - Joueurs'!$B19</f>
        <v>PRONNIER Nicolas</v>
      </c>
      <c r="C23" s="213">
        <v>1.71</v>
      </c>
      <c r="D23" s="214">
        <v>67</v>
      </c>
      <c r="E23" s="206">
        <f t="shared" si="8"/>
        <v>22.913033070004449</v>
      </c>
      <c r="F23" s="213"/>
      <c r="G23" s="214"/>
      <c r="H23" s="207" t="str">
        <f t="shared" si="9"/>
        <v xml:space="preserve"> </v>
      </c>
      <c r="I23" s="213"/>
      <c r="J23" s="214"/>
      <c r="K23" s="207" t="str">
        <f t="shared" si="0"/>
        <v xml:space="preserve"> </v>
      </c>
      <c r="L23" s="220"/>
      <c r="M23" s="214"/>
      <c r="N23" s="207" t="str">
        <f t="shared" si="1"/>
        <v xml:space="preserve"> </v>
      </c>
      <c r="O23" s="220"/>
      <c r="P23" s="214"/>
      <c r="Q23" s="207" t="str">
        <f t="shared" si="2"/>
        <v xml:space="preserve"> </v>
      </c>
      <c r="R23" s="220"/>
      <c r="S23" s="214"/>
      <c r="T23" s="207" t="str">
        <f t="shared" si="3"/>
        <v xml:space="preserve"> </v>
      </c>
      <c r="U23" s="220"/>
      <c r="V23" s="214"/>
      <c r="W23" s="207" t="str">
        <f t="shared" si="4"/>
        <v xml:space="preserve"> </v>
      </c>
      <c r="X23" s="220"/>
      <c r="Y23" s="214"/>
      <c r="Z23" s="207" t="str">
        <f t="shared" si="5"/>
        <v xml:space="preserve"> </v>
      </c>
      <c r="AA23" s="220"/>
      <c r="AB23" s="214"/>
      <c r="AC23" s="207" t="str">
        <f t="shared" si="6"/>
        <v xml:space="preserve"> </v>
      </c>
      <c r="AD23" s="213"/>
      <c r="AE23" s="214"/>
      <c r="AF23" s="207" t="str">
        <f t="shared" si="7"/>
        <v xml:space="preserve"> </v>
      </c>
    </row>
    <row r="24" spans="2:32">
      <c r="B24" s="187" t="str">
        <f>'BDD - Joueurs'!$B20</f>
        <v>STIOUET Reda</v>
      </c>
      <c r="C24" s="215">
        <v>1.63</v>
      </c>
      <c r="D24" s="216">
        <v>60</v>
      </c>
      <c r="E24" s="207">
        <f t="shared" si="8"/>
        <v>22.582709172343712</v>
      </c>
      <c r="F24" s="215">
        <v>1.63</v>
      </c>
      <c r="G24" s="216">
        <v>60</v>
      </c>
      <c r="H24" s="207">
        <f t="shared" si="9"/>
        <v>22.582709172343712</v>
      </c>
      <c r="I24" s="215"/>
      <c r="J24" s="216"/>
      <c r="K24" s="207" t="str">
        <f t="shared" si="0"/>
        <v xml:space="preserve"> </v>
      </c>
      <c r="L24" s="221"/>
      <c r="M24" s="216"/>
      <c r="N24" s="207" t="str">
        <f t="shared" si="1"/>
        <v xml:space="preserve"> </v>
      </c>
      <c r="O24" s="221"/>
      <c r="P24" s="216"/>
      <c r="Q24" s="207" t="str">
        <f t="shared" si="2"/>
        <v xml:space="preserve"> </v>
      </c>
      <c r="R24" s="221"/>
      <c r="S24" s="216"/>
      <c r="T24" s="207" t="str">
        <f t="shared" si="3"/>
        <v xml:space="preserve"> </v>
      </c>
      <c r="U24" s="221"/>
      <c r="V24" s="216"/>
      <c r="W24" s="207" t="str">
        <f t="shared" si="4"/>
        <v xml:space="preserve"> </v>
      </c>
      <c r="X24" s="221"/>
      <c r="Y24" s="216"/>
      <c r="Z24" s="207" t="str">
        <f t="shared" si="5"/>
        <v xml:space="preserve"> </v>
      </c>
      <c r="AA24" s="221"/>
      <c r="AB24" s="216"/>
      <c r="AC24" s="207" t="str">
        <f t="shared" si="6"/>
        <v xml:space="preserve"> </v>
      </c>
      <c r="AD24" s="215"/>
      <c r="AE24" s="216"/>
      <c r="AF24" s="207" t="str">
        <f t="shared" si="7"/>
        <v xml:space="preserve"> </v>
      </c>
    </row>
    <row r="25" spans="2:32" s="56" customFormat="1">
      <c r="B25" s="200" t="str">
        <f>'BDD - Joueurs'!$B21</f>
        <v>ZERDEB Said</v>
      </c>
      <c r="C25" s="213"/>
      <c r="D25" s="214"/>
      <c r="E25" s="206" t="str">
        <f t="shared" si="8"/>
        <v/>
      </c>
      <c r="F25" s="213"/>
      <c r="G25" s="214"/>
      <c r="H25" s="207" t="str">
        <f t="shared" si="9"/>
        <v xml:space="preserve"> </v>
      </c>
      <c r="I25" s="213"/>
      <c r="J25" s="214"/>
      <c r="K25" s="207" t="str">
        <f t="shared" si="0"/>
        <v xml:space="preserve"> </v>
      </c>
      <c r="L25" s="220"/>
      <c r="M25" s="214"/>
      <c r="N25" s="207" t="str">
        <f t="shared" si="1"/>
        <v xml:space="preserve"> </v>
      </c>
      <c r="O25" s="220"/>
      <c r="P25" s="214"/>
      <c r="Q25" s="207" t="str">
        <f t="shared" si="2"/>
        <v xml:space="preserve"> </v>
      </c>
      <c r="R25" s="220"/>
      <c r="S25" s="214"/>
      <c r="T25" s="207" t="str">
        <f t="shared" si="3"/>
        <v xml:space="preserve"> </v>
      </c>
      <c r="U25" s="220"/>
      <c r="V25" s="214"/>
      <c r="W25" s="207" t="str">
        <f t="shared" si="4"/>
        <v xml:space="preserve"> </v>
      </c>
      <c r="X25" s="220"/>
      <c r="Y25" s="214"/>
      <c r="Z25" s="207" t="str">
        <f t="shared" si="5"/>
        <v xml:space="preserve"> </v>
      </c>
      <c r="AA25" s="220"/>
      <c r="AB25" s="214"/>
      <c r="AC25" s="207" t="str">
        <f t="shared" si="6"/>
        <v xml:space="preserve"> </v>
      </c>
      <c r="AD25" s="213"/>
      <c r="AE25" s="214"/>
      <c r="AF25" s="207" t="str">
        <f t="shared" si="7"/>
        <v xml:space="preserve"> </v>
      </c>
    </row>
    <row r="26" spans="2:32">
      <c r="B26" s="187" t="str">
        <f>'BDD - Joueurs'!$B22</f>
        <v>OSSENI Farouk</v>
      </c>
      <c r="C26" s="215">
        <v>1.88</v>
      </c>
      <c r="D26" s="216">
        <v>110</v>
      </c>
      <c r="E26" s="207">
        <f t="shared" si="8"/>
        <v>31.122679945676779</v>
      </c>
      <c r="F26" s="215">
        <v>1.88</v>
      </c>
      <c r="G26" s="216">
        <v>109</v>
      </c>
      <c r="H26" s="207">
        <f t="shared" si="9"/>
        <v>30.839746491625171</v>
      </c>
      <c r="I26" s="221"/>
      <c r="J26" s="216"/>
      <c r="K26" s="207" t="str">
        <f t="shared" si="0"/>
        <v xml:space="preserve"> </v>
      </c>
      <c r="L26" s="221"/>
      <c r="M26" s="216"/>
      <c r="N26" s="207" t="str">
        <f t="shared" si="1"/>
        <v xml:space="preserve"> </v>
      </c>
      <c r="O26" s="221"/>
      <c r="P26" s="216"/>
      <c r="Q26" s="207" t="str">
        <f t="shared" si="2"/>
        <v xml:space="preserve"> </v>
      </c>
      <c r="R26" s="221"/>
      <c r="S26" s="216"/>
      <c r="T26" s="207" t="str">
        <f t="shared" si="3"/>
        <v xml:space="preserve"> </v>
      </c>
      <c r="U26" s="221"/>
      <c r="V26" s="216"/>
      <c r="W26" s="207" t="str">
        <f t="shared" si="4"/>
        <v xml:space="preserve"> </v>
      </c>
      <c r="X26" s="221"/>
      <c r="Y26" s="216"/>
      <c r="Z26" s="207" t="str">
        <f t="shared" si="5"/>
        <v xml:space="preserve"> </v>
      </c>
      <c r="AA26" s="221"/>
      <c r="AB26" s="216"/>
      <c r="AC26" s="207" t="str">
        <f t="shared" si="6"/>
        <v xml:space="preserve"> </v>
      </c>
      <c r="AD26" s="215"/>
      <c r="AE26" s="216"/>
      <c r="AF26" s="207" t="str">
        <f t="shared" si="7"/>
        <v xml:space="preserve"> </v>
      </c>
    </row>
    <row r="27" spans="2:32" s="73" customFormat="1">
      <c r="B27" s="200">
        <f>'BDD - Joueurs'!$B23</f>
        <v>0</v>
      </c>
      <c r="C27" s="213"/>
      <c r="D27" s="214"/>
      <c r="E27" s="206" t="str">
        <f t="shared" si="8"/>
        <v/>
      </c>
      <c r="F27" s="213"/>
      <c r="G27" s="214"/>
      <c r="H27" s="207" t="str">
        <f t="shared" si="9"/>
        <v xml:space="preserve"> </v>
      </c>
      <c r="I27" s="220"/>
      <c r="J27" s="214"/>
      <c r="K27" s="207" t="str">
        <f t="shared" si="0"/>
        <v xml:space="preserve"> </v>
      </c>
      <c r="L27" s="220"/>
      <c r="M27" s="214"/>
      <c r="N27" s="207" t="str">
        <f t="shared" si="1"/>
        <v xml:space="preserve"> </v>
      </c>
      <c r="O27" s="220"/>
      <c r="P27" s="214"/>
      <c r="Q27" s="207" t="str">
        <f t="shared" si="2"/>
        <v xml:space="preserve"> </v>
      </c>
      <c r="R27" s="220"/>
      <c r="S27" s="214"/>
      <c r="T27" s="207" t="str">
        <f t="shared" si="3"/>
        <v xml:space="preserve"> </v>
      </c>
      <c r="U27" s="220"/>
      <c r="V27" s="214"/>
      <c r="W27" s="207" t="str">
        <f t="shared" si="4"/>
        <v xml:space="preserve"> </v>
      </c>
      <c r="X27" s="220"/>
      <c r="Y27" s="214"/>
      <c r="Z27" s="207" t="str">
        <f t="shared" si="5"/>
        <v xml:space="preserve"> </v>
      </c>
      <c r="AA27" s="220"/>
      <c r="AB27" s="214"/>
      <c r="AC27" s="207" t="str">
        <f t="shared" si="6"/>
        <v xml:space="preserve"> </v>
      </c>
      <c r="AD27" s="213"/>
      <c r="AE27" s="214"/>
      <c r="AF27" s="207" t="str">
        <f t="shared" si="7"/>
        <v xml:space="preserve"> </v>
      </c>
    </row>
    <row r="28" spans="2:32">
      <c r="B28" s="187">
        <f>'BDD - Joueurs'!$B24</f>
        <v>0</v>
      </c>
      <c r="C28" s="215"/>
      <c r="D28" s="216"/>
      <c r="E28" s="207" t="str">
        <f t="shared" si="8"/>
        <v/>
      </c>
      <c r="F28" s="215"/>
      <c r="G28" s="216"/>
      <c r="H28" s="207" t="str">
        <f t="shared" si="9"/>
        <v xml:space="preserve"> </v>
      </c>
      <c r="I28" s="221"/>
      <c r="J28" s="216"/>
      <c r="K28" s="207" t="str">
        <f t="shared" si="0"/>
        <v xml:space="preserve"> </v>
      </c>
      <c r="L28" s="221"/>
      <c r="M28" s="216"/>
      <c r="N28" s="207" t="str">
        <f t="shared" si="1"/>
        <v xml:space="preserve"> </v>
      </c>
      <c r="O28" s="221"/>
      <c r="P28" s="216"/>
      <c r="Q28" s="207" t="str">
        <f t="shared" si="2"/>
        <v xml:space="preserve"> </v>
      </c>
      <c r="R28" s="221"/>
      <c r="S28" s="216"/>
      <c r="T28" s="207" t="str">
        <f t="shared" si="3"/>
        <v xml:space="preserve"> </v>
      </c>
      <c r="U28" s="221"/>
      <c r="V28" s="216"/>
      <c r="W28" s="207" t="str">
        <f t="shared" si="4"/>
        <v xml:space="preserve"> </v>
      </c>
      <c r="X28" s="221"/>
      <c r="Y28" s="216"/>
      <c r="Z28" s="207" t="str">
        <f t="shared" si="5"/>
        <v xml:space="preserve"> </v>
      </c>
      <c r="AA28" s="221"/>
      <c r="AB28" s="216"/>
      <c r="AC28" s="207" t="str">
        <f t="shared" si="6"/>
        <v xml:space="preserve"> </v>
      </c>
      <c r="AD28" s="215"/>
      <c r="AE28" s="216"/>
      <c r="AF28" s="207" t="str">
        <f t="shared" si="7"/>
        <v xml:space="preserve"> </v>
      </c>
    </row>
    <row r="29" spans="2:32" s="73" customFormat="1">
      <c r="B29" s="200">
        <f>'BDD - Joueurs'!$B25</f>
        <v>0</v>
      </c>
      <c r="C29" s="213"/>
      <c r="D29" s="214"/>
      <c r="E29" s="206" t="str">
        <f t="shared" si="8"/>
        <v/>
      </c>
      <c r="F29" s="213"/>
      <c r="G29" s="214"/>
      <c r="H29" s="207" t="str">
        <f t="shared" si="9"/>
        <v xml:space="preserve"> </v>
      </c>
      <c r="I29" s="220"/>
      <c r="J29" s="214"/>
      <c r="K29" s="207" t="str">
        <f t="shared" si="0"/>
        <v xml:space="preserve"> </v>
      </c>
      <c r="L29" s="220"/>
      <c r="M29" s="214"/>
      <c r="N29" s="207" t="str">
        <f t="shared" si="1"/>
        <v xml:space="preserve"> </v>
      </c>
      <c r="O29" s="220"/>
      <c r="P29" s="214"/>
      <c r="Q29" s="207" t="str">
        <f t="shared" si="2"/>
        <v xml:space="preserve"> </v>
      </c>
      <c r="R29" s="220"/>
      <c r="S29" s="214"/>
      <c r="T29" s="207" t="str">
        <f t="shared" si="3"/>
        <v xml:space="preserve"> </v>
      </c>
      <c r="U29" s="220"/>
      <c r="V29" s="214"/>
      <c r="W29" s="207" t="str">
        <f t="shared" si="4"/>
        <v xml:space="preserve"> </v>
      </c>
      <c r="X29" s="220"/>
      <c r="Y29" s="214"/>
      <c r="Z29" s="207" t="str">
        <f t="shared" si="5"/>
        <v xml:space="preserve"> </v>
      </c>
      <c r="AA29" s="220"/>
      <c r="AB29" s="214"/>
      <c r="AC29" s="207" t="str">
        <f t="shared" si="6"/>
        <v xml:space="preserve"> </v>
      </c>
      <c r="AD29" s="213"/>
      <c r="AE29" s="214"/>
      <c r="AF29" s="207" t="str">
        <f t="shared" si="7"/>
        <v xml:space="preserve"> </v>
      </c>
    </row>
    <row r="30" spans="2:32">
      <c r="B30" s="187">
        <f>'BDD - Joueurs'!$B26</f>
        <v>0</v>
      </c>
      <c r="C30" s="215"/>
      <c r="D30" s="216"/>
      <c r="E30" s="207" t="str">
        <f t="shared" si="8"/>
        <v/>
      </c>
      <c r="F30" s="215"/>
      <c r="G30" s="216"/>
      <c r="H30" s="207" t="str">
        <f t="shared" si="9"/>
        <v xml:space="preserve"> </v>
      </c>
      <c r="I30" s="221"/>
      <c r="J30" s="216"/>
      <c r="K30" s="207" t="str">
        <f t="shared" si="0"/>
        <v xml:space="preserve"> </v>
      </c>
      <c r="L30" s="221"/>
      <c r="M30" s="216"/>
      <c r="N30" s="207" t="str">
        <f t="shared" si="1"/>
        <v xml:space="preserve"> </v>
      </c>
      <c r="O30" s="221"/>
      <c r="P30" s="216"/>
      <c r="Q30" s="207" t="str">
        <f t="shared" si="2"/>
        <v xml:space="preserve"> </v>
      </c>
      <c r="R30" s="221"/>
      <c r="S30" s="216"/>
      <c r="T30" s="207" t="str">
        <f t="shared" si="3"/>
        <v xml:space="preserve"> </v>
      </c>
      <c r="U30" s="221"/>
      <c r="V30" s="216"/>
      <c r="W30" s="207" t="str">
        <f t="shared" si="4"/>
        <v xml:space="preserve"> </v>
      </c>
      <c r="X30" s="221"/>
      <c r="Y30" s="216"/>
      <c r="Z30" s="207" t="str">
        <f t="shared" si="5"/>
        <v xml:space="preserve"> </v>
      </c>
      <c r="AA30" s="221"/>
      <c r="AB30" s="216"/>
      <c r="AC30" s="207" t="str">
        <f t="shared" si="6"/>
        <v xml:space="preserve"> </v>
      </c>
      <c r="AD30" s="215"/>
      <c r="AE30" s="216"/>
      <c r="AF30" s="207" t="str">
        <f t="shared" si="7"/>
        <v xml:space="preserve"> </v>
      </c>
    </row>
    <row r="31" spans="2:32" s="73" customFormat="1">
      <c r="B31" s="200">
        <f>'BDD - Joueurs'!$B27</f>
        <v>0</v>
      </c>
      <c r="C31" s="213"/>
      <c r="D31" s="214"/>
      <c r="E31" s="206" t="str">
        <f t="shared" si="8"/>
        <v/>
      </c>
      <c r="F31" s="213"/>
      <c r="G31" s="214"/>
      <c r="H31" s="207" t="str">
        <f t="shared" si="9"/>
        <v xml:space="preserve"> </v>
      </c>
      <c r="I31" s="220"/>
      <c r="J31" s="214"/>
      <c r="K31" s="207" t="str">
        <f t="shared" si="0"/>
        <v xml:space="preserve"> </v>
      </c>
      <c r="L31" s="220"/>
      <c r="M31" s="214"/>
      <c r="N31" s="207" t="str">
        <f t="shared" si="1"/>
        <v xml:space="preserve"> </v>
      </c>
      <c r="O31" s="220"/>
      <c r="P31" s="214"/>
      <c r="Q31" s="207" t="str">
        <f t="shared" si="2"/>
        <v xml:space="preserve"> </v>
      </c>
      <c r="R31" s="220"/>
      <c r="S31" s="214"/>
      <c r="T31" s="207" t="str">
        <f t="shared" si="3"/>
        <v xml:space="preserve"> </v>
      </c>
      <c r="U31" s="220"/>
      <c r="V31" s="214"/>
      <c r="W31" s="207" t="str">
        <f t="shared" si="4"/>
        <v xml:space="preserve"> </v>
      </c>
      <c r="X31" s="220"/>
      <c r="Y31" s="214"/>
      <c r="Z31" s="207" t="str">
        <f t="shared" si="5"/>
        <v xml:space="preserve"> </v>
      </c>
      <c r="AA31" s="220"/>
      <c r="AB31" s="214"/>
      <c r="AC31" s="207" t="str">
        <f t="shared" si="6"/>
        <v xml:space="preserve"> </v>
      </c>
      <c r="AD31" s="213"/>
      <c r="AE31" s="214"/>
      <c r="AF31" s="207" t="str">
        <f t="shared" si="7"/>
        <v xml:space="preserve"> </v>
      </c>
    </row>
    <row r="32" spans="2:32">
      <c r="B32" s="187">
        <f>'BDD - Joueurs'!$B28</f>
        <v>0</v>
      </c>
      <c r="C32" s="215"/>
      <c r="D32" s="216"/>
      <c r="E32" s="207" t="str">
        <f t="shared" si="8"/>
        <v/>
      </c>
      <c r="F32" s="215"/>
      <c r="G32" s="216"/>
      <c r="H32" s="207" t="str">
        <f t="shared" si="9"/>
        <v xml:space="preserve"> </v>
      </c>
      <c r="I32" s="221"/>
      <c r="J32" s="216"/>
      <c r="K32" s="207" t="str">
        <f t="shared" si="0"/>
        <v xml:space="preserve"> </v>
      </c>
      <c r="L32" s="221"/>
      <c r="M32" s="216"/>
      <c r="N32" s="207" t="str">
        <f t="shared" si="1"/>
        <v xml:space="preserve"> </v>
      </c>
      <c r="O32" s="221"/>
      <c r="P32" s="216"/>
      <c r="Q32" s="207" t="str">
        <f t="shared" si="2"/>
        <v xml:space="preserve"> </v>
      </c>
      <c r="R32" s="221"/>
      <c r="S32" s="216"/>
      <c r="T32" s="207" t="str">
        <f t="shared" si="3"/>
        <v xml:space="preserve"> </v>
      </c>
      <c r="U32" s="221"/>
      <c r="V32" s="216"/>
      <c r="W32" s="207" t="str">
        <f t="shared" si="4"/>
        <v xml:space="preserve"> </v>
      </c>
      <c r="X32" s="221"/>
      <c r="Y32" s="216"/>
      <c r="Z32" s="207" t="str">
        <f t="shared" si="5"/>
        <v xml:space="preserve"> </v>
      </c>
      <c r="AA32" s="221"/>
      <c r="AB32" s="216"/>
      <c r="AC32" s="207" t="str">
        <f t="shared" si="6"/>
        <v xml:space="preserve"> </v>
      </c>
      <c r="AD32" s="215"/>
      <c r="AE32" s="216"/>
      <c r="AF32" s="207" t="str">
        <f t="shared" si="7"/>
        <v xml:space="preserve"> </v>
      </c>
    </row>
    <row r="33" spans="2:32" s="73" customFormat="1">
      <c r="B33" s="200">
        <f>'BDD - Joueurs'!$B29</f>
        <v>0</v>
      </c>
      <c r="C33" s="213"/>
      <c r="D33" s="214"/>
      <c r="E33" s="206" t="str">
        <f t="shared" si="8"/>
        <v/>
      </c>
      <c r="F33" s="213"/>
      <c r="G33" s="214"/>
      <c r="H33" s="207" t="str">
        <f t="shared" si="9"/>
        <v xml:space="preserve"> </v>
      </c>
      <c r="I33" s="220"/>
      <c r="J33" s="214"/>
      <c r="K33" s="207" t="str">
        <f t="shared" si="0"/>
        <v xml:space="preserve"> </v>
      </c>
      <c r="L33" s="220"/>
      <c r="M33" s="214"/>
      <c r="N33" s="207" t="str">
        <f t="shared" si="1"/>
        <v xml:space="preserve"> </v>
      </c>
      <c r="O33" s="220"/>
      <c r="P33" s="214"/>
      <c r="Q33" s="207" t="str">
        <f t="shared" si="2"/>
        <v xml:space="preserve"> </v>
      </c>
      <c r="R33" s="220"/>
      <c r="S33" s="214"/>
      <c r="T33" s="207" t="str">
        <f t="shared" si="3"/>
        <v xml:space="preserve"> </v>
      </c>
      <c r="U33" s="220"/>
      <c r="V33" s="214"/>
      <c r="W33" s="207" t="str">
        <f t="shared" si="4"/>
        <v xml:space="preserve"> </v>
      </c>
      <c r="X33" s="220"/>
      <c r="Y33" s="214"/>
      <c r="Z33" s="207" t="str">
        <f t="shared" si="5"/>
        <v xml:space="preserve"> </v>
      </c>
      <c r="AA33" s="220"/>
      <c r="AB33" s="214"/>
      <c r="AC33" s="207" t="str">
        <f t="shared" si="6"/>
        <v xml:space="preserve"> </v>
      </c>
      <c r="AD33" s="213"/>
      <c r="AE33" s="214"/>
      <c r="AF33" s="207" t="str">
        <f t="shared" si="7"/>
        <v xml:space="preserve"> </v>
      </c>
    </row>
    <row r="34" spans="2:32">
      <c r="B34" s="187">
        <f>'BDD - Joueurs'!$B30</f>
        <v>0</v>
      </c>
      <c r="C34" s="215"/>
      <c r="D34" s="216"/>
      <c r="E34" s="207" t="str">
        <f t="shared" si="8"/>
        <v/>
      </c>
      <c r="F34" s="215"/>
      <c r="G34" s="216"/>
      <c r="H34" s="207" t="str">
        <f t="shared" si="9"/>
        <v xml:space="preserve"> </v>
      </c>
      <c r="I34" s="221"/>
      <c r="J34" s="216"/>
      <c r="K34" s="207" t="str">
        <f t="shared" si="0"/>
        <v xml:space="preserve"> </v>
      </c>
      <c r="L34" s="221"/>
      <c r="M34" s="216"/>
      <c r="N34" s="207" t="str">
        <f t="shared" si="1"/>
        <v xml:space="preserve"> </v>
      </c>
      <c r="O34" s="221"/>
      <c r="P34" s="216"/>
      <c r="Q34" s="207" t="str">
        <f t="shared" si="2"/>
        <v xml:space="preserve"> </v>
      </c>
      <c r="R34" s="221"/>
      <c r="S34" s="216"/>
      <c r="T34" s="207" t="str">
        <f t="shared" si="3"/>
        <v xml:space="preserve"> </v>
      </c>
      <c r="U34" s="221"/>
      <c r="V34" s="216"/>
      <c r="W34" s="207" t="str">
        <f t="shared" si="4"/>
        <v xml:space="preserve"> </v>
      </c>
      <c r="X34" s="221"/>
      <c r="Y34" s="216"/>
      <c r="Z34" s="207" t="str">
        <f t="shared" si="5"/>
        <v xml:space="preserve"> </v>
      </c>
      <c r="AA34" s="221"/>
      <c r="AB34" s="216"/>
      <c r="AC34" s="207" t="str">
        <f t="shared" si="6"/>
        <v xml:space="preserve"> </v>
      </c>
      <c r="AD34" s="215"/>
      <c r="AE34" s="216"/>
      <c r="AF34" s="207" t="str">
        <f t="shared" si="7"/>
        <v xml:space="preserve"> </v>
      </c>
    </row>
    <row r="35" spans="2:32" s="73" customFormat="1" ht="13.5" thickBot="1">
      <c r="B35" s="201">
        <f>'BDD - Joueurs'!$B31</f>
        <v>0</v>
      </c>
      <c r="C35" s="217"/>
      <c r="D35" s="218"/>
      <c r="E35" s="208" t="str">
        <f t="shared" si="8"/>
        <v/>
      </c>
      <c r="F35" s="217"/>
      <c r="G35" s="218"/>
      <c r="H35" s="209" t="str">
        <f t="shared" si="9"/>
        <v xml:space="preserve"> </v>
      </c>
      <c r="I35" s="222"/>
      <c r="J35" s="218"/>
      <c r="K35" s="209" t="str">
        <f t="shared" si="0"/>
        <v xml:space="preserve"> </v>
      </c>
      <c r="L35" s="222"/>
      <c r="M35" s="218"/>
      <c r="N35" s="209" t="str">
        <f t="shared" si="1"/>
        <v xml:space="preserve"> </v>
      </c>
      <c r="O35" s="222"/>
      <c r="P35" s="218"/>
      <c r="Q35" s="209" t="str">
        <f t="shared" si="2"/>
        <v xml:space="preserve"> </v>
      </c>
      <c r="R35" s="222"/>
      <c r="S35" s="218"/>
      <c r="T35" s="209" t="str">
        <f t="shared" si="3"/>
        <v xml:space="preserve"> </v>
      </c>
      <c r="U35" s="222"/>
      <c r="V35" s="218"/>
      <c r="W35" s="209" t="str">
        <f t="shared" si="4"/>
        <v xml:space="preserve"> </v>
      </c>
      <c r="X35" s="222"/>
      <c r="Y35" s="218"/>
      <c r="Z35" s="209" t="str">
        <f t="shared" si="5"/>
        <v xml:space="preserve"> </v>
      </c>
      <c r="AA35" s="222"/>
      <c r="AB35" s="218"/>
      <c r="AC35" s="209" t="str">
        <f t="shared" si="6"/>
        <v xml:space="preserve"> </v>
      </c>
      <c r="AD35" s="217"/>
      <c r="AE35" s="218"/>
      <c r="AF35" s="209" t="str">
        <f t="shared" si="7"/>
        <v xml:space="preserve"> </v>
      </c>
    </row>
    <row r="36" spans="2:32">
      <c r="B36" s="188" t="s">
        <v>230</v>
      </c>
      <c r="C36" s="189">
        <f>MAX(C6:C35)</f>
        <v>1.88</v>
      </c>
      <c r="D36" s="195">
        <f>MAX(D6:D35)</f>
        <v>110</v>
      </c>
      <c r="E36" s="190">
        <f>MAX(E6:E35)</f>
        <v>31.122679945676779</v>
      </c>
      <c r="F36" s="189">
        <f t="shared" ref="F36:AF36" si="10">MAX(F6:F35)</f>
        <v>1.88</v>
      </c>
      <c r="G36" s="195">
        <f t="shared" si="10"/>
        <v>109</v>
      </c>
      <c r="H36" s="190">
        <f t="shared" si="10"/>
        <v>30.839746491625171</v>
      </c>
      <c r="I36" s="189">
        <f t="shared" si="10"/>
        <v>0</v>
      </c>
      <c r="J36" s="195">
        <f t="shared" si="10"/>
        <v>0</v>
      </c>
      <c r="K36" s="190">
        <f t="shared" si="10"/>
        <v>0</v>
      </c>
      <c r="L36" s="189">
        <f t="shared" si="10"/>
        <v>0</v>
      </c>
      <c r="M36" s="195">
        <f t="shared" si="10"/>
        <v>0</v>
      </c>
      <c r="N36" s="190">
        <f t="shared" si="10"/>
        <v>0</v>
      </c>
      <c r="O36" s="189">
        <f t="shared" si="10"/>
        <v>0</v>
      </c>
      <c r="P36" s="195">
        <f t="shared" si="10"/>
        <v>0</v>
      </c>
      <c r="Q36" s="190">
        <f t="shared" si="10"/>
        <v>0</v>
      </c>
      <c r="R36" s="189">
        <f t="shared" si="10"/>
        <v>0</v>
      </c>
      <c r="S36" s="195">
        <f t="shared" si="10"/>
        <v>0</v>
      </c>
      <c r="T36" s="190">
        <f t="shared" si="10"/>
        <v>0</v>
      </c>
      <c r="U36" s="189">
        <f t="shared" si="10"/>
        <v>0</v>
      </c>
      <c r="V36" s="195">
        <f t="shared" si="10"/>
        <v>0</v>
      </c>
      <c r="W36" s="190">
        <f t="shared" si="10"/>
        <v>0</v>
      </c>
      <c r="X36" s="189">
        <f t="shared" si="10"/>
        <v>0</v>
      </c>
      <c r="Y36" s="195">
        <f t="shared" si="10"/>
        <v>0</v>
      </c>
      <c r="Z36" s="190">
        <f t="shared" si="10"/>
        <v>0</v>
      </c>
      <c r="AA36" s="189">
        <f t="shared" si="10"/>
        <v>0</v>
      </c>
      <c r="AB36" s="195">
        <f t="shared" si="10"/>
        <v>0</v>
      </c>
      <c r="AC36" s="190">
        <f t="shared" si="10"/>
        <v>0</v>
      </c>
      <c r="AD36" s="189">
        <f t="shared" si="10"/>
        <v>0</v>
      </c>
      <c r="AE36" s="195">
        <f t="shared" si="10"/>
        <v>0</v>
      </c>
      <c r="AF36" s="190">
        <f t="shared" si="10"/>
        <v>0</v>
      </c>
    </row>
    <row r="37" spans="2:32">
      <c r="B37" s="191" t="s">
        <v>231</v>
      </c>
      <c r="C37" s="192">
        <f>MIN(C6:C35)</f>
        <v>1.57</v>
      </c>
      <c r="D37" s="196">
        <f>MIN(D6:D35)</f>
        <v>48</v>
      </c>
      <c r="E37" s="193">
        <f>MIN(E6:E35)</f>
        <v>16.901027582477017</v>
      </c>
      <c r="F37" s="192">
        <f t="shared" ref="F37:AF37" si="11">MIN(F6:F35)</f>
        <v>1.57</v>
      </c>
      <c r="G37" s="196">
        <f t="shared" si="11"/>
        <v>48</v>
      </c>
      <c r="H37" s="193">
        <f t="shared" si="11"/>
        <v>16.901027582477017</v>
      </c>
      <c r="I37" s="192">
        <f t="shared" si="11"/>
        <v>0</v>
      </c>
      <c r="J37" s="196">
        <f t="shared" si="11"/>
        <v>0</v>
      </c>
      <c r="K37" s="193">
        <f t="shared" si="11"/>
        <v>0</v>
      </c>
      <c r="L37" s="192">
        <f t="shared" si="11"/>
        <v>0</v>
      </c>
      <c r="M37" s="196">
        <f t="shared" si="11"/>
        <v>0</v>
      </c>
      <c r="N37" s="193">
        <f t="shared" si="11"/>
        <v>0</v>
      </c>
      <c r="O37" s="192">
        <f t="shared" si="11"/>
        <v>0</v>
      </c>
      <c r="P37" s="196">
        <f t="shared" si="11"/>
        <v>0</v>
      </c>
      <c r="Q37" s="193">
        <f t="shared" si="11"/>
        <v>0</v>
      </c>
      <c r="R37" s="192">
        <f t="shared" si="11"/>
        <v>0</v>
      </c>
      <c r="S37" s="196">
        <f t="shared" si="11"/>
        <v>0</v>
      </c>
      <c r="T37" s="193">
        <f t="shared" si="11"/>
        <v>0</v>
      </c>
      <c r="U37" s="192">
        <f t="shared" si="11"/>
        <v>0</v>
      </c>
      <c r="V37" s="196">
        <f t="shared" si="11"/>
        <v>0</v>
      </c>
      <c r="W37" s="193">
        <f t="shared" si="11"/>
        <v>0</v>
      </c>
      <c r="X37" s="192">
        <f t="shared" si="11"/>
        <v>0</v>
      </c>
      <c r="Y37" s="196">
        <f t="shared" si="11"/>
        <v>0</v>
      </c>
      <c r="Z37" s="193">
        <f t="shared" si="11"/>
        <v>0</v>
      </c>
      <c r="AA37" s="192">
        <f t="shared" si="11"/>
        <v>0</v>
      </c>
      <c r="AB37" s="196">
        <f t="shared" si="11"/>
        <v>0</v>
      </c>
      <c r="AC37" s="193">
        <f t="shared" si="11"/>
        <v>0</v>
      </c>
      <c r="AD37" s="192">
        <f t="shared" si="11"/>
        <v>0</v>
      </c>
      <c r="AE37" s="196">
        <f t="shared" si="11"/>
        <v>0</v>
      </c>
      <c r="AF37" s="193">
        <f t="shared" si="11"/>
        <v>0</v>
      </c>
    </row>
    <row r="38" spans="2:32" ht="13.5" thickBot="1">
      <c r="B38" s="194" t="s">
        <v>9</v>
      </c>
      <c r="C38" s="197">
        <f>AVERAGE(C6:C35)</f>
        <v>1.7100000000000002</v>
      </c>
      <c r="D38" s="198">
        <f>AVERAGE(D6:D35)</f>
        <v>60.631578947368418</v>
      </c>
      <c r="E38" s="199">
        <f>AVERAGE(E6:E35)</f>
        <v>20.591181498978912</v>
      </c>
      <c r="F38" s="197">
        <f t="shared" ref="F38:AF38" si="12">AVERAGE(F6:F35)</f>
        <v>1.7146666666666663</v>
      </c>
      <c r="G38" s="198">
        <f t="shared" si="12"/>
        <v>60.333333333333336</v>
      </c>
      <c r="H38" s="199">
        <f t="shared" si="12"/>
        <v>20.339506123680721</v>
      </c>
      <c r="I38" s="197" t="e">
        <f t="shared" si="12"/>
        <v>#DIV/0!</v>
      </c>
      <c r="J38" s="198" t="e">
        <f t="shared" si="12"/>
        <v>#DIV/0!</v>
      </c>
      <c r="K38" s="199" t="e">
        <f t="shared" si="12"/>
        <v>#DIV/0!</v>
      </c>
      <c r="L38" s="197" t="e">
        <f t="shared" si="12"/>
        <v>#DIV/0!</v>
      </c>
      <c r="M38" s="198" t="e">
        <f t="shared" si="12"/>
        <v>#DIV/0!</v>
      </c>
      <c r="N38" s="199" t="e">
        <f t="shared" si="12"/>
        <v>#DIV/0!</v>
      </c>
      <c r="O38" s="197" t="e">
        <f t="shared" si="12"/>
        <v>#DIV/0!</v>
      </c>
      <c r="P38" s="198" t="e">
        <f t="shared" si="12"/>
        <v>#DIV/0!</v>
      </c>
      <c r="Q38" s="199" t="e">
        <f t="shared" si="12"/>
        <v>#DIV/0!</v>
      </c>
      <c r="R38" s="197" t="e">
        <f t="shared" si="12"/>
        <v>#DIV/0!</v>
      </c>
      <c r="S38" s="198" t="e">
        <f t="shared" si="12"/>
        <v>#DIV/0!</v>
      </c>
      <c r="T38" s="199" t="e">
        <f t="shared" si="12"/>
        <v>#DIV/0!</v>
      </c>
      <c r="U38" s="197" t="e">
        <f t="shared" si="12"/>
        <v>#DIV/0!</v>
      </c>
      <c r="V38" s="198" t="e">
        <f t="shared" si="12"/>
        <v>#DIV/0!</v>
      </c>
      <c r="W38" s="199" t="e">
        <f t="shared" si="12"/>
        <v>#DIV/0!</v>
      </c>
      <c r="X38" s="197" t="e">
        <f t="shared" si="12"/>
        <v>#DIV/0!</v>
      </c>
      <c r="Y38" s="198" t="e">
        <f t="shared" si="12"/>
        <v>#DIV/0!</v>
      </c>
      <c r="Z38" s="199" t="e">
        <f t="shared" si="12"/>
        <v>#DIV/0!</v>
      </c>
      <c r="AA38" s="197" t="e">
        <f t="shared" si="12"/>
        <v>#DIV/0!</v>
      </c>
      <c r="AB38" s="198" t="e">
        <f t="shared" si="12"/>
        <v>#DIV/0!</v>
      </c>
      <c r="AC38" s="199" t="e">
        <f t="shared" si="12"/>
        <v>#DIV/0!</v>
      </c>
      <c r="AD38" s="197" t="e">
        <f t="shared" si="12"/>
        <v>#DIV/0!</v>
      </c>
      <c r="AE38" s="198" t="e">
        <f t="shared" si="12"/>
        <v>#DIV/0!</v>
      </c>
      <c r="AF38" s="199" t="e">
        <f t="shared" si="12"/>
        <v>#DIV/0!</v>
      </c>
    </row>
    <row r="40" spans="2:32">
      <c r="C40" s="589" t="s">
        <v>239</v>
      </c>
      <c r="D40" s="589"/>
      <c r="E40" s="210"/>
      <c r="F40" s="590" t="s">
        <v>233</v>
      </c>
      <c r="G40" s="590"/>
      <c r="H40" s="210"/>
      <c r="I40" s="591" t="s">
        <v>234</v>
      </c>
      <c r="J40" s="591"/>
      <c r="K40" s="210"/>
      <c r="L40" s="592" t="s">
        <v>235</v>
      </c>
      <c r="M40" s="592"/>
      <c r="N40" s="210"/>
      <c r="O40" s="593" t="s">
        <v>236</v>
      </c>
      <c r="P40" s="593"/>
      <c r="Q40" s="173"/>
      <c r="R40" s="173"/>
    </row>
  </sheetData>
  <mergeCells count="15">
    <mergeCell ref="R4:T4"/>
    <mergeCell ref="X4:Z4"/>
    <mergeCell ref="AA4:AC4"/>
    <mergeCell ref="AD4:AF4"/>
    <mergeCell ref="U4:W4"/>
    <mergeCell ref="C4:E4"/>
    <mergeCell ref="F4:H4"/>
    <mergeCell ref="I4:K4"/>
    <mergeCell ref="L4:N4"/>
    <mergeCell ref="O4:Q4"/>
    <mergeCell ref="C40:D40"/>
    <mergeCell ref="F40:G40"/>
    <mergeCell ref="I40:J40"/>
    <mergeCell ref="L40:M40"/>
    <mergeCell ref="O40:P40"/>
  </mergeCells>
  <pageMargins left="0.7" right="0.7" top="0.75" bottom="0.75" header="0.3" footer="0.3"/>
  <pageSetup paperSize="9" orientation="portrait" verticalDpi="0" r:id="rId1"/>
  <ignoredErrors>
    <ignoredError sqref="F38:AF38" evalError="1"/>
  </ignoredErrors>
  <drawing r:id="rId2"/>
  <legacyDrawing r:id="rId3"/>
  <mc:AlternateContent xmlns:mc="http://schemas.openxmlformats.org/markup-compatibility/2006">
    <mc:Choice Requires="x14">
      <controls>
        <mc:AlternateContent xmlns:mc="http://schemas.openxmlformats.org/markup-compatibility/2006">
          <mc:Choice Requires="x14">
            <control shapeId="14337" r:id="rId4" name="Button 1">
              <controlPr defaultSize="0" print="0" autoFill="0" autoPict="0" macro="[0]!CloseOnglet">
                <anchor moveWithCells="1" sizeWithCells="1">
                  <from>
                    <xdr:col>28</xdr:col>
                    <xdr:colOff>152400</xdr:colOff>
                    <xdr:row>1</xdr:row>
                    <xdr:rowOff>28575</xdr:rowOff>
                  </from>
                  <to>
                    <xdr:col>31</xdr:col>
                    <xdr:colOff>381000</xdr:colOff>
                    <xdr:row>1</xdr:row>
                    <xdr:rowOff>409575</xdr:rowOff>
                  </to>
                </anchor>
              </controlPr>
            </control>
          </mc:Choice>
        </mc:AlternateContent>
      </controls>
    </mc:Choice>
  </mc:AlternateContent>
  <extLst>
    <ext xmlns:x14="http://schemas.microsoft.com/office/spreadsheetml/2009/9/main" uri="{78C0D931-6437-407d-A8EE-F0AAD7539E65}">
      <x14:conditionalFormattings>
        <x14:conditionalFormatting xmlns:xm="http://schemas.microsoft.com/office/excel/2006/main">
          <x14:cfRule type="cellIs" priority="3" operator="greaterThan" id="{6158C220-1B56-4DE8-8C46-3C3CA9D41B98}">
            <xm:f>Paramétres!$I$23</xm:f>
            <x14:dxf>
              <font>
                <strike val="0"/>
              </font>
              <fill>
                <patternFill>
                  <bgColor theme="7" tint="-0.24994659260841701"/>
                </patternFill>
              </fill>
            </x14:dxf>
          </x14:cfRule>
          <x14:cfRule type="cellIs" priority="6" operator="between" id="{56D1D869-78DB-4B76-92E8-20A4BC00A779}">
            <xm:f>Paramétres!$I$20</xm:f>
            <xm:f>Paramétres!$J$20</xm:f>
            <x14:dxf>
              <font>
                <strike val="0"/>
              </font>
              <fill>
                <patternFill>
                  <bgColor theme="9"/>
                </patternFill>
              </fill>
            </x14:dxf>
          </x14:cfRule>
          <x14:cfRule type="cellIs" priority="7" operator="lessThan" id="{DEF1A461-0DB4-4B96-B271-5033581E2573}">
            <xm:f>Paramétres!$J$19</xm:f>
            <x14:dxf>
              <font>
                <strike val="0"/>
              </font>
              <fill>
                <patternFill>
                  <bgColor theme="9" tint="0.79998168889431442"/>
                </patternFill>
              </fill>
            </x14:dxf>
          </x14:cfRule>
          <xm:sqref>E6:E35 H6:H35 K6:K35 N6:N35 Q6:Q35 T6:T35 W6:W35 Z6:Z35 AC6:AC35 AF6:AF35</xm:sqref>
        </x14:conditionalFormatting>
        <x14:conditionalFormatting xmlns:xm="http://schemas.microsoft.com/office/excel/2006/main">
          <x14:cfRule type="cellIs" priority="5" operator="between" id="{1117A559-C77C-42F0-B05B-B7FC2865B200}">
            <xm:f>Paramétres!$I$21</xm:f>
            <xm:f>Paramétres!$J$21</xm:f>
            <x14:dxf>
              <fill>
                <patternFill>
                  <bgColor theme="6"/>
                </patternFill>
              </fill>
            </x14:dxf>
          </x14:cfRule>
          <xm:sqref>E6:E35 H6:H35 K6:K35 N6:N35 Q6:Q35 T6:T35 W6:W35 Z6:Z35 AC6:AC35 AF6:AF35</xm:sqref>
        </x14:conditionalFormatting>
        <x14:conditionalFormatting xmlns:xm="http://schemas.microsoft.com/office/excel/2006/main">
          <x14:cfRule type="cellIs" priority="4" operator="between" id="{8E24FFD6-78DD-4CF6-A7A9-CE8038974867}">
            <xm:f>Paramétres!$I$22</xm:f>
            <xm:f>Paramétres!$J$22</xm:f>
            <x14:dxf>
              <font>
                <strike val="0"/>
              </font>
              <fill>
                <patternFill>
                  <bgColor theme="7" tint="0.39994506668294322"/>
                </patternFill>
              </fill>
            </x14:dxf>
          </x14:cfRule>
          <xm:sqref>E6:E35 H6:H35 K6:K35 N6:N35 Q6:Q35 T6:T35 W6:W35 Z6:Z35 AC6:AC35 AF6:AF35</xm:sqref>
        </x14:conditionalFormatting>
      </x14:conditionalFormattings>
    </ext>
  </extLst>
</worksheet>
</file>

<file path=xl/worksheets/sheet2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Feuil11">
    <tabColor theme="4" tint="-0.499984740745262"/>
  </sheetPr>
  <dimension ref="B2:ME40"/>
  <sheetViews>
    <sheetView showGridLines="0" zoomScale="66" zoomScaleNormal="66" zoomScalePageLayoutView="80" workbookViewId="0">
      <pane xSplit="2" ySplit="9" topLeftCell="AU10" activePane="bottomRight" state="frozen"/>
      <selection pane="topRight" activeCell="C1" sqref="C1"/>
      <selection pane="bottomLeft" activeCell="A9" sqref="A9"/>
      <selection pane="bottomRight" activeCell="BR13" sqref="BR13"/>
    </sheetView>
  </sheetViews>
  <sheetFormatPr baseColWidth="10" defaultRowHeight="12.75"/>
  <cols>
    <col min="1" max="1" width="3.140625" customWidth="1"/>
    <col min="2" max="2" width="24" customWidth="1"/>
    <col min="3" max="11" width="6.140625" customWidth="1"/>
    <col min="12" max="13" width="6.42578125" customWidth="1"/>
    <col min="14" max="15" width="6.140625" customWidth="1"/>
    <col min="28" max="28" width="12.5703125" bestFit="1" customWidth="1"/>
    <col min="54" max="54" width="13.5703125" bestFit="1" customWidth="1"/>
    <col min="58" max="58" width="11" customWidth="1"/>
    <col min="64" max="64" width="12.140625" bestFit="1" customWidth="1"/>
    <col min="69" max="69" width="11" customWidth="1"/>
    <col min="78" max="78" width="11" customWidth="1"/>
    <col min="84" max="84" width="12" bestFit="1" customWidth="1"/>
    <col min="88" max="88" width="11" customWidth="1"/>
    <col min="94" max="94" width="12.85546875" bestFit="1" customWidth="1"/>
    <col min="98" max="98" width="11" customWidth="1"/>
    <col min="104" max="104" width="12.85546875" bestFit="1" customWidth="1"/>
    <col min="108" max="108" width="11" customWidth="1"/>
    <col min="114" max="114" width="12" bestFit="1" customWidth="1"/>
    <col min="118" max="118" width="11" customWidth="1"/>
    <col min="128" max="128" width="11" customWidth="1"/>
    <col min="134" max="134" width="12.85546875" bestFit="1" customWidth="1"/>
    <col min="138" max="138" width="11" customWidth="1"/>
    <col min="144" max="144" width="12" bestFit="1" customWidth="1"/>
    <col min="148" max="148" width="11" customWidth="1"/>
    <col min="154" max="154" width="12" bestFit="1" customWidth="1"/>
    <col min="158" max="158" width="11" customWidth="1"/>
    <col min="168" max="168" width="11" customWidth="1"/>
    <col min="178" max="178" width="11" customWidth="1"/>
    <col min="184" max="184" width="12.85546875" bestFit="1" customWidth="1"/>
    <col min="188" max="188" width="11" customWidth="1"/>
    <col min="198" max="198" width="11" customWidth="1"/>
    <col min="204" max="204" width="13.140625" bestFit="1" customWidth="1"/>
    <col min="208" max="208" width="11" customWidth="1"/>
    <col min="214" max="214" width="13.140625" customWidth="1"/>
    <col min="218" max="218" width="11" customWidth="1"/>
    <col min="224" max="224" width="13" customWidth="1"/>
    <col min="228" max="228" width="11" customWidth="1"/>
    <col min="234" max="234" width="12.85546875" bestFit="1" customWidth="1"/>
    <col min="238" max="238" width="11" customWidth="1"/>
    <col min="244" max="244" width="12.85546875" bestFit="1" customWidth="1"/>
    <col min="248" max="248" width="11" customWidth="1"/>
    <col min="254" max="254" width="12.85546875" customWidth="1"/>
    <col min="258" max="258" width="11" customWidth="1"/>
    <col min="264" max="264" width="13.140625" bestFit="1" customWidth="1"/>
    <col min="268" max="268" width="11" customWidth="1"/>
    <col min="274" max="274" width="13.42578125" customWidth="1"/>
    <col min="278" max="278" width="11" customWidth="1"/>
    <col min="284" max="284" width="12.85546875" customWidth="1"/>
    <col min="288" max="288" width="11" customWidth="1"/>
    <col min="294" max="294" width="13.140625" customWidth="1"/>
    <col min="298" max="298" width="11" customWidth="1"/>
    <col min="304" max="304" width="12.85546875" customWidth="1"/>
    <col min="308" max="308" width="11" customWidth="1"/>
    <col min="314" max="314" width="13.85546875" customWidth="1"/>
    <col min="318" max="318" width="11" customWidth="1"/>
    <col min="324" max="324" width="12.85546875" customWidth="1"/>
    <col min="328" max="328" width="11" customWidth="1"/>
    <col min="338" max="338" width="11" customWidth="1"/>
  </cols>
  <sheetData>
    <row r="2" spans="2:343" ht="33" customHeight="1">
      <c r="B2" s="72" t="s">
        <v>84</v>
      </c>
    </row>
    <row r="3" spans="2:343" ht="14.1" customHeight="1" thickBot="1">
      <c r="B3" s="72"/>
    </row>
    <row r="4" spans="2:343" ht="24.95" customHeight="1">
      <c r="B4" s="72"/>
      <c r="C4" s="598" t="s">
        <v>0</v>
      </c>
      <c r="D4" s="599"/>
      <c r="E4" s="599"/>
      <c r="F4" s="599"/>
      <c r="G4" s="599"/>
      <c r="H4" s="599"/>
      <c r="I4" s="599"/>
      <c r="J4" s="599"/>
      <c r="K4" s="599"/>
      <c r="L4" s="599"/>
      <c r="M4" s="599"/>
      <c r="N4" s="599"/>
      <c r="O4" s="599"/>
      <c r="P4" s="599"/>
      <c r="Q4" s="599"/>
      <c r="R4" s="599"/>
      <c r="S4" s="599"/>
      <c r="T4" s="599"/>
      <c r="U4" s="599"/>
      <c r="V4" s="599"/>
      <c r="W4" s="600"/>
      <c r="X4" s="622" t="s">
        <v>128</v>
      </c>
      <c r="Y4" s="623"/>
      <c r="Z4" s="623"/>
      <c r="AA4" s="623"/>
      <c r="AB4" s="623"/>
      <c r="AC4" s="623"/>
      <c r="AD4" s="623"/>
      <c r="AE4" s="623"/>
      <c r="AF4" s="623"/>
      <c r="AG4" s="624"/>
      <c r="AH4" s="622" t="s">
        <v>129</v>
      </c>
      <c r="AI4" s="623"/>
      <c r="AJ4" s="623"/>
      <c r="AK4" s="623"/>
      <c r="AL4" s="623"/>
      <c r="AM4" s="623"/>
      <c r="AN4" s="623"/>
      <c r="AO4" s="623"/>
      <c r="AP4" s="623"/>
      <c r="AQ4" s="624"/>
      <c r="AR4" s="622" t="s">
        <v>130</v>
      </c>
      <c r="AS4" s="623"/>
      <c r="AT4" s="623"/>
      <c r="AU4" s="623"/>
      <c r="AV4" s="623"/>
      <c r="AW4" s="623"/>
      <c r="AX4" s="623"/>
      <c r="AY4" s="623"/>
      <c r="AZ4" s="623"/>
      <c r="BA4" s="624"/>
      <c r="BB4" s="622" t="s">
        <v>131</v>
      </c>
      <c r="BC4" s="623"/>
      <c r="BD4" s="623"/>
      <c r="BE4" s="623"/>
      <c r="BF4" s="623"/>
      <c r="BG4" s="623"/>
      <c r="BH4" s="623"/>
      <c r="BI4" s="623"/>
      <c r="BJ4" s="623"/>
      <c r="BK4" s="624"/>
      <c r="BL4" s="622" t="s">
        <v>132</v>
      </c>
      <c r="BM4" s="623"/>
      <c r="BN4" s="623"/>
      <c r="BO4" s="623"/>
      <c r="BP4" s="623"/>
      <c r="BQ4" s="623"/>
      <c r="BR4" s="623"/>
      <c r="BS4" s="623"/>
      <c r="BT4" s="623"/>
      <c r="BU4" s="624"/>
      <c r="BV4" s="622" t="s">
        <v>133</v>
      </c>
      <c r="BW4" s="623"/>
      <c r="BX4" s="623"/>
      <c r="BY4" s="623"/>
      <c r="BZ4" s="623"/>
      <c r="CA4" s="623"/>
      <c r="CB4" s="623"/>
      <c r="CC4" s="623"/>
      <c r="CD4" s="623"/>
      <c r="CE4" s="624"/>
      <c r="CF4" s="622" t="s">
        <v>134</v>
      </c>
      <c r="CG4" s="623"/>
      <c r="CH4" s="623"/>
      <c r="CI4" s="623"/>
      <c r="CJ4" s="623"/>
      <c r="CK4" s="623"/>
      <c r="CL4" s="623"/>
      <c r="CM4" s="623"/>
      <c r="CN4" s="623"/>
      <c r="CO4" s="624"/>
      <c r="CP4" s="622" t="s">
        <v>135</v>
      </c>
      <c r="CQ4" s="623"/>
      <c r="CR4" s="623"/>
      <c r="CS4" s="623"/>
      <c r="CT4" s="623"/>
      <c r="CU4" s="623"/>
      <c r="CV4" s="623"/>
      <c r="CW4" s="623"/>
      <c r="CX4" s="623"/>
      <c r="CY4" s="624"/>
      <c r="CZ4" s="622" t="s">
        <v>136</v>
      </c>
      <c r="DA4" s="623"/>
      <c r="DB4" s="623"/>
      <c r="DC4" s="623"/>
      <c r="DD4" s="623"/>
      <c r="DE4" s="623"/>
      <c r="DF4" s="623"/>
      <c r="DG4" s="623"/>
      <c r="DH4" s="623"/>
      <c r="DI4" s="624"/>
      <c r="DJ4" s="622" t="s">
        <v>137</v>
      </c>
      <c r="DK4" s="623"/>
      <c r="DL4" s="623"/>
      <c r="DM4" s="623"/>
      <c r="DN4" s="623"/>
      <c r="DO4" s="623"/>
      <c r="DP4" s="623"/>
      <c r="DQ4" s="623"/>
      <c r="DR4" s="623"/>
      <c r="DS4" s="624"/>
      <c r="DT4" s="622" t="s">
        <v>138</v>
      </c>
      <c r="DU4" s="623"/>
      <c r="DV4" s="623"/>
      <c r="DW4" s="623"/>
      <c r="DX4" s="623"/>
      <c r="DY4" s="623"/>
      <c r="DZ4" s="623"/>
      <c r="EA4" s="623"/>
      <c r="EB4" s="623"/>
      <c r="EC4" s="624"/>
      <c r="ED4" s="622" t="s">
        <v>139</v>
      </c>
      <c r="EE4" s="623"/>
      <c r="EF4" s="623"/>
      <c r="EG4" s="623"/>
      <c r="EH4" s="623"/>
      <c r="EI4" s="623"/>
      <c r="EJ4" s="623"/>
      <c r="EK4" s="623"/>
      <c r="EL4" s="623"/>
      <c r="EM4" s="624"/>
      <c r="EN4" s="622" t="s">
        <v>140</v>
      </c>
      <c r="EO4" s="623"/>
      <c r="EP4" s="623"/>
      <c r="EQ4" s="623"/>
      <c r="ER4" s="623"/>
      <c r="ES4" s="623"/>
      <c r="ET4" s="623"/>
      <c r="EU4" s="623"/>
      <c r="EV4" s="623"/>
      <c r="EW4" s="624"/>
      <c r="EX4" s="622" t="s">
        <v>141</v>
      </c>
      <c r="EY4" s="623"/>
      <c r="EZ4" s="623"/>
      <c r="FA4" s="623"/>
      <c r="FB4" s="623"/>
      <c r="FC4" s="623"/>
      <c r="FD4" s="623"/>
      <c r="FE4" s="623"/>
      <c r="FF4" s="623"/>
      <c r="FG4" s="624"/>
      <c r="FH4" s="622" t="s">
        <v>142</v>
      </c>
      <c r="FI4" s="623"/>
      <c r="FJ4" s="623"/>
      <c r="FK4" s="623"/>
      <c r="FL4" s="623"/>
      <c r="FM4" s="623"/>
      <c r="FN4" s="623"/>
      <c r="FO4" s="623"/>
      <c r="FP4" s="623"/>
      <c r="FQ4" s="624"/>
      <c r="FR4" s="622" t="s">
        <v>143</v>
      </c>
      <c r="FS4" s="623"/>
      <c r="FT4" s="623"/>
      <c r="FU4" s="623"/>
      <c r="FV4" s="623"/>
      <c r="FW4" s="623"/>
      <c r="FX4" s="623"/>
      <c r="FY4" s="623"/>
      <c r="FZ4" s="623"/>
      <c r="GA4" s="624"/>
      <c r="GB4" s="622" t="s">
        <v>144</v>
      </c>
      <c r="GC4" s="623"/>
      <c r="GD4" s="623"/>
      <c r="GE4" s="623"/>
      <c r="GF4" s="623"/>
      <c r="GG4" s="623"/>
      <c r="GH4" s="623"/>
      <c r="GI4" s="623"/>
      <c r="GJ4" s="623"/>
      <c r="GK4" s="624"/>
      <c r="GL4" s="622" t="s">
        <v>145</v>
      </c>
      <c r="GM4" s="623"/>
      <c r="GN4" s="623"/>
      <c r="GO4" s="623"/>
      <c r="GP4" s="623"/>
      <c r="GQ4" s="623"/>
      <c r="GR4" s="623"/>
      <c r="GS4" s="623"/>
      <c r="GT4" s="623"/>
      <c r="GU4" s="624"/>
      <c r="GV4" s="622" t="s">
        <v>146</v>
      </c>
      <c r="GW4" s="623"/>
      <c r="GX4" s="623"/>
      <c r="GY4" s="623"/>
      <c r="GZ4" s="623"/>
      <c r="HA4" s="623"/>
      <c r="HB4" s="623"/>
      <c r="HC4" s="623"/>
      <c r="HD4" s="623"/>
      <c r="HE4" s="624"/>
      <c r="HF4" s="622" t="s">
        <v>147</v>
      </c>
      <c r="HG4" s="623"/>
      <c r="HH4" s="623"/>
      <c r="HI4" s="623"/>
      <c r="HJ4" s="623"/>
      <c r="HK4" s="623"/>
      <c r="HL4" s="623"/>
      <c r="HM4" s="623"/>
      <c r="HN4" s="623"/>
      <c r="HO4" s="624"/>
      <c r="HP4" s="622" t="s">
        <v>148</v>
      </c>
      <c r="HQ4" s="623"/>
      <c r="HR4" s="623"/>
      <c r="HS4" s="623"/>
      <c r="HT4" s="623"/>
      <c r="HU4" s="623"/>
      <c r="HV4" s="623"/>
      <c r="HW4" s="623"/>
      <c r="HX4" s="623"/>
      <c r="HY4" s="624"/>
      <c r="HZ4" s="622" t="s">
        <v>149</v>
      </c>
      <c r="IA4" s="623"/>
      <c r="IB4" s="623"/>
      <c r="IC4" s="623"/>
      <c r="ID4" s="623"/>
      <c r="IE4" s="623"/>
      <c r="IF4" s="623"/>
      <c r="IG4" s="623"/>
      <c r="IH4" s="623"/>
      <c r="II4" s="624"/>
      <c r="IJ4" s="622" t="s">
        <v>150</v>
      </c>
      <c r="IK4" s="623"/>
      <c r="IL4" s="623"/>
      <c r="IM4" s="623"/>
      <c r="IN4" s="623"/>
      <c r="IO4" s="623"/>
      <c r="IP4" s="623"/>
      <c r="IQ4" s="623"/>
      <c r="IR4" s="623"/>
      <c r="IS4" s="624"/>
      <c r="IT4" s="622" t="s">
        <v>151</v>
      </c>
      <c r="IU4" s="623"/>
      <c r="IV4" s="623"/>
      <c r="IW4" s="623"/>
      <c r="IX4" s="623"/>
      <c r="IY4" s="623"/>
      <c r="IZ4" s="623"/>
      <c r="JA4" s="623"/>
      <c r="JB4" s="623"/>
      <c r="JC4" s="624"/>
      <c r="JD4" s="622" t="s">
        <v>152</v>
      </c>
      <c r="JE4" s="623"/>
      <c r="JF4" s="623"/>
      <c r="JG4" s="623"/>
      <c r="JH4" s="623"/>
      <c r="JI4" s="623"/>
      <c r="JJ4" s="623"/>
      <c r="JK4" s="623"/>
      <c r="JL4" s="623"/>
      <c r="JM4" s="624"/>
      <c r="JN4" s="622" t="s">
        <v>153</v>
      </c>
      <c r="JO4" s="623"/>
      <c r="JP4" s="623"/>
      <c r="JQ4" s="623"/>
      <c r="JR4" s="623"/>
      <c r="JS4" s="623"/>
      <c r="JT4" s="623"/>
      <c r="JU4" s="623"/>
      <c r="JV4" s="623"/>
      <c r="JW4" s="624"/>
      <c r="JX4" s="622" t="s">
        <v>154</v>
      </c>
      <c r="JY4" s="623"/>
      <c r="JZ4" s="623"/>
      <c r="KA4" s="623"/>
      <c r="KB4" s="623"/>
      <c r="KC4" s="623"/>
      <c r="KD4" s="623"/>
      <c r="KE4" s="623"/>
      <c r="KF4" s="623"/>
      <c r="KG4" s="624"/>
      <c r="KH4" s="622" t="s">
        <v>155</v>
      </c>
      <c r="KI4" s="623"/>
      <c r="KJ4" s="623"/>
      <c r="KK4" s="623"/>
      <c r="KL4" s="623"/>
      <c r="KM4" s="623"/>
      <c r="KN4" s="623"/>
      <c r="KO4" s="623"/>
      <c r="KP4" s="623"/>
      <c r="KQ4" s="624"/>
      <c r="KR4" s="622" t="s">
        <v>156</v>
      </c>
      <c r="KS4" s="623"/>
      <c r="KT4" s="623"/>
      <c r="KU4" s="623"/>
      <c r="KV4" s="623"/>
      <c r="KW4" s="623"/>
      <c r="KX4" s="623"/>
      <c r="KY4" s="623"/>
      <c r="KZ4" s="623"/>
      <c r="LA4" s="624"/>
      <c r="LB4" s="622" t="s">
        <v>157</v>
      </c>
      <c r="LC4" s="623"/>
      <c r="LD4" s="623"/>
      <c r="LE4" s="623"/>
      <c r="LF4" s="623"/>
      <c r="LG4" s="623"/>
      <c r="LH4" s="623"/>
      <c r="LI4" s="623"/>
      <c r="LJ4" s="623"/>
      <c r="LK4" s="624"/>
      <c r="LL4" s="622" t="s">
        <v>158</v>
      </c>
      <c r="LM4" s="623"/>
      <c r="LN4" s="623"/>
      <c r="LO4" s="623"/>
      <c r="LP4" s="623"/>
      <c r="LQ4" s="623"/>
      <c r="LR4" s="623"/>
      <c r="LS4" s="623"/>
      <c r="LT4" s="623"/>
      <c r="LU4" s="624"/>
      <c r="LV4" s="622" t="s">
        <v>159</v>
      </c>
      <c r="LW4" s="623"/>
      <c r="LX4" s="623"/>
      <c r="LY4" s="623"/>
      <c r="LZ4" s="623"/>
      <c r="MA4" s="623"/>
      <c r="MB4" s="623"/>
      <c r="MC4" s="623"/>
      <c r="MD4" s="623"/>
      <c r="ME4" s="624"/>
    </row>
    <row r="5" spans="2:343" ht="39.950000000000003" customHeight="1">
      <c r="B5" s="72"/>
      <c r="C5" s="601"/>
      <c r="D5" s="602"/>
      <c r="E5" s="602"/>
      <c r="F5" s="602"/>
      <c r="G5" s="602"/>
      <c r="H5" s="602"/>
      <c r="I5" s="602"/>
      <c r="J5" s="602"/>
      <c r="K5" s="602"/>
      <c r="L5" s="602"/>
      <c r="M5" s="602"/>
      <c r="N5" s="602"/>
      <c r="O5" s="602"/>
      <c r="P5" s="602"/>
      <c r="Q5" s="602"/>
      <c r="R5" s="602"/>
      <c r="S5" s="602"/>
      <c r="T5" s="602"/>
      <c r="U5" s="602"/>
      <c r="V5" s="602"/>
      <c r="W5" s="603"/>
      <c r="X5" s="619" t="s">
        <v>448</v>
      </c>
      <c r="Y5" s="620"/>
      <c r="Z5" s="620"/>
      <c r="AA5" s="620"/>
      <c r="AB5" s="620"/>
      <c r="AC5" s="620"/>
      <c r="AD5" s="620"/>
      <c r="AE5" s="620"/>
      <c r="AF5" s="620"/>
      <c r="AG5" s="621"/>
      <c r="AH5" s="619" t="s">
        <v>450</v>
      </c>
      <c r="AI5" s="620"/>
      <c r="AJ5" s="620"/>
      <c r="AK5" s="620"/>
      <c r="AL5" s="620"/>
      <c r="AM5" s="620"/>
      <c r="AN5" s="620"/>
      <c r="AO5" s="620"/>
      <c r="AP5" s="620"/>
      <c r="AQ5" s="621"/>
      <c r="AR5" s="619" t="s">
        <v>464</v>
      </c>
      <c r="AS5" s="620"/>
      <c r="AT5" s="620"/>
      <c r="AU5" s="620"/>
      <c r="AV5" s="620"/>
      <c r="AW5" s="620"/>
      <c r="AX5" s="620"/>
      <c r="AY5" s="620"/>
      <c r="AZ5" s="620"/>
      <c r="BA5" s="621"/>
      <c r="BB5" s="619" t="s">
        <v>495</v>
      </c>
      <c r="BC5" s="620"/>
      <c r="BD5" s="620"/>
      <c r="BE5" s="620"/>
      <c r="BF5" s="620"/>
      <c r="BG5" s="620"/>
      <c r="BH5" s="620"/>
      <c r="BI5" s="620"/>
      <c r="BJ5" s="620"/>
      <c r="BK5" s="621"/>
      <c r="BL5" s="619" t="s">
        <v>682</v>
      </c>
      <c r="BM5" s="620"/>
      <c r="BN5" s="620"/>
      <c r="BO5" s="620"/>
      <c r="BP5" s="620"/>
      <c r="BQ5" s="620"/>
      <c r="BR5" s="620"/>
      <c r="BS5" s="620"/>
      <c r="BT5" s="620"/>
      <c r="BU5" s="621"/>
      <c r="BV5" s="619"/>
      <c r="BW5" s="620"/>
      <c r="BX5" s="620"/>
      <c r="BY5" s="620"/>
      <c r="BZ5" s="620"/>
      <c r="CA5" s="620"/>
      <c r="CB5" s="620"/>
      <c r="CC5" s="620"/>
      <c r="CD5" s="620"/>
      <c r="CE5" s="621"/>
      <c r="CF5" s="619"/>
      <c r="CG5" s="620"/>
      <c r="CH5" s="620"/>
      <c r="CI5" s="620"/>
      <c r="CJ5" s="620"/>
      <c r="CK5" s="620"/>
      <c r="CL5" s="620"/>
      <c r="CM5" s="620"/>
      <c r="CN5" s="620"/>
      <c r="CO5" s="621"/>
      <c r="CP5" s="619"/>
      <c r="CQ5" s="620"/>
      <c r="CR5" s="620"/>
      <c r="CS5" s="620"/>
      <c r="CT5" s="620"/>
      <c r="CU5" s="620"/>
      <c r="CV5" s="620"/>
      <c r="CW5" s="620"/>
      <c r="CX5" s="620"/>
      <c r="CY5" s="621"/>
      <c r="CZ5" s="619"/>
      <c r="DA5" s="620"/>
      <c r="DB5" s="620"/>
      <c r="DC5" s="620"/>
      <c r="DD5" s="620"/>
      <c r="DE5" s="620"/>
      <c r="DF5" s="620"/>
      <c r="DG5" s="620"/>
      <c r="DH5" s="620"/>
      <c r="DI5" s="621"/>
      <c r="DJ5" s="619"/>
      <c r="DK5" s="620"/>
      <c r="DL5" s="620"/>
      <c r="DM5" s="620"/>
      <c r="DN5" s="620"/>
      <c r="DO5" s="620"/>
      <c r="DP5" s="620"/>
      <c r="DQ5" s="620"/>
      <c r="DR5" s="620"/>
      <c r="DS5" s="621"/>
      <c r="DT5" s="619"/>
      <c r="DU5" s="620"/>
      <c r="DV5" s="620"/>
      <c r="DW5" s="620"/>
      <c r="DX5" s="620"/>
      <c r="DY5" s="620"/>
      <c r="DZ5" s="620"/>
      <c r="EA5" s="620"/>
      <c r="EB5" s="620"/>
      <c r="EC5" s="621"/>
      <c r="ED5" s="619"/>
      <c r="EE5" s="620"/>
      <c r="EF5" s="620"/>
      <c r="EG5" s="620"/>
      <c r="EH5" s="620"/>
      <c r="EI5" s="620"/>
      <c r="EJ5" s="620"/>
      <c r="EK5" s="620"/>
      <c r="EL5" s="620"/>
      <c r="EM5" s="621"/>
      <c r="EN5" s="619"/>
      <c r="EO5" s="620"/>
      <c r="EP5" s="620"/>
      <c r="EQ5" s="620"/>
      <c r="ER5" s="620"/>
      <c r="ES5" s="620"/>
      <c r="ET5" s="620"/>
      <c r="EU5" s="620"/>
      <c r="EV5" s="620"/>
      <c r="EW5" s="621"/>
      <c r="EX5" s="619"/>
      <c r="EY5" s="620"/>
      <c r="EZ5" s="620"/>
      <c r="FA5" s="620"/>
      <c r="FB5" s="620"/>
      <c r="FC5" s="620"/>
      <c r="FD5" s="620"/>
      <c r="FE5" s="620"/>
      <c r="FF5" s="620"/>
      <c r="FG5" s="621"/>
      <c r="FH5" s="619"/>
      <c r="FI5" s="620"/>
      <c r="FJ5" s="620"/>
      <c r="FK5" s="620"/>
      <c r="FL5" s="620"/>
      <c r="FM5" s="620"/>
      <c r="FN5" s="620"/>
      <c r="FO5" s="620"/>
      <c r="FP5" s="620"/>
      <c r="FQ5" s="621"/>
      <c r="FR5" s="619"/>
      <c r="FS5" s="620"/>
      <c r="FT5" s="620"/>
      <c r="FU5" s="620"/>
      <c r="FV5" s="620"/>
      <c r="FW5" s="620"/>
      <c r="FX5" s="620"/>
      <c r="FY5" s="620"/>
      <c r="FZ5" s="620"/>
      <c r="GA5" s="621"/>
      <c r="GB5" s="619"/>
      <c r="GC5" s="620"/>
      <c r="GD5" s="620"/>
      <c r="GE5" s="620"/>
      <c r="GF5" s="620"/>
      <c r="GG5" s="620"/>
      <c r="GH5" s="620"/>
      <c r="GI5" s="620"/>
      <c r="GJ5" s="620"/>
      <c r="GK5" s="621"/>
      <c r="GL5" s="619"/>
      <c r="GM5" s="620"/>
      <c r="GN5" s="620"/>
      <c r="GO5" s="620"/>
      <c r="GP5" s="620"/>
      <c r="GQ5" s="620"/>
      <c r="GR5" s="620"/>
      <c r="GS5" s="620"/>
      <c r="GT5" s="620"/>
      <c r="GU5" s="621"/>
      <c r="GV5" s="619"/>
      <c r="GW5" s="620"/>
      <c r="GX5" s="620"/>
      <c r="GY5" s="620"/>
      <c r="GZ5" s="620"/>
      <c r="HA5" s="620"/>
      <c r="HB5" s="620"/>
      <c r="HC5" s="620"/>
      <c r="HD5" s="620"/>
      <c r="HE5" s="621"/>
      <c r="HF5" s="619"/>
      <c r="HG5" s="620"/>
      <c r="HH5" s="620"/>
      <c r="HI5" s="620"/>
      <c r="HJ5" s="620"/>
      <c r="HK5" s="620"/>
      <c r="HL5" s="620"/>
      <c r="HM5" s="620"/>
      <c r="HN5" s="620"/>
      <c r="HO5" s="621"/>
      <c r="HP5" s="619"/>
      <c r="HQ5" s="620"/>
      <c r="HR5" s="620"/>
      <c r="HS5" s="620"/>
      <c r="HT5" s="620"/>
      <c r="HU5" s="620"/>
      <c r="HV5" s="620"/>
      <c r="HW5" s="620"/>
      <c r="HX5" s="620"/>
      <c r="HY5" s="621"/>
      <c r="HZ5" s="619"/>
      <c r="IA5" s="620"/>
      <c r="IB5" s="620"/>
      <c r="IC5" s="620"/>
      <c r="ID5" s="620"/>
      <c r="IE5" s="620"/>
      <c r="IF5" s="620"/>
      <c r="IG5" s="620"/>
      <c r="IH5" s="620"/>
      <c r="II5" s="621"/>
      <c r="IJ5" s="619"/>
      <c r="IK5" s="620"/>
      <c r="IL5" s="620"/>
      <c r="IM5" s="620"/>
      <c r="IN5" s="620"/>
      <c r="IO5" s="620"/>
      <c r="IP5" s="620"/>
      <c r="IQ5" s="620"/>
      <c r="IR5" s="620"/>
      <c r="IS5" s="621"/>
      <c r="IT5" s="619"/>
      <c r="IU5" s="620"/>
      <c r="IV5" s="620"/>
      <c r="IW5" s="620"/>
      <c r="IX5" s="620"/>
      <c r="IY5" s="620"/>
      <c r="IZ5" s="620"/>
      <c r="JA5" s="620"/>
      <c r="JB5" s="620"/>
      <c r="JC5" s="621"/>
      <c r="JD5" s="619"/>
      <c r="JE5" s="620"/>
      <c r="JF5" s="620"/>
      <c r="JG5" s="620"/>
      <c r="JH5" s="620"/>
      <c r="JI5" s="620"/>
      <c r="JJ5" s="620"/>
      <c r="JK5" s="620"/>
      <c r="JL5" s="620"/>
      <c r="JM5" s="621"/>
      <c r="JN5" s="619"/>
      <c r="JO5" s="620"/>
      <c r="JP5" s="620"/>
      <c r="JQ5" s="620"/>
      <c r="JR5" s="620"/>
      <c r="JS5" s="620"/>
      <c r="JT5" s="620"/>
      <c r="JU5" s="620"/>
      <c r="JV5" s="620"/>
      <c r="JW5" s="621"/>
      <c r="JX5" s="619"/>
      <c r="JY5" s="620"/>
      <c r="JZ5" s="620"/>
      <c r="KA5" s="620"/>
      <c r="KB5" s="620"/>
      <c r="KC5" s="620"/>
      <c r="KD5" s="620"/>
      <c r="KE5" s="620"/>
      <c r="KF5" s="620"/>
      <c r="KG5" s="621"/>
      <c r="KH5" s="619"/>
      <c r="KI5" s="620"/>
      <c r="KJ5" s="620"/>
      <c r="KK5" s="620"/>
      <c r="KL5" s="620"/>
      <c r="KM5" s="620"/>
      <c r="KN5" s="620"/>
      <c r="KO5" s="620"/>
      <c r="KP5" s="620"/>
      <c r="KQ5" s="621"/>
      <c r="KR5" s="619"/>
      <c r="KS5" s="620"/>
      <c r="KT5" s="620"/>
      <c r="KU5" s="620"/>
      <c r="KV5" s="620"/>
      <c r="KW5" s="620"/>
      <c r="KX5" s="620"/>
      <c r="KY5" s="620"/>
      <c r="KZ5" s="620"/>
      <c r="LA5" s="621"/>
      <c r="LB5" s="619"/>
      <c r="LC5" s="620"/>
      <c r="LD5" s="620"/>
      <c r="LE5" s="620"/>
      <c r="LF5" s="620"/>
      <c r="LG5" s="620"/>
      <c r="LH5" s="620"/>
      <c r="LI5" s="620"/>
      <c r="LJ5" s="620"/>
      <c r="LK5" s="621"/>
      <c r="LL5" s="619"/>
      <c r="LM5" s="620"/>
      <c r="LN5" s="620"/>
      <c r="LO5" s="620"/>
      <c r="LP5" s="620"/>
      <c r="LQ5" s="620"/>
      <c r="LR5" s="620"/>
      <c r="LS5" s="620"/>
      <c r="LT5" s="620"/>
      <c r="LU5" s="621"/>
      <c r="LV5" s="619"/>
      <c r="LW5" s="620"/>
      <c r="LX5" s="620"/>
      <c r="LY5" s="620"/>
      <c r="LZ5" s="620"/>
      <c r="MA5" s="620"/>
      <c r="MB5" s="620"/>
      <c r="MC5" s="620"/>
      <c r="MD5" s="620"/>
      <c r="ME5" s="621"/>
    </row>
    <row r="6" spans="2:343" s="247" customFormat="1" ht="21.95" customHeight="1">
      <c r="B6" s="243"/>
      <c r="C6" s="231"/>
      <c r="D6" s="604" t="s">
        <v>248</v>
      </c>
      <c r="E6" s="604"/>
      <c r="F6" s="604"/>
      <c r="G6" s="244"/>
      <c r="H6" s="604" t="s">
        <v>249</v>
      </c>
      <c r="I6" s="604"/>
      <c r="J6" s="604"/>
      <c r="K6" s="305"/>
      <c r="L6" s="244"/>
      <c r="M6" s="244"/>
      <c r="N6" s="604" t="s">
        <v>246</v>
      </c>
      <c r="O6" s="604"/>
      <c r="P6" s="604"/>
      <c r="Q6" s="244"/>
      <c r="R6" s="604" t="s">
        <v>250</v>
      </c>
      <c r="S6" s="604"/>
      <c r="T6" s="604" t="s">
        <v>251</v>
      </c>
      <c r="U6" s="604"/>
      <c r="V6" s="604" t="s">
        <v>252</v>
      </c>
      <c r="W6" s="607"/>
      <c r="X6" s="245"/>
      <c r="Y6" s="242"/>
      <c r="Z6" s="636" t="s">
        <v>248</v>
      </c>
      <c r="AA6" s="636"/>
      <c r="AB6" s="636"/>
      <c r="AC6" s="636"/>
      <c r="AD6" s="636"/>
      <c r="AE6" s="636"/>
      <c r="AF6" s="242"/>
      <c r="AG6" s="246"/>
      <c r="AH6" s="245"/>
      <c r="AI6" s="242"/>
      <c r="AJ6" s="636" t="s">
        <v>249</v>
      </c>
      <c r="AK6" s="636"/>
      <c r="AL6" s="636"/>
      <c r="AM6" s="636"/>
      <c r="AN6" s="636"/>
      <c r="AO6" s="636"/>
      <c r="AP6" s="242"/>
      <c r="AQ6" s="246"/>
      <c r="AR6" s="245"/>
      <c r="AS6" s="242"/>
      <c r="AT6" s="597" t="s">
        <v>248</v>
      </c>
      <c r="AU6" s="597"/>
      <c r="AV6" s="597"/>
      <c r="AW6" s="597"/>
      <c r="AX6" s="597"/>
      <c r="AY6" s="597"/>
      <c r="AZ6" s="242"/>
      <c r="BA6" s="246"/>
      <c r="BB6" s="245"/>
      <c r="BC6" s="242"/>
      <c r="BD6" s="597" t="s">
        <v>246</v>
      </c>
      <c r="BE6" s="597"/>
      <c r="BF6" s="597"/>
      <c r="BG6" s="597"/>
      <c r="BH6" s="597"/>
      <c r="BI6" s="597"/>
      <c r="BJ6" s="242"/>
      <c r="BK6" s="246"/>
      <c r="BL6" s="245"/>
      <c r="BM6" s="242"/>
      <c r="BN6" s="597" t="s">
        <v>248</v>
      </c>
      <c r="BO6" s="597"/>
      <c r="BP6" s="597"/>
      <c r="BQ6" s="597"/>
      <c r="BR6" s="597"/>
      <c r="BS6" s="597"/>
      <c r="BT6" s="242"/>
      <c r="BU6" s="246"/>
      <c r="BV6" s="245"/>
      <c r="BW6" s="242"/>
      <c r="BX6" s="597"/>
      <c r="BY6" s="597"/>
      <c r="BZ6" s="597"/>
      <c r="CA6" s="597"/>
      <c r="CB6" s="597"/>
      <c r="CC6" s="597"/>
      <c r="CD6" s="242"/>
      <c r="CE6" s="246"/>
      <c r="CF6" s="245"/>
      <c r="CG6" s="242"/>
      <c r="CH6" s="597"/>
      <c r="CI6" s="597"/>
      <c r="CJ6" s="597"/>
      <c r="CK6" s="597"/>
      <c r="CL6" s="597"/>
      <c r="CM6" s="597"/>
      <c r="CN6" s="242"/>
      <c r="CO6" s="246"/>
      <c r="CP6" s="245"/>
      <c r="CQ6" s="242"/>
      <c r="CR6" s="597"/>
      <c r="CS6" s="597"/>
      <c r="CT6" s="597"/>
      <c r="CU6" s="597"/>
      <c r="CV6" s="597"/>
      <c r="CW6" s="597"/>
      <c r="CX6" s="242"/>
      <c r="CY6" s="246"/>
      <c r="CZ6" s="245"/>
      <c r="DA6" s="242"/>
      <c r="DB6" s="597"/>
      <c r="DC6" s="597"/>
      <c r="DD6" s="597"/>
      <c r="DE6" s="597"/>
      <c r="DF6" s="597"/>
      <c r="DG6" s="597"/>
      <c r="DH6" s="242"/>
      <c r="DI6" s="246"/>
      <c r="DJ6" s="245"/>
      <c r="DK6" s="242"/>
      <c r="DL6" s="597"/>
      <c r="DM6" s="597"/>
      <c r="DN6" s="597"/>
      <c r="DO6" s="597"/>
      <c r="DP6" s="597"/>
      <c r="DQ6" s="597"/>
      <c r="DR6" s="242"/>
      <c r="DS6" s="246"/>
      <c r="DT6" s="245"/>
      <c r="DU6" s="242"/>
      <c r="DV6" s="597"/>
      <c r="DW6" s="597"/>
      <c r="DX6" s="597"/>
      <c r="DY6" s="597"/>
      <c r="DZ6" s="597"/>
      <c r="EA6" s="597"/>
      <c r="EB6" s="242"/>
      <c r="EC6" s="246"/>
      <c r="ED6" s="245"/>
      <c r="EE6" s="242"/>
      <c r="EF6" s="597"/>
      <c r="EG6" s="597"/>
      <c r="EH6" s="597"/>
      <c r="EI6" s="597"/>
      <c r="EJ6" s="597"/>
      <c r="EK6" s="597"/>
      <c r="EL6" s="242"/>
      <c r="EM6" s="246"/>
      <c r="EN6" s="245"/>
      <c r="EO6" s="242"/>
      <c r="EP6" s="597"/>
      <c r="EQ6" s="597"/>
      <c r="ER6" s="597"/>
      <c r="ES6" s="597"/>
      <c r="ET6" s="597"/>
      <c r="EU6" s="597"/>
      <c r="EV6" s="242"/>
      <c r="EW6" s="246"/>
      <c r="EX6" s="245"/>
      <c r="EY6" s="242"/>
      <c r="EZ6" s="597"/>
      <c r="FA6" s="597"/>
      <c r="FB6" s="597"/>
      <c r="FC6" s="597"/>
      <c r="FD6" s="597"/>
      <c r="FE6" s="597"/>
      <c r="FF6" s="242"/>
      <c r="FG6" s="246"/>
      <c r="FH6" s="245"/>
      <c r="FI6" s="242"/>
      <c r="FJ6" s="597"/>
      <c r="FK6" s="597"/>
      <c r="FL6" s="597"/>
      <c r="FM6" s="597"/>
      <c r="FN6" s="597"/>
      <c r="FO6" s="597"/>
      <c r="FP6" s="242"/>
      <c r="FQ6" s="246"/>
      <c r="FR6" s="245"/>
      <c r="FS6" s="242"/>
      <c r="FT6" s="597"/>
      <c r="FU6" s="597"/>
      <c r="FV6" s="597"/>
      <c r="FW6" s="597"/>
      <c r="FX6" s="597"/>
      <c r="FY6" s="597"/>
      <c r="FZ6" s="242"/>
      <c r="GA6" s="246"/>
      <c r="GB6" s="245"/>
      <c r="GC6" s="242"/>
      <c r="GD6" s="597"/>
      <c r="GE6" s="597"/>
      <c r="GF6" s="597"/>
      <c r="GG6" s="597"/>
      <c r="GH6" s="597"/>
      <c r="GI6" s="597"/>
      <c r="GJ6" s="242"/>
      <c r="GK6" s="246"/>
      <c r="GL6" s="245"/>
      <c r="GM6" s="242"/>
      <c r="GN6" s="597"/>
      <c r="GO6" s="597"/>
      <c r="GP6" s="597"/>
      <c r="GQ6" s="597"/>
      <c r="GR6" s="597"/>
      <c r="GS6" s="597"/>
      <c r="GT6" s="242"/>
      <c r="GU6" s="246"/>
      <c r="GV6" s="245"/>
      <c r="GW6" s="242"/>
      <c r="GX6" s="597"/>
      <c r="GY6" s="597"/>
      <c r="GZ6" s="597"/>
      <c r="HA6" s="597"/>
      <c r="HB6" s="597"/>
      <c r="HC6" s="597"/>
      <c r="HD6" s="242"/>
      <c r="HE6" s="246"/>
      <c r="HF6" s="245"/>
      <c r="HG6" s="242"/>
      <c r="HH6" s="597"/>
      <c r="HI6" s="597"/>
      <c r="HJ6" s="597"/>
      <c r="HK6" s="597"/>
      <c r="HL6" s="597"/>
      <c r="HM6" s="597"/>
      <c r="HN6" s="242"/>
      <c r="HO6" s="246"/>
      <c r="HP6" s="245"/>
      <c r="HQ6" s="242"/>
      <c r="HR6" s="597"/>
      <c r="HS6" s="597"/>
      <c r="HT6" s="597"/>
      <c r="HU6" s="597"/>
      <c r="HV6" s="597"/>
      <c r="HW6" s="597"/>
      <c r="HX6" s="242"/>
      <c r="HY6" s="246"/>
      <c r="HZ6" s="245"/>
      <c r="IA6" s="242"/>
      <c r="IB6" s="597"/>
      <c r="IC6" s="597"/>
      <c r="ID6" s="597"/>
      <c r="IE6" s="597"/>
      <c r="IF6" s="597"/>
      <c r="IG6" s="597"/>
      <c r="IH6" s="242"/>
      <c r="II6" s="246"/>
      <c r="IJ6" s="245"/>
      <c r="IK6" s="242"/>
      <c r="IL6" s="597"/>
      <c r="IM6" s="597"/>
      <c r="IN6" s="597"/>
      <c r="IO6" s="597"/>
      <c r="IP6" s="597"/>
      <c r="IQ6" s="597"/>
      <c r="IR6" s="242"/>
      <c r="IS6" s="246"/>
      <c r="IT6" s="245"/>
      <c r="IU6" s="242"/>
      <c r="IV6" s="597"/>
      <c r="IW6" s="597"/>
      <c r="IX6" s="597"/>
      <c r="IY6" s="597"/>
      <c r="IZ6" s="597"/>
      <c r="JA6" s="597"/>
      <c r="JB6" s="242"/>
      <c r="JC6" s="246"/>
      <c r="JD6" s="245"/>
      <c r="JE6" s="242"/>
      <c r="JF6" s="597"/>
      <c r="JG6" s="597"/>
      <c r="JH6" s="597"/>
      <c r="JI6" s="597"/>
      <c r="JJ6" s="597"/>
      <c r="JK6" s="597"/>
      <c r="JL6" s="242"/>
      <c r="JM6" s="246"/>
      <c r="JN6" s="245"/>
      <c r="JO6" s="242"/>
      <c r="JP6" s="597"/>
      <c r="JQ6" s="597"/>
      <c r="JR6" s="597"/>
      <c r="JS6" s="597"/>
      <c r="JT6" s="597"/>
      <c r="JU6" s="597"/>
      <c r="JV6" s="242"/>
      <c r="JW6" s="246"/>
      <c r="JX6" s="245"/>
      <c r="JY6" s="242"/>
      <c r="JZ6" s="597"/>
      <c r="KA6" s="597"/>
      <c r="KB6" s="597"/>
      <c r="KC6" s="597"/>
      <c r="KD6" s="597"/>
      <c r="KE6" s="597"/>
      <c r="KF6" s="242"/>
      <c r="KG6" s="246"/>
      <c r="KH6" s="245"/>
      <c r="KI6" s="242"/>
      <c r="KJ6" s="597"/>
      <c r="KK6" s="597"/>
      <c r="KL6" s="597"/>
      <c r="KM6" s="597"/>
      <c r="KN6" s="597"/>
      <c r="KO6" s="597"/>
      <c r="KP6" s="242"/>
      <c r="KQ6" s="246"/>
      <c r="KR6" s="245"/>
      <c r="KS6" s="242"/>
      <c r="KT6" s="597"/>
      <c r="KU6" s="597"/>
      <c r="KV6" s="597"/>
      <c r="KW6" s="597"/>
      <c r="KX6" s="597"/>
      <c r="KY6" s="597"/>
      <c r="KZ6" s="242"/>
      <c r="LA6" s="246"/>
      <c r="LB6" s="245"/>
      <c r="LC6" s="242"/>
      <c r="LD6" s="597"/>
      <c r="LE6" s="597"/>
      <c r="LF6" s="597"/>
      <c r="LG6" s="597"/>
      <c r="LH6" s="597"/>
      <c r="LI6" s="597"/>
      <c r="LJ6" s="242"/>
      <c r="LK6" s="246"/>
      <c r="LL6" s="245"/>
      <c r="LM6" s="242"/>
      <c r="LN6" s="597"/>
      <c r="LO6" s="597"/>
      <c r="LP6" s="597"/>
      <c r="LQ6" s="597"/>
      <c r="LR6" s="597"/>
      <c r="LS6" s="597"/>
      <c r="LT6" s="242"/>
      <c r="LU6" s="246"/>
      <c r="LV6" s="245"/>
      <c r="LW6" s="242"/>
      <c r="LX6" s="597"/>
      <c r="LY6" s="597"/>
      <c r="LZ6" s="597"/>
      <c r="MA6" s="597"/>
      <c r="MB6" s="597"/>
      <c r="MC6" s="597"/>
      <c r="MD6" s="242"/>
      <c r="ME6" s="246"/>
    </row>
    <row r="7" spans="2:343" ht="21.95" customHeight="1">
      <c r="B7" s="72"/>
      <c r="C7" s="230"/>
      <c r="D7" s="605">
        <f>SUMPRODUCT((LEN(X6:ME6)-LEN(SUBSTITUTE(X6:ME6,"V",""))))</f>
        <v>3</v>
      </c>
      <c r="E7" s="605"/>
      <c r="F7" s="605"/>
      <c r="G7" s="232"/>
      <c r="H7" s="605">
        <f>SUMPRODUCT((LEN(X6:ME6)-LEN(SUBSTITUTE(X6:ME6,"N",""))))</f>
        <v>1</v>
      </c>
      <c r="I7" s="605"/>
      <c r="J7" s="605"/>
      <c r="K7" s="306"/>
      <c r="L7" s="232"/>
      <c r="M7" s="232"/>
      <c r="N7" s="605">
        <f>SUMPRODUCT((LEN(X6:ME6)-LEN(SUBSTITUTE(X6:ME6,"D",""))))</f>
        <v>1</v>
      </c>
      <c r="O7" s="605"/>
      <c r="P7" s="605"/>
      <c r="Q7" s="232"/>
      <c r="R7" s="605">
        <f>SUM(AB7,AL7,AV7,BF7,BP7,BZ7,CJ7,CT7,DD7,DN7,DX7,EH7,ER7,FB7,FL7,FV7,GF7,GP7,GZ7,HJ7,HT7,ID7,IN7,IX7,JH7,JR7,KB7,KL7,KV7,LF7,LP7,LZ7)</f>
        <v>13</v>
      </c>
      <c r="S7" s="605"/>
      <c r="T7" s="606">
        <f>SUM(AC7,AM7,AW7,BG7,BQ7,CA7,CK7,CU7,DE7,DO7,DY7,EI7,ES7,FC7,FM7,FW7,GG7,GQ7,HA7,HK7,HU7,IE7,IO7,IY7,JI7,JS7,KC7,KM7,KW7,LG7,LQ7,MA7)</f>
        <v>9</v>
      </c>
      <c r="U7" s="606"/>
      <c r="V7" s="606">
        <f>R7-T7</f>
        <v>4</v>
      </c>
      <c r="W7" s="608"/>
      <c r="X7" s="617">
        <v>43334</v>
      </c>
      <c r="Y7" s="618"/>
      <c r="Z7" s="618"/>
      <c r="AA7" s="618"/>
      <c r="AB7" s="229">
        <v>6</v>
      </c>
      <c r="AC7" s="233">
        <v>1</v>
      </c>
      <c r="AD7" s="615" t="s">
        <v>449</v>
      </c>
      <c r="AE7" s="615"/>
      <c r="AF7" s="615"/>
      <c r="AG7" s="616"/>
      <c r="AH7" s="617">
        <v>43337</v>
      </c>
      <c r="AI7" s="618"/>
      <c r="AJ7" s="618"/>
      <c r="AK7" s="618"/>
      <c r="AL7" s="229">
        <v>3</v>
      </c>
      <c r="AM7" s="233">
        <v>3</v>
      </c>
      <c r="AN7" s="615" t="s">
        <v>451</v>
      </c>
      <c r="AO7" s="615"/>
      <c r="AP7" s="615"/>
      <c r="AQ7" s="616"/>
      <c r="AR7" s="617">
        <v>43344</v>
      </c>
      <c r="AS7" s="618"/>
      <c r="AT7" s="618"/>
      <c r="AU7" s="618"/>
      <c r="AV7" s="229">
        <v>2</v>
      </c>
      <c r="AW7" s="233">
        <v>1</v>
      </c>
      <c r="AX7" s="615" t="s">
        <v>465</v>
      </c>
      <c r="AY7" s="615"/>
      <c r="AZ7" s="615"/>
      <c r="BA7" s="616"/>
      <c r="BB7" s="617">
        <v>43352</v>
      </c>
      <c r="BC7" s="618"/>
      <c r="BD7" s="618"/>
      <c r="BE7" s="618"/>
      <c r="BF7" s="229">
        <v>1</v>
      </c>
      <c r="BG7" s="233">
        <v>4</v>
      </c>
      <c r="BH7" s="615" t="s">
        <v>496</v>
      </c>
      <c r="BI7" s="615"/>
      <c r="BJ7" s="615"/>
      <c r="BK7" s="616"/>
      <c r="BL7" s="617">
        <v>43359</v>
      </c>
      <c r="BM7" s="618"/>
      <c r="BN7" s="618"/>
      <c r="BO7" s="618"/>
      <c r="BP7" s="229">
        <v>1</v>
      </c>
      <c r="BQ7" s="233">
        <v>0</v>
      </c>
      <c r="BR7" s="615" t="s">
        <v>683</v>
      </c>
      <c r="BS7" s="615"/>
      <c r="BT7" s="615"/>
      <c r="BU7" s="616"/>
      <c r="BV7" s="617" t="s">
        <v>160</v>
      </c>
      <c r="BW7" s="618"/>
      <c r="BX7" s="618"/>
      <c r="BY7" s="618"/>
      <c r="BZ7" s="229"/>
      <c r="CA7" s="233"/>
      <c r="CB7" s="615" t="s">
        <v>123</v>
      </c>
      <c r="CC7" s="615"/>
      <c r="CD7" s="615"/>
      <c r="CE7" s="616"/>
      <c r="CF7" s="617" t="s">
        <v>160</v>
      </c>
      <c r="CG7" s="618"/>
      <c r="CH7" s="618"/>
      <c r="CI7" s="618"/>
      <c r="CJ7" s="229"/>
      <c r="CK7" s="233"/>
      <c r="CL7" s="615" t="s">
        <v>123</v>
      </c>
      <c r="CM7" s="615"/>
      <c r="CN7" s="615"/>
      <c r="CO7" s="616"/>
      <c r="CP7" s="617" t="s">
        <v>160</v>
      </c>
      <c r="CQ7" s="618"/>
      <c r="CR7" s="618"/>
      <c r="CS7" s="618"/>
      <c r="CT7" s="229"/>
      <c r="CU7" s="233"/>
      <c r="CV7" s="615" t="s">
        <v>123</v>
      </c>
      <c r="CW7" s="615"/>
      <c r="CX7" s="615"/>
      <c r="CY7" s="616"/>
      <c r="CZ7" s="617" t="s">
        <v>160</v>
      </c>
      <c r="DA7" s="618"/>
      <c r="DB7" s="618"/>
      <c r="DC7" s="618"/>
      <c r="DD7" s="229"/>
      <c r="DE7" s="233"/>
      <c r="DF7" s="615" t="s">
        <v>123</v>
      </c>
      <c r="DG7" s="615"/>
      <c r="DH7" s="615"/>
      <c r="DI7" s="616"/>
      <c r="DJ7" s="617" t="s">
        <v>160</v>
      </c>
      <c r="DK7" s="618"/>
      <c r="DL7" s="618"/>
      <c r="DM7" s="618"/>
      <c r="DN7" s="229"/>
      <c r="DO7" s="233"/>
      <c r="DP7" s="615" t="s">
        <v>123</v>
      </c>
      <c r="DQ7" s="615"/>
      <c r="DR7" s="615"/>
      <c r="DS7" s="616"/>
      <c r="DT7" s="617" t="s">
        <v>160</v>
      </c>
      <c r="DU7" s="618"/>
      <c r="DV7" s="618"/>
      <c r="DW7" s="618"/>
      <c r="DX7" s="229"/>
      <c r="DY7" s="233"/>
      <c r="DZ7" s="615" t="s">
        <v>123</v>
      </c>
      <c r="EA7" s="615"/>
      <c r="EB7" s="615"/>
      <c r="EC7" s="616"/>
      <c r="ED7" s="617" t="s">
        <v>160</v>
      </c>
      <c r="EE7" s="618"/>
      <c r="EF7" s="618"/>
      <c r="EG7" s="618"/>
      <c r="EH7" s="229"/>
      <c r="EI7" s="233"/>
      <c r="EJ7" s="615" t="s">
        <v>123</v>
      </c>
      <c r="EK7" s="615"/>
      <c r="EL7" s="615"/>
      <c r="EM7" s="616"/>
      <c r="EN7" s="617" t="s">
        <v>160</v>
      </c>
      <c r="EO7" s="618"/>
      <c r="EP7" s="618"/>
      <c r="EQ7" s="618"/>
      <c r="ER7" s="229"/>
      <c r="ES7" s="233"/>
      <c r="ET7" s="615" t="s">
        <v>123</v>
      </c>
      <c r="EU7" s="615"/>
      <c r="EV7" s="615"/>
      <c r="EW7" s="616"/>
      <c r="EX7" s="617" t="s">
        <v>160</v>
      </c>
      <c r="EY7" s="618"/>
      <c r="EZ7" s="618"/>
      <c r="FA7" s="618"/>
      <c r="FB7" s="229"/>
      <c r="FC7" s="233"/>
      <c r="FD7" s="615" t="s">
        <v>123</v>
      </c>
      <c r="FE7" s="615"/>
      <c r="FF7" s="615"/>
      <c r="FG7" s="616"/>
      <c r="FH7" s="617" t="s">
        <v>160</v>
      </c>
      <c r="FI7" s="618"/>
      <c r="FJ7" s="618"/>
      <c r="FK7" s="618"/>
      <c r="FL7" s="229"/>
      <c r="FM7" s="233"/>
      <c r="FN7" s="615" t="s">
        <v>123</v>
      </c>
      <c r="FO7" s="615"/>
      <c r="FP7" s="615"/>
      <c r="FQ7" s="616"/>
      <c r="FR7" s="617" t="s">
        <v>160</v>
      </c>
      <c r="FS7" s="618"/>
      <c r="FT7" s="618"/>
      <c r="FU7" s="618"/>
      <c r="FV7" s="229"/>
      <c r="FW7" s="233"/>
      <c r="FX7" s="615" t="s">
        <v>123</v>
      </c>
      <c r="FY7" s="615"/>
      <c r="FZ7" s="615"/>
      <c r="GA7" s="616"/>
      <c r="GB7" s="617" t="s">
        <v>160</v>
      </c>
      <c r="GC7" s="618"/>
      <c r="GD7" s="618"/>
      <c r="GE7" s="618"/>
      <c r="GF7" s="229"/>
      <c r="GG7" s="233"/>
      <c r="GH7" s="615" t="s">
        <v>123</v>
      </c>
      <c r="GI7" s="615"/>
      <c r="GJ7" s="615"/>
      <c r="GK7" s="616"/>
      <c r="GL7" s="617" t="s">
        <v>160</v>
      </c>
      <c r="GM7" s="618"/>
      <c r="GN7" s="618"/>
      <c r="GO7" s="618"/>
      <c r="GP7" s="229"/>
      <c r="GQ7" s="233"/>
      <c r="GR7" s="615" t="s">
        <v>123</v>
      </c>
      <c r="GS7" s="615"/>
      <c r="GT7" s="615"/>
      <c r="GU7" s="616"/>
      <c r="GV7" s="617" t="s">
        <v>160</v>
      </c>
      <c r="GW7" s="618"/>
      <c r="GX7" s="618"/>
      <c r="GY7" s="618"/>
      <c r="GZ7" s="229"/>
      <c r="HA7" s="233"/>
      <c r="HB7" s="615" t="s">
        <v>123</v>
      </c>
      <c r="HC7" s="615"/>
      <c r="HD7" s="615"/>
      <c r="HE7" s="616"/>
      <c r="HF7" s="617" t="s">
        <v>160</v>
      </c>
      <c r="HG7" s="618"/>
      <c r="HH7" s="618"/>
      <c r="HI7" s="618"/>
      <c r="HJ7" s="229"/>
      <c r="HK7" s="233"/>
      <c r="HL7" s="615" t="s">
        <v>123</v>
      </c>
      <c r="HM7" s="615"/>
      <c r="HN7" s="615"/>
      <c r="HO7" s="616"/>
      <c r="HP7" s="617" t="s">
        <v>160</v>
      </c>
      <c r="HQ7" s="618"/>
      <c r="HR7" s="618"/>
      <c r="HS7" s="618"/>
      <c r="HT7" s="229"/>
      <c r="HU7" s="233"/>
      <c r="HV7" s="615" t="s">
        <v>123</v>
      </c>
      <c r="HW7" s="615"/>
      <c r="HX7" s="615"/>
      <c r="HY7" s="616"/>
      <c r="HZ7" s="617" t="s">
        <v>160</v>
      </c>
      <c r="IA7" s="618"/>
      <c r="IB7" s="618"/>
      <c r="IC7" s="618"/>
      <c r="ID7" s="229"/>
      <c r="IE7" s="233"/>
      <c r="IF7" s="615" t="s">
        <v>123</v>
      </c>
      <c r="IG7" s="615"/>
      <c r="IH7" s="615"/>
      <c r="II7" s="616"/>
      <c r="IJ7" s="617" t="s">
        <v>160</v>
      </c>
      <c r="IK7" s="618"/>
      <c r="IL7" s="618"/>
      <c r="IM7" s="618"/>
      <c r="IN7" s="229"/>
      <c r="IO7" s="233"/>
      <c r="IP7" s="615" t="s">
        <v>123</v>
      </c>
      <c r="IQ7" s="615"/>
      <c r="IR7" s="615"/>
      <c r="IS7" s="616"/>
      <c r="IT7" s="617" t="s">
        <v>160</v>
      </c>
      <c r="IU7" s="618"/>
      <c r="IV7" s="618"/>
      <c r="IW7" s="618"/>
      <c r="IX7" s="229"/>
      <c r="IY7" s="233"/>
      <c r="IZ7" s="615" t="s">
        <v>123</v>
      </c>
      <c r="JA7" s="615"/>
      <c r="JB7" s="615"/>
      <c r="JC7" s="616"/>
      <c r="JD7" s="617" t="s">
        <v>160</v>
      </c>
      <c r="JE7" s="618"/>
      <c r="JF7" s="618"/>
      <c r="JG7" s="618"/>
      <c r="JH7" s="229"/>
      <c r="JI7" s="233"/>
      <c r="JJ7" s="615" t="s">
        <v>123</v>
      </c>
      <c r="JK7" s="615"/>
      <c r="JL7" s="615"/>
      <c r="JM7" s="616"/>
      <c r="JN7" s="617" t="s">
        <v>160</v>
      </c>
      <c r="JO7" s="618"/>
      <c r="JP7" s="618"/>
      <c r="JQ7" s="618"/>
      <c r="JR7" s="229"/>
      <c r="JS7" s="233"/>
      <c r="JT7" s="615" t="s">
        <v>123</v>
      </c>
      <c r="JU7" s="615"/>
      <c r="JV7" s="615"/>
      <c r="JW7" s="616"/>
      <c r="JX7" s="617" t="s">
        <v>160</v>
      </c>
      <c r="JY7" s="618"/>
      <c r="JZ7" s="618"/>
      <c r="KA7" s="618"/>
      <c r="KB7" s="229"/>
      <c r="KC7" s="233"/>
      <c r="KD7" s="615" t="s">
        <v>123</v>
      </c>
      <c r="KE7" s="615"/>
      <c r="KF7" s="615"/>
      <c r="KG7" s="616"/>
      <c r="KH7" s="617" t="s">
        <v>160</v>
      </c>
      <c r="KI7" s="618"/>
      <c r="KJ7" s="618"/>
      <c r="KK7" s="618"/>
      <c r="KL7" s="229"/>
      <c r="KM7" s="233"/>
      <c r="KN7" s="615" t="s">
        <v>123</v>
      </c>
      <c r="KO7" s="615"/>
      <c r="KP7" s="615"/>
      <c r="KQ7" s="616"/>
      <c r="KR7" s="617" t="s">
        <v>160</v>
      </c>
      <c r="KS7" s="618"/>
      <c r="KT7" s="618"/>
      <c r="KU7" s="618"/>
      <c r="KV7" s="229"/>
      <c r="KW7" s="233"/>
      <c r="KX7" s="615" t="s">
        <v>123</v>
      </c>
      <c r="KY7" s="615"/>
      <c r="KZ7" s="615"/>
      <c r="LA7" s="616"/>
      <c r="LB7" s="617" t="s">
        <v>160</v>
      </c>
      <c r="LC7" s="618"/>
      <c r="LD7" s="618"/>
      <c r="LE7" s="618"/>
      <c r="LF7" s="229"/>
      <c r="LG7" s="233"/>
      <c r="LH7" s="615" t="s">
        <v>123</v>
      </c>
      <c r="LI7" s="615"/>
      <c r="LJ7" s="615"/>
      <c r="LK7" s="616"/>
      <c r="LL7" s="617" t="s">
        <v>160</v>
      </c>
      <c r="LM7" s="618"/>
      <c r="LN7" s="618"/>
      <c r="LO7" s="618"/>
      <c r="LP7" s="229"/>
      <c r="LQ7" s="233"/>
      <c r="LR7" s="615" t="s">
        <v>123</v>
      </c>
      <c r="LS7" s="615"/>
      <c r="LT7" s="615"/>
      <c r="LU7" s="616"/>
      <c r="LV7" s="617" t="s">
        <v>160</v>
      </c>
      <c r="LW7" s="618"/>
      <c r="LX7" s="618"/>
      <c r="LY7" s="618"/>
      <c r="LZ7" s="229"/>
      <c r="MA7" s="233"/>
      <c r="MB7" s="615" t="s">
        <v>123</v>
      </c>
      <c r="MC7" s="615"/>
      <c r="MD7" s="615"/>
      <c r="ME7" s="616"/>
    </row>
    <row r="8" spans="2:343" ht="32.25">
      <c r="B8" s="72"/>
      <c r="C8" s="625" t="s">
        <v>87</v>
      </c>
      <c r="D8" s="626"/>
      <c r="E8" s="626"/>
      <c r="F8" s="627"/>
      <c r="G8" s="625" t="s">
        <v>81</v>
      </c>
      <c r="H8" s="626"/>
      <c r="I8" s="626"/>
      <c r="J8" s="626"/>
      <c r="K8" s="626"/>
      <c r="L8" s="626"/>
      <c r="M8" s="626"/>
      <c r="N8" s="626"/>
      <c r="O8" s="627"/>
      <c r="P8" s="634" t="s">
        <v>98</v>
      </c>
      <c r="Q8" s="630" t="s">
        <v>92</v>
      </c>
      <c r="R8" s="630" t="s">
        <v>172</v>
      </c>
      <c r="S8" s="630" t="s">
        <v>93</v>
      </c>
      <c r="T8" s="628" t="s">
        <v>94</v>
      </c>
      <c r="U8" s="630" t="s">
        <v>95</v>
      </c>
      <c r="V8" s="630" t="s">
        <v>96</v>
      </c>
      <c r="W8" s="632" t="s">
        <v>97</v>
      </c>
      <c r="X8" s="609" t="s">
        <v>87</v>
      </c>
      <c r="Y8" s="611" t="s">
        <v>81</v>
      </c>
      <c r="Z8" s="611" t="s">
        <v>80</v>
      </c>
      <c r="AA8" s="611" t="s">
        <v>7</v>
      </c>
      <c r="AB8" s="611" t="s">
        <v>108</v>
      </c>
      <c r="AC8" s="611" t="s">
        <v>86</v>
      </c>
      <c r="AD8" s="611" t="s">
        <v>88</v>
      </c>
      <c r="AE8" s="611" t="s">
        <v>90</v>
      </c>
      <c r="AF8" s="611" t="s">
        <v>91</v>
      </c>
      <c r="AG8" s="613" t="s">
        <v>89</v>
      </c>
      <c r="AH8" s="609" t="s">
        <v>87</v>
      </c>
      <c r="AI8" s="611" t="s">
        <v>81</v>
      </c>
      <c r="AJ8" s="611" t="s">
        <v>80</v>
      </c>
      <c r="AK8" s="611" t="s">
        <v>7</v>
      </c>
      <c r="AL8" s="611" t="s">
        <v>108</v>
      </c>
      <c r="AM8" s="611" t="s">
        <v>86</v>
      </c>
      <c r="AN8" s="611" t="s">
        <v>88</v>
      </c>
      <c r="AO8" s="611" t="s">
        <v>90</v>
      </c>
      <c r="AP8" s="611" t="s">
        <v>91</v>
      </c>
      <c r="AQ8" s="613" t="s">
        <v>89</v>
      </c>
      <c r="AR8" s="609" t="s">
        <v>87</v>
      </c>
      <c r="AS8" s="611" t="s">
        <v>81</v>
      </c>
      <c r="AT8" s="611" t="s">
        <v>80</v>
      </c>
      <c r="AU8" s="611" t="s">
        <v>7</v>
      </c>
      <c r="AV8" s="611" t="s">
        <v>108</v>
      </c>
      <c r="AW8" s="611" t="s">
        <v>86</v>
      </c>
      <c r="AX8" s="611" t="s">
        <v>88</v>
      </c>
      <c r="AY8" s="611" t="s">
        <v>90</v>
      </c>
      <c r="AZ8" s="611" t="s">
        <v>91</v>
      </c>
      <c r="BA8" s="613" t="s">
        <v>89</v>
      </c>
      <c r="BB8" s="609" t="s">
        <v>87</v>
      </c>
      <c r="BC8" s="611" t="s">
        <v>81</v>
      </c>
      <c r="BD8" s="611" t="s">
        <v>80</v>
      </c>
      <c r="BE8" s="611" t="s">
        <v>7</v>
      </c>
      <c r="BF8" s="611" t="s">
        <v>108</v>
      </c>
      <c r="BG8" s="611" t="s">
        <v>86</v>
      </c>
      <c r="BH8" s="611" t="s">
        <v>88</v>
      </c>
      <c r="BI8" s="611" t="s">
        <v>90</v>
      </c>
      <c r="BJ8" s="611" t="s">
        <v>91</v>
      </c>
      <c r="BK8" s="613" t="s">
        <v>89</v>
      </c>
      <c r="BL8" s="609" t="s">
        <v>87</v>
      </c>
      <c r="BM8" s="611" t="s">
        <v>81</v>
      </c>
      <c r="BN8" s="611" t="s">
        <v>80</v>
      </c>
      <c r="BO8" s="611" t="s">
        <v>7</v>
      </c>
      <c r="BP8" s="611" t="s">
        <v>108</v>
      </c>
      <c r="BQ8" s="611" t="s">
        <v>86</v>
      </c>
      <c r="BR8" s="611" t="s">
        <v>88</v>
      </c>
      <c r="BS8" s="611" t="s">
        <v>90</v>
      </c>
      <c r="BT8" s="611" t="s">
        <v>91</v>
      </c>
      <c r="BU8" s="613" t="s">
        <v>89</v>
      </c>
      <c r="BV8" s="609" t="s">
        <v>87</v>
      </c>
      <c r="BW8" s="611" t="s">
        <v>81</v>
      </c>
      <c r="BX8" s="611" t="s">
        <v>80</v>
      </c>
      <c r="BY8" s="611" t="s">
        <v>7</v>
      </c>
      <c r="BZ8" s="611" t="s">
        <v>108</v>
      </c>
      <c r="CA8" s="611" t="s">
        <v>86</v>
      </c>
      <c r="CB8" s="611" t="s">
        <v>88</v>
      </c>
      <c r="CC8" s="611" t="s">
        <v>90</v>
      </c>
      <c r="CD8" s="611" t="s">
        <v>91</v>
      </c>
      <c r="CE8" s="613" t="s">
        <v>89</v>
      </c>
      <c r="CF8" s="609" t="s">
        <v>87</v>
      </c>
      <c r="CG8" s="611" t="s">
        <v>81</v>
      </c>
      <c r="CH8" s="611" t="s">
        <v>80</v>
      </c>
      <c r="CI8" s="611" t="s">
        <v>7</v>
      </c>
      <c r="CJ8" s="611" t="s">
        <v>108</v>
      </c>
      <c r="CK8" s="611" t="s">
        <v>86</v>
      </c>
      <c r="CL8" s="611" t="s">
        <v>88</v>
      </c>
      <c r="CM8" s="611" t="s">
        <v>90</v>
      </c>
      <c r="CN8" s="611" t="s">
        <v>91</v>
      </c>
      <c r="CO8" s="613" t="s">
        <v>89</v>
      </c>
      <c r="CP8" s="609" t="s">
        <v>87</v>
      </c>
      <c r="CQ8" s="611" t="s">
        <v>81</v>
      </c>
      <c r="CR8" s="611" t="s">
        <v>80</v>
      </c>
      <c r="CS8" s="611" t="s">
        <v>7</v>
      </c>
      <c r="CT8" s="611" t="s">
        <v>108</v>
      </c>
      <c r="CU8" s="611" t="s">
        <v>86</v>
      </c>
      <c r="CV8" s="611" t="s">
        <v>88</v>
      </c>
      <c r="CW8" s="611" t="s">
        <v>90</v>
      </c>
      <c r="CX8" s="611" t="s">
        <v>91</v>
      </c>
      <c r="CY8" s="613" t="s">
        <v>89</v>
      </c>
      <c r="CZ8" s="609" t="s">
        <v>87</v>
      </c>
      <c r="DA8" s="611" t="s">
        <v>81</v>
      </c>
      <c r="DB8" s="611" t="s">
        <v>80</v>
      </c>
      <c r="DC8" s="611" t="s">
        <v>7</v>
      </c>
      <c r="DD8" s="611" t="s">
        <v>108</v>
      </c>
      <c r="DE8" s="611" t="s">
        <v>86</v>
      </c>
      <c r="DF8" s="611" t="s">
        <v>88</v>
      </c>
      <c r="DG8" s="611" t="s">
        <v>90</v>
      </c>
      <c r="DH8" s="611" t="s">
        <v>91</v>
      </c>
      <c r="DI8" s="613" t="s">
        <v>89</v>
      </c>
      <c r="DJ8" s="609" t="s">
        <v>87</v>
      </c>
      <c r="DK8" s="611" t="s">
        <v>81</v>
      </c>
      <c r="DL8" s="611" t="s">
        <v>80</v>
      </c>
      <c r="DM8" s="611" t="s">
        <v>7</v>
      </c>
      <c r="DN8" s="611" t="s">
        <v>108</v>
      </c>
      <c r="DO8" s="611" t="s">
        <v>86</v>
      </c>
      <c r="DP8" s="611" t="s">
        <v>88</v>
      </c>
      <c r="DQ8" s="611" t="s">
        <v>90</v>
      </c>
      <c r="DR8" s="611" t="s">
        <v>91</v>
      </c>
      <c r="DS8" s="613" t="s">
        <v>89</v>
      </c>
      <c r="DT8" s="609" t="s">
        <v>87</v>
      </c>
      <c r="DU8" s="611" t="s">
        <v>81</v>
      </c>
      <c r="DV8" s="611" t="s">
        <v>80</v>
      </c>
      <c r="DW8" s="611" t="s">
        <v>7</v>
      </c>
      <c r="DX8" s="611" t="s">
        <v>108</v>
      </c>
      <c r="DY8" s="611" t="s">
        <v>86</v>
      </c>
      <c r="DZ8" s="611" t="s">
        <v>88</v>
      </c>
      <c r="EA8" s="611" t="s">
        <v>90</v>
      </c>
      <c r="EB8" s="611" t="s">
        <v>91</v>
      </c>
      <c r="EC8" s="613" t="s">
        <v>89</v>
      </c>
      <c r="ED8" s="609" t="s">
        <v>87</v>
      </c>
      <c r="EE8" s="611" t="s">
        <v>81</v>
      </c>
      <c r="EF8" s="611" t="s">
        <v>80</v>
      </c>
      <c r="EG8" s="611" t="s">
        <v>7</v>
      </c>
      <c r="EH8" s="611" t="s">
        <v>108</v>
      </c>
      <c r="EI8" s="611" t="s">
        <v>86</v>
      </c>
      <c r="EJ8" s="611" t="s">
        <v>88</v>
      </c>
      <c r="EK8" s="611" t="s">
        <v>90</v>
      </c>
      <c r="EL8" s="611" t="s">
        <v>91</v>
      </c>
      <c r="EM8" s="613" t="s">
        <v>89</v>
      </c>
      <c r="EN8" s="609" t="s">
        <v>87</v>
      </c>
      <c r="EO8" s="611" t="s">
        <v>81</v>
      </c>
      <c r="EP8" s="611" t="s">
        <v>80</v>
      </c>
      <c r="EQ8" s="611" t="s">
        <v>7</v>
      </c>
      <c r="ER8" s="611" t="s">
        <v>108</v>
      </c>
      <c r="ES8" s="611" t="s">
        <v>86</v>
      </c>
      <c r="ET8" s="611" t="s">
        <v>88</v>
      </c>
      <c r="EU8" s="611" t="s">
        <v>90</v>
      </c>
      <c r="EV8" s="611" t="s">
        <v>91</v>
      </c>
      <c r="EW8" s="613" t="s">
        <v>89</v>
      </c>
      <c r="EX8" s="609" t="s">
        <v>87</v>
      </c>
      <c r="EY8" s="611" t="s">
        <v>81</v>
      </c>
      <c r="EZ8" s="611" t="s">
        <v>80</v>
      </c>
      <c r="FA8" s="611" t="s">
        <v>7</v>
      </c>
      <c r="FB8" s="611" t="s">
        <v>108</v>
      </c>
      <c r="FC8" s="611" t="s">
        <v>86</v>
      </c>
      <c r="FD8" s="611" t="s">
        <v>88</v>
      </c>
      <c r="FE8" s="611" t="s">
        <v>90</v>
      </c>
      <c r="FF8" s="611" t="s">
        <v>91</v>
      </c>
      <c r="FG8" s="613" t="s">
        <v>89</v>
      </c>
      <c r="FH8" s="609" t="s">
        <v>87</v>
      </c>
      <c r="FI8" s="611" t="s">
        <v>81</v>
      </c>
      <c r="FJ8" s="611" t="s">
        <v>80</v>
      </c>
      <c r="FK8" s="611" t="s">
        <v>7</v>
      </c>
      <c r="FL8" s="611" t="s">
        <v>108</v>
      </c>
      <c r="FM8" s="611" t="s">
        <v>86</v>
      </c>
      <c r="FN8" s="611" t="s">
        <v>88</v>
      </c>
      <c r="FO8" s="611" t="s">
        <v>90</v>
      </c>
      <c r="FP8" s="611" t="s">
        <v>91</v>
      </c>
      <c r="FQ8" s="613" t="s">
        <v>89</v>
      </c>
      <c r="FR8" s="609" t="s">
        <v>87</v>
      </c>
      <c r="FS8" s="611" t="s">
        <v>81</v>
      </c>
      <c r="FT8" s="611" t="s">
        <v>80</v>
      </c>
      <c r="FU8" s="611" t="s">
        <v>7</v>
      </c>
      <c r="FV8" s="611" t="s">
        <v>108</v>
      </c>
      <c r="FW8" s="611" t="s">
        <v>86</v>
      </c>
      <c r="FX8" s="611" t="s">
        <v>88</v>
      </c>
      <c r="FY8" s="611" t="s">
        <v>90</v>
      </c>
      <c r="FZ8" s="611" t="s">
        <v>91</v>
      </c>
      <c r="GA8" s="613" t="s">
        <v>89</v>
      </c>
      <c r="GB8" s="609" t="s">
        <v>87</v>
      </c>
      <c r="GC8" s="611" t="s">
        <v>81</v>
      </c>
      <c r="GD8" s="611" t="s">
        <v>80</v>
      </c>
      <c r="GE8" s="611" t="s">
        <v>7</v>
      </c>
      <c r="GF8" s="611" t="s">
        <v>108</v>
      </c>
      <c r="GG8" s="611" t="s">
        <v>86</v>
      </c>
      <c r="GH8" s="611" t="s">
        <v>88</v>
      </c>
      <c r="GI8" s="611" t="s">
        <v>90</v>
      </c>
      <c r="GJ8" s="611" t="s">
        <v>91</v>
      </c>
      <c r="GK8" s="613" t="s">
        <v>89</v>
      </c>
      <c r="GL8" s="609" t="s">
        <v>87</v>
      </c>
      <c r="GM8" s="611" t="s">
        <v>81</v>
      </c>
      <c r="GN8" s="611" t="s">
        <v>80</v>
      </c>
      <c r="GO8" s="611" t="s">
        <v>7</v>
      </c>
      <c r="GP8" s="611" t="s">
        <v>108</v>
      </c>
      <c r="GQ8" s="611" t="s">
        <v>86</v>
      </c>
      <c r="GR8" s="611" t="s">
        <v>88</v>
      </c>
      <c r="GS8" s="611" t="s">
        <v>90</v>
      </c>
      <c r="GT8" s="611" t="s">
        <v>91</v>
      </c>
      <c r="GU8" s="613" t="s">
        <v>89</v>
      </c>
      <c r="GV8" s="609" t="s">
        <v>87</v>
      </c>
      <c r="GW8" s="611" t="s">
        <v>81</v>
      </c>
      <c r="GX8" s="611" t="s">
        <v>80</v>
      </c>
      <c r="GY8" s="611" t="s">
        <v>7</v>
      </c>
      <c r="GZ8" s="611" t="s">
        <v>108</v>
      </c>
      <c r="HA8" s="611" t="s">
        <v>86</v>
      </c>
      <c r="HB8" s="611" t="s">
        <v>88</v>
      </c>
      <c r="HC8" s="611" t="s">
        <v>90</v>
      </c>
      <c r="HD8" s="611" t="s">
        <v>91</v>
      </c>
      <c r="HE8" s="613" t="s">
        <v>89</v>
      </c>
      <c r="HF8" s="609" t="s">
        <v>87</v>
      </c>
      <c r="HG8" s="611" t="s">
        <v>81</v>
      </c>
      <c r="HH8" s="611" t="s">
        <v>80</v>
      </c>
      <c r="HI8" s="611" t="s">
        <v>7</v>
      </c>
      <c r="HJ8" s="611" t="s">
        <v>108</v>
      </c>
      <c r="HK8" s="611" t="s">
        <v>86</v>
      </c>
      <c r="HL8" s="611" t="s">
        <v>88</v>
      </c>
      <c r="HM8" s="611" t="s">
        <v>90</v>
      </c>
      <c r="HN8" s="611" t="s">
        <v>91</v>
      </c>
      <c r="HO8" s="613" t="s">
        <v>89</v>
      </c>
      <c r="HP8" s="609" t="s">
        <v>87</v>
      </c>
      <c r="HQ8" s="611" t="s">
        <v>81</v>
      </c>
      <c r="HR8" s="611" t="s">
        <v>80</v>
      </c>
      <c r="HS8" s="611" t="s">
        <v>7</v>
      </c>
      <c r="HT8" s="611" t="s">
        <v>108</v>
      </c>
      <c r="HU8" s="611" t="s">
        <v>86</v>
      </c>
      <c r="HV8" s="611" t="s">
        <v>88</v>
      </c>
      <c r="HW8" s="611" t="s">
        <v>90</v>
      </c>
      <c r="HX8" s="611" t="s">
        <v>91</v>
      </c>
      <c r="HY8" s="613" t="s">
        <v>89</v>
      </c>
      <c r="HZ8" s="609" t="s">
        <v>87</v>
      </c>
      <c r="IA8" s="611" t="s">
        <v>81</v>
      </c>
      <c r="IB8" s="611" t="s">
        <v>80</v>
      </c>
      <c r="IC8" s="611" t="s">
        <v>7</v>
      </c>
      <c r="ID8" s="611" t="s">
        <v>108</v>
      </c>
      <c r="IE8" s="611" t="s">
        <v>86</v>
      </c>
      <c r="IF8" s="611" t="s">
        <v>88</v>
      </c>
      <c r="IG8" s="611" t="s">
        <v>90</v>
      </c>
      <c r="IH8" s="611" t="s">
        <v>91</v>
      </c>
      <c r="II8" s="613" t="s">
        <v>89</v>
      </c>
      <c r="IJ8" s="609" t="s">
        <v>87</v>
      </c>
      <c r="IK8" s="611" t="s">
        <v>81</v>
      </c>
      <c r="IL8" s="611" t="s">
        <v>80</v>
      </c>
      <c r="IM8" s="611" t="s">
        <v>7</v>
      </c>
      <c r="IN8" s="611" t="s">
        <v>108</v>
      </c>
      <c r="IO8" s="611" t="s">
        <v>86</v>
      </c>
      <c r="IP8" s="611" t="s">
        <v>88</v>
      </c>
      <c r="IQ8" s="611" t="s">
        <v>90</v>
      </c>
      <c r="IR8" s="611" t="s">
        <v>91</v>
      </c>
      <c r="IS8" s="613" t="s">
        <v>89</v>
      </c>
      <c r="IT8" s="609" t="s">
        <v>87</v>
      </c>
      <c r="IU8" s="611" t="s">
        <v>81</v>
      </c>
      <c r="IV8" s="611" t="s">
        <v>80</v>
      </c>
      <c r="IW8" s="611" t="s">
        <v>7</v>
      </c>
      <c r="IX8" s="611" t="s">
        <v>108</v>
      </c>
      <c r="IY8" s="611" t="s">
        <v>86</v>
      </c>
      <c r="IZ8" s="611" t="s">
        <v>88</v>
      </c>
      <c r="JA8" s="611" t="s">
        <v>90</v>
      </c>
      <c r="JB8" s="611" t="s">
        <v>91</v>
      </c>
      <c r="JC8" s="613" t="s">
        <v>89</v>
      </c>
      <c r="JD8" s="609" t="s">
        <v>87</v>
      </c>
      <c r="JE8" s="611" t="s">
        <v>81</v>
      </c>
      <c r="JF8" s="611" t="s">
        <v>80</v>
      </c>
      <c r="JG8" s="611" t="s">
        <v>7</v>
      </c>
      <c r="JH8" s="611" t="s">
        <v>108</v>
      </c>
      <c r="JI8" s="611" t="s">
        <v>86</v>
      </c>
      <c r="JJ8" s="611" t="s">
        <v>88</v>
      </c>
      <c r="JK8" s="611" t="s">
        <v>90</v>
      </c>
      <c r="JL8" s="611" t="s">
        <v>91</v>
      </c>
      <c r="JM8" s="613" t="s">
        <v>89</v>
      </c>
      <c r="JN8" s="609" t="s">
        <v>87</v>
      </c>
      <c r="JO8" s="611" t="s">
        <v>81</v>
      </c>
      <c r="JP8" s="611" t="s">
        <v>80</v>
      </c>
      <c r="JQ8" s="611" t="s">
        <v>7</v>
      </c>
      <c r="JR8" s="611" t="s">
        <v>108</v>
      </c>
      <c r="JS8" s="611" t="s">
        <v>86</v>
      </c>
      <c r="JT8" s="611" t="s">
        <v>88</v>
      </c>
      <c r="JU8" s="611" t="s">
        <v>90</v>
      </c>
      <c r="JV8" s="611" t="s">
        <v>91</v>
      </c>
      <c r="JW8" s="613" t="s">
        <v>89</v>
      </c>
      <c r="JX8" s="609" t="s">
        <v>87</v>
      </c>
      <c r="JY8" s="611" t="s">
        <v>81</v>
      </c>
      <c r="JZ8" s="611" t="s">
        <v>80</v>
      </c>
      <c r="KA8" s="611" t="s">
        <v>7</v>
      </c>
      <c r="KB8" s="611" t="s">
        <v>108</v>
      </c>
      <c r="KC8" s="611" t="s">
        <v>86</v>
      </c>
      <c r="KD8" s="611" t="s">
        <v>88</v>
      </c>
      <c r="KE8" s="611" t="s">
        <v>90</v>
      </c>
      <c r="KF8" s="611" t="s">
        <v>91</v>
      </c>
      <c r="KG8" s="613" t="s">
        <v>89</v>
      </c>
      <c r="KH8" s="609" t="s">
        <v>87</v>
      </c>
      <c r="KI8" s="611" t="s">
        <v>81</v>
      </c>
      <c r="KJ8" s="611" t="s">
        <v>80</v>
      </c>
      <c r="KK8" s="611" t="s">
        <v>7</v>
      </c>
      <c r="KL8" s="611" t="s">
        <v>108</v>
      </c>
      <c r="KM8" s="611" t="s">
        <v>86</v>
      </c>
      <c r="KN8" s="611" t="s">
        <v>88</v>
      </c>
      <c r="KO8" s="611" t="s">
        <v>90</v>
      </c>
      <c r="KP8" s="611" t="s">
        <v>91</v>
      </c>
      <c r="KQ8" s="613" t="s">
        <v>89</v>
      </c>
      <c r="KR8" s="609" t="s">
        <v>87</v>
      </c>
      <c r="KS8" s="611" t="s">
        <v>81</v>
      </c>
      <c r="KT8" s="611" t="s">
        <v>80</v>
      </c>
      <c r="KU8" s="611" t="s">
        <v>7</v>
      </c>
      <c r="KV8" s="611" t="s">
        <v>108</v>
      </c>
      <c r="KW8" s="611" t="s">
        <v>86</v>
      </c>
      <c r="KX8" s="611" t="s">
        <v>88</v>
      </c>
      <c r="KY8" s="611" t="s">
        <v>90</v>
      </c>
      <c r="KZ8" s="611" t="s">
        <v>91</v>
      </c>
      <c r="LA8" s="613" t="s">
        <v>89</v>
      </c>
      <c r="LB8" s="609" t="s">
        <v>87</v>
      </c>
      <c r="LC8" s="611" t="s">
        <v>81</v>
      </c>
      <c r="LD8" s="611" t="s">
        <v>80</v>
      </c>
      <c r="LE8" s="611" t="s">
        <v>7</v>
      </c>
      <c r="LF8" s="611" t="s">
        <v>108</v>
      </c>
      <c r="LG8" s="611" t="s">
        <v>86</v>
      </c>
      <c r="LH8" s="611" t="s">
        <v>88</v>
      </c>
      <c r="LI8" s="611" t="s">
        <v>90</v>
      </c>
      <c r="LJ8" s="611" t="s">
        <v>91</v>
      </c>
      <c r="LK8" s="613" t="s">
        <v>89</v>
      </c>
      <c r="LL8" s="609" t="s">
        <v>87</v>
      </c>
      <c r="LM8" s="611" t="s">
        <v>81</v>
      </c>
      <c r="LN8" s="611" t="s">
        <v>80</v>
      </c>
      <c r="LO8" s="611" t="s">
        <v>7</v>
      </c>
      <c r="LP8" s="611" t="s">
        <v>108</v>
      </c>
      <c r="LQ8" s="611" t="s">
        <v>86</v>
      </c>
      <c r="LR8" s="611" t="s">
        <v>88</v>
      </c>
      <c r="LS8" s="611" t="s">
        <v>90</v>
      </c>
      <c r="LT8" s="611" t="s">
        <v>91</v>
      </c>
      <c r="LU8" s="613" t="s">
        <v>89</v>
      </c>
      <c r="LV8" s="609" t="s">
        <v>87</v>
      </c>
      <c r="LW8" s="611" t="s">
        <v>81</v>
      </c>
      <c r="LX8" s="611" t="s">
        <v>80</v>
      </c>
      <c r="LY8" s="611" t="s">
        <v>7</v>
      </c>
      <c r="LZ8" s="611" t="s">
        <v>108</v>
      </c>
      <c r="MA8" s="611" t="s">
        <v>86</v>
      </c>
      <c r="MB8" s="611" t="s">
        <v>88</v>
      </c>
      <c r="MC8" s="611" t="s">
        <v>90</v>
      </c>
      <c r="MD8" s="611" t="s">
        <v>91</v>
      </c>
      <c r="ME8" s="613" t="s">
        <v>89</v>
      </c>
    </row>
    <row r="9" spans="2:343" ht="90" customHeight="1" thickBot="1">
      <c r="C9" s="75" t="str">
        <f>Paramétres!R5</f>
        <v>Amical</v>
      </c>
      <c r="D9" s="74" t="str">
        <f>Paramétres!R6</f>
        <v>Brassage</v>
      </c>
      <c r="E9" s="74" t="str">
        <f>Paramétres!R7</f>
        <v>Championnat</v>
      </c>
      <c r="F9" s="97" t="str">
        <f>Paramétres!R8</f>
        <v>Coupe</v>
      </c>
      <c r="G9" s="75" t="str">
        <f>Paramétres!P5</f>
        <v>U16</v>
      </c>
      <c r="H9" s="74" t="str">
        <f>Paramétres!P6</f>
        <v>U17</v>
      </c>
      <c r="I9" s="74" t="str">
        <f>Paramétres!P7</f>
        <v>Absent</v>
      </c>
      <c r="J9" s="74" t="str">
        <f>Paramétres!P8</f>
        <v>Malade</v>
      </c>
      <c r="K9" s="74" t="s">
        <v>15</v>
      </c>
      <c r="L9" s="74" t="str">
        <f>Paramétres!P9</f>
        <v>Blessé</v>
      </c>
      <c r="M9" s="74" t="s">
        <v>14</v>
      </c>
      <c r="N9" s="74" t="s">
        <v>271</v>
      </c>
      <c r="O9" s="97" t="s">
        <v>100</v>
      </c>
      <c r="P9" s="635"/>
      <c r="Q9" s="631"/>
      <c r="R9" s="631"/>
      <c r="S9" s="631"/>
      <c r="T9" s="629"/>
      <c r="U9" s="631"/>
      <c r="V9" s="631"/>
      <c r="W9" s="633"/>
      <c r="X9" s="610"/>
      <c r="Y9" s="612"/>
      <c r="Z9" s="612"/>
      <c r="AA9" s="612"/>
      <c r="AB9" s="612"/>
      <c r="AC9" s="612"/>
      <c r="AD9" s="612"/>
      <c r="AE9" s="612"/>
      <c r="AF9" s="612"/>
      <c r="AG9" s="614"/>
      <c r="AH9" s="610"/>
      <c r="AI9" s="612"/>
      <c r="AJ9" s="612"/>
      <c r="AK9" s="612"/>
      <c r="AL9" s="612"/>
      <c r="AM9" s="612"/>
      <c r="AN9" s="612"/>
      <c r="AO9" s="612"/>
      <c r="AP9" s="612"/>
      <c r="AQ9" s="614"/>
      <c r="AR9" s="610"/>
      <c r="AS9" s="612"/>
      <c r="AT9" s="612"/>
      <c r="AU9" s="612"/>
      <c r="AV9" s="612"/>
      <c r="AW9" s="612"/>
      <c r="AX9" s="612"/>
      <c r="AY9" s="612"/>
      <c r="AZ9" s="612"/>
      <c r="BA9" s="614"/>
      <c r="BB9" s="610"/>
      <c r="BC9" s="612"/>
      <c r="BD9" s="612"/>
      <c r="BE9" s="612"/>
      <c r="BF9" s="612"/>
      <c r="BG9" s="612"/>
      <c r="BH9" s="612"/>
      <c r="BI9" s="612"/>
      <c r="BJ9" s="612"/>
      <c r="BK9" s="614"/>
      <c r="BL9" s="610"/>
      <c r="BM9" s="612"/>
      <c r="BN9" s="612"/>
      <c r="BO9" s="612"/>
      <c r="BP9" s="612"/>
      <c r="BQ9" s="612"/>
      <c r="BR9" s="612"/>
      <c r="BS9" s="612"/>
      <c r="BT9" s="612"/>
      <c r="BU9" s="614"/>
      <c r="BV9" s="610"/>
      <c r="BW9" s="612"/>
      <c r="BX9" s="612"/>
      <c r="BY9" s="612"/>
      <c r="BZ9" s="612"/>
      <c r="CA9" s="612"/>
      <c r="CB9" s="612"/>
      <c r="CC9" s="612"/>
      <c r="CD9" s="612"/>
      <c r="CE9" s="614"/>
      <c r="CF9" s="610"/>
      <c r="CG9" s="612"/>
      <c r="CH9" s="612"/>
      <c r="CI9" s="612"/>
      <c r="CJ9" s="612"/>
      <c r="CK9" s="612"/>
      <c r="CL9" s="612"/>
      <c r="CM9" s="612"/>
      <c r="CN9" s="612"/>
      <c r="CO9" s="614"/>
      <c r="CP9" s="610"/>
      <c r="CQ9" s="612"/>
      <c r="CR9" s="612"/>
      <c r="CS9" s="612"/>
      <c r="CT9" s="612"/>
      <c r="CU9" s="612"/>
      <c r="CV9" s="612"/>
      <c r="CW9" s="612"/>
      <c r="CX9" s="612"/>
      <c r="CY9" s="614"/>
      <c r="CZ9" s="610"/>
      <c r="DA9" s="612"/>
      <c r="DB9" s="612"/>
      <c r="DC9" s="612"/>
      <c r="DD9" s="612"/>
      <c r="DE9" s="612"/>
      <c r="DF9" s="612"/>
      <c r="DG9" s="612"/>
      <c r="DH9" s="612"/>
      <c r="DI9" s="614"/>
      <c r="DJ9" s="610"/>
      <c r="DK9" s="612"/>
      <c r="DL9" s="612"/>
      <c r="DM9" s="612"/>
      <c r="DN9" s="612"/>
      <c r="DO9" s="612"/>
      <c r="DP9" s="612"/>
      <c r="DQ9" s="612"/>
      <c r="DR9" s="612"/>
      <c r="DS9" s="614"/>
      <c r="DT9" s="610"/>
      <c r="DU9" s="612"/>
      <c r="DV9" s="612"/>
      <c r="DW9" s="612"/>
      <c r="DX9" s="612"/>
      <c r="DY9" s="612"/>
      <c r="DZ9" s="612"/>
      <c r="EA9" s="612"/>
      <c r="EB9" s="612"/>
      <c r="EC9" s="614"/>
      <c r="ED9" s="610"/>
      <c r="EE9" s="612"/>
      <c r="EF9" s="612"/>
      <c r="EG9" s="612"/>
      <c r="EH9" s="612"/>
      <c r="EI9" s="612"/>
      <c r="EJ9" s="612"/>
      <c r="EK9" s="612"/>
      <c r="EL9" s="612"/>
      <c r="EM9" s="614"/>
      <c r="EN9" s="610"/>
      <c r="EO9" s="612"/>
      <c r="EP9" s="612"/>
      <c r="EQ9" s="612"/>
      <c r="ER9" s="612"/>
      <c r="ES9" s="612"/>
      <c r="ET9" s="612"/>
      <c r="EU9" s="612"/>
      <c r="EV9" s="612"/>
      <c r="EW9" s="614"/>
      <c r="EX9" s="610"/>
      <c r="EY9" s="612"/>
      <c r="EZ9" s="612"/>
      <c r="FA9" s="612"/>
      <c r="FB9" s="612"/>
      <c r="FC9" s="612"/>
      <c r="FD9" s="612"/>
      <c r="FE9" s="612"/>
      <c r="FF9" s="612"/>
      <c r="FG9" s="614"/>
      <c r="FH9" s="610"/>
      <c r="FI9" s="612"/>
      <c r="FJ9" s="612"/>
      <c r="FK9" s="612"/>
      <c r="FL9" s="612"/>
      <c r="FM9" s="612"/>
      <c r="FN9" s="612"/>
      <c r="FO9" s="612"/>
      <c r="FP9" s="612"/>
      <c r="FQ9" s="614"/>
      <c r="FR9" s="610"/>
      <c r="FS9" s="612"/>
      <c r="FT9" s="612"/>
      <c r="FU9" s="612"/>
      <c r="FV9" s="612"/>
      <c r="FW9" s="612"/>
      <c r="FX9" s="612"/>
      <c r="FY9" s="612"/>
      <c r="FZ9" s="612"/>
      <c r="GA9" s="614"/>
      <c r="GB9" s="610"/>
      <c r="GC9" s="612"/>
      <c r="GD9" s="612"/>
      <c r="GE9" s="612"/>
      <c r="GF9" s="612"/>
      <c r="GG9" s="612"/>
      <c r="GH9" s="612"/>
      <c r="GI9" s="612"/>
      <c r="GJ9" s="612"/>
      <c r="GK9" s="614"/>
      <c r="GL9" s="610"/>
      <c r="GM9" s="612"/>
      <c r="GN9" s="612"/>
      <c r="GO9" s="612"/>
      <c r="GP9" s="612"/>
      <c r="GQ9" s="612"/>
      <c r="GR9" s="612"/>
      <c r="GS9" s="612"/>
      <c r="GT9" s="612"/>
      <c r="GU9" s="614"/>
      <c r="GV9" s="610"/>
      <c r="GW9" s="612"/>
      <c r="GX9" s="612"/>
      <c r="GY9" s="612"/>
      <c r="GZ9" s="612"/>
      <c r="HA9" s="612"/>
      <c r="HB9" s="612"/>
      <c r="HC9" s="612"/>
      <c r="HD9" s="612"/>
      <c r="HE9" s="614"/>
      <c r="HF9" s="610"/>
      <c r="HG9" s="612"/>
      <c r="HH9" s="612"/>
      <c r="HI9" s="612"/>
      <c r="HJ9" s="612"/>
      <c r="HK9" s="612"/>
      <c r="HL9" s="612"/>
      <c r="HM9" s="612"/>
      <c r="HN9" s="612"/>
      <c r="HO9" s="614"/>
      <c r="HP9" s="610"/>
      <c r="HQ9" s="612"/>
      <c r="HR9" s="612"/>
      <c r="HS9" s="612"/>
      <c r="HT9" s="612"/>
      <c r="HU9" s="612"/>
      <c r="HV9" s="612"/>
      <c r="HW9" s="612"/>
      <c r="HX9" s="612"/>
      <c r="HY9" s="614"/>
      <c r="HZ9" s="610"/>
      <c r="IA9" s="612"/>
      <c r="IB9" s="612"/>
      <c r="IC9" s="612"/>
      <c r="ID9" s="612"/>
      <c r="IE9" s="612"/>
      <c r="IF9" s="612"/>
      <c r="IG9" s="612"/>
      <c r="IH9" s="612"/>
      <c r="II9" s="614"/>
      <c r="IJ9" s="610"/>
      <c r="IK9" s="612"/>
      <c r="IL9" s="612"/>
      <c r="IM9" s="612"/>
      <c r="IN9" s="612"/>
      <c r="IO9" s="612"/>
      <c r="IP9" s="612"/>
      <c r="IQ9" s="612"/>
      <c r="IR9" s="612"/>
      <c r="IS9" s="614"/>
      <c r="IT9" s="610"/>
      <c r="IU9" s="612"/>
      <c r="IV9" s="612"/>
      <c r="IW9" s="612"/>
      <c r="IX9" s="612"/>
      <c r="IY9" s="612"/>
      <c r="IZ9" s="612"/>
      <c r="JA9" s="612"/>
      <c r="JB9" s="612"/>
      <c r="JC9" s="614"/>
      <c r="JD9" s="610"/>
      <c r="JE9" s="612"/>
      <c r="JF9" s="612"/>
      <c r="JG9" s="612"/>
      <c r="JH9" s="612"/>
      <c r="JI9" s="612"/>
      <c r="JJ9" s="612"/>
      <c r="JK9" s="612"/>
      <c r="JL9" s="612"/>
      <c r="JM9" s="614"/>
      <c r="JN9" s="610"/>
      <c r="JO9" s="612"/>
      <c r="JP9" s="612"/>
      <c r="JQ9" s="612"/>
      <c r="JR9" s="612"/>
      <c r="JS9" s="612"/>
      <c r="JT9" s="612"/>
      <c r="JU9" s="612"/>
      <c r="JV9" s="612"/>
      <c r="JW9" s="614"/>
      <c r="JX9" s="610"/>
      <c r="JY9" s="612"/>
      <c r="JZ9" s="612"/>
      <c r="KA9" s="612"/>
      <c r="KB9" s="612"/>
      <c r="KC9" s="612"/>
      <c r="KD9" s="612"/>
      <c r="KE9" s="612"/>
      <c r="KF9" s="612"/>
      <c r="KG9" s="614"/>
      <c r="KH9" s="610"/>
      <c r="KI9" s="612"/>
      <c r="KJ9" s="612"/>
      <c r="KK9" s="612"/>
      <c r="KL9" s="612"/>
      <c r="KM9" s="612"/>
      <c r="KN9" s="612"/>
      <c r="KO9" s="612"/>
      <c r="KP9" s="612"/>
      <c r="KQ9" s="614"/>
      <c r="KR9" s="610"/>
      <c r="KS9" s="612"/>
      <c r="KT9" s="612"/>
      <c r="KU9" s="612"/>
      <c r="KV9" s="612"/>
      <c r="KW9" s="612"/>
      <c r="KX9" s="612"/>
      <c r="KY9" s="612"/>
      <c r="KZ9" s="612"/>
      <c r="LA9" s="614"/>
      <c r="LB9" s="610"/>
      <c r="LC9" s="612"/>
      <c r="LD9" s="612"/>
      <c r="LE9" s="612"/>
      <c r="LF9" s="612"/>
      <c r="LG9" s="612"/>
      <c r="LH9" s="612"/>
      <c r="LI9" s="612"/>
      <c r="LJ9" s="612"/>
      <c r="LK9" s="614"/>
      <c r="LL9" s="610"/>
      <c r="LM9" s="612"/>
      <c r="LN9" s="612"/>
      <c r="LO9" s="612"/>
      <c r="LP9" s="612"/>
      <c r="LQ9" s="612"/>
      <c r="LR9" s="612"/>
      <c r="LS9" s="612"/>
      <c r="LT9" s="612"/>
      <c r="LU9" s="614"/>
      <c r="LV9" s="610"/>
      <c r="LW9" s="612"/>
      <c r="LX9" s="612"/>
      <c r="LY9" s="612"/>
      <c r="LZ9" s="612"/>
      <c r="MA9" s="612"/>
      <c r="MB9" s="612"/>
      <c r="MC9" s="612"/>
      <c r="MD9" s="612"/>
      <c r="ME9" s="614"/>
    </row>
    <row r="10" spans="2:343" ht="27.95" customHeight="1">
      <c r="B10" s="95" t="str">
        <f ca="1">INDIRECT("'BDD - Joueurs'!B2")</f>
        <v>ADDA Matteo</v>
      </c>
      <c r="C10" s="98">
        <f>COUNTIF(X10:ME10,C9)</f>
        <v>3</v>
      </c>
      <c r="D10" s="101">
        <f>COUNTIF(X10:ME10,D9)</f>
        <v>0</v>
      </c>
      <c r="E10" s="101">
        <f>COUNTIF(X10:ME10,E9)</f>
        <v>1</v>
      </c>
      <c r="F10" s="100">
        <f>COUNTIF(X10:ME10,F9)</f>
        <v>1</v>
      </c>
      <c r="G10" s="98">
        <f>COUNTIF(X10:ME10,G9)</f>
        <v>5</v>
      </c>
      <c r="H10" s="101">
        <f>COUNTIF(X10:ME10,H9)</f>
        <v>0</v>
      </c>
      <c r="I10" s="101">
        <f>COUNTIF(X10:ME10,I9)</f>
        <v>0</v>
      </c>
      <c r="J10" s="101">
        <f>COUNTIF(X10:ME10,J9)</f>
        <v>0</v>
      </c>
      <c r="K10" s="101">
        <f>COUNTIF($X10:$ME10,$K$9)</f>
        <v>0</v>
      </c>
      <c r="L10" s="101">
        <f>COUNTIF(X10:ME10,L9)</f>
        <v>0</v>
      </c>
      <c r="M10" s="101">
        <f>COUNTIF($Y10:$MF10,$M$9)</f>
        <v>0</v>
      </c>
      <c r="N10" s="101">
        <f>COUNTIF(X10:ME10,N9)</f>
        <v>0</v>
      </c>
      <c r="O10" s="100">
        <f>COUNTIF(X10:ME10,O9)</f>
        <v>0</v>
      </c>
      <c r="P10" s="99">
        <f t="shared" ref="P10:P39" si="0">SUM(GD10,FT10,FJ10,EZ10,EP10,EF10,DV10,DL10,DB10,CR10,CH10,BX10,BN10,BD10,AT10,AJ10,Z10,GN10,GX10,HH10,HR10,IB10,IL10,IV10,JF10,JP10,JZ10,KJ10,KT10,LD10,LN10,LX10)</f>
        <v>450</v>
      </c>
      <c r="Q10" s="139">
        <f>IF(ISERROR(AVERAGE(AA10,AK10,AU10,BE10,BO10,BY10,CI10,CS10,DC10,DM10,DW10,EG10,EQ10,FA10,FK10,FU10,GE10,GO10,GY10,HI10,HS10,IC10,IM10,IW10,JG10,JQ10,KA10,KK10,KU10,LE10,LO10,LY10)),"",AVERAGE(AA10,AK10,AU10,BE10,BO10,BY10,CI10,CS10,DC10,DM10,DW10,EG10,EQ10,FA10,FK10,FU10,GE10,GO10,GY10,HI10,HS10,IC10,IM10,IW10,JG10,JQ10,KA10,KK10,KU10,LE10,LO10,LY10))</f>
        <v>6.6</v>
      </c>
      <c r="R10" s="164">
        <f>IF(ISERROR(P10*Q10),"",P10*Q10)</f>
        <v>2970</v>
      </c>
      <c r="S10" s="99">
        <f t="shared" ref="S10:W15" si="1">SUM(AC10,AM10,AW10,BG10,BQ10,CA10,CK10,CU10,DE10,DO10,DY10,EI10,ES10,FC10,FM10,FW10,GG10,GQ10,HA10,HK10,HU10,IE10,IO10,IY10,JI10,JS10,KC10,KM10,KW10,LG10,LQ10,MA10)</f>
        <v>4</v>
      </c>
      <c r="T10" s="99">
        <f t="shared" si="1"/>
        <v>1</v>
      </c>
      <c r="U10" s="99">
        <f t="shared" si="1"/>
        <v>0</v>
      </c>
      <c r="V10" s="99">
        <f t="shared" si="1"/>
        <v>0</v>
      </c>
      <c r="W10" s="100">
        <f t="shared" si="1"/>
        <v>0</v>
      </c>
      <c r="X10" s="102" t="s">
        <v>124</v>
      </c>
      <c r="Y10" s="102" t="s">
        <v>269</v>
      </c>
      <c r="Z10" s="122">
        <v>90</v>
      </c>
      <c r="AA10" s="102">
        <v>5</v>
      </c>
      <c r="AB10" s="128">
        <f>IF(Z10*AA10=0,"",Z10*AA10)</f>
        <v>450</v>
      </c>
      <c r="AC10" s="102">
        <v>2</v>
      </c>
      <c r="AD10" s="102"/>
      <c r="AE10" s="102"/>
      <c r="AF10" s="102"/>
      <c r="AG10" s="103"/>
      <c r="AH10" s="102" t="s">
        <v>124</v>
      </c>
      <c r="AI10" s="102" t="s">
        <v>269</v>
      </c>
      <c r="AJ10" s="122">
        <v>90</v>
      </c>
      <c r="AK10" s="102">
        <v>5</v>
      </c>
      <c r="AL10" s="128">
        <f t="shared" ref="AL10:AL39" si="2">IF(AJ10*AK10=0,"",AJ10*AK10)</f>
        <v>450</v>
      </c>
      <c r="AM10" s="102">
        <v>2</v>
      </c>
      <c r="AN10" s="102"/>
      <c r="AO10" s="102"/>
      <c r="AP10" s="102"/>
      <c r="AQ10" s="103"/>
      <c r="AR10" s="102" t="s">
        <v>124</v>
      </c>
      <c r="AS10" s="102" t="s">
        <v>269</v>
      </c>
      <c r="AT10" s="122">
        <v>90</v>
      </c>
      <c r="AU10" s="102">
        <v>8</v>
      </c>
      <c r="AV10" s="128">
        <f t="shared" ref="AV10:AV39" si="3">IF(AT10*AU10=0,"",AT10*AU10)</f>
        <v>720</v>
      </c>
      <c r="AW10" s="102"/>
      <c r="AX10" s="102"/>
      <c r="AY10" s="102"/>
      <c r="AZ10" s="102"/>
      <c r="BA10" s="103"/>
      <c r="BB10" s="102" t="s">
        <v>126</v>
      </c>
      <c r="BC10" s="102" t="s">
        <v>269</v>
      </c>
      <c r="BD10" s="122">
        <v>90</v>
      </c>
      <c r="BE10" s="102">
        <v>7</v>
      </c>
      <c r="BF10" s="128">
        <f t="shared" ref="BF10:BF39" si="4">IF(BD10*BE10=0,"",BD10*BE10)</f>
        <v>630</v>
      </c>
      <c r="BG10" s="102"/>
      <c r="BH10" s="102"/>
      <c r="BI10" s="102"/>
      <c r="BJ10" s="102"/>
      <c r="BK10" s="103"/>
      <c r="BL10" s="102" t="s">
        <v>127</v>
      </c>
      <c r="BM10" s="102" t="s">
        <v>269</v>
      </c>
      <c r="BN10" s="122">
        <v>90</v>
      </c>
      <c r="BO10" s="102">
        <v>8</v>
      </c>
      <c r="BP10" s="128">
        <f t="shared" ref="BP10:BP39" si="5">IF(BN10*BO10=0,"",BN10*BO10)</f>
        <v>720</v>
      </c>
      <c r="BQ10" s="102"/>
      <c r="BR10" s="102">
        <v>1</v>
      </c>
      <c r="BS10" s="102"/>
      <c r="BT10" s="102"/>
      <c r="BU10" s="103"/>
      <c r="BV10" s="102"/>
      <c r="BW10" s="102"/>
      <c r="BX10" s="122"/>
      <c r="BY10" s="102"/>
      <c r="BZ10" s="128" t="str">
        <f t="shared" ref="BZ10:BZ39" si="6">IF(BX10*BY10=0,"",BX10*BY10)</f>
        <v/>
      </c>
      <c r="CA10" s="102"/>
      <c r="CB10" s="102"/>
      <c r="CC10" s="102"/>
      <c r="CD10" s="102"/>
      <c r="CE10" s="103"/>
      <c r="CF10" s="102"/>
      <c r="CG10" s="102"/>
      <c r="CH10" s="122"/>
      <c r="CI10" s="102"/>
      <c r="CJ10" s="128" t="str">
        <f t="shared" ref="CJ10:CJ39" si="7">IF(CH10*CI10=0,"",CH10*CI10)</f>
        <v/>
      </c>
      <c r="CK10" s="102"/>
      <c r="CL10" s="102"/>
      <c r="CM10" s="102"/>
      <c r="CN10" s="102"/>
      <c r="CO10" s="103"/>
      <c r="CP10" s="102"/>
      <c r="CQ10" s="102"/>
      <c r="CR10" s="122"/>
      <c r="CS10" s="102"/>
      <c r="CT10" s="128" t="str">
        <f t="shared" ref="CT10:CT39" si="8">IF(CR10*CS10=0,"",CR10*CS10)</f>
        <v/>
      </c>
      <c r="CU10" s="102"/>
      <c r="CV10" s="102"/>
      <c r="CW10" s="102"/>
      <c r="CX10" s="102"/>
      <c r="CY10" s="103"/>
      <c r="CZ10" s="102"/>
      <c r="DA10" s="102"/>
      <c r="DB10" s="122"/>
      <c r="DC10" s="102"/>
      <c r="DD10" s="128" t="str">
        <f t="shared" ref="DD10:DD39" si="9">IF(DB10*DC10=0,"",DB10*DC10)</f>
        <v/>
      </c>
      <c r="DE10" s="102"/>
      <c r="DF10" s="102"/>
      <c r="DG10" s="102"/>
      <c r="DH10" s="102"/>
      <c r="DI10" s="103"/>
      <c r="DJ10" s="102"/>
      <c r="DK10" s="102"/>
      <c r="DL10" s="122"/>
      <c r="DM10" s="102"/>
      <c r="DN10" s="128" t="str">
        <f t="shared" ref="DN10:DN39" si="10">IF(DL10*DM10=0,"",DL10*DM10)</f>
        <v/>
      </c>
      <c r="DO10" s="102"/>
      <c r="DP10" s="102"/>
      <c r="DQ10" s="102"/>
      <c r="DR10" s="102"/>
      <c r="DS10" s="103"/>
      <c r="DT10" s="102"/>
      <c r="DU10" s="102"/>
      <c r="DV10" s="122"/>
      <c r="DW10" s="102"/>
      <c r="DX10" s="128" t="str">
        <f t="shared" ref="DX10:DX39" si="11">IF(DV10*DW10=0,"",DV10*DW10)</f>
        <v/>
      </c>
      <c r="DY10" s="102"/>
      <c r="DZ10" s="102"/>
      <c r="EA10" s="102"/>
      <c r="EB10" s="102"/>
      <c r="EC10" s="103"/>
      <c r="ED10" s="102"/>
      <c r="EE10" s="102"/>
      <c r="EF10" s="122"/>
      <c r="EG10" s="102"/>
      <c r="EH10" s="128" t="str">
        <f t="shared" ref="EH10:EH39" si="12">IF(EF10*EG10=0,"",EF10*EG10)</f>
        <v/>
      </c>
      <c r="EI10" s="102"/>
      <c r="EJ10" s="102"/>
      <c r="EK10" s="102"/>
      <c r="EL10" s="102"/>
      <c r="EM10" s="103"/>
      <c r="EN10" s="102"/>
      <c r="EO10" s="102"/>
      <c r="EP10" s="122"/>
      <c r="EQ10" s="102"/>
      <c r="ER10" s="128" t="str">
        <f t="shared" ref="ER10:ER39" si="13">IF(EP10*EQ10=0,"",EP10*EQ10)</f>
        <v/>
      </c>
      <c r="ES10" s="102"/>
      <c r="ET10" s="102"/>
      <c r="EU10" s="102"/>
      <c r="EV10" s="102"/>
      <c r="EW10" s="103"/>
      <c r="EX10" s="102"/>
      <c r="EY10" s="102"/>
      <c r="EZ10" s="122"/>
      <c r="FA10" s="102"/>
      <c r="FB10" s="128" t="str">
        <f t="shared" ref="FB10:FB39" si="14">IF(EZ10*FA10=0,"",EZ10*FA10)</f>
        <v/>
      </c>
      <c r="FC10" s="102"/>
      <c r="FD10" s="102"/>
      <c r="FE10" s="102"/>
      <c r="FF10" s="102"/>
      <c r="FG10" s="103"/>
      <c r="FH10" s="102"/>
      <c r="FI10" s="102"/>
      <c r="FJ10" s="122"/>
      <c r="FK10" s="102"/>
      <c r="FL10" s="128" t="str">
        <f t="shared" ref="FL10:FL39" si="15">IF(FJ10*FK10=0,"",FJ10*FK10)</f>
        <v/>
      </c>
      <c r="FM10" s="102"/>
      <c r="FN10" s="102"/>
      <c r="FO10" s="102"/>
      <c r="FP10" s="102"/>
      <c r="FQ10" s="103"/>
      <c r="FR10" s="102"/>
      <c r="FS10" s="102"/>
      <c r="FT10" s="122"/>
      <c r="FU10" s="102"/>
      <c r="FV10" s="128" t="str">
        <f t="shared" ref="FV10:FV39" si="16">IF(FT10*FU10=0,"",FT10*FU10)</f>
        <v/>
      </c>
      <c r="FW10" s="102"/>
      <c r="FX10" s="102"/>
      <c r="FY10" s="102"/>
      <c r="FZ10" s="102"/>
      <c r="GA10" s="103"/>
      <c r="GB10" s="102"/>
      <c r="GC10" s="102"/>
      <c r="GD10" s="122"/>
      <c r="GE10" s="102"/>
      <c r="GF10" s="128" t="str">
        <f t="shared" ref="GF10:GF39" si="17">IF(GD10*GE10=0,"",GD10*GE10)</f>
        <v/>
      </c>
      <c r="GG10" s="102"/>
      <c r="GH10" s="102"/>
      <c r="GI10" s="102"/>
      <c r="GJ10" s="102"/>
      <c r="GK10" s="103"/>
      <c r="GL10" s="102"/>
      <c r="GM10" s="102"/>
      <c r="GN10" s="122"/>
      <c r="GO10" s="102"/>
      <c r="GP10" s="128" t="str">
        <f t="shared" ref="GP10:GP39" si="18">IF(GN10*GO10=0,"",GN10*GO10)</f>
        <v/>
      </c>
      <c r="GQ10" s="102"/>
      <c r="GR10" s="102"/>
      <c r="GS10" s="102"/>
      <c r="GT10" s="102"/>
      <c r="GU10" s="103"/>
      <c r="GV10" s="102"/>
      <c r="GW10" s="102"/>
      <c r="GX10" s="122"/>
      <c r="GY10" s="102"/>
      <c r="GZ10" s="128" t="str">
        <f t="shared" ref="GZ10:GZ39" si="19">IF(GX10*GY10=0,"",GX10*GY10)</f>
        <v/>
      </c>
      <c r="HA10" s="102"/>
      <c r="HB10" s="102"/>
      <c r="HC10" s="102"/>
      <c r="HD10" s="102"/>
      <c r="HE10" s="103"/>
      <c r="HF10" s="102"/>
      <c r="HG10" s="102"/>
      <c r="HH10" s="122"/>
      <c r="HI10" s="102"/>
      <c r="HJ10" s="128" t="str">
        <f t="shared" ref="HJ10:HJ39" si="20">IF(HH10*HI10=0,"",HH10*HI10)</f>
        <v/>
      </c>
      <c r="HK10" s="102"/>
      <c r="HL10" s="102"/>
      <c r="HM10" s="102"/>
      <c r="HN10" s="102"/>
      <c r="HO10" s="103"/>
      <c r="HP10" s="102"/>
      <c r="HQ10" s="102"/>
      <c r="HR10" s="122"/>
      <c r="HS10" s="102"/>
      <c r="HT10" s="128" t="str">
        <f t="shared" ref="HT10:HT39" si="21">IF(HR10*HS10=0,"",HR10*HS10)</f>
        <v/>
      </c>
      <c r="HU10" s="102"/>
      <c r="HV10" s="102"/>
      <c r="HW10" s="102"/>
      <c r="HX10" s="102"/>
      <c r="HY10" s="103"/>
      <c r="HZ10" s="102"/>
      <c r="IA10" s="102"/>
      <c r="IB10" s="122"/>
      <c r="IC10" s="102"/>
      <c r="ID10" s="128" t="str">
        <f t="shared" ref="ID10:ID39" si="22">IF(IB10*IC10=0,"",IB10*IC10)</f>
        <v/>
      </c>
      <c r="IE10" s="102"/>
      <c r="IF10" s="102"/>
      <c r="IG10" s="102"/>
      <c r="IH10" s="102"/>
      <c r="II10" s="103"/>
      <c r="IJ10" s="102"/>
      <c r="IK10" s="102"/>
      <c r="IL10" s="122"/>
      <c r="IM10" s="102"/>
      <c r="IN10" s="128" t="str">
        <f t="shared" ref="IN10:IN39" si="23">IF(IL10*IM10=0,"",IL10*IM10)</f>
        <v/>
      </c>
      <c r="IO10" s="102"/>
      <c r="IP10" s="102"/>
      <c r="IQ10" s="102"/>
      <c r="IR10" s="102"/>
      <c r="IS10" s="103"/>
      <c r="IT10" s="102"/>
      <c r="IU10" s="102"/>
      <c r="IV10" s="122"/>
      <c r="IW10" s="102"/>
      <c r="IX10" s="128" t="str">
        <f t="shared" ref="IX10:IX39" si="24">IF(IV10*IW10=0,"",IV10*IW10)</f>
        <v/>
      </c>
      <c r="IY10" s="102"/>
      <c r="IZ10" s="102"/>
      <c r="JA10" s="102"/>
      <c r="JB10" s="102"/>
      <c r="JC10" s="103"/>
      <c r="JD10" s="102"/>
      <c r="JE10" s="102"/>
      <c r="JF10" s="122"/>
      <c r="JG10" s="102"/>
      <c r="JH10" s="128" t="str">
        <f t="shared" ref="JH10:JH39" si="25">IF(JF10*JG10=0,"",JF10*JG10)</f>
        <v/>
      </c>
      <c r="JI10" s="102"/>
      <c r="JJ10" s="102"/>
      <c r="JK10" s="102"/>
      <c r="JL10" s="102"/>
      <c r="JM10" s="103"/>
      <c r="JN10" s="102"/>
      <c r="JO10" s="102"/>
      <c r="JP10" s="122"/>
      <c r="JQ10" s="102"/>
      <c r="JR10" s="128" t="str">
        <f t="shared" ref="JR10:JR39" si="26">IF(JP10*JQ10=0,"",JP10*JQ10)</f>
        <v/>
      </c>
      <c r="JS10" s="102"/>
      <c r="JT10" s="102"/>
      <c r="JU10" s="102"/>
      <c r="JV10" s="102"/>
      <c r="JW10" s="103"/>
      <c r="JX10" s="102"/>
      <c r="JY10" s="102"/>
      <c r="JZ10" s="122"/>
      <c r="KA10" s="102"/>
      <c r="KB10" s="128" t="str">
        <f t="shared" ref="KB10:KB39" si="27">IF(JZ10*KA10=0,"",JZ10*KA10)</f>
        <v/>
      </c>
      <c r="KC10" s="102"/>
      <c r="KD10" s="102"/>
      <c r="KE10" s="102"/>
      <c r="KF10" s="102"/>
      <c r="KG10" s="103"/>
      <c r="KH10" s="102"/>
      <c r="KI10" s="102"/>
      <c r="KJ10" s="122"/>
      <c r="KK10" s="102"/>
      <c r="KL10" s="128" t="str">
        <f t="shared" ref="KL10:KL39" si="28">IF(KJ10*KK10=0,"",KJ10*KK10)</f>
        <v/>
      </c>
      <c r="KM10" s="102"/>
      <c r="KN10" s="102"/>
      <c r="KO10" s="102"/>
      <c r="KP10" s="102"/>
      <c r="KQ10" s="103"/>
      <c r="KR10" s="102"/>
      <c r="KS10" s="102"/>
      <c r="KT10" s="122"/>
      <c r="KU10" s="102"/>
      <c r="KV10" s="128" t="str">
        <f t="shared" ref="KV10:KV39" si="29">IF(KT10*KU10=0,"",KT10*KU10)</f>
        <v/>
      </c>
      <c r="KW10" s="102"/>
      <c r="KX10" s="102"/>
      <c r="KY10" s="102"/>
      <c r="KZ10" s="102"/>
      <c r="LA10" s="103"/>
      <c r="LB10" s="102"/>
      <c r="LC10" s="102"/>
      <c r="LD10" s="122"/>
      <c r="LE10" s="102"/>
      <c r="LF10" s="128" t="str">
        <f t="shared" ref="LF10:LF39" si="30">IF(LD10*LE10=0,"",LD10*LE10)</f>
        <v/>
      </c>
      <c r="LG10" s="102"/>
      <c r="LH10" s="102"/>
      <c r="LI10" s="102"/>
      <c r="LJ10" s="102"/>
      <c r="LK10" s="103"/>
      <c r="LL10" s="102"/>
      <c r="LM10" s="102"/>
      <c r="LN10" s="122"/>
      <c r="LO10" s="102"/>
      <c r="LP10" s="128" t="str">
        <f t="shared" ref="LP10:LP39" si="31">IF(LN10*LO10=0,"",LN10*LO10)</f>
        <v/>
      </c>
      <c r="LQ10" s="102"/>
      <c r="LR10" s="102"/>
      <c r="LS10" s="102"/>
      <c r="LT10" s="102"/>
      <c r="LU10" s="103"/>
      <c r="LV10" s="102"/>
      <c r="LW10" s="102"/>
      <c r="LX10" s="122"/>
      <c r="LY10" s="102"/>
      <c r="LZ10" s="128" t="str">
        <f t="shared" ref="LZ10:LZ39" si="32">IF(LX10*LY10=0,"",LX10*LY10)</f>
        <v/>
      </c>
      <c r="MA10" s="102"/>
      <c r="MB10" s="102"/>
      <c r="MC10" s="102"/>
      <c r="MD10" s="102"/>
      <c r="ME10" s="103"/>
    </row>
    <row r="11" spans="2:343" ht="27.95" customHeight="1">
      <c r="B11" s="138" t="str">
        <f ca="1">INDIRECT("'BDD - Joueurs'!B3")</f>
        <v>ALFONSO Joao</v>
      </c>
      <c r="C11" s="140">
        <f>COUNTIF(X11:ME11,C9)</f>
        <v>3</v>
      </c>
      <c r="D11" s="141">
        <f>COUNTIF(X11:ME11,D9)</f>
        <v>0</v>
      </c>
      <c r="E11" s="141">
        <f>COUNTIF(X11:ME11,E9)</f>
        <v>1</v>
      </c>
      <c r="F11" s="142">
        <f>COUNTIF(X11:ME11,F9)</f>
        <v>0</v>
      </c>
      <c r="G11" s="140">
        <f>COUNTIF(X11:ME11,G9)</f>
        <v>4</v>
      </c>
      <c r="H11" s="141">
        <f>COUNTIF(X11:ME11,H9)</f>
        <v>0</v>
      </c>
      <c r="I11" s="141">
        <f>COUNTIF(X11:ME11,I9)</f>
        <v>0</v>
      </c>
      <c r="J11" s="141">
        <f>COUNTIF(X11:ME11,J9)</f>
        <v>0</v>
      </c>
      <c r="K11" s="141">
        <f>COUNTIF($X11:$ME11,$K$9)</f>
        <v>0</v>
      </c>
      <c r="L11" s="141">
        <f>COUNTIF(X11:ME11,L9)</f>
        <v>0</v>
      </c>
      <c r="M11" s="141">
        <f t="shared" ref="M11:M39" si="33">COUNTIF($Y11:$MF11,$M$9)</f>
        <v>0</v>
      </c>
      <c r="N11" s="141">
        <f>COUNTIF(X11:ME11,N9)</f>
        <v>0</v>
      </c>
      <c r="O11" s="142">
        <f>COUNTIF(X11:ME11,O9)</f>
        <v>1</v>
      </c>
      <c r="P11" s="143">
        <f t="shared" si="0"/>
        <v>273</v>
      </c>
      <c r="Q11" s="144">
        <f>IF(ISERROR(AVERAGE(AA11,AK11,AU11,BE11,BO11,BY11,CI11,CS11,DC11,DM11,DW11,EG11,EQ11,FA11,FK11,FU11,GE11,GO11,GY11,HI11,HS11,IC11,IM11,IW11,JG11,JQ11,KA11,KK11,KU11,LE11,LO11,LY11)),"",AVERAGE(AA11,AK11,AU11,BE11,BO11,BY11,CI11,CS11,DC11,DM11,DW11,EG11,EQ11,FA11,FK11,FU11,GE11,GO11,GY11,HI11,HS11,IC11,IM11,IW11,JG11,JQ11,KA11,KK11,KU11,LE11,LO11,LY11))</f>
        <v>5.75</v>
      </c>
      <c r="R11" s="165">
        <f>IF(ISERROR(P11*Q11),"",P11*Q11)</f>
        <v>1569.75</v>
      </c>
      <c r="S11" s="143">
        <f t="shared" si="1"/>
        <v>5</v>
      </c>
      <c r="T11" s="143">
        <f t="shared" si="1"/>
        <v>1</v>
      </c>
      <c r="U11" s="143">
        <f t="shared" si="1"/>
        <v>0</v>
      </c>
      <c r="V11" s="143">
        <f t="shared" si="1"/>
        <v>0</v>
      </c>
      <c r="W11" s="142">
        <f t="shared" si="1"/>
        <v>0</v>
      </c>
      <c r="X11" s="107" t="s">
        <v>124</v>
      </c>
      <c r="Y11" s="107" t="s">
        <v>269</v>
      </c>
      <c r="Z11" s="123">
        <v>60</v>
      </c>
      <c r="AA11" s="107">
        <v>5</v>
      </c>
      <c r="AB11" s="130">
        <f t="shared" ref="AB11:AB39" si="34">IF(Z11*AA11=0,"",Z11*AA11)</f>
        <v>300</v>
      </c>
      <c r="AC11" s="107">
        <v>3</v>
      </c>
      <c r="AD11" s="107"/>
      <c r="AE11" s="107"/>
      <c r="AF11" s="107"/>
      <c r="AG11" s="108"/>
      <c r="AH11" s="107" t="s">
        <v>124</v>
      </c>
      <c r="AI11" s="107" t="s">
        <v>269</v>
      </c>
      <c r="AJ11" s="123">
        <v>58</v>
      </c>
      <c r="AK11" s="107">
        <v>5</v>
      </c>
      <c r="AL11" s="130">
        <f t="shared" si="2"/>
        <v>290</v>
      </c>
      <c r="AM11" s="107">
        <v>1</v>
      </c>
      <c r="AN11" s="107"/>
      <c r="AO11" s="107"/>
      <c r="AP11" s="107"/>
      <c r="AQ11" s="108"/>
      <c r="AR11" s="107" t="s">
        <v>124</v>
      </c>
      <c r="AS11" s="107" t="s">
        <v>269</v>
      </c>
      <c r="AT11" s="123">
        <v>65</v>
      </c>
      <c r="AU11" s="107">
        <v>5</v>
      </c>
      <c r="AV11" s="130">
        <f t="shared" si="3"/>
        <v>325</v>
      </c>
      <c r="AW11" s="107"/>
      <c r="AX11" s="107">
        <v>1</v>
      </c>
      <c r="AY11" s="107"/>
      <c r="AZ11" s="107"/>
      <c r="BA11" s="108"/>
      <c r="BB11" s="107" t="s">
        <v>126</v>
      </c>
      <c r="BC11" s="107" t="s">
        <v>269</v>
      </c>
      <c r="BD11" s="123">
        <v>90</v>
      </c>
      <c r="BE11" s="107">
        <v>8</v>
      </c>
      <c r="BF11" s="130">
        <f t="shared" si="4"/>
        <v>720</v>
      </c>
      <c r="BG11" s="107">
        <v>1</v>
      </c>
      <c r="BH11" s="107"/>
      <c r="BI11" s="107"/>
      <c r="BJ11" s="107"/>
      <c r="BK11" s="108"/>
      <c r="BL11" s="107"/>
      <c r="BM11" s="107" t="s">
        <v>100</v>
      </c>
      <c r="BN11" s="123"/>
      <c r="BO11" s="107"/>
      <c r="BP11" s="130" t="str">
        <f t="shared" si="5"/>
        <v/>
      </c>
      <c r="BQ11" s="107"/>
      <c r="BR11" s="107"/>
      <c r="BS11" s="107"/>
      <c r="BT11" s="107"/>
      <c r="BU11" s="108"/>
      <c r="BV11" s="107"/>
      <c r="BW11" s="107"/>
      <c r="BX11" s="123"/>
      <c r="BY11" s="107"/>
      <c r="BZ11" s="130" t="str">
        <f t="shared" si="6"/>
        <v/>
      </c>
      <c r="CA11" s="107"/>
      <c r="CB11" s="107"/>
      <c r="CC11" s="107"/>
      <c r="CD11" s="107"/>
      <c r="CE11" s="108"/>
      <c r="CF11" s="107"/>
      <c r="CG11" s="107"/>
      <c r="CH11" s="123"/>
      <c r="CI11" s="107"/>
      <c r="CJ11" s="130" t="str">
        <f t="shared" si="7"/>
        <v/>
      </c>
      <c r="CK11" s="107"/>
      <c r="CL11" s="107"/>
      <c r="CM11" s="107"/>
      <c r="CN11" s="107"/>
      <c r="CO11" s="108"/>
      <c r="CP11" s="107"/>
      <c r="CQ11" s="107"/>
      <c r="CR11" s="123"/>
      <c r="CS11" s="107"/>
      <c r="CT11" s="130" t="str">
        <f t="shared" si="8"/>
        <v/>
      </c>
      <c r="CU11" s="107"/>
      <c r="CV11" s="107"/>
      <c r="CW11" s="107"/>
      <c r="CX11" s="107"/>
      <c r="CY11" s="108"/>
      <c r="CZ11" s="107"/>
      <c r="DA11" s="107"/>
      <c r="DB11" s="123"/>
      <c r="DC11" s="107"/>
      <c r="DD11" s="130" t="str">
        <f t="shared" si="9"/>
        <v/>
      </c>
      <c r="DE11" s="107"/>
      <c r="DF11" s="107"/>
      <c r="DG11" s="107"/>
      <c r="DH11" s="107"/>
      <c r="DI11" s="108"/>
      <c r="DJ11" s="107"/>
      <c r="DK11" s="107"/>
      <c r="DL11" s="123"/>
      <c r="DM11" s="107"/>
      <c r="DN11" s="130" t="str">
        <f t="shared" si="10"/>
        <v/>
      </c>
      <c r="DO11" s="107"/>
      <c r="DP11" s="107"/>
      <c r="DQ11" s="107"/>
      <c r="DR11" s="107"/>
      <c r="DS11" s="108"/>
      <c r="DT11" s="107"/>
      <c r="DU11" s="107"/>
      <c r="DV11" s="123"/>
      <c r="DW11" s="107"/>
      <c r="DX11" s="130" t="str">
        <f t="shared" si="11"/>
        <v/>
      </c>
      <c r="DY11" s="107"/>
      <c r="DZ11" s="107"/>
      <c r="EA11" s="107"/>
      <c r="EB11" s="107"/>
      <c r="EC11" s="108"/>
      <c r="ED11" s="107"/>
      <c r="EE11" s="107"/>
      <c r="EF11" s="123"/>
      <c r="EG11" s="107"/>
      <c r="EH11" s="130" t="str">
        <f t="shared" si="12"/>
        <v/>
      </c>
      <c r="EI11" s="107"/>
      <c r="EJ11" s="107"/>
      <c r="EK11" s="107"/>
      <c r="EL11" s="107"/>
      <c r="EM11" s="108"/>
      <c r="EN11" s="107"/>
      <c r="EO11" s="107"/>
      <c r="EP11" s="123"/>
      <c r="EQ11" s="107"/>
      <c r="ER11" s="130" t="str">
        <f t="shared" si="13"/>
        <v/>
      </c>
      <c r="ES11" s="107"/>
      <c r="ET11" s="107"/>
      <c r="EU11" s="107"/>
      <c r="EV11" s="107"/>
      <c r="EW11" s="108"/>
      <c r="EX11" s="107"/>
      <c r="EY11" s="107"/>
      <c r="EZ11" s="123"/>
      <c r="FA11" s="107"/>
      <c r="FB11" s="130" t="str">
        <f t="shared" si="14"/>
        <v/>
      </c>
      <c r="FC11" s="107"/>
      <c r="FD11" s="107"/>
      <c r="FE11" s="107"/>
      <c r="FF11" s="107"/>
      <c r="FG11" s="108"/>
      <c r="FH11" s="107"/>
      <c r="FI11" s="107"/>
      <c r="FJ11" s="123"/>
      <c r="FK11" s="107"/>
      <c r="FL11" s="130" t="str">
        <f t="shared" si="15"/>
        <v/>
      </c>
      <c r="FM11" s="107"/>
      <c r="FN11" s="107"/>
      <c r="FO11" s="107"/>
      <c r="FP11" s="107"/>
      <c r="FQ11" s="108"/>
      <c r="FR11" s="107"/>
      <c r="FS11" s="107"/>
      <c r="FT11" s="123"/>
      <c r="FU11" s="107"/>
      <c r="FV11" s="130" t="str">
        <f t="shared" si="16"/>
        <v/>
      </c>
      <c r="FW11" s="107"/>
      <c r="FX11" s="107"/>
      <c r="FY11" s="107"/>
      <c r="FZ11" s="107"/>
      <c r="GA11" s="108"/>
      <c r="GB11" s="107"/>
      <c r="GC11" s="107"/>
      <c r="GD11" s="123"/>
      <c r="GE11" s="107"/>
      <c r="GF11" s="130" t="str">
        <f t="shared" si="17"/>
        <v/>
      </c>
      <c r="GG11" s="107"/>
      <c r="GH11" s="107"/>
      <c r="GI11" s="107"/>
      <c r="GJ11" s="107"/>
      <c r="GK11" s="108"/>
      <c r="GL11" s="107"/>
      <c r="GM11" s="107"/>
      <c r="GN11" s="123"/>
      <c r="GO11" s="107"/>
      <c r="GP11" s="130" t="str">
        <f t="shared" si="18"/>
        <v/>
      </c>
      <c r="GQ11" s="107"/>
      <c r="GR11" s="107"/>
      <c r="GS11" s="107"/>
      <c r="GT11" s="107"/>
      <c r="GU11" s="108"/>
      <c r="GV11" s="107"/>
      <c r="GW11" s="107"/>
      <c r="GX11" s="123"/>
      <c r="GY11" s="107"/>
      <c r="GZ11" s="130" t="str">
        <f t="shared" si="19"/>
        <v/>
      </c>
      <c r="HA11" s="107"/>
      <c r="HB11" s="107"/>
      <c r="HC11" s="107"/>
      <c r="HD11" s="107"/>
      <c r="HE11" s="108"/>
      <c r="HF11" s="107"/>
      <c r="HG11" s="107"/>
      <c r="HH11" s="123"/>
      <c r="HI11" s="107"/>
      <c r="HJ11" s="130" t="str">
        <f t="shared" si="20"/>
        <v/>
      </c>
      <c r="HK11" s="107"/>
      <c r="HL11" s="107"/>
      <c r="HM11" s="107"/>
      <c r="HN11" s="107"/>
      <c r="HO11" s="108"/>
      <c r="HP11" s="107"/>
      <c r="HQ11" s="107"/>
      <c r="HR11" s="123"/>
      <c r="HS11" s="107"/>
      <c r="HT11" s="130" t="str">
        <f t="shared" si="21"/>
        <v/>
      </c>
      <c r="HU11" s="107"/>
      <c r="HV11" s="107"/>
      <c r="HW11" s="107"/>
      <c r="HX11" s="107"/>
      <c r="HY11" s="108"/>
      <c r="HZ11" s="107"/>
      <c r="IA11" s="107"/>
      <c r="IB11" s="123"/>
      <c r="IC11" s="107"/>
      <c r="ID11" s="130" t="str">
        <f t="shared" si="22"/>
        <v/>
      </c>
      <c r="IE11" s="107"/>
      <c r="IF11" s="107"/>
      <c r="IG11" s="107"/>
      <c r="IH11" s="107"/>
      <c r="II11" s="108"/>
      <c r="IJ11" s="107"/>
      <c r="IK11" s="107"/>
      <c r="IL11" s="123"/>
      <c r="IM11" s="107"/>
      <c r="IN11" s="130" t="str">
        <f t="shared" si="23"/>
        <v/>
      </c>
      <c r="IO11" s="107"/>
      <c r="IP11" s="107"/>
      <c r="IQ11" s="107"/>
      <c r="IR11" s="107"/>
      <c r="IS11" s="108"/>
      <c r="IT11" s="107"/>
      <c r="IU11" s="107"/>
      <c r="IV11" s="123"/>
      <c r="IW11" s="107"/>
      <c r="IX11" s="130" t="str">
        <f t="shared" si="24"/>
        <v/>
      </c>
      <c r="IY11" s="107"/>
      <c r="IZ11" s="107"/>
      <c r="JA11" s="107"/>
      <c r="JB11" s="107"/>
      <c r="JC11" s="108"/>
      <c r="JD11" s="107"/>
      <c r="JE11" s="107"/>
      <c r="JF11" s="123"/>
      <c r="JG11" s="107"/>
      <c r="JH11" s="130" t="str">
        <f t="shared" si="25"/>
        <v/>
      </c>
      <c r="JI11" s="107"/>
      <c r="JJ11" s="107"/>
      <c r="JK11" s="107"/>
      <c r="JL11" s="107"/>
      <c r="JM11" s="108"/>
      <c r="JN11" s="107"/>
      <c r="JO11" s="107"/>
      <c r="JP11" s="123"/>
      <c r="JQ11" s="107"/>
      <c r="JR11" s="130" t="str">
        <f t="shared" si="26"/>
        <v/>
      </c>
      <c r="JS11" s="107"/>
      <c r="JT11" s="107"/>
      <c r="JU11" s="107"/>
      <c r="JV11" s="107"/>
      <c r="JW11" s="108"/>
      <c r="JX11" s="107"/>
      <c r="JY11" s="107"/>
      <c r="JZ11" s="123"/>
      <c r="KA11" s="107"/>
      <c r="KB11" s="130" t="str">
        <f t="shared" si="27"/>
        <v/>
      </c>
      <c r="KC11" s="107"/>
      <c r="KD11" s="107"/>
      <c r="KE11" s="107"/>
      <c r="KF11" s="107"/>
      <c r="KG11" s="108"/>
      <c r="KH11" s="107"/>
      <c r="KI11" s="107"/>
      <c r="KJ11" s="123"/>
      <c r="KK11" s="107"/>
      <c r="KL11" s="130" t="str">
        <f t="shared" si="28"/>
        <v/>
      </c>
      <c r="KM11" s="107"/>
      <c r="KN11" s="107"/>
      <c r="KO11" s="107"/>
      <c r="KP11" s="107"/>
      <c r="KQ11" s="108"/>
      <c r="KR11" s="107"/>
      <c r="KS11" s="107"/>
      <c r="KT11" s="123"/>
      <c r="KU11" s="107"/>
      <c r="KV11" s="130" t="str">
        <f t="shared" si="29"/>
        <v/>
      </c>
      <c r="KW11" s="107"/>
      <c r="KX11" s="107"/>
      <c r="KY11" s="107"/>
      <c r="KZ11" s="107"/>
      <c r="LA11" s="108"/>
      <c r="LB11" s="107"/>
      <c r="LC11" s="107"/>
      <c r="LD11" s="123"/>
      <c r="LE11" s="107"/>
      <c r="LF11" s="130" t="str">
        <f t="shared" si="30"/>
        <v/>
      </c>
      <c r="LG11" s="107"/>
      <c r="LH11" s="107"/>
      <c r="LI11" s="107"/>
      <c r="LJ11" s="107"/>
      <c r="LK11" s="108"/>
      <c r="LL11" s="107"/>
      <c r="LM11" s="107"/>
      <c r="LN11" s="123"/>
      <c r="LO11" s="107"/>
      <c r="LP11" s="130" t="str">
        <f t="shared" si="31"/>
        <v/>
      </c>
      <c r="LQ11" s="107"/>
      <c r="LR11" s="107"/>
      <c r="LS11" s="107"/>
      <c r="LT11" s="107"/>
      <c r="LU11" s="108"/>
      <c r="LV11" s="107"/>
      <c r="LW11" s="107"/>
      <c r="LX11" s="123"/>
      <c r="LY11" s="107"/>
      <c r="LZ11" s="130" t="str">
        <f t="shared" si="32"/>
        <v/>
      </c>
      <c r="MA11" s="107"/>
      <c r="MB11" s="107"/>
      <c r="MC11" s="107"/>
      <c r="MD11" s="107"/>
      <c r="ME11" s="108"/>
    </row>
    <row r="12" spans="2:343" ht="27.95" customHeight="1">
      <c r="B12" s="96" t="str">
        <f ca="1">INDIRECT("'BDD - Joueurs'!B4")</f>
        <v>BERDAH Matis</v>
      </c>
      <c r="C12" s="145">
        <f>COUNTIF(X12:ME12,C9)</f>
        <v>3</v>
      </c>
      <c r="D12" s="146">
        <f>COUNTIF(X12:ME12,D9)</f>
        <v>0</v>
      </c>
      <c r="E12" s="146">
        <f>COUNTIF(X12:ME12,E9)</f>
        <v>1</v>
      </c>
      <c r="F12" s="147">
        <f>COUNTIF(X12:ME12,F9)</f>
        <v>1</v>
      </c>
      <c r="G12" s="145">
        <f>COUNTIF(X12:ME12,G9)</f>
        <v>5</v>
      </c>
      <c r="H12" s="146">
        <f>COUNTIF(X12:ME12,H9)</f>
        <v>0</v>
      </c>
      <c r="I12" s="146">
        <f>COUNTIF(X12:ME12,I9)</f>
        <v>0</v>
      </c>
      <c r="J12" s="146">
        <f>COUNTIF(X12:ME12,J9)</f>
        <v>0</v>
      </c>
      <c r="K12" s="146">
        <f>COUNTIF($X12:$ME12,$K$9)</f>
        <v>0</v>
      </c>
      <c r="L12" s="146">
        <f>COUNTIF(X12:ME12,L9)</f>
        <v>0</v>
      </c>
      <c r="M12" s="146">
        <f t="shared" si="33"/>
        <v>0</v>
      </c>
      <c r="N12" s="146">
        <f>COUNTIF(X12:ME12,N9)</f>
        <v>0</v>
      </c>
      <c r="O12" s="147">
        <f>COUNTIF(X12:ME12,O9)</f>
        <v>0</v>
      </c>
      <c r="P12" s="148">
        <f t="shared" si="0"/>
        <v>357</v>
      </c>
      <c r="Q12" s="149">
        <f t="shared" ref="Q12:Q38" si="35">IF(ISERROR(AVERAGE(AA12,AK12,AU12,BE12,BO12,BY12,CI12,CS12,DC12,DM12,DW12,EG12,EQ12,FA12,FK12,FU12,GE12,GO12,GY12,HI12,HS12,IC12,IM12,IW12,JG12,JQ12,KA12,KK12,KU12,LE12,LO12,LY12)),"",AVERAGE(AA12,AK12,AU12,BE12,BO12,BY12,CI12,CS12,DC12,DM12,DW12,EG12,EQ12,FA12,FK12,FU12,GE12,GO12,GY12,HI12,HS12,IC12,IM12,IW12,JG12,JQ12,KA12,KK12,KU12,LE12,LO12,LY12))</f>
        <v>5</v>
      </c>
      <c r="R12" s="166">
        <f t="shared" ref="R12:R39" si="36">IF(ISERROR(P12*Q12),"",P12*Q12)</f>
        <v>1785</v>
      </c>
      <c r="S12" s="148">
        <f t="shared" si="1"/>
        <v>0</v>
      </c>
      <c r="T12" s="148">
        <f t="shared" si="1"/>
        <v>0</v>
      </c>
      <c r="U12" s="148">
        <f t="shared" si="1"/>
        <v>0</v>
      </c>
      <c r="V12" s="148">
        <f t="shared" si="1"/>
        <v>0</v>
      </c>
      <c r="W12" s="147">
        <f t="shared" si="1"/>
        <v>0</v>
      </c>
      <c r="X12" s="109" t="s">
        <v>124</v>
      </c>
      <c r="Y12" s="109" t="s">
        <v>269</v>
      </c>
      <c r="Z12" s="124">
        <v>75</v>
      </c>
      <c r="AA12" s="109">
        <v>5</v>
      </c>
      <c r="AB12" s="129">
        <f t="shared" si="34"/>
        <v>375</v>
      </c>
      <c r="AC12" s="109"/>
      <c r="AD12" s="109"/>
      <c r="AE12" s="109"/>
      <c r="AF12" s="109"/>
      <c r="AG12" s="110"/>
      <c r="AH12" s="109" t="s">
        <v>124</v>
      </c>
      <c r="AI12" s="109" t="s">
        <v>269</v>
      </c>
      <c r="AJ12" s="124">
        <v>57</v>
      </c>
      <c r="AK12" s="109">
        <v>4</v>
      </c>
      <c r="AL12" s="129">
        <f t="shared" si="2"/>
        <v>228</v>
      </c>
      <c r="AM12" s="109"/>
      <c r="AN12" s="109"/>
      <c r="AO12" s="109"/>
      <c r="AP12" s="109"/>
      <c r="AQ12" s="110"/>
      <c r="AR12" s="109" t="s">
        <v>124</v>
      </c>
      <c r="AS12" s="109" t="s">
        <v>269</v>
      </c>
      <c r="AT12" s="124">
        <v>45</v>
      </c>
      <c r="AU12" s="109">
        <v>4</v>
      </c>
      <c r="AV12" s="129">
        <f t="shared" si="3"/>
        <v>180</v>
      </c>
      <c r="AW12" s="109"/>
      <c r="AX12" s="109"/>
      <c r="AY12" s="109"/>
      <c r="AZ12" s="109"/>
      <c r="BA12" s="110"/>
      <c r="BB12" s="109" t="s">
        <v>126</v>
      </c>
      <c r="BC12" s="109" t="s">
        <v>269</v>
      </c>
      <c r="BD12" s="124">
        <v>90</v>
      </c>
      <c r="BE12" s="109">
        <v>4</v>
      </c>
      <c r="BF12" s="129">
        <f t="shared" si="4"/>
        <v>360</v>
      </c>
      <c r="BG12" s="109"/>
      <c r="BH12" s="109"/>
      <c r="BI12" s="109"/>
      <c r="BJ12" s="109"/>
      <c r="BK12" s="110"/>
      <c r="BL12" s="109" t="s">
        <v>127</v>
      </c>
      <c r="BM12" s="109" t="s">
        <v>269</v>
      </c>
      <c r="BN12" s="124">
        <v>90</v>
      </c>
      <c r="BO12" s="109">
        <v>8</v>
      </c>
      <c r="BP12" s="129">
        <f t="shared" si="5"/>
        <v>720</v>
      </c>
      <c r="BQ12" s="109"/>
      <c r="BR12" s="109"/>
      <c r="BS12" s="109"/>
      <c r="BT12" s="109"/>
      <c r="BU12" s="110"/>
      <c r="BV12" s="109"/>
      <c r="BW12" s="109"/>
      <c r="BX12" s="124"/>
      <c r="BY12" s="109"/>
      <c r="BZ12" s="129" t="str">
        <f t="shared" si="6"/>
        <v/>
      </c>
      <c r="CA12" s="109"/>
      <c r="CB12" s="109"/>
      <c r="CC12" s="109"/>
      <c r="CD12" s="109"/>
      <c r="CE12" s="110"/>
      <c r="CF12" s="109"/>
      <c r="CG12" s="109"/>
      <c r="CH12" s="124"/>
      <c r="CI12" s="109"/>
      <c r="CJ12" s="129" t="str">
        <f t="shared" si="7"/>
        <v/>
      </c>
      <c r="CK12" s="109"/>
      <c r="CL12" s="109"/>
      <c r="CM12" s="109"/>
      <c r="CN12" s="109"/>
      <c r="CO12" s="110"/>
      <c r="CP12" s="109"/>
      <c r="CQ12" s="109"/>
      <c r="CR12" s="124"/>
      <c r="CS12" s="109"/>
      <c r="CT12" s="129" t="str">
        <f t="shared" si="8"/>
        <v/>
      </c>
      <c r="CU12" s="109"/>
      <c r="CV12" s="109"/>
      <c r="CW12" s="109"/>
      <c r="CX12" s="109"/>
      <c r="CY12" s="110"/>
      <c r="CZ12" s="109"/>
      <c r="DA12" s="109"/>
      <c r="DB12" s="124"/>
      <c r="DC12" s="109"/>
      <c r="DD12" s="129" t="str">
        <f t="shared" si="9"/>
        <v/>
      </c>
      <c r="DE12" s="109"/>
      <c r="DF12" s="109"/>
      <c r="DG12" s="109"/>
      <c r="DH12" s="109"/>
      <c r="DI12" s="110"/>
      <c r="DJ12" s="109"/>
      <c r="DK12" s="109"/>
      <c r="DL12" s="124"/>
      <c r="DM12" s="109"/>
      <c r="DN12" s="129" t="str">
        <f t="shared" si="10"/>
        <v/>
      </c>
      <c r="DO12" s="109"/>
      <c r="DP12" s="109"/>
      <c r="DQ12" s="109"/>
      <c r="DR12" s="109"/>
      <c r="DS12" s="110"/>
      <c r="DT12" s="109"/>
      <c r="DU12" s="109"/>
      <c r="DV12" s="124"/>
      <c r="DW12" s="109"/>
      <c r="DX12" s="129" t="str">
        <f t="shared" si="11"/>
        <v/>
      </c>
      <c r="DY12" s="109"/>
      <c r="DZ12" s="109"/>
      <c r="EA12" s="109"/>
      <c r="EB12" s="109"/>
      <c r="EC12" s="110"/>
      <c r="ED12" s="109"/>
      <c r="EE12" s="109"/>
      <c r="EF12" s="124"/>
      <c r="EG12" s="109"/>
      <c r="EH12" s="129" t="str">
        <f t="shared" si="12"/>
        <v/>
      </c>
      <c r="EI12" s="109"/>
      <c r="EJ12" s="109"/>
      <c r="EK12" s="109"/>
      <c r="EL12" s="109"/>
      <c r="EM12" s="110"/>
      <c r="EN12" s="109"/>
      <c r="EO12" s="109"/>
      <c r="EP12" s="124"/>
      <c r="EQ12" s="109"/>
      <c r="ER12" s="129" t="str">
        <f t="shared" si="13"/>
        <v/>
      </c>
      <c r="ES12" s="109"/>
      <c r="ET12" s="109"/>
      <c r="EU12" s="109"/>
      <c r="EV12" s="109"/>
      <c r="EW12" s="110"/>
      <c r="EX12" s="109"/>
      <c r="EY12" s="109"/>
      <c r="EZ12" s="124"/>
      <c r="FA12" s="109"/>
      <c r="FB12" s="129" t="str">
        <f t="shared" si="14"/>
        <v/>
      </c>
      <c r="FC12" s="109"/>
      <c r="FD12" s="109"/>
      <c r="FE12" s="109"/>
      <c r="FF12" s="109"/>
      <c r="FG12" s="110"/>
      <c r="FH12" s="109"/>
      <c r="FI12" s="109"/>
      <c r="FJ12" s="124"/>
      <c r="FK12" s="109"/>
      <c r="FL12" s="129" t="str">
        <f t="shared" si="15"/>
        <v/>
      </c>
      <c r="FM12" s="109"/>
      <c r="FN12" s="109"/>
      <c r="FO12" s="109"/>
      <c r="FP12" s="109"/>
      <c r="FQ12" s="110"/>
      <c r="FR12" s="109"/>
      <c r="FS12" s="109"/>
      <c r="FT12" s="124"/>
      <c r="FU12" s="109"/>
      <c r="FV12" s="129" t="str">
        <f t="shared" si="16"/>
        <v/>
      </c>
      <c r="FW12" s="109"/>
      <c r="FX12" s="109"/>
      <c r="FY12" s="109"/>
      <c r="FZ12" s="109"/>
      <c r="GA12" s="110"/>
      <c r="GB12" s="109"/>
      <c r="GC12" s="109"/>
      <c r="GD12" s="124"/>
      <c r="GE12" s="109"/>
      <c r="GF12" s="129" t="str">
        <f t="shared" si="17"/>
        <v/>
      </c>
      <c r="GG12" s="109"/>
      <c r="GH12" s="109"/>
      <c r="GI12" s="109"/>
      <c r="GJ12" s="109"/>
      <c r="GK12" s="110"/>
      <c r="GL12" s="109"/>
      <c r="GM12" s="109"/>
      <c r="GN12" s="124"/>
      <c r="GO12" s="109"/>
      <c r="GP12" s="129" t="str">
        <f t="shared" si="18"/>
        <v/>
      </c>
      <c r="GQ12" s="109"/>
      <c r="GR12" s="109"/>
      <c r="GS12" s="109"/>
      <c r="GT12" s="109"/>
      <c r="GU12" s="110"/>
      <c r="GV12" s="109"/>
      <c r="GW12" s="109"/>
      <c r="GX12" s="124"/>
      <c r="GY12" s="109"/>
      <c r="GZ12" s="129" t="str">
        <f t="shared" si="19"/>
        <v/>
      </c>
      <c r="HA12" s="109"/>
      <c r="HB12" s="109"/>
      <c r="HC12" s="109"/>
      <c r="HD12" s="109"/>
      <c r="HE12" s="110"/>
      <c r="HF12" s="109"/>
      <c r="HG12" s="109"/>
      <c r="HH12" s="124"/>
      <c r="HI12" s="109"/>
      <c r="HJ12" s="129" t="str">
        <f t="shared" si="20"/>
        <v/>
      </c>
      <c r="HK12" s="109"/>
      <c r="HL12" s="109"/>
      <c r="HM12" s="109"/>
      <c r="HN12" s="109"/>
      <c r="HO12" s="110"/>
      <c r="HP12" s="109"/>
      <c r="HQ12" s="109"/>
      <c r="HR12" s="124"/>
      <c r="HS12" s="109"/>
      <c r="HT12" s="129" t="str">
        <f t="shared" si="21"/>
        <v/>
      </c>
      <c r="HU12" s="109"/>
      <c r="HV12" s="109"/>
      <c r="HW12" s="109"/>
      <c r="HX12" s="109"/>
      <c r="HY12" s="110"/>
      <c r="HZ12" s="109"/>
      <c r="IA12" s="109"/>
      <c r="IB12" s="124"/>
      <c r="IC12" s="109"/>
      <c r="ID12" s="129" t="str">
        <f t="shared" si="22"/>
        <v/>
      </c>
      <c r="IE12" s="109"/>
      <c r="IF12" s="109"/>
      <c r="IG12" s="109"/>
      <c r="IH12" s="109"/>
      <c r="II12" s="110"/>
      <c r="IJ12" s="109"/>
      <c r="IK12" s="109"/>
      <c r="IL12" s="124"/>
      <c r="IM12" s="109"/>
      <c r="IN12" s="129" t="str">
        <f t="shared" si="23"/>
        <v/>
      </c>
      <c r="IO12" s="109"/>
      <c r="IP12" s="109"/>
      <c r="IQ12" s="109"/>
      <c r="IR12" s="109"/>
      <c r="IS12" s="110"/>
      <c r="IT12" s="109"/>
      <c r="IU12" s="109"/>
      <c r="IV12" s="124"/>
      <c r="IW12" s="109"/>
      <c r="IX12" s="129" t="str">
        <f t="shared" si="24"/>
        <v/>
      </c>
      <c r="IY12" s="109"/>
      <c r="IZ12" s="109"/>
      <c r="JA12" s="109"/>
      <c r="JB12" s="109"/>
      <c r="JC12" s="110"/>
      <c r="JD12" s="109"/>
      <c r="JE12" s="109"/>
      <c r="JF12" s="124"/>
      <c r="JG12" s="109"/>
      <c r="JH12" s="129" t="str">
        <f t="shared" si="25"/>
        <v/>
      </c>
      <c r="JI12" s="109"/>
      <c r="JJ12" s="109"/>
      <c r="JK12" s="109"/>
      <c r="JL12" s="109"/>
      <c r="JM12" s="110"/>
      <c r="JN12" s="109"/>
      <c r="JO12" s="109"/>
      <c r="JP12" s="124"/>
      <c r="JQ12" s="109"/>
      <c r="JR12" s="129" t="str">
        <f t="shared" si="26"/>
        <v/>
      </c>
      <c r="JS12" s="109"/>
      <c r="JT12" s="109"/>
      <c r="JU12" s="109"/>
      <c r="JV12" s="109"/>
      <c r="JW12" s="110"/>
      <c r="JX12" s="109"/>
      <c r="JY12" s="109"/>
      <c r="JZ12" s="124"/>
      <c r="KA12" s="109"/>
      <c r="KB12" s="129" t="str">
        <f t="shared" si="27"/>
        <v/>
      </c>
      <c r="KC12" s="109"/>
      <c r="KD12" s="109"/>
      <c r="KE12" s="109"/>
      <c r="KF12" s="109"/>
      <c r="KG12" s="110"/>
      <c r="KH12" s="109"/>
      <c r="KI12" s="109"/>
      <c r="KJ12" s="124"/>
      <c r="KK12" s="109"/>
      <c r="KL12" s="129" t="str">
        <f t="shared" si="28"/>
        <v/>
      </c>
      <c r="KM12" s="109"/>
      <c r="KN12" s="109"/>
      <c r="KO12" s="109"/>
      <c r="KP12" s="109"/>
      <c r="KQ12" s="110"/>
      <c r="KR12" s="109"/>
      <c r="KS12" s="109"/>
      <c r="KT12" s="124"/>
      <c r="KU12" s="109"/>
      <c r="KV12" s="129" t="str">
        <f t="shared" si="29"/>
        <v/>
      </c>
      <c r="KW12" s="109"/>
      <c r="KX12" s="109"/>
      <c r="KY12" s="109"/>
      <c r="KZ12" s="109"/>
      <c r="LA12" s="110"/>
      <c r="LB12" s="109"/>
      <c r="LC12" s="109"/>
      <c r="LD12" s="124"/>
      <c r="LE12" s="109"/>
      <c r="LF12" s="129" t="str">
        <f t="shared" si="30"/>
        <v/>
      </c>
      <c r="LG12" s="109"/>
      <c r="LH12" s="109"/>
      <c r="LI12" s="109"/>
      <c r="LJ12" s="109"/>
      <c r="LK12" s="110"/>
      <c r="LL12" s="109"/>
      <c r="LM12" s="109"/>
      <c r="LN12" s="124"/>
      <c r="LO12" s="109"/>
      <c r="LP12" s="129" t="str">
        <f t="shared" si="31"/>
        <v/>
      </c>
      <c r="LQ12" s="109"/>
      <c r="LR12" s="109"/>
      <c r="LS12" s="109"/>
      <c r="LT12" s="109"/>
      <c r="LU12" s="110"/>
      <c r="LV12" s="109"/>
      <c r="LW12" s="109"/>
      <c r="LX12" s="124"/>
      <c r="LY12" s="109"/>
      <c r="LZ12" s="129" t="str">
        <f t="shared" si="32"/>
        <v/>
      </c>
      <c r="MA12" s="109"/>
      <c r="MB12" s="109"/>
      <c r="MC12" s="109"/>
      <c r="MD12" s="109"/>
      <c r="ME12" s="110"/>
    </row>
    <row r="13" spans="2:343" ht="27.95" customHeight="1">
      <c r="B13" s="138" t="str">
        <f ca="1">INDIRECT("'BDD - Joueurs'!B5")</f>
        <v>CAMARA Bandiougou</v>
      </c>
      <c r="C13" s="140">
        <f>COUNTIF(X13:ME13,C9)</f>
        <v>3</v>
      </c>
      <c r="D13" s="141">
        <f>COUNTIF(X13:ME13,D12)</f>
        <v>0</v>
      </c>
      <c r="E13" s="141">
        <f>COUNTIF(X13:ME13,E9)</f>
        <v>0</v>
      </c>
      <c r="F13" s="142">
        <f>COUNTIF(X13:ME13,F9)</f>
        <v>0</v>
      </c>
      <c r="G13" s="140">
        <f>COUNTIF(X13:ME13,G9)</f>
        <v>3</v>
      </c>
      <c r="H13" s="141">
        <f>COUNTIF(X13:ME13,H9)</f>
        <v>0</v>
      </c>
      <c r="I13" s="141">
        <f>COUNTIF(X13:ME13,I9)</f>
        <v>0</v>
      </c>
      <c r="J13" s="141">
        <f>COUNTIF(X13:ME13,J9)</f>
        <v>0</v>
      </c>
      <c r="K13" s="141">
        <f t="shared" ref="K13:K39" si="37">COUNTIF($X13:$ME13,$K$9)</f>
        <v>0</v>
      </c>
      <c r="L13" s="141">
        <f>COUNTIF(X13:ME13,L9)</f>
        <v>0</v>
      </c>
      <c r="M13" s="141">
        <f t="shared" si="33"/>
        <v>0</v>
      </c>
      <c r="N13" s="141">
        <f>COUNTIF(X13:ME13,N9)</f>
        <v>0</v>
      </c>
      <c r="O13" s="142">
        <f>COUNTIF(X13:ME13,O9)</f>
        <v>2</v>
      </c>
      <c r="P13" s="143">
        <f t="shared" si="0"/>
        <v>180</v>
      </c>
      <c r="Q13" s="144">
        <f t="shared" si="35"/>
        <v>5.666666666666667</v>
      </c>
      <c r="R13" s="165">
        <f t="shared" si="36"/>
        <v>1020</v>
      </c>
      <c r="S13" s="143">
        <f t="shared" si="1"/>
        <v>0</v>
      </c>
      <c r="T13" s="143">
        <f t="shared" si="1"/>
        <v>0</v>
      </c>
      <c r="U13" s="143">
        <f t="shared" si="1"/>
        <v>0</v>
      </c>
      <c r="V13" s="143">
        <f t="shared" si="1"/>
        <v>0</v>
      </c>
      <c r="W13" s="142">
        <f t="shared" si="1"/>
        <v>0</v>
      </c>
      <c r="X13" s="107" t="s">
        <v>124</v>
      </c>
      <c r="Y13" s="107" t="s">
        <v>269</v>
      </c>
      <c r="Z13" s="123">
        <v>60</v>
      </c>
      <c r="AA13" s="107">
        <v>5</v>
      </c>
      <c r="AB13" s="130">
        <f t="shared" si="34"/>
        <v>300</v>
      </c>
      <c r="AC13" s="107"/>
      <c r="AD13" s="107"/>
      <c r="AE13" s="107"/>
      <c r="AF13" s="107"/>
      <c r="AG13" s="108"/>
      <c r="AH13" s="107" t="s">
        <v>124</v>
      </c>
      <c r="AI13" s="107" t="s">
        <v>269</v>
      </c>
      <c r="AJ13" s="123">
        <v>57</v>
      </c>
      <c r="AK13" s="107">
        <v>5</v>
      </c>
      <c r="AL13" s="130">
        <f t="shared" si="2"/>
        <v>285</v>
      </c>
      <c r="AM13" s="107"/>
      <c r="AN13" s="107"/>
      <c r="AO13" s="107"/>
      <c r="AP13" s="107"/>
      <c r="AQ13" s="108"/>
      <c r="AR13" s="107" t="s">
        <v>124</v>
      </c>
      <c r="AS13" s="107" t="s">
        <v>269</v>
      </c>
      <c r="AT13" s="123">
        <v>63</v>
      </c>
      <c r="AU13" s="107">
        <v>7</v>
      </c>
      <c r="AV13" s="130">
        <f t="shared" si="3"/>
        <v>441</v>
      </c>
      <c r="AW13" s="107"/>
      <c r="AX13" s="107"/>
      <c r="AY13" s="107"/>
      <c r="AZ13" s="107"/>
      <c r="BA13" s="108"/>
      <c r="BB13" s="107"/>
      <c r="BC13" s="107" t="s">
        <v>100</v>
      </c>
      <c r="BD13" s="123"/>
      <c r="BE13" s="107"/>
      <c r="BF13" s="130" t="str">
        <f t="shared" si="4"/>
        <v/>
      </c>
      <c r="BG13" s="107"/>
      <c r="BH13" s="107"/>
      <c r="BI13" s="107"/>
      <c r="BJ13" s="107"/>
      <c r="BK13" s="108"/>
      <c r="BL13" s="107"/>
      <c r="BM13" s="107" t="s">
        <v>100</v>
      </c>
      <c r="BN13" s="123"/>
      <c r="BO13" s="107"/>
      <c r="BP13" s="130" t="str">
        <f t="shared" si="5"/>
        <v/>
      </c>
      <c r="BQ13" s="107"/>
      <c r="BR13" s="107"/>
      <c r="BS13" s="107"/>
      <c r="BT13" s="107"/>
      <c r="BU13" s="108"/>
      <c r="BV13" s="107"/>
      <c r="BW13" s="107"/>
      <c r="BX13" s="123"/>
      <c r="BY13" s="107"/>
      <c r="BZ13" s="130" t="str">
        <f t="shared" si="6"/>
        <v/>
      </c>
      <c r="CA13" s="107"/>
      <c r="CB13" s="107"/>
      <c r="CC13" s="107"/>
      <c r="CD13" s="107"/>
      <c r="CE13" s="108"/>
      <c r="CF13" s="107"/>
      <c r="CG13" s="107"/>
      <c r="CH13" s="123"/>
      <c r="CI13" s="107"/>
      <c r="CJ13" s="130" t="str">
        <f t="shared" si="7"/>
        <v/>
      </c>
      <c r="CK13" s="107"/>
      <c r="CL13" s="107"/>
      <c r="CM13" s="107"/>
      <c r="CN13" s="107"/>
      <c r="CO13" s="108"/>
      <c r="CP13" s="107"/>
      <c r="CQ13" s="107"/>
      <c r="CR13" s="123"/>
      <c r="CS13" s="107"/>
      <c r="CT13" s="130" t="str">
        <f t="shared" si="8"/>
        <v/>
      </c>
      <c r="CU13" s="107"/>
      <c r="CV13" s="107"/>
      <c r="CW13" s="107"/>
      <c r="CX13" s="107"/>
      <c r="CY13" s="108"/>
      <c r="CZ13" s="107"/>
      <c r="DA13" s="107"/>
      <c r="DB13" s="123"/>
      <c r="DC13" s="107"/>
      <c r="DD13" s="130" t="str">
        <f t="shared" si="9"/>
        <v/>
      </c>
      <c r="DE13" s="107"/>
      <c r="DF13" s="107"/>
      <c r="DG13" s="107"/>
      <c r="DH13" s="107"/>
      <c r="DI13" s="108"/>
      <c r="DJ13" s="107"/>
      <c r="DK13" s="107"/>
      <c r="DL13" s="123"/>
      <c r="DM13" s="107"/>
      <c r="DN13" s="130" t="str">
        <f t="shared" si="10"/>
        <v/>
      </c>
      <c r="DO13" s="107"/>
      <c r="DP13" s="107"/>
      <c r="DQ13" s="107"/>
      <c r="DR13" s="107"/>
      <c r="DS13" s="108"/>
      <c r="DT13" s="107"/>
      <c r="DU13" s="107"/>
      <c r="DV13" s="123"/>
      <c r="DW13" s="107"/>
      <c r="DX13" s="130" t="str">
        <f t="shared" si="11"/>
        <v/>
      </c>
      <c r="DY13" s="107"/>
      <c r="DZ13" s="107"/>
      <c r="EA13" s="107"/>
      <c r="EB13" s="107"/>
      <c r="EC13" s="108"/>
      <c r="ED13" s="107"/>
      <c r="EE13" s="107"/>
      <c r="EF13" s="123"/>
      <c r="EG13" s="107"/>
      <c r="EH13" s="130" t="str">
        <f t="shared" si="12"/>
        <v/>
      </c>
      <c r="EI13" s="107"/>
      <c r="EJ13" s="107"/>
      <c r="EK13" s="107"/>
      <c r="EL13" s="107"/>
      <c r="EM13" s="108"/>
      <c r="EN13" s="107"/>
      <c r="EO13" s="107"/>
      <c r="EP13" s="123"/>
      <c r="EQ13" s="107"/>
      <c r="ER13" s="130" t="str">
        <f t="shared" si="13"/>
        <v/>
      </c>
      <c r="ES13" s="107"/>
      <c r="ET13" s="107"/>
      <c r="EU13" s="107"/>
      <c r="EV13" s="107"/>
      <c r="EW13" s="108"/>
      <c r="EX13" s="107"/>
      <c r="EY13" s="107"/>
      <c r="EZ13" s="123"/>
      <c r="FA13" s="107"/>
      <c r="FB13" s="130" t="str">
        <f t="shared" si="14"/>
        <v/>
      </c>
      <c r="FC13" s="107"/>
      <c r="FD13" s="107"/>
      <c r="FE13" s="107"/>
      <c r="FF13" s="107"/>
      <c r="FG13" s="108"/>
      <c r="FH13" s="107"/>
      <c r="FI13" s="107"/>
      <c r="FJ13" s="123"/>
      <c r="FK13" s="107"/>
      <c r="FL13" s="130" t="str">
        <f t="shared" si="15"/>
        <v/>
      </c>
      <c r="FM13" s="107"/>
      <c r="FN13" s="107"/>
      <c r="FO13" s="107"/>
      <c r="FP13" s="107"/>
      <c r="FQ13" s="108"/>
      <c r="FR13" s="107"/>
      <c r="FS13" s="107"/>
      <c r="FT13" s="123"/>
      <c r="FU13" s="107"/>
      <c r="FV13" s="130" t="str">
        <f t="shared" si="16"/>
        <v/>
      </c>
      <c r="FW13" s="107"/>
      <c r="FX13" s="107"/>
      <c r="FY13" s="107"/>
      <c r="FZ13" s="107"/>
      <c r="GA13" s="108"/>
      <c r="GB13" s="107"/>
      <c r="GC13" s="107"/>
      <c r="GD13" s="123"/>
      <c r="GE13" s="107"/>
      <c r="GF13" s="130" t="str">
        <f t="shared" si="17"/>
        <v/>
      </c>
      <c r="GG13" s="107"/>
      <c r="GH13" s="107"/>
      <c r="GI13" s="107"/>
      <c r="GJ13" s="107"/>
      <c r="GK13" s="108"/>
      <c r="GL13" s="107"/>
      <c r="GM13" s="107"/>
      <c r="GN13" s="123"/>
      <c r="GO13" s="107"/>
      <c r="GP13" s="130" t="str">
        <f t="shared" si="18"/>
        <v/>
      </c>
      <c r="GQ13" s="107"/>
      <c r="GR13" s="107"/>
      <c r="GS13" s="107"/>
      <c r="GT13" s="107"/>
      <c r="GU13" s="108"/>
      <c r="GV13" s="107"/>
      <c r="GW13" s="107"/>
      <c r="GX13" s="123"/>
      <c r="GY13" s="107"/>
      <c r="GZ13" s="130" t="str">
        <f t="shared" si="19"/>
        <v/>
      </c>
      <c r="HA13" s="107"/>
      <c r="HB13" s="107"/>
      <c r="HC13" s="107"/>
      <c r="HD13" s="107"/>
      <c r="HE13" s="108"/>
      <c r="HF13" s="107"/>
      <c r="HG13" s="107"/>
      <c r="HH13" s="123"/>
      <c r="HI13" s="107"/>
      <c r="HJ13" s="130" t="str">
        <f t="shared" si="20"/>
        <v/>
      </c>
      <c r="HK13" s="107"/>
      <c r="HL13" s="107"/>
      <c r="HM13" s="107"/>
      <c r="HN13" s="107"/>
      <c r="HO13" s="108"/>
      <c r="HP13" s="107"/>
      <c r="HQ13" s="107"/>
      <c r="HR13" s="123"/>
      <c r="HS13" s="107"/>
      <c r="HT13" s="130" t="str">
        <f t="shared" si="21"/>
        <v/>
      </c>
      <c r="HU13" s="107"/>
      <c r="HV13" s="107"/>
      <c r="HW13" s="107"/>
      <c r="HX13" s="107"/>
      <c r="HY13" s="108"/>
      <c r="HZ13" s="107"/>
      <c r="IA13" s="107"/>
      <c r="IB13" s="123"/>
      <c r="IC13" s="107"/>
      <c r="ID13" s="130" t="str">
        <f t="shared" si="22"/>
        <v/>
      </c>
      <c r="IE13" s="107"/>
      <c r="IF13" s="107"/>
      <c r="IG13" s="107"/>
      <c r="IH13" s="107"/>
      <c r="II13" s="108"/>
      <c r="IJ13" s="107"/>
      <c r="IK13" s="107"/>
      <c r="IL13" s="123"/>
      <c r="IM13" s="107"/>
      <c r="IN13" s="130" t="str">
        <f t="shared" si="23"/>
        <v/>
      </c>
      <c r="IO13" s="107"/>
      <c r="IP13" s="107"/>
      <c r="IQ13" s="107"/>
      <c r="IR13" s="107"/>
      <c r="IS13" s="108"/>
      <c r="IT13" s="107"/>
      <c r="IU13" s="107"/>
      <c r="IV13" s="123"/>
      <c r="IW13" s="107"/>
      <c r="IX13" s="130" t="str">
        <f t="shared" si="24"/>
        <v/>
      </c>
      <c r="IY13" s="107"/>
      <c r="IZ13" s="107"/>
      <c r="JA13" s="107"/>
      <c r="JB13" s="107"/>
      <c r="JC13" s="108"/>
      <c r="JD13" s="107"/>
      <c r="JE13" s="107"/>
      <c r="JF13" s="123"/>
      <c r="JG13" s="107"/>
      <c r="JH13" s="130" t="str">
        <f t="shared" si="25"/>
        <v/>
      </c>
      <c r="JI13" s="107"/>
      <c r="JJ13" s="107"/>
      <c r="JK13" s="107"/>
      <c r="JL13" s="107"/>
      <c r="JM13" s="108"/>
      <c r="JN13" s="107"/>
      <c r="JO13" s="107"/>
      <c r="JP13" s="123"/>
      <c r="JQ13" s="107"/>
      <c r="JR13" s="130" t="str">
        <f t="shared" si="26"/>
        <v/>
      </c>
      <c r="JS13" s="107"/>
      <c r="JT13" s="107"/>
      <c r="JU13" s="107"/>
      <c r="JV13" s="107"/>
      <c r="JW13" s="108"/>
      <c r="JX13" s="107"/>
      <c r="JY13" s="107"/>
      <c r="JZ13" s="123"/>
      <c r="KA13" s="107"/>
      <c r="KB13" s="130" t="str">
        <f t="shared" si="27"/>
        <v/>
      </c>
      <c r="KC13" s="107"/>
      <c r="KD13" s="107"/>
      <c r="KE13" s="107"/>
      <c r="KF13" s="107"/>
      <c r="KG13" s="108"/>
      <c r="KH13" s="107"/>
      <c r="KI13" s="107"/>
      <c r="KJ13" s="123"/>
      <c r="KK13" s="107"/>
      <c r="KL13" s="130" t="str">
        <f t="shared" si="28"/>
        <v/>
      </c>
      <c r="KM13" s="107"/>
      <c r="KN13" s="107"/>
      <c r="KO13" s="107"/>
      <c r="KP13" s="107"/>
      <c r="KQ13" s="108"/>
      <c r="KR13" s="107"/>
      <c r="KS13" s="107"/>
      <c r="KT13" s="123"/>
      <c r="KU13" s="107"/>
      <c r="KV13" s="130" t="str">
        <f t="shared" si="29"/>
        <v/>
      </c>
      <c r="KW13" s="107"/>
      <c r="KX13" s="107"/>
      <c r="KY13" s="107"/>
      <c r="KZ13" s="107"/>
      <c r="LA13" s="108"/>
      <c r="LB13" s="107"/>
      <c r="LC13" s="107"/>
      <c r="LD13" s="123"/>
      <c r="LE13" s="107"/>
      <c r="LF13" s="130" t="str">
        <f t="shared" si="30"/>
        <v/>
      </c>
      <c r="LG13" s="107"/>
      <c r="LH13" s="107"/>
      <c r="LI13" s="107"/>
      <c r="LJ13" s="107"/>
      <c r="LK13" s="108"/>
      <c r="LL13" s="107"/>
      <c r="LM13" s="107"/>
      <c r="LN13" s="123"/>
      <c r="LO13" s="107"/>
      <c r="LP13" s="130" t="str">
        <f t="shared" si="31"/>
        <v/>
      </c>
      <c r="LQ13" s="107"/>
      <c r="LR13" s="107"/>
      <c r="LS13" s="107"/>
      <c r="LT13" s="107"/>
      <c r="LU13" s="108"/>
      <c r="LV13" s="107"/>
      <c r="LW13" s="107"/>
      <c r="LX13" s="123"/>
      <c r="LY13" s="107"/>
      <c r="LZ13" s="130" t="str">
        <f t="shared" si="32"/>
        <v/>
      </c>
      <c r="MA13" s="107"/>
      <c r="MB13" s="107"/>
      <c r="MC13" s="107"/>
      <c r="MD13" s="107"/>
      <c r="ME13" s="108"/>
    </row>
    <row r="14" spans="2:343" ht="27.95" customHeight="1">
      <c r="B14" s="96" t="str">
        <f ca="1">INDIRECT("'BDD - Joueurs'!B6")</f>
        <v>CAMARA Moussa</v>
      </c>
      <c r="C14" s="145">
        <f>COUNTIF(X14:ME14,C9)</f>
        <v>1</v>
      </c>
      <c r="D14" s="146">
        <f>COUNTIF(X14:ME14,D9)</f>
        <v>0</v>
      </c>
      <c r="E14" s="146">
        <f>COUNTIF(X14:ME14,E9)</f>
        <v>0</v>
      </c>
      <c r="F14" s="147">
        <f>COUNTIF(X14:ME14,F9)</f>
        <v>0</v>
      </c>
      <c r="G14" s="145">
        <f>COUNTIF(X14:ME14,G9)</f>
        <v>1</v>
      </c>
      <c r="H14" s="146">
        <f>COUNTIF(X14:ME14,H9)</f>
        <v>0</v>
      </c>
      <c r="I14" s="146">
        <f>COUNTIF(X14:ME14,I9)</f>
        <v>0</v>
      </c>
      <c r="J14" s="146">
        <f>COUNTIF(X14:ME14,J9)</f>
        <v>0</v>
      </c>
      <c r="K14" s="146">
        <f t="shared" si="37"/>
        <v>1</v>
      </c>
      <c r="L14" s="146">
        <f>COUNTIF(X14:ME14,L9)</f>
        <v>0</v>
      </c>
      <c r="M14" s="146">
        <f t="shared" si="33"/>
        <v>1</v>
      </c>
      <c r="N14" s="146">
        <f>COUNTIF(X14:ME14,N9)</f>
        <v>1</v>
      </c>
      <c r="O14" s="147">
        <f>COUNTIF(X14:ME14,O9)</f>
        <v>1</v>
      </c>
      <c r="P14" s="148">
        <f t="shared" si="0"/>
        <v>67</v>
      </c>
      <c r="Q14" s="149">
        <f t="shared" si="35"/>
        <v>6</v>
      </c>
      <c r="R14" s="166">
        <f t="shared" si="36"/>
        <v>402</v>
      </c>
      <c r="S14" s="148">
        <f t="shared" si="1"/>
        <v>0</v>
      </c>
      <c r="T14" s="148">
        <f t="shared" si="1"/>
        <v>0</v>
      </c>
      <c r="U14" s="148">
        <f t="shared" si="1"/>
        <v>0</v>
      </c>
      <c r="V14" s="148">
        <f t="shared" si="1"/>
        <v>0</v>
      </c>
      <c r="W14" s="147">
        <f t="shared" si="1"/>
        <v>0</v>
      </c>
      <c r="X14" s="109"/>
      <c r="Y14" s="109" t="s">
        <v>14</v>
      </c>
      <c r="Z14" s="124"/>
      <c r="AA14" s="109"/>
      <c r="AB14" s="129" t="str">
        <f t="shared" si="34"/>
        <v/>
      </c>
      <c r="AC14" s="109"/>
      <c r="AD14" s="109"/>
      <c r="AE14" s="109"/>
      <c r="AF14" s="109"/>
      <c r="AG14" s="110"/>
      <c r="AH14" s="109" t="s">
        <v>124</v>
      </c>
      <c r="AI14" s="109" t="s">
        <v>269</v>
      </c>
      <c r="AJ14" s="124">
        <v>67</v>
      </c>
      <c r="AK14" s="109">
        <v>6</v>
      </c>
      <c r="AL14" s="129">
        <f t="shared" si="2"/>
        <v>402</v>
      </c>
      <c r="AM14" s="109"/>
      <c r="AN14" s="109"/>
      <c r="AO14" s="109"/>
      <c r="AP14" s="109"/>
      <c r="AQ14" s="110"/>
      <c r="AR14" s="109"/>
      <c r="AS14" s="109" t="s">
        <v>15</v>
      </c>
      <c r="AT14" s="124"/>
      <c r="AU14" s="109"/>
      <c r="AV14" s="129" t="str">
        <f t="shared" si="3"/>
        <v/>
      </c>
      <c r="AW14" s="109"/>
      <c r="AX14" s="109"/>
      <c r="AY14" s="109"/>
      <c r="AZ14" s="109"/>
      <c r="BA14" s="110"/>
      <c r="BB14" s="109"/>
      <c r="BC14" s="109" t="s">
        <v>271</v>
      </c>
      <c r="BD14" s="124"/>
      <c r="BE14" s="109"/>
      <c r="BF14" s="129" t="str">
        <f t="shared" si="4"/>
        <v/>
      </c>
      <c r="BG14" s="109"/>
      <c r="BH14" s="109"/>
      <c r="BI14" s="109"/>
      <c r="BJ14" s="109"/>
      <c r="BK14" s="110"/>
      <c r="BL14" s="109"/>
      <c r="BM14" s="109" t="s">
        <v>100</v>
      </c>
      <c r="BN14" s="124"/>
      <c r="BO14" s="109"/>
      <c r="BP14" s="129" t="str">
        <f t="shared" si="5"/>
        <v/>
      </c>
      <c r="BQ14" s="109"/>
      <c r="BR14" s="109"/>
      <c r="BS14" s="109"/>
      <c r="BT14" s="109"/>
      <c r="BU14" s="110"/>
      <c r="BV14" s="109"/>
      <c r="BW14" s="109"/>
      <c r="BX14" s="124"/>
      <c r="BY14" s="109"/>
      <c r="BZ14" s="129" t="str">
        <f t="shared" si="6"/>
        <v/>
      </c>
      <c r="CA14" s="109"/>
      <c r="CB14" s="109"/>
      <c r="CC14" s="109"/>
      <c r="CD14" s="109"/>
      <c r="CE14" s="110"/>
      <c r="CF14" s="109"/>
      <c r="CG14" s="109"/>
      <c r="CH14" s="124"/>
      <c r="CI14" s="109"/>
      <c r="CJ14" s="129" t="str">
        <f t="shared" si="7"/>
        <v/>
      </c>
      <c r="CK14" s="109"/>
      <c r="CL14" s="109"/>
      <c r="CM14" s="109"/>
      <c r="CN14" s="109"/>
      <c r="CO14" s="110"/>
      <c r="CP14" s="109"/>
      <c r="CQ14" s="109"/>
      <c r="CR14" s="124"/>
      <c r="CS14" s="109"/>
      <c r="CT14" s="129" t="str">
        <f t="shared" si="8"/>
        <v/>
      </c>
      <c r="CU14" s="109"/>
      <c r="CV14" s="109"/>
      <c r="CW14" s="109"/>
      <c r="CX14" s="109"/>
      <c r="CY14" s="110"/>
      <c r="CZ14" s="109"/>
      <c r="DA14" s="109"/>
      <c r="DB14" s="124"/>
      <c r="DC14" s="109"/>
      <c r="DD14" s="129" t="str">
        <f t="shared" si="9"/>
        <v/>
      </c>
      <c r="DE14" s="109"/>
      <c r="DF14" s="109"/>
      <c r="DG14" s="109"/>
      <c r="DH14" s="109"/>
      <c r="DI14" s="110"/>
      <c r="DJ14" s="109"/>
      <c r="DK14" s="109"/>
      <c r="DL14" s="124"/>
      <c r="DM14" s="109"/>
      <c r="DN14" s="129" t="str">
        <f t="shared" si="10"/>
        <v/>
      </c>
      <c r="DO14" s="109"/>
      <c r="DP14" s="109"/>
      <c r="DQ14" s="109"/>
      <c r="DR14" s="109"/>
      <c r="DS14" s="110"/>
      <c r="DT14" s="109"/>
      <c r="DU14" s="109"/>
      <c r="DV14" s="124"/>
      <c r="DW14" s="109"/>
      <c r="DX14" s="129" t="str">
        <f t="shared" si="11"/>
        <v/>
      </c>
      <c r="DY14" s="109"/>
      <c r="DZ14" s="109"/>
      <c r="EA14" s="109"/>
      <c r="EB14" s="109"/>
      <c r="EC14" s="110"/>
      <c r="ED14" s="109"/>
      <c r="EE14" s="109"/>
      <c r="EF14" s="124"/>
      <c r="EG14" s="109"/>
      <c r="EH14" s="129" t="str">
        <f t="shared" si="12"/>
        <v/>
      </c>
      <c r="EI14" s="109"/>
      <c r="EJ14" s="109"/>
      <c r="EK14" s="109"/>
      <c r="EL14" s="109"/>
      <c r="EM14" s="110"/>
      <c r="EN14" s="109"/>
      <c r="EO14" s="109"/>
      <c r="EP14" s="124"/>
      <c r="EQ14" s="109"/>
      <c r="ER14" s="129" t="str">
        <f t="shared" si="13"/>
        <v/>
      </c>
      <c r="ES14" s="109"/>
      <c r="ET14" s="109"/>
      <c r="EU14" s="109"/>
      <c r="EV14" s="109"/>
      <c r="EW14" s="110"/>
      <c r="EX14" s="109"/>
      <c r="EY14" s="109"/>
      <c r="EZ14" s="124"/>
      <c r="FA14" s="109"/>
      <c r="FB14" s="129" t="str">
        <f t="shared" si="14"/>
        <v/>
      </c>
      <c r="FC14" s="109"/>
      <c r="FD14" s="109"/>
      <c r="FE14" s="109"/>
      <c r="FF14" s="109"/>
      <c r="FG14" s="110"/>
      <c r="FH14" s="109"/>
      <c r="FI14" s="109"/>
      <c r="FJ14" s="124"/>
      <c r="FK14" s="109"/>
      <c r="FL14" s="129" t="str">
        <f t="shared" si="15"/>
        <v/>
      </c>
      <c r="FM14" s="109"/>
      <c r="FN14" s="109"/>
      <c r="FO14" s="109"/>
      <c r="FP14" s="109"/>
      <c r="FQ14" s="110"/>
      <c r="FR14" s="109"/>
      <c r="FS14" s="109"/>
      <c r="FT14" s="124"/>
      <c r="FU14" s="109"/>
      <c r="FV14" s="129" t="str">
        <f t="shared" si="16"/>
        <v/>
      </c>
      <c r="FW14" s="109"/>
      <c r="FX14" s="109"/>
      <c r="FY14" s="109"/>
      <c r="FZ14" s="109"/>
      <c r="GA14" s="110"/>
      <c r="GB14" s="109"/>
      <c r="GC14" s="109"/>
      <c r="GD14" s="124"/>
      <c r="GE14" s="109"/>
      <c r="GF14" s="129" t="str">
        <f t="shared" si="17"/>
        <v/>
      </c>
      <c r="GG14" s="109"/>
      <c r="GH14" s="109"/>
      <c r="GI14" s="109"/>
      <c r="GJ14" s="109"/>
      <c r="GK14" s="110"/>
      <c r="GL14" s="109"/>
      <c r="GM14" s="109"/>
      <c r="GN14" s="124"/>
      <c r="GO14" s="109"/>
      <c r="GP14" s="129" t="str">
        <f t="shared" si="18"/>
        <v/>
      </c>
      <c r="GQ14" s="109"/>
      <c r="GR14" s="109"/>
      <c r="GS14" s="109"/>
      <c r="GT14" s="109"/>
      <c r="GU14" s="110"/>
      <c r="GV14" s="109"/>
      <c r="GW14" s="109"/>
      <c r="GX14" s="124"/>
      <c r="GY14" s="109"/>
      <c r="GZ14" s="129" t="str">
        <f t="shared" si="19"/>
        <v/>
      </c>
      <c r="HA14" s="109"/>
      <c r="HB14" s="109"/>
      <c r="HC14" s="109"/>
      <c r="HD14" s="109"/>
      <c r="HE14" s="110"/>
      <c r="HF14" s="109"/>
      <c r="HG14" s="109"/>
      <c r="HH14" s="124"/>
      <c r="HI14" s="109"/>
      <c r="HJ14" s="129" t="str">
        <f t="shared" si="20"/>
        <v/>
      </c>
      <c r="HK14" s="109"/>
      <c r="HL14" s="109"/>
      <c r="HM14" s="109"/>
      <c r="HN14" s="109"/>
      <c r="HO14" s="110"/>
      <c r="HP14" s="109"/>
      <c r="HQ14" s="109"/>
      <c r="HR14" s="124"/>
      <c r="HS14" s="109"/>
      <c r="HT14" s="129" t="str">
        <f t="shared" si="21"/>
        <v/>
      </c>
      <c r="HU14" s="109"/>
      <c r="HV14" s="109"/>
      <c r="HW14" s="109"/>
      <c r="HX14" s="109"/>
      <c r="HY14" s="110"/>
      <c r="HZ14" s="109"/>
      <c r="IA14" s="109"/>
      <c r="IB14" s="124"/>
      <c r="IC14" s="109"/>
      <c r="ID14" s="129" t="str">
        <f t="shared" si="22"/>
        <v/>
      </c>
      <c r="IE14" s="109"/>
      <c r="IF14" s="109"/>
      <c r="IG14" s="109"/>
      <c r="IH14" s="109"/>
      <c r="II14" s="110"/>
      <c r="IJ14" s="109"/>
      <c r="IK14" s="109"/>
      <c r="IL14" s="124"/>
      <c r="IM14" s="109"/>
      <c r="IN14" s="129" t="str">
        <f t="shared" si="23"/>
        <v/>
      </c>
      <c r="IO14" s="109"/>
      <c r="IP14" s="109"/>
      <c r="IQ14" s="109"/>
      <c r="IR14" s="109"/>
      <c r="IS14" s="110"/>
      <c r="IT14" s="109"/>
      <c r="IU14" s="109"/>
      <c r="IV14" s="124"/>
      <c r="IW14" s="109"/>
      <c r="IX14" s="129" t="str">
        <f t="shared" si="24"/>
        <v/>
      </c>
      <c r="IY14" s="109"/>
      <c r="IZ14" s="109"/>
      <c r="JA14" s="109"/>
      <c r="JB14" s="109"/>
      <c r="JC14" s="110"/>
      <c r="JD14" s="109"/>
      <c r="JE14" s="109"/>
      <c r="JF14" s="124"/>
      <c r="JG14" s="109"/>
      <c r="JH14" s="129" t="str">
        <f t="shared" si="25"/>
        <v/>
      </c>
      <c r="JI14" s="109"/>
      <c r="JJ14" s="109"/>
      <c r="JK14" s="109"/>
      <c r="JL14" s="109"/>
      <c r="JM14" s="110"/>
      <c r="JN14" s="109"/>
      <c r="JO14" s="109"/>
      <c r="JP14" s="124"/>
      <c r="JQ14" s="109"/>
      <c r="JR14" s="129" t="str">
        <f t="shared" si="26"/>
        <v/>
      </c>
      <c r="JS14" s="109"/>
      <c r="JT14" s="109"/>
      <c r="JU14" s="109"/>
      <c r="JV14" s="109"/>
      <c r="JW14" s="110"/>
      <c r="JX14" s="109"/>
      <c r="JY14" s="109"/>
      <c r="JZ14" s="124"/>
      <c r="KA14" s="109"/>
      <c r="KB14" s="129" t="str">
        <f t="shared" si="27"/>
        <v/>
      </c>
      <c r="KC14" s="109"/>
      <c r="KD14" s="109"/>
      <c r="KE14" s="109"/>
      <c r="KF14" s="109"/>
      <c r="KG14" s="110"/>
      <c r="KH14" s="109"/>
      <c r="KI14" s="109"/>
      <c r="KJ14" s="124"/>
      <c r="KK14" s="109"/>
      <c r="KL14" s="129" t="str">
        <f t="shared" si="28"/>
        <v/>
      </c>
      <c r="KM14" s="109"/>
      <c r="KN14" s="109"/>
      <c r="KO14" s="109"/>
      <c r="KP14" s="109"/>
      <c r="KQ14" s="110"/>
      <c r="KR14" s="109"/>
      <c r="KS14" s="109"/>
      <c r="KT14" s="124"/>
      <c r="KU14" s="109"/>
      <c r="KV14" s="129" t="str">
        <f t="shared" si="29"/>
        <v/>
      </c>
      <c r="KW14" s="109"/>
      <c r="KX14" s="109"/>
      <c r="KY14" s="109"/>
      <c r="KZ14" s="109"/>
      <c r="LA14" s="110"/>
      <c r="LB14" s="109"/>
      <c r="LC14" s="109"/>
      <c r="LD14" s="124"/>
      <c r="LE14" s="109"/>
      <c r="LF14" s="129" t="str">
        <f t="shared" si="30"/>
        <v/>
      </c>
      <c r="LG14" s="109"/>
      <c r="LH14" s="109"/>
      <c r="LI14" s="109"/>
      <c r="LJ14" s="109"/>
      <c r="LK14" s="110"/>
      <c r="LL14" s="109"/>
      <c r="LM14" s="109"/>
      <c r="LN14" s="124"/>
      <c r="LO14" s="109"/>
      <c r="LP14" s="129" t="str">
        <f t="shared" si="31"/>
        <v/>
      </c>
      <c r="LQ14" s="109"/>
      <c r="LR14" s="109"/>
      <c r="LS14" s="109"/>
      <c r="LT14" s="109"/>
      <c r="LU14" s="110"/>
      <c r="LV14" s="109"/>
      <c r="LW14" s="109"/>
      <c r="LX14" s="124"/>
      <c r="LY14" s="109"/>
      <c r="LZ14" s="129" t="str">
        <f t="shared" si="32"/>
        <v/>
      </c>
      <c r="MA14" s="109"/>
      <c r="MB14" s="109"/>
      <c r="MC14" s="109"/>
      <c r="MD14" s="109"/>
      <c r="ME14" s="110"/>
    </row>
    <row r="15" spans="2:343" ht="27.95" customHeight="1">
      <c r="B15" s="138" t="str">
        <f ca="1">INDIRECT("'BDD - Joueurs'!B7")</f>
        <v>CARREAU Ethan</v>
      </c>
      <c r="C15" s="140">
        <f>COUNTIF(X15:ME15,C9)</f>
        <v>3</v>
      </c>
      <c r="D15" s="141">
        <f>COUNTIF(X15:ME15,D9)</f>
        <v>0</v>
      </c>
      <c r="E15" s="141">
        <f>COUNTIF(X15:ME15,E9)</f>
        <v>1</v>
      </c>
      <c r="F15" s="142">
        <f>COUNTIF(X15:ME15,F9)</f>
        <v>1</v>
      </c>
      <c r="G15" s="140">
        <f>COUNTIF(X15:ME15,G9)</f>
        <v>5</v>
      </c>
      <c r="H15" s="141">
        <f>COUNTIF(X15:ME15,H9)</f>
        <v>0</v>
      </c>
      <c r="I15" s="141">
        <f>COUNTIF(X15:ME15,I9)</f>
        <v>0</v>
      </c>
      <c r="J15" s="141">
        <f>COUNTIF(X15:ME15,J9)</f>
        <v>0</v>
      </c>
      <c r="K15" s="141">
        <f t="shared" si="37"/>
        <v>0</v>
      </c>
      <c r="L15" s="141">
        <f>COUNTIF(X15:ME15,L9)</f>
        <v>0</v>
      </c>
      <c r="M15" s="141">
        <f t="shared" si="33"/>
        <v>0</v>
      </c>
      <c r="N15" s="141">
        <f>COUNTIF(X15:ME15,N9)</f>
        <v>0</v>
      </c>
      <c r="O15" s="142">
        <f>COUNTIF(X15:ME15,O9)</f>
        <v>0</v>
      </c>
      <c r="P15" s="143">
        <f t="shared" si="0"/>
        <v>425</v>
      </c>
      <c r="Q15" s="144">
        <f t="shared" si="35"/>
        <v>5.8</v>
      </c>
      <c r="R15" s="165">
        <f t="shared" si="36"/>
        <v>2465</v>
      </c>
      <c r="S15" s="143">
        <f t="shared" si="1"/>
        <v>0</v>
      </c>
      <c r="T15" s="143">
        <f t="shared" ref="T15:T39" si="38">SUM(AD15,AN15,AX15,BH15,BR15,CB15,CL15,CV15,DF15,DP15,DZ15,EJ15,ET15,FD15,FN15,FX15,GH15,GR15,HB15,HL15,HV15,IF15,IP15,IZ15,JJ15,JT15,KD15,KN15,KX15,LH15,LR15,MB15)</f>
        <v>0</v>
      </c>
      <c r="U15" s="143">
        <f t="shared" ref="U15:U39" si="39">SUM(AE15,AO15,AY15,BI15,BS15,CC15,CM15,CW15,DG15,DQ15,EA15,EK15,EU15,FE15,FO15,FY15,GI15,GS15,HC15,HM15,HW15,IG15,IQ15,JA15,JK15,JU15,KE15,KO15,KY15,LI15,LS15,MC15)</f>
        <v>1</v>
      </c>
      <c r="V15" s="143">
        <f t="shared" ref="V15:V39" si="40">SUM(AF15,AP15,AZ15,BJ15,BT15,CD15,CN15,CX15,DH15,DR15,EB15,EL15,EV15,FF15,FP15,FZ15,GJ15,GT15,HD15,HN15,HX15,IH15,IR15,JB15,JL15,JV15,KF15,KP15,KZ15,LJ15,LT15,MD15)</f>
        <v>0</v>
      </c>
      <c r="W15" s="142">
        <f t="shared" ref="W15:W39" si="41">SUM(AG15,AQ15,BA15,BK15,BU15,CE15,CO15,CY15,DI15,DS15,EC15,EM15,EW15,FG15,FQ15,GA15,GK15,GU15,HE15,HO15,HY15,II15,IS15,JC15,JM15,JW15,KG15,KQ15,LA15,LK15,LU15,ME15)</f>
        <v>0</v>
      </c>
      <c r="X15" s="107" t="s">
        <v>124</v>
      </c>
      <c r="Y15" s="107" t="s">
        <v>269</v>
      </c>
      <c r="Z15" s="123">
        <v>75</v>
      </c>
      <c r="AA15" s="107">
        <v>5</v>
      </c>
      <c r="AB15" s="130">
        <f t="shared" si="34"/>
        <v>375</v>
      </c>
      <c r="AC15" s="107"/>
      <c r="AD15" s="107"/>
      <c r="AE15" s="107"/>
      <c r="AF15" s="107"/>
      <c r="AG15" s="108"/>
      <c r="AH15" s="107" t="s">
        <v>124</v>
      </c>
      <c r="AI15" s="107" t="s">
        <v>269</v>
      </c>
      <c r="AJ15" s="123">
        <v>80</v>
      </c>
      <c r="AK15" s="107">
        <v>4</v>
      </c>
      <c r="AL15" s="130">
        <f t="shared" si="2"/>
        <v>320</v>
      </c>
      <c r="AM15" s="107"/>
      <c r="AN15" s="107"/>
      <c r="AO15" s="107"/>
      <c r="AP15" s="107"/>
      <c r="AQ15" s="108"/>
      <c r="AR15" s="107" t="s">
        <v>124</v>
      </c>
      <c r="AS15" s="107" t="s">
        <v>269</v>
      </c>
      <c r="AT15" s="123">
        <v>90</v>
      </c>
      <c r="AU15" s="107">
        <v>6</v>
      </c>
      <c r="AV15" s="130">
        <f t="shared" si="3"/>
        <v>540</v>
      </c>
      <c r="AW15" s="107"/>
      <c r="AX15" s="107"/>
      <c r="AY15" s="107"/>
      <c r="AZ15" s="107"/>
      <c r="BA15" s="108"/>
      <c r="BB15" s="107" t="s">
        <v>126</v>
      </c>
      <c r="BC15" s="107" t="s">
        <v>269</v>
      </c>
      <c r="BD15" s="123">
        <v>90</v>
      </c>
      <c r="BE15" s="107">
        <v>6</v>
      </c>
      <c r="BF15" s="130">
        <f t="shared" si="4"/>
        <v>540</v>
      </c>
      <c r="BG15" s="107"/>
      <c r="BH15" s="107"/>
      <c r="BI15" s="107">
        <v>1</v>
      </c>
      <c r="BJ15" s="107"/>
      <c r="BK15" s="108"/>
      <c r="BL15" s="107" t="s">
        <v>127</v>
      </c>
      <c r="BM15" s="107" t="s">
        <v>269</v>
      </c>
      <c r="BN15" s="123">
        <v>90</v>
      </c>
      <c r="BO15" s="107">
        <v>8</v>
      </c>
      <c r="BP15" s="130">
        <f t="shared" si="5"/>
        <v>720</v>
      </c>
      <c r="BQ15" s="107"/>
      <c r="BR15" s="107"/>
      <c r="BS15" s="107"/>
      <c r="BT15" s="107"/>
      <c r="BU15" s="108"/>
      <c r="BV15" s="107"/>
      <c r="BW15" s="107"/>
      <c r="BX15" s="123"/>
      <c r="BY15" s="107"/>
      <c r="BZ15" s="130" t="str">
        <f t="shared" si="6"/>
        <v/>
      </c>
      <c r="CA15" s="107"/>
      <c r="CB15" s="107"/>
      <c r="CC15" s="107"/>
      <c r="CD15" s="107"/>
      <c r="CE15" s="108"/>
      <c r="CF15" s="107"/>
      <c r="CG15" s="107"/>
      <c r="CH15" s="123"/>
      <c r="CI15" s="107"/>
      <c r="CJ15" s="130" t="str">
        <f t="shared" si="7"/>
        <v/>
      </c>
      <c r="CK15" s="107"/>
      <c r="CL15" s="107"/>
      <c r="CM15" s="107"/>
      <c r="CN15" s="107"/>
      <c r="CO15" s="108"/>
      <c r="CP15" s="107"/>
      <c r="CQ15" s="107"/>
      <c r="CR15" s="123"/>
      <c r="CS15" s="107"/>
      <c r="CT15" s="130" t="str">
        <f t="shared" si="8"/>
        <v/>
      </c>
      <c r="CU15" s="107"/>
      <c r="CV15" s="107"/>
      <c r="CW15" s="107"/>
      <c r="CX15" s="107"/>
      <c r="CY15" s="108"/>
      <c r="CZ15" s="107"/>
      <c r="DA15" s="107"/>
      <c r="DB15" s="123"/>
      <c r="DC15" s="107"/>
      <c r="DD15" s="130" t="str">
        <f t="shared" si="9"/>
        <v/>
      </c>
      <c r="DE15" s="107"/>
      <c r="DF15" s="107"/>
      <c r="DG15" s="107"/>
      <c r="DH15" s="107"/>
      <c r="DI15" s="108"/>
      <c r="DJ15" s="107"/>
      <c r="DK15" s="107"/>
      <c r="DL15" s="123"/>
      <c r="DM15" s="107"/>
      <c r="DN15" s="130" t="str">
        <f t="shared" si="10"/>
        <v/>
      </c>
      <c r="DO15" s="107"/>
      <c r="DP15" s="107"/>
      <c r="DQ15" s="107"/>
      <c r="DR15" s="107"/>
      <c r="DS15" s="108"/>
      <c r="DT15" s="107"/>
      <c r="DU15" s="107"/>
      <c r="DV15" s="123"/>
      <c r="DW15" s="107"/>
      <c r="DX15" s="130" t="str">
        <f t="shared" si="11"/>
        <v/>
      </c>
      <c r="DY15" s="107"/>
      <c r="DZ15" s="107"/>
      <c r="EA15" s="107"/>
      <c r="EB15" s="107"/>
      <c r="EC15" s="108"/>
      <c r="ED15" s="107"/>
      <c r="EE15" s="107"/>
      <c r="EF15" s="123"/>
      <c r="EG15" s="107"/>
      <c r="EH15" s="130" t="str">
        <f t="shared" si="12"/>
        <v/>
      </c>
      <c r="EI15" s="107"/>
      <c r="EJ15" s="107"/>
      <c r="EK15" s="107"/>
      <c r="EL15" s="107"/>
      <c r="EM15" s="108"/>
      <c r="EN15" s="107"/>
      <c r="EO15" s="107"/>
      <c r="EP15" s="123"/>
      <c r="EQ15" s="107"/>
      <c r="ER15" s="130" t="str">
        <f t="shared" si="13"/>
        <v/>
      </c>
      <c r="ES15" s="107"/>
      <c r="ET15" s="107"/>
      <c r="EU15" s="107"/>
      <c r="EV15" s="107"/>
      <c r="EW15" s="108"/>
      <c r="EX15" s="107"/>
      <c r="EY15" s="107"/>
      <c r="EZ15" s="123"/>
      <c r="FA15" s="107"/>
      <c r="FB15" s="130" t="str">
        <f t="shared" si="14"/>
        <v/>
      </c>
      <c r="FC15" s="107"/>
      <c r="FD15" s="107"/>
      <c r="FE15" s="107"/>
      <c r="FF15" s="107"/>
      <c r="FG15" s="108"/>
      <c r="FH15" s="107"/>
      <c r="FI15" s="107"/>
      <c r="FJ15" s="123"/>
      <c r="FK15" s="107"/>
      <c r="FL15" s="130" t="str">
        <f t="shared" si="15"/>
        <v/>
      </c>
      <c r="FM15" s="107"/>
      <c r="FN15" s="107"/>
      <c r="FO15" s="107"/>
      <c r="FP15" s="107"/>
      <c r="FQ15" s="108"/>
      <c r="FR15" s="107"/>
      <c r="FS15" s="107"/>
      <c r="FT15" s="123"/>
      <c r="FU15" s="107"/>
      <c r="FV15" s="130" t="str">
        <f t="shared" si="16"/>
        <v/>
      </c>
      <c r="FW15" s="107"/>
      <c r="FX15" s="107"/>
      <c r="FY15" s="107"/>
      <c r="FZ15" s="107"/>
      <c r="GA15" s="108"/>
      <c r="GB15" s="107"/>
      <c r="GC15" s="107"/>
      <c r="GD15" s="123"/>
      <c r="GE15" s="107"/>
      <c r="GF15" s="130" t="str">
        <f t="shared" si="17"/>
        <v/>
      </c>
      <c r="GG15" s="107"/>
      <c r="GH15" s="107"/>
      <c r="GI15" s="107"/>
      <c r="GJ15" s="107"/>
      <c r="GK15" s="108"/>
      <c r="GL15" s="107"/>
      <c r="GM15" s="107"/>
      <c r="GN15" s="123"/>
      <c r="GO15" s="107"/>
      <c r="GP15" s="130" t="str">
        <f t="shared" si="18"/>
        <v/>
      </c>
      <c r="GQ15" s="107"/>
      <c r="GR15" s="107"/>
      <c r="GS15" s="107"/>
      <c r="GT15" s="107"/>
      <c r="GU15" s="108"/>
      <c r="GV15" s="107"/>
      <c r="GW15" s="107"/>
      <c r="GX15" s="123"/>
      <c r="GY15" s="107"/>
      <c r="GZ15" s="130" t="str">
        <f t="shared" si="19"/>
        <v/>
      </c>
      <c r="HA15" s="107"/>
      <c r="HB15" s="107"/>
      <c r="HC15" s="107"/>
      <c r="HD15" s="107"/>
      <c r="HE15" s="108"/>
      <c r="HF15" s="107"/>
      <c r="HG15" s="107"/>
      <c r="HH15" s="123"/>
      <c r="HI15" s="107"/>
      <c r="HJ15" s="130" t="str">
        <f t="shared" si="20"/>
        <v/>
      </c>
      <c r="HK15" s="107"/>
      <c r="HL15" s="107"/>
      <c r="HM15" s="107"/>
      <c r="HN15" s="107"/>
      <c r="HO15" s="108"/>
      <c r="HP15" s="107"/>
      <c r="HQ15" s="107"/>
      <c r="HR15" s="123"/>
      <c r="HS15" s="107"/>
      <c r="HT15" s="130" t="str">
        <f t="shared" si="21"/>
        <v/>
      </c>
      <c r="HU15" s="107"/>
      <c r="HV15" s="107"/>
      <c r="HW15" s="107"/>
      <c r="HX15" s="107"/>
      <c r="HY15" s="108"/>
      <c r="HZ15" s="107"/>
      <c r="IA15" s="107"/>
      <c r="IB15" s="123"/>
      <c r="IC15" s="107"/>
      <c r="ID15" s="130" t="str">
        <f t="shared" si="22"/>
        <v/>
      </c>
      <c r="IE15" s="107"/>
      <c r="IF15" s="107"/>
      <c r="IG15" s="107"/>
      <c r="IH15" s="107"/>
      <c r="II15" s="108"/>
      <c r="IJ15" s="107"/>
      <c r="IK15" s="107"/>
      <c r="IL15" s="123"/>
      <c r="IM15" s="107"/>
      <c r="IN15" s="130" t="str">
        <f t="shared" si="23"/>
        <v/>
      </c>
      <c r="IO15" s="107"/>
      <c r="IP15" s="107"/>
      <c r="IQ15" s="107"/>
      <c r="IR15" s="107"/>
      <c r="IS15" s="108"/>
      <c r="IT15" s="107"/>
      <c r="IU15" s="107"/>
      <c r="IV15" s="123"/>
      <c r="IW15" s="107"/>
      <c r="IX15" s="130" t="str">
        <f t="shared" si="24"/>
        <v/>
      </c>
      <c r="IY15" s="107"/>
      <c r="IZ15" s="107"/>
      <c r="JA15" s="107"/>
      <c r="JB15" s="107"/>
      <c r="JC15" s="108"/>
      <c r="JD15" s="107"/>
      <c r="JE15" s="107"/>
      <c r="JF15" s="123"/>
      <c r="JG15" s="107"/>
      <c r="JH15" s="130" t="str">
        <f t="shared" si="25"/>
        <v/>
      </c>
      <c r="JI15" s="107"/>
      <c r="JJ15" s="107"/>
      <c r="JK15" s="107"/>
      <c r="JL15" s="107"/>
      <c r="JM15" s="108"/>
      <c r="JN15" s="107"/>
      <c r="JO15" s="107"/>
      <c r="JP15" s="123"/>
      <c r="JQ15" s="107"/>
      <c r="JR15" s="130" t="str">
        <f t="shared" si="26"/>
        <v/>
      </c>
      <c r="JS15" s="107"/>
      <c r="JT15" s="107"/>
      <c r="JU15" s="107"/>
      <c r="JV15" s="107"/>
      <c r="JW15" s="108"/>
      <c r="JX15" s="107"/>
      <c r="JY15" s="107"/>
      <c r="JZ15" s="123"/>
      <c r="KA15" s="107"/>
      <c r="KB15" s="130" t="str">
        <f t="shared" si="27"/>
        <v/>
      </c>
      <c r="KC15" s="107"/>
      <c r="KD15" s="107"/>
      <c r="KE15" s="107"/>
      <c r="KF15" s="107"/>
      <c r="KG15" s="108"/>
      <c r="KH15" s="107"/>
      <c r="KI15" s="107"/>
      <c r="KJ15" s="123"/>
      <c r="KK15" s="107"/>
      <c r="KL15" s="130" t="str">
        <f t="shared" si="28"/>
        <v/>
      </c>
      <c r="KM15" s="107"/>
      <c r="KN15" s="107"/>
      <c r="KO15" s="107"/>
      <c r="KP15" s="107"/>
      <c r="KQ15" s="108"/>
      <c r="KR15" s="107"/>
      <c r="KS15" s="107"/>
      <c r="KT15" s="123"/>
      <c r="KU15" s="107"/>
      <c r="KV15" s="130" t="str">
        <f t="shared" si="29"/>
        <v/>
      </c>
      <c r="KW15" s="107"/>
      <c r="KX15" s="107"/>
      <c r="KY15" s="107"/>
      <c r="KZ15" s="107"/>
      <c r="LA15" s="108"/>
      <c r="LB15" s="107"/>
      <c r="LC15" s="107"/>
      <c r="LD15" s="123"/>
      <c r="LE15" s="107"/>
      <c r="LF15" s="130" t="str">
        <f t="shared" si="30"/>
        <v/>
      </c>
      <c r="LG15" s="107"/>
      <c r="LH15" s="107"/>
      <c r="LI15" s="107"/>
      <c r="LJ15" s="107"/>
      <c r="LK15" s="108"/>
      <c r="LL15" s="107"/>
      <c r="LM15" s="107"/>
      <c r="LN15" s="123"/>
      <c r="LO15" s="107"/>
      <c r="LP15" s="130" t="str">
        <f t="shared" si="31"/>
        <v/>
      </c>
      <c r="LQ15" s="107"/>
      <c r="LR15" s="107"/>
      <c r="LS15" s="107"/>
      <c r="LT15" s="107"/>
      <c r="LU15" s="108"/>
      <c r="LV15" s="107"/>
      <c r="LW15" s="107"/>
      <c r="LX15" s="123"/>
      <c r="LY15" s="107"/>
      <c r="LZ15" s="130" t="str">
        <f t="shared" si="32"/>
        <v/>
      </c>
      <c r="MA15" s="107"/>
      <c r="MB15" s="107"/>
      <c r="MC15" s="107"/>
      <c r="MD15" s="107"/>
      <c r="ME15" s="108"/>
    </row>
    <row r="16" spans="2:343" ht="27.95" customHeight="1">
      <c r="B16" s="96" t="str">
        <f ca="1">INDIRECT("'BDD - Joueurs'!B8")</f>
        <v>CHEROD Alexis</v>
      </c>
      <c r="C16" s="145">
        <f>COUNTIF(X16:ME16,C9)</f>
        <v>3</v>
      </c>
      <c r="D16" s="146">
        <f>COUNTIF(X16:ME16,D9)</f>
        <v>0</v>
      </c>
      <c r="E16" s="146">
        <f>COUNTIF(X16:ME16,E9)</f>
        <v>1</v>
      </c>
      <c r="F16" s="147">
        <f>COUNTIF(X16:ME16,F9)</f>
        <v>0</v>
      </c>
      <c r="G16" s="145">
        <f>COUNTIF(X16:ME16,G9)</f>
        <v>4</v>
      </c>
      <c r="H16" s="146">
        <f>COUNTIF(X16:ME16,H9)</f>
        <v>0</v>
      </c>
      <c r="I16" s="146">
        <f>COUNTIF(X16:ME16,I9)</f>
        <v>0</v>
      </c>
      <c r="J16" s="146">
        <f>COUNTIF(X16:ME16,J9)</f>
        <v>0</v>
      </c>
      <c r="K16" s="146">
        <f t="shared" si="37"/>
        <v>0</v>
      </c>
      <c r="L16" s="146">
        <f>COUNTIF(X16:ME16,L9)</f>
        <v>1</v>
      </c>
      <c r="M16" s="146">
        <f t="shared" si="33"/>
        <v>0</v>
      </c>
      <c r="N16" s="146">
        <f>COUNTIF(X16:ME16,N9)</f>
        <v>0</v>
      </c>
      <c r="O16" s="147">
        <f>COUNTIF(X16:ME16,O9)</f>
        <v>0</v>
      </c>
      <c r="P16" s="148">
        <f t="shared" si="0"/>
        <v>182</v>
      </c>
      <c r="Q16" s="149">
        <f t="shared" si="35"/>
        <v>5.75</v>
      </c>
      <c r="R16" s="166">
        <f t="shared" si="36"/>
        <v>1046.5</v>
      </c>
      <c r="S16" s="148">
        <f t="shared" ref="S16:S28" si="42">SUM(AC16,AM16,AW16,BG16,BQ16,CA16,CK16,CU16,DE16,DO16,DY16,EI16,ES16,FC16,FM16,FW16,GG16,GQ16,HA16,HK16,HU16,IE16,IO16,IY16,JI16,JS16,KC16,KM16,KW16,LG16,LQ16,MA16)</f>
        <v>0</v>
      </c>
      <c r="T16" s="148">
        <f t="shared" si="38"/>
        <v>0</v>
      </c>
      <c r="U16" s="148">
        <f t="shared" si="39"/>
        <v>0</v>
      </c>
      <c r="V16" s="148">
        <f t="shared" si="40"/>
        <v>0</v>
      </c>
      <c r="W16" s="147">
        <f t="shared" si="41"/>
        <v>1</v>
      </c>
      <c r="X16" s="109" t="s">
        <v>124</v>
      </c>
      <c r="Y16" s="109" t="s">
        <v>269</v>
      </c>
      <c r="Z16" s="124">
        <v>60</v>
      </c>
      <c r="AA16" s="109">
        <v>5</v>
      </c>
      <c r="AB16" s="129">
        <f t="shared" si="34"/>
        <v>300</v>
      </c>
      <c r="AC16" s="109"/>
      <c r="AD16" s="109"/>
      <c r="AE16" s="109"/>
      <c r="AF16" s="109"/>
      <c r="AG16" s="110"/>
      <c r="AH16" s="109" t="s">
        <v>124</v>
      </c>
      <c r="AI16" s="109" t="s">
        <v>269</v>
      </c>
      <c r="AJ16" s="124">
        <v>57</v>
      </c>
      <c r="AK16" s="109">
        <v>4</v>
      </c>
      <c r="AL16" s="129">
        <f t="shared" si="2"/>
        <v>228</v>
      </c>
      <c r="AM16" s="109"/>
      <c r="AN16" s="109"/>
      <c r="AO16" s="109"/>
      <c r="AP16" s="109"/>
      <c r="AQ16" s="110"/>
      <c r="AR16" s="109" t="s">
        <v>124</v>
      </c>
      <c r="AS16" s="109" t="s">
        <v>269</v>
      </c>
      <c r="AT16" s="124">
        <v>45</v>
      </c>
      <c r="AU16" s="109">
        <v>8</v>
      </c>
      <c r="AV16" s="129">
        <f t="shared" si="3"/>
        <v>360</v>
      </c>
      <c r="AW16" s="109"/>
      <c r="AX16" s="109"/>
      <c r="AY16" s="109"/>
      <c r="AZ16" s="109"/>
      <c r="BA16" s="110"/>
      <c r="BB16" s="109" t="s">
        <v>126</v>
      </c>
      <c r="BC16" s="109" t="s">
        <v>269</v>
      </c>
      <c r="BD16" s="124">
        <v>20</v>
      </c>
      <c r="BE16" s="109">
        <v>6</v>
      </c>
      <c r="BF16" s="129">
        <f t="shared" si="4"/>
        <v>120</v>
      </c>
      <c r="BG16" s="109"/>
      <c r="BH16" s="109"/>
      <c r="BI16" s="109"/>
      <c r="BJ16" s="109"/>
      <c r="BK16" s="110">
        <v>1</v>
      </c>
      <c r="BL16" s="109"/>
      <c r="BM16" s="109" t="s">
        <v>12</v>
      </c>
      <c r="BN16" s="124"/>
      <c r="BO16" s="109"/>
      <c r="BP16" s="129" t="str">
        <f t="shared" si="5"/>
        <v/>
      </c>
      <c r="BQ16" s="109"/>
      <c r="BR16" s="109"/>
      <c r="BS16" s="109"/>
      <c r="BT16" s="109"/>
      <c r="BU16" s="110"/>
      <c r="BV16" s="109"/>
      <c r="BW16" s="109"/>
      <c r="BX16" s="124"/>
      <c r="BY16" s="109"/>
      <c r="BZ16" s="129" t="str">
        <f t="shared" si="6"/>
        <v/>
      </c>
      <c r="CA16" s="109"/>
      <c r="CB16" s="109"/>
      <c r="CC16" s="109"/>
      <c r="CD16" s="109"/>
      <c r="CE16" s="110"/>
      <c r="CF16" s="109"/>
      <c r="CG16" s="109"/>
      <c r="CH16" s="124"/>
      <c r="CI16" s="109"/>
      <c r="CJ16" s="129" t="str">
        <f t="shared" si="7"/>
        <v/>
      </c>
      <c r="CK16" s="109"/>
      <c r="CL16" s="109"/>
      <c r="CM16" s="109"/>
      <c r="CN16" s="109"/>
      <c r="CO16" s="110"/>
      <c r="CP16" s="109"/>
      <c r="CQ16" s="109"/>
      <c r="CR16" s="124"/>
      <c r="CS16" s="109"/>
      <c r="CT16" s="129" t="str">
        <f t="shared" si="8"/>
        <v/>
      </c>
      <c r="CU16" s="109"/>
      <c r="CV16" s="109"/>
      <c r="CW16" s="109"/>
      <c r="CX16" s="109"/>
      <c r="CY16" s="110"/>
      <c r="CZ16" s="109"/>
      <c r="DA16" s="109"/>
      <c r="DB16" s="124"/>
      <c r="DC16" s="109"/>
      <c r="DD16" s="129" t="str">
        <f t="shared" si="9"/>
        <v/>
      </c>
      <c r="DE16" s="109"/>
      <c r="DF16" s="109"/>
      <c r="DG16" s="109"/>
      <c r="DH16" s="109"/>
      <c r="DI16" s="110"/>
      <c r="DJ16" s="109"/>
      <c r="DK16" s="109"/>
      <c r="DL16" s="124"/>
      <c r="DM16" s="109"/>
      <c r="DN16" s="129" t="str">
        <f t="shared" si="10"/>
        <v/>
      </c>
      <c r="DO16" s="109"/>
      <c r="DP16" s="109"/>
      <c r="DQ16" s="109"/>
      <c r="DR16" s="109"/>
      <c r="DS16" s="110"/>
      <c r="DT16" s="109"/>
      <c r="DU16" s="109"/>
      <c r="DV16" s="124"/>
      <c r="DW16" s="109"/>
      <c r="DX16" s="129" t="str">
        <f t="shared" si="11"/>
        <v/>
      </c>
      <c r="DY16" s="109"/>
      <c r="DZ16" s="109"/>
      <c r="EA16" s="109"/>
      <c r="EB16" s="109"/>
      <c r="EC16" s="110"/>
      <c r="ED16" s="109"/>
      <c r="EE16" s="109"/>
      <c r="EF16" s="124"/>
      <c r="EG16" s="109"/>
      <c r="EH16" s="129" t="str">
        <f t="shared" si="12"/>
        <v/>
      </c>
      <c r="EI16" s="109"/>
      <c r="EJ16" s="109"/>
      <c r="EK16" s="109"/>
      <c r="EL16" s="109"/>
      <c r="EM16" s="110"/>
      <c r="EN16" s="109"/>
      <c r="EO16" s="109"/>
      <c r="EP16" s="124"/>
      <c r="EQ16" s="109"/>
      <c r="ER16" s="129" t="str">
        <f t="shared" si="13"/>
        <v/>
      </c>
      <c r="ES16" s="109"/>
      <c r="ET16" s="109"/>
      <c r="EU16" s="109"/>
      <c r="EV16" s="109"/>
      <c r="EW16" s="110"/>
      <c r="EX16" s="109"/>
      <c r="EY16" s="109"/>
      <c r="EZ16" s="124"/>
      <c r="FA16" s="109"/>
      <c r="FB16" s="129" t="str">
        <f t="shared" si="14"/>
        <v/>
      </c>
      <c r="FC16" s="109"/>
      <c r="FD16" s="109"/>
      <c r="FE16" s="109"/>
      <c r="FF16" s="109"/>
      <c r="FG16" s="110"/>
      <c r="FH16" s="109"/>
      <c r="FI16" s="109"/>
      <c r="FJ16" s="124"/>
      <c r="FK16" s="109"/>
      <c r="FL16" s="129" t="str">
        <f t="shared" si="15"/>
        <v/>
      </c>
      <c r="FM16" s="109"/>
      <c r="FN16" s="109"/>
      <c r="FO16" s="109"/>
      <c r="FP16" s="109"/>
      <c r="FQ16" s="110"/>
      <c r="FR16" s="109"/>
      <c r="FS16" s="109"/>
      <c r="FT16" s="124"/>
      <c r="FU16" s="109"/>
      <c r="FV16" s="129" t="str">
        <f t="shared" si="16"/>
        <v/>
      </c>
      <c r="FW16" s="109"/>
      <c r="FX16" s="109"/>
      <c r="FY16" s="109"/>
      <c r="FZ16" s="109"/>
      <c r="GA16" s="110"/>
      <c r="GB16" s="109"/>
      <c r="GC16" s="109"/>
      <c r="GD16" s="124"/>
      <c r="GE16" s="109"/>
      <c r="GF16" s="129" t="str">
        <f t="shared" si="17"/>
        <v/>
      </c>
      <c r="GG16" s="109"/>
      <c r="GH16" s="109"/>
      <c r="GI16" s="109"/>
      <c r="GJ16" s="109"/>
      <c r="GK16" s="110"/>
      <c r="GL16" s="109"/>
      <c r="GM16" s="109"/>
      <c r="GN16" s="124"/>
      <c r="GO16" s="109"/>
      <c r="GP16" s="129" t="str">
        <f t="shared" si="18"/>
        <v/>
      </c>
      <c r="GQ16" s="109"/>
      <c r="GR16" s="109"/>
      <c r="GS16" s="109"/>
      <c r="GT16" s="109"/>
      <c r="GU16" s="110"/>
      <c r="GV16" s="109"/>
      <c r="GW16" s="109"/>
      <c r="GX16" s="124"/>
      <c r="GY16" s="109"/>
      <c r="GZ16" s="129" t="str">
        <f t="shared" si="19"/>
        <v/>
      </c>
      <c r="HA16" s="109"/>
      <c r="HB16" s="109"/>
      <c r="HC16" s="109"/>
      <c r="HD16" s="109"/>
      <c r="HE16" s="110"/>
      <c r="HF16" s="109"/>
      <c r="HG16" s="109"/>
      <c r="HH16" s="124"/>
      <c r="HI16" s="109"/>
      <c r="HJ16" s="129" t="str">
        <f t="shared" si="20"/>
        <v/>
      </c>
      <c r="HK16" s="109"/>
      <c r="HL16" s="109"/>
      <c r="HM16" s="109"/>
      <c r="HN16" s="109"/>
      <c r="HO16" s="110"/>
      <c r="HP16" s="109"/>
      <c r="HQ16" s="109"/>
      <c r="HR16" s="124"/>
      <c r="HS16" s="109"/>
      <c r="HT16" s="129" t="str">
        <f t="shared" si="21"/>
        <v/>
      </c>
      <c r="HU16" s="109"/>
      <c r="HV16" s="109"/>
      <c r="HW16" s="109"/>
      <c r="HX16" s="109"/>
      <c r="HY16" s="110"/>
      <c r="HZ16" s="109"/>
      <c r="IA16" s="109"/>
      <c r="IB16" s="124"/>
      <c r="IC16" s="109"/>
      <c r="ID16" s="129" t="str">
        <f t="shared" si="22"/>
        <v/>
      </c>
      <c r="IE16" s="109"/>
      <c r="IF16" s="109"/>
      <c r="IG16" s="109"/>
      <c r="IH16" s="109"/>
      <c r="II16" s="110"/>
      <c r="IJ16" s="109"/>
      <c r="IK16" s="109"/>
      <c r="IL16" s="124"/>
      <c r="IM16" s="109"/>
      <c r="IN16" s="129" t="str">
        <f t="shared" si="23"/>
        <v/>
      </c>
      <c r="IO16" s="109"/>
      <c r="IP16" s="109"/>
      <c r="IQ16" s="109"/>
      <c r="IR16" s="109"/>
      <c r="IS16" s="110"/>
      <c r="IT16" s="109"/>
      <c r="IU16" s="109"/>
      <c r="IV16" s="124"/>
      <c r="IW16" s="109"/>
      <c r="IX16" s="129" t="str">
        <f t="shared" si="24"/>
        <v/>
      </c>
      <c r="IY16" s="109"/>
      <c r="IZ16" s="109"/>
      <c r="JA16" s="109"/>
      <c r="JB16" s="109"/>
      <c r="JC16" s="110"/>
      <c r="JD16" s="109"/>
      <c r="JE16" s="109"/>
      <c r="JF16" s="124"/>
      <c r="JG16" s="109"/>
      <c r="JH16" s="129" t="str">
        <f t="shared" si="25"/>
        <v/>
      </c>
      <c r="JI16" s="109"/>
      <c r="JJ16" s="109"/>
      <c r="JK16" s="109"/>
      <c r="JL16" s="109"/>
      <c r="JM16" s="110"/>
      <c r="JN16" s="109"/>
      <c r="JO16" s="109"/>
      <c r="JP16" s="124"/>
      <c r="JQ16" s="109"/>
      <c r="JR16" s="129" t="str">
        <f t="shared" si="26"/>
        <v/>
      </c>
      <c r="JS16" s="109"/>
      <c r="JT16" s="109"/>
      <c r="JU16" s="109"/>
      <c r="JV16" s="109"/>
      <c r="JW16" s="110"/>
      <c r="JX16" s="109"/>
      <c r="JY16" s="109"/>
      <c r="JZ16" s="124"/>
      <c r="KA16" s="109"/>
      <c r="KB16" s="129" t="str">
        <f t="shared" si="27"/>
        <v/>
      </c>
      <c r="KC16" s="109"/>
      <c r="KD16" s="109"/>
      <c r="KE16" s="109"/>
      <c r="KF16" s="109"/>
      <c r="KG16" s="110"/>
      <c r="KH16" s="109"/>
      <c r="KI16" s="109"/>
      <c r="KJ16" s="124"/>
      <c r="KK16" s="109"/>
      <c r="KL16" s="129" t="str">
        <f t="shared" si="28"/>
        <v/>
      </c>
      <c r="KM16" s="109"/>
      <c r="KN16" s="109"/>
      <c r="KO16" s="109"/>
      <c r="KP16" s="109"/>
      <c r="KQ16" s="110"/>
      <c r="KR16" s="109"/>
      <c r="KS16" s="109"/>
      <c r="KT16" s="124"/>
      <c r="KU16" s="109"/>
      <c r="KV16" s="129" t="str">
        <f t="shared" si="29"/>
        <v/>
      </c>
      <c r="KW16" s="109"/>
      <c r="KX16" s="109"/>
      <c r="KY16" s="109"/>
      <c r="KZ16" s="109"/>
      <c r="LA16" s="110"/>
      <c r="LB16" s="109"/>
      <c r="LC16" s="109"/>
      <c r="LD16" s="124"/>
      <c r="LE16" s="109"/>
      <c r="LF16" s="129" t="str">
        <f t="shared" si="30"/>
        <v/>
      </c>
      <c r="LG16" s="109"/>
      <c r="LH16" s="109"/>
      <c r="LI16" s="109"/>
      <c r="LJ16" s="109"/>
      <c r="LK16" s="110"/>
      <c r="LL16" s="109"/>
      <c r="LM16" s="109"/>
      <c r="LN16" s="124"/>
      <c r="LO16" s="109"/>
      <c r="LP16" s="129" t="str">
        <f t="shared" si="31"/>
        <v/>
      </c>
      <c r="LQ16" s="109"/>
      <c r="LR16" s="109"/>
      <c r="LS16" s="109"/>
      <c r="LT16" s="109"/>
      <c r="LU16" s="110"/>
      <c r="LV16" s="109"/>
      <c r="LW16" s="109"/>
      <c r="LX16" s="124"/>
      <c r="LY16" s="109"/>
      <c r="LZ16" s="129" t="str">
        <f t="shared" si="32"/>
        <v/>
      </c>
      <c r="MA16" s="109"/>
      <c r="MB16" s="109"/>
      <c r="MC16" s="109"/>
      <c r="MD16" s="109"/>
      <c r="ME16" s="110"/>
    </row>
    <row r="17" spans="2:343" ht="27.95" customHeight="1">
      <c r="B17" s="138" t="str">
        <f ca="1">INDIRECT("'BDD - Joueurs'!B9")</f>
        <v>DJEHICHE Ramzi</v>
      </c>
      <c r="C17" s="140">
        <f>COUNTIF(X17:ME17,C9)</f>
        <v>2</v>
      </c>
      <c r="D17" s="141">
        <f>COUNTIF(X17:ME17,D9)</f>
        <v>0</v>
      </c>
      <c r="E17" s="141">
        <f>COUNTIF(X17:ME17,E9)</f>
        <v>0</v>
      </c>
      <c r="F17" s="142">
        <f>COUNTIF(X17:ME17,F9)</f>
        <v>0</v>
      </c>
      <c r="G17" s="140">
        <f>COUNTIF(X17:ME17,G9)</f>
        <v>2</v>
      </c>
      <c r="H17" s="141">
        <f>COUNTIF(X17:ME17,H9)</f>
        <v>0</v>
      </c>
      <c r="I17" s="141">
        <f>COUNTIF(X17:ME17,I9)</f>
        <v>0</v>
      </c>
      <c r="J17" s="141">
        <f>COUNTIF(X17:ME17,J9)</f>
        <v>0</v>
      </c>
      <c r="K17" s="141">
        <f t="shared" si="37"/>
        <v>1</v>
      </c>
      <c r="L17" s="141">
        <f>COUNTIF(X17:ME17,L9)</f>
        <v>0</v>
      </c>
      <c r="M17" s="141">
        <f t="shared" si="33"/>
        <v>0</v>
      </c>
      <c r="N17" s="141">
        <f>COUNTIF(X17:ME17,N9)</f>
        <v>2</v>
      </c>
      <c r="O17" s="142">
        <f>COUNTIF(X17:ME17,O9)</f>
        <v>0</v>
      </c>
      <c r="P17" s="143">
        <f t="shared" si="0"/>
        <v>117</v>
      </c>
      <c r="Q17" s="144">
        <f t="shared" si="35"/>
        <v>5</v>
      </c>
      <c r="R17" s="165">
        <f t="shared" si="36"/>
        <v>585</v>
      </c>
      <c r="S17" s="143">
        <f t="shared" si="42"/>
        <v>0</v>
      </c>
      <c r="T17" s="143">
        <f t="shared" si="38"/>
        <v>0</v>
      </c>
      <c r="U17" s="143">
        <f t="shared" si="39"/>
        <v>0</v>
      </c>
      <c r="V17" s="143">
        <f t="shared" si="40"/>
        <v>0</v>
      </c>
      <c r="W17" s="142">
        <f t="shared" si="41"/>
        <v>0</v>
      </c>
      <c r="X17" s="107" t="s">
        <v>124</v>
      </c>
      <c r="Y17" s="107" t="s">
        <v>269</v>
      </c>
      <c r="Z17" s="123">
        <v>60</v>
      </c>
      <c r="AA17" s="107">
        <v>5</v>
      </c>
      <c r="AB17" s="130">
        <f t="shared" si="34"/>
        <v>300</v>
      </c>
      <c r="AC17" s="107"/>
      <c r="AD17" s="107"/>
      <c r="AE17" s="107"/>
      <c r="AF17" s="107"/>
      <c r="AG17" s="108"/>
      <c r="AH17" s="107" t="s">
        <v>124</v>
      </c>
      <c r="AI17" s="107" t="s">
        <v>269</v>
      </c>
      <c r="AJ17" s="123">
        <v>57</v>
      </c>
      <c r="AK17" s="107">
        <v>5</v>
      </c>
      <c r="AL17" s="130">
        <f t="shared" si="2"/>
        <v>285</v>
      </c>
      <c r="AM17" s="107"/>
      <c r="AN17" s="107"/>
      <c r="AO17" s="107"/>
      <c r="AP17" s="107"/>
      <c r="AQ17" s="108"/>
      <c r="AR17" s="107"/>
      <c r="AS17" s="107" t="s">
        <v>15</v>
      </c>
      <c r="AT17" s="123"/>
      <c r="AU17" s="107"/>
      <c r="AV17" s="130" t="str">
        <f t="shared" si="3"/>
        <v/>
      </c>
      <c r="AW17" s="107"/>
      <c r="AX17" s="107"/>
      <c r="AY17" s="107"/>
      <c r="AZ17" s="107"/>
      <c r="BA17" s="108"/>
      <c r="BB17" s="107"/>
      <c r="BC17" s="107" t="s">
        <v>271</v>
      </c>
      <c r="BD17" s="123"/>
      <c r="BE17" s="107"/>
      <c r="BF17" s="130" t="str">
        <f t="shared" si="4"/>
        <v/>
      </c>
      <c r="BG17" s="107"/>
      <c r="BH17" s="107"/>
      <c r="BI17" s="107"/>
      <c r="BJ17" s="107"/>
      <c r="BK17" s="108"/>
      <c r="BL17" s="107"/>
      <c r="BM17" s="107" t="s">
        <v>271</v>
      </c>
      <c r="BN17" s="123"/>
      <c r="BO17" s="107"/>
      <c r="BP17" s="130" t="str">
        <f t="shared" si="5"/>
        <v/>
      </c>
      <c r="BQ17" s="107"/>
      <c r="BR17" s="107"/>
      <c r="BS17" s="107"/>
      <c r="BT17" s="107"/>
      <c r="BU17" s="108"/>
      <c r="BV17" s="107"/>
      <c r="BW17" s="107"/>
      <c r="BX17" s="123"/>
      <c r="BY17" s="107"/>
      <c r="BZ17" s="130" t="str">
        <f t="shared" si="6"/>
        <v/>
      </c>
      <c r="CA17" s="107"/>
      <c r="CB17" s="107"/>
      <c r="CC17" s="107"/>
      <c r="CD17" s="107"/>
      <c r="CE17" s="108"/>
      <c r="CF17" s="107"/>
      <c r="CG17" s="107"/>
      <c r="CH17" s="123"/>
      <c r="CI17" s="107"/>
      <c r="CJ17" s="130" t="str">
        <f t="shared" si="7"/>
        <v/>
      </c>
      <c r="CK17" s="107"/>
      <c r="CL17" s="107"/>
      <c r="CM17" s="107"/>
      <c r="CN17" s="107"/>
      <c r="CO17" s="108"/>
      <c r="CP17" s="107"/>
      <c r="CQ17" s="107"/>
      <c r="CR17" s="123"/>
      <c r="CS17" s="107"/>
      <c r="CT17" s="130" t="str">
        <f t="shared" si="8"/>
        <v/>
      </c>
      <c r="CU17" s="107"/>
      <c r="CV17" s="107"/>
      <c r="CW17" s="107"/>
      <c r="CX17" s="107"/>
      <c r="CY17" s="108"/>
      <c r="CZ17" s="107"/>
      <c r="DA17" s="107"/>
      <c r="DB17" s="123"/>
      <c r="DC17" s="107"/>
      <c r="DD17" s="130" t="str">
        <f t="shared" si="9"/>
        <v/>
      </c>
      <c r="DE17" s="107"/>
      <c r="DF17" s="107"/>
      <c r="DG17" s="107"/>
      <c r="DH17" s="107"/>
      <c r="DI17" s="108"/>
      <c r="DJ17" s="107"/>
      <c r="DK17" s="107"/>
      <c r="DL17" s="123"/>
      <c r="DM17" s="107"/>
      <c r="DN17" s="130" t="str">
        <f t="shared" si="10"/>
        <v/>
      </c>
      <c r="DO17" s="107"/>
      <c r="DP17" s="107"/>
      <c r="DQ17" s="107"/>
      <c r="DR17" s="107"/>
      <c r="DS17" s="108"/>
      <c r="DT17" s="107"/>
      <c r="DU17" s="107"/>
      <c r="DV17" s="123"/>
      <c r="DW17" s="107"/>
      <c r="DX17" s="130" t="str">
        <f t="shared" si="11"/>
        <v/>
      </c>
      <c r="DY17" s="107"/>
      <c r="DZ17" s="107"/>
      <c r="EA17" s="107"/>
      <c r="EB17" s="107"/>
      <c r="EC17" s="108"/>
      <c r="ED17" s="107"/>
      <c r="EE17" s="107"/>
      <c r="EF17" s="123"/>
      <c r="EG17" s="107"/>
      <c r="EH17" s="130" t="str">
        <f t="shared" si="12"/>
        <v/>
      </c>
      <c r="EI17" s="107"/>
      <c r="EJ17" s="107"/>
      <c r="EK17" s="107"/>
      <c r="EL17" s="107"/>
      <c r="EM17" s="108"/>
      <c r="EN17" s="107"/>
      <c r="EO17" s="107"/>
      <c r="EP17" s="123"/>
      <c r="EQ17" s="107"/>
      <c r="ER17" s="130" t="str">
        <f t="shared" si="13"/>
        <v/>
      </c>
      <c r="ES17" s="107"/>
      <c r="ET17" s="107"/>
      <c r="EU17" s="107"/>
      <c r="EV17" s="107"/>
      <c r="EW17" s="108"/>
      <c r="EX17" s="107"/>
      <c r="EY17" s="107"/>
      <c r="EZ17" s="123"/>
      <c r="FA17" s="107"/>
      <c r="FB17" s="130" t="str">
        <f t="shared" si="14"/>
        <v/>
      </c>
      <c r="FC17" s="107"/>
      <c r="FD17" s="107"/>
      <c r="FE17" s="107"/>
      <c r="FF17" s="107"/>
      <c r="FG17" s="108"/>
      <c r="FH17" s="107"/>
      <c r="FI17" s="107"/>
      <c r="FJ17" s="123"/>
      <c r="FK17" s="107"/>
      <c r="FL17" s="130" t="str">
        <f t="shared" si="15"/>
        <v/>
      </c>
      <c r="FM17" s="107"/>
      <c r="FN17" s="107"/>
      <c r="FO17" s="107"/>
      <c r="FP17" s="107"/>
      <c r="FQ17" s="108"/>
      <c r="FR17" s="107"/>
      <c r="FS17" s="107"/>
      <c r="FT17" s="123"/>
      <c r="FU17" s="107"/>
      <c r="FV17" s="130" t="str">
        <f t="shared" si="16"/>
        <v/>
      </c>
      <c r="FW17" s="107"/>
      <c r="FX17" s="107"/>
      <c r="FY17" s="107"/>
      <c r="FZ17" s="107"/>
      <c r="GA17" s="108"/>
      <c r="GB17" s="107"/>
      <c r="GC17" s="107"/>
      <c r="GD17" s="123"/>
      <c r="GE17" s="107"/>
      <c r="GF17" s="130" t="str">
        <f t="shared" si="17"/>
        <v/>
      </c>
      <c r="GG17" s="107"/>
      <c r="GH17" s="107"/>
      <c r="GI17" s="107"/>
      <c r="GJ17" s="107"/>
      <c r="GK17" s="108"/>
      <c r="GL17" s="107"/>
      <c r="GM17" s="107"/>
      <c r="GN17" s="123"/>
      <c r="GO17" s="107"/>
      <c r="GP17" s="130" t="str">
        <f t="shared" si="18"/>
        <v/>
      </c>
      <c r="GQ17" s="107"/>
      <c r="GR17" s="107"/>
      <c r="GS17" s="107"/>
      <c r="GT17" s="107"/>
      <c r="GU17" s="108"/>
      <c r="GV17" s="107"/>
      <c r="GW17" s="107"/>
      <c r="GX17" s="123"/>
      <c r="GY17" s="107"/>
      <c r="GZ17" s="130" t="str">
        <f t="shared" si="19"/>
        <v/>
      </c>
      <c r="HA17" s="107"/>
      <c r="HB17" s="107"/>
      <c r="HC17" s="107"/>
      <c r="HD17" s="107"/>
      <c r="HE17" s="108"/>
      <c r="HF17" s="107"/>
      <c r="HG17" s="107"/>
      <c r="HH17" s="123"/>
      <c r="HI17" s="107"/>
      <c r="HJ17" s="130" t="str">
        <f t="shared" si="20"/>
        <v/>
      </c>
      <c r="HK17" s="107"/>
      <c r="HL17" s="107"/>
      <c r="HM17" s="107"/>
      <c r="HN17" s="107"/>
      <c r="HO17" s="108"/>
      <c r="HP17" s="107"/>
      <c r="HQ17" s="107"/>
      <c r="HR17" s="123"/>
      <c r="HS17" s="107"/>
      <c r="HT17" s="130" t="str">
        <f t="shared" si="21"/>
        <v/>
      </c>
      <c r="HU17" s="107"/>
      <c r="HV17" s="107"/>
      <c r="HW17" s="107"/>
      <c r="HX17" s="107"/>
      <c r="HY17" s="108"/>
      <c r="HZ17" s="107"/>
      <c r="IA17" s="107"/>
      <c r="IB17" s="123"/>
      <c r="IC17" s="107"/>
      <c r="ID17" s="130" t="str">
        <f t="shared" si="22"/>
        <v/>
      </c>
      <c r="IE17" s="107"/>
      <c r="IF17" s="107"/>
      <c r="IG17" s="107"/>
      <c r="IH17" s="107"/>
      <c r="II17" s="108"/>
      <c r="IJ17" s="107"/>
      <c r="IK17" s="107"/>
      <c r="IL17" s="123"/>
      <c r="IM17" s="107"/>
      <c r="IN17" s="130" t="str">
        <f t="shared" si="23"/>
        <v/>
      </c>
      <c r="IO17" s="107"/>
      <c r="IP17" s="107"/>
      <c r="IQ17" s="107"/>
      <c r="IR17" s="107"/>
      <c r="IS17" s="108"/>
      <c r="IT17" s="107"/>
      <c r="IU17" s="107"/>
      <c r="IV17" s="123"/>
      <c r="IW17" s="107"/>
      <c r="IX17" s="130" t="str">
        <f t="shared" si="24"/>
        <v/>
      </c>
      <c r="IY17" s="107"/>
      <c r="IZ17" s="107"/>
      <c r="JA17" s="107"/>
      <c r="JB17" s="107"/>
      <c r="JC17" s="108"/>
      <c r="JD17" s="107"/>
      <c r="JE17" s="107"/>
      <c r="JF17" s="123"/>
      <c r="JG17" s="107"/>
      <c r="JH17" s="130" t="str">
        <f t="shared" si="25"/>
        <v/>
      </c>
      <c r="JI17" s="107"/>
      <c r="JJ17" s="107"/>
      <c r="JK17" s="107"/>
      <c r="JL17" s="107"/>
      <c r="JM17" s="108"/>
      <c r="JN17" s="107"/>
      <c r="JO17" s="107"/>
      <c r="JP17" s="123"/>
      <c r="JQ17" s="107"/>
      <c r="JR17" s="130" t="str">
        <f t="shared" si="26"/>
        <v/>
      </c>
      <c r="JS17" s="107"/>
      <c r="JT17" s="107"/>
      <c r="JU17" s="107"/>
      <c r="JV17" s="107"/>
      <c r="JW17" s="108"/>
      <c r="JX17" s="107"/>
      <c r="JY17" s="107"/>
      <c r="JZ17" s="123"/>
      <c r="KA17" s="107"/>
      <c r="KB17" s="130" t="str">
        <f t="shared" si="27"/>
        <v/>
      </c>
      <c r="KC17" s="107"/>
      <c r="KD17" s="107"/>
      <c r="KE17" s="107"/>
      <c r="KF17" s="107"/>
      <c r="KG17" s="108"/>
      <c r="KH17" s="107"/>
      <c r="KI17" s="107"/>
      <c r="KJ17" s="123"/>
      <c r="KK17" s="107"/>
      <c r="KL17" s="130" t="str">
        <f t="shared" si="28"/>
        <v/>
      </c>
      <c r="KM17" s="107"/>
      <c r="KN17" s="107"/>
      <c r="KO17" s="107"/>
      <c r="KP17" s="107"/>
      <c r="KQ17" s="108"/>
      <c r="KR17" s="107"/>
      <c r="KS17" s="107"/>
      <c r="KT17" s="123"/>
      <c r="KU17" s="107"/>
      <c r="KV17" s="130" t="str">
        <f t="shared" si="29"/>
        <v/>
      </c>
      <c r="KW17" s="107"/>
      <c r="KX17" s="107"/>
      <c r="KY17" s="107"/>
      <c r="KZ17" s="107"/>
      <c r="LA17" s="108"/>
      <c r="LB17" s="107"/>
      <c r="LC17" s="107"/>
      <c r="LD17" s="123"/>
      <c r="LE17" s="107"/>
      <c r="LF17" s="130" t="str">
        <f t="shared" si="30"/>
        <v/>
      </c>
      <c r="LG17" s="107"/>
      <c r="LH17" s="107"/>
      <c r="LI17" s="107"/>
      <c r="LJ17" s="107"/>
      <c r="LK17" s="108"/>
      <c r="LL17" s="107"/>
      <c r="LM17" s="107"/>
      <c r="LN17" s="123"/>
      <c r="LO17" s="107"/>
      <c r="LP17" s="130" t="str">
        <f t="shared" si="31"/>
        <v/>
      </c>
      <c r="LQ17" s="107"/>
      <c r="LR17" s="107"/>
      <c r="LS17" s="107"/>
      <c r="LT17" s="107"/>
      <c r="LU17" s="108"/>
      <c r="LV17" s="107"/>
      <c r="LW17" s="107"/>
      <c r="LX17" s="123"/>
      <c r="LY17" s="107"/>
      <c r="LZ17" s="130" t="str">
        <f t="shared" si="32"/>
        <v/>
      </c>
      <c r="MA17" s="107"/>
      <c r="MB17" s="107"/>
      <c r="MC17" s="107"/>
      <c r="MD17" s="107"/>
      <c r="ME17" s="108"/>
    </row>
    <row r="18" spans="2:343" ht="27.95" customHeight="1">
      <c r="B18" s="96" t="str">
        <f ca="1">INDIRECT("'BDD - Joueurs'!B10")</f>
        <v>DOSIERE Baptiste</v>
      </c>
      <c r="C18" s="145">
        <f>COUNTIF(X18:ME18,C9)</f>
        <v>2</v>
      </c>
      <c r="D18" s="146">
        <f>COUNTIF(X18:ME18,D9)</f>
        <v>0</v>
      </c>
      <c r="E18" s="146">
        <f>COUNTIF(X18:ME18,E9)</f>
        <v>1</v>
      </c>
      <c r="F18" s="147">
        <f>COUNTIF(X18:ME18,F9)</f>
        <v>1</v>
      </c>
      <c r="G18" s="145">
        <f>COUNTIF(X18:ME18,G9)</f>
        <v>4</v>
      </c>
      <c r="H18" s="146">
        <f>COUNTIF(X18:ME18,H9)</f>
        <v>0</v>
      </c>
      <c r="I18" s="146">
        <f>COUNTIF(X18:ME18,I9)</f>
        <v>0</v>
      </c>
      <c r="J18" s="146">
        <f>COUNTIF(X18:ME18,J9)</f>
        <v>0</v>
      </c>
      <c r="K18" s="146">
        <f t="shared" si="37"/>
        <v>1</v>
      </c>
      <c r="L18" s="146">
        <f>COUNTIF(X18:ME18,L9)</f>
        <v>0</v>
      </c>
      <c r="M18" s="146">
        <f t="shared" si="33"/>
        <v>0</v>
      </c>
      <c r="N18" s="146">
        <f>COUNTIF(X18:ME18,N9)</f>
        <v>0</v>
      </c>
      <c r="O18" s="147">
        <f>COUNTIF(X18:ME18,O9)</f>
        <v>0</v>
      </c>
      <c r="P18" s="148">
        <f t="shared" si="0"/>
        <v>261</v>
      </c>
      <c r="Q18" s="149">
        <f t="shared" si="35"/>
        <v>6.5</v>
      </c>
      <c r="R18" s="166">
        <f t="shared" si="36"/>
        <v>1696.5</v>
      </c>
      <c r="S18" s="148">
        <f t="shared" si="42"/>
        <v>0</v>
      </c>
      <c r="T18" s="148">
        <f t="shared" si="38"/>
        <v>0</v>
      </c>
      <c r="U18" s="148">
        <f t="shared" si="39"/>
        <v>1</v>
      </c>
      <c r="V18" s="148">
        <f t="shared" si="40"/>
        <v>0</v>
      </c>
      <c r="W18" s="147">
        <f t="shared" si="41"/>
        <v>0</v>
      </c>
      <c r="X18" s="109" t="s">
        <v>124</v>
      </c>
      <c r="Y18" s="109" t="s">
        <v>269</v>
      </c>
      <c r="Z18" s="124">
        <v>30</v>
      </c>
      <c r="AA18" s="109">
        <v>5</v>
      </c>
      <c r="AB18" s="129">
        <f t="shared" si="34"/>
        <v>150</v>
      </c>
      <c r="AC18" s="109"/>
      <c r="AD18" s="109"/>
      <c r="AE18" s="109"/>
      <c r="AF18" s="109"/>
      <c r="AG18" s="110"/>
      <c r="AH18" s="109"/>
      <c r="AI18" s="109" t="s">
        <v>15</v>
      </c>
      <c r="AJ18" s="124"/>
      <c r="AK18" s="109"/>
      <c r="AL18" s="129" t="str">
        <f t="shared" si="2"/>
        <v/>
      </c>
      <c r="AM18" s="109"/>
      <c r="AN18" s="109"/>
      <c r="AO18" s="109"/>
      <c r="AP18" s="109"/>
      <c r="AQ18" s="110"/>
      <c r="AR18" s="109" t="s">
        <v>124</v>
      </c>
      <c r="AS18" s="109" t="s">
        <v>269</v>
      </c>
      <c r="AT18" s="124">
        <v>68</v>
      </c>
      <c r="AU18" s="109">
        <v>8</v>
      </c>
      <c r="AV18" s="129">
        <f t="shared" si="3"/>
        <v>544</v>
      </c>
      <c r="AW18" s="109"/>
      <c r="AX18" s="109"/>
      <c r="AY18" s="109"/>
      <c r="AZ18" s="109"/>
      <c r="BA18" s="110"/>
      <c r="BB18" s="109" t="s">
        <v>126</v>
      </c>
      <c r="BC18" s="109" t="s">
        <v>269</v>
      </c>
      <c r="BD18" s="124">
        <v>90</v>
      </c>
      <c r="BE18" s="109">
        <v>5</v>
      </c>
      <c r="BF18" s="129">
        <f t="shared" si="4"/>
        <v>450</v>
      </c>
      <c r="BG18" s="109"/>
      <c r="BH18" s="109"/>
      <c r="BI18" s="109">
        <v>1</v>
      </c>
      <c r="BJ18" s="109"/>
      <c r="BK18" s="110"/>
      <c r="BL18" s="109" t="s">
        <v>127</v>
      </c>
      <c r="BM18" s="109" t="s">
        <v>269</v>
      </c>
      <c r="BN18" s="124">
        <v>73</v>
      </c>
      <c r="BO18" s="109">
        <v>8</v>
      </c>
      <c r="BP18" s="129">
        <f t="shared" si="5"/>
        <v>584</v>
      </c>
      <c r="BQ18" s="109"/>
      <c r="BR18" s="109"/>
      <c r="BS18" s="109"/>
      <c r="BT18" s="109"/>
      <c r="BU18" s="110"/>
      <c r="BV18" s="109"/>
      <c r="BW18" s="109"/>
      <c r="BX18" s="124"/>
      <c r="BY18" s="109"/>
      <c r="BZ18" s="129" t="str">
        <f t="shared" si="6"/>
        <v/>
      </c>
      <c r="CA18" s="109"/>
      <c r="CB18" s="109"/>
      <c r="CC18" s="109"/>
      <c r="CD18" s="109"/>
      <c r="CE18" s="110"/>
      <c r="CF18" s="109"/>
      <c r="CG18" s="109"/>
      <c r="CH18" s="124"/>
      <c r="CI18" s="109"/>
      <c r="CJ18" s="129" t="str">
        <f t="shared" si="7"/>
        <v/>
      </c>
      <c r="CK18" s="109"/>
      <c r="CL18" s="109"/>
      <c r="CM18" s="109"/>
      <c r="CN18" s="109"/>
      <c r="CO18" s="110"/>
      <c r="CP18" s="109"/>
      <c r="CQ18" s="109"/>
      <c r="CR18" s="124"/>
      <c r="CS18" s="109"/>
      <c r="CT18" s="129" t="str">
        <f t="shared" si="8"/>
        <v/>
      </c>
      <c r="CU18" s="109"/>
      <c r="CV18" s="109"/>
      <c r="CW18" s="109"/>
      <c r="CX18" s="109"/>
      <c r="CY18" s="110"/>
      <c r="CZ18" s="109"/>
      <c r="DA18" s="109"/>
      <c r="DB18" s="124"/>
      <c r="DC18" s="109"/>
      <c r="DD18" s="129" t="str">
        <f t="shared" si="9"/>
        <v/>
      </c>
      <c r="DE18" s="109"/>
      <c r="DF18" s="109"/>
      <c r="DG18" s="109"/>
      <c r="DH18" s="109"/>
      <c r="DI18" s="110"/>
      <c r="DJ18" s="109"/>
      <c r="DK18" s="109"/>
      <c r="DL18" s="124"/>
      <c r="DM18" s="109"/>
      <c r="DN18" s="129" t="str">
        <f t="shared" si="10"/>
        <v/>
      </c>
      <c r="DO18" s="109"/>
      <c r="DP18" s="109"/>
      <c r="DQ18" s="109"/>
      <c r="DR18" s="109"/>
      <c r="DS18" s="110"/>
      <c r="DT18" s="109"/>
      <c r="DU18" s="109"/>
      <c r="DV18" s="124"/>
      <c r="DW18" s="109"/>
      <c r="DX18" s="129" t="str">
        <f t="shared" si="11"/>
        <v/>
      </c>
      <c r="DY18" s="109"/>
      <c r="DZ18" s="109"/>
      <c r="EA18" s="109"/>
      <c r="EB18" s="109"/>
      <c r="EC18" s="110"/>
      <c r="ED18" s="109"/>
      <c r="EE18" s="109"/>
      <c r="EF18" s="124"/>
      <c r="EG18" s="109"/>
      <c r="EH18" s="129" t="str">
        <f t="shared" si="12"/>
        <v/>
      </c>
      <c r="EI18" s="109"/>
      <c r="EJ18" s="109"/>
      <c r="EK18" s="109"/>
      <c r="EL18" s="109"/>
      <c r="EM18" s="110"/>
      <c r="EN18" s="109"/>
      <c r="EO18" s="109"/>
      <c r="EP18" s="124"/>
      <c r="EQ18" s="109"/>
      <c r="ER18" s="129" t="str">
        <f t="shared" si="13"/>
        <v/>
      </c>
      <c r="ES18" s="109"/>
      <c r="ET18" s="109"/>
      <c r="EU18" s="109"/>
      <c r="EV18" s="109"/>
      <c r="EW18" s="110"/>
      <c r="EX18" s="109"/>
      <c r="EY18" s="109"/>
      <c r="EZ18" s="124"/>
      <c r="FA18" s="109"/>
      <c r="FB18" s="129" t="str">
        <f t="shared" si="14"/>
        <v/>
      </c>
      <c r="FC18" s="109"/>
      <c r="FD18" s="109"/>
      <c r="FE18" s="109"/>
      <c r="FF18" s="109"/>
      <c r="FG18" s="110"/>
      <c r="FH18" s="109"/>
      <c r="FI18" s="109"/>
      <c r="FJ18" s="124"/>
      <c r="FK18" s="109"/>
      <c r="FL18" s="129" t="str">
        <f t="shared" si="15"/>
        <v/>
      </c>
      <c r="FM18" s="109"/>
      <c r="FN18" s="109"/>
      <c r="FO18" s="109"/>
      <c r="FP18" s="109"/>
      <c r="FQ18" s="110"/>
      <c r="FR18" s="109"/>
      <c r="FS18" s="109"/>
      <c r="FT18" s="124"/>
      <c r="FU18" s="109"/>
      <c r="FV18" s="129" t="str">
        <f t="shared" si="16"/>
        <v/>
      </c>
      <c r="FW18" s="109"/>
      <c r="FX18" s="109"/>
      <c r="FY18" s="109"/>
      <c r="FZ18" s="109"/>
      <c r="GA18" s="110"/>
      <c r="GB18" s="109"/>
      <c r="GC18" s="109"/>
      <c r="GD18" s="124"/>
      <c r="GE18" s="109"/>
      <c r="GF18" s="129" t="str">
        <f t="shared" si="17"/>
        <v/>
      </c>
      <c r="GG18" s="109"/>
      <c r="GH18" s="109"/>
      <c r="GI18" s="109"/>
      <c r="GJ18" s="109"/>
      <c r="GK18" s="110"/>
      <c r="GL18" s="109"/>
      <c r="GM18" s="109"/>
      <c r="GN18" s="124"/>
      <c r="GO18" s="109"/>
      <c r="GP18" s="129" t="str">
        <f t="shared" si="18"/>
        <v/>
      </c>
      <c r="GQ18" s="109"/>
      <c r="GR18" s="109"/>
      <c r="GS18" s="109"/>
      <c r="GT18" s="109"/>
      <c r="GU18" s="110"/>
      <c r="GV18" s="109"/>
      <c r="GW18" s="109"/>
      <c r="GX18" s="124"/>
      <c r="GY18" s="109"/>
      <c r="GZ18" s="129" t="str">
        <f t="shared" si="19"/>
        <v/>
      </c>
      <c r="HA18" s="109"/>
      <c r="HB18" s="109"/>
      <c r="HC18" s="109"/>
      <c r="HD18" s="109"/>
      <c r="HE18" s="110"/>
      <c r="HF18" s="109"/>
      <c r="HG18" s="109"/>
      <c r="HH18" s="124"/>
      <c r="HI18" s="109"/>
      <c r="HJ18" s="129" t="str">
        <f t="shared" si="20"/>
        <v/>
      </c>
      <c r="HK18" s="109"/>
      <c r="HL18" s="109"/>
      <c r="HM18" s="109"/>
      <c r="HN18" s="109"/>
      <c r="HO18" s="110"/>
      <c r="HP18" s="109"/>
      <c r="HQ18" s="109"/>
      <c r="HR18" s="124"/>
      <c r="HS18" s="109"/>
      <c r="HT18" s="129" t="str">
        <f t="shared" si="21"/>
        <v/>
      </c>
      <c r="HU18" s="109"/>
      <c r="HV18" s="109"/>
      <c r="HW18" s="109"/>
      <c r="HX18" s="109"/>
      <c r="HY18" s="110"/>
      <c r="HZ18" s="109"/>
      <c r="IA18" s="109"/>
      <c r="IB18" s="124"/>
      <c r="IC18" s="109"/>
      <c r="ID18" s="129" t="str">
        <f t="shared" si="22"/>
        <v/>
      </c>
      <c r="IE18" s="109"/>
      <c r="IF18" s="109"/>
      <c r="IG18" s="109"/>
      <c r="IH18" s="109"/>
      <c r="II18" s="110"/>
      <c r="IJ18" s="109"/>
      <c r="IK18" s="109"/>
      <c r="IL18" s="124"/>
      <c r="IM18" s="109"/>
      <c r="IN18" s="129" t="str">
        <f t="shared" si="23"/>
        <v/>
      </c>
      <c r="IO18" s="109"/>
      <c r="IP18" s="109"/>
      <c r="IQ18" s="109"/>
      <c r="IR18" s="109"/>
      <c r="IS18" s="110"/>
      <c r="IT18" s="109"/>
      <c r="IU18" s="109"/>
      <c r="IV18" s="124"/>
      <c r="IW18" s="109"/>
      <c r="IX18" s="129" t="str">
        <f t="shared" si="24"/>
        <v/>
      </c>
      <c r="IY18" s="109"/>
      <c r="IZ18" s="109"/>
      <c r="JA18" s="109"/>
      <c r="JB18" s="109"/>
      <c r="JC18" s="110"/>
      <c r="JD18" s="109"/>
      <c r="JE18" s="109"/>
      <c r="JF18" s="124"/>
      <c r="JG18" s="109"/>
      <c r="JH18" s="129" t="str">
        <f t="shared" si="25"/>
        <v/>
      </c>
      <c r="JI18" s="109"/>
      <c r="JJ18" s="109"/>
      <c r="JK18" s="109"/>
      <c r="JL18" s="109"/>
      <c r="JM18" s="110"/>
      <c r="JN18" s="109"/>
      <c r="JO18" s="109"/>
      <c r="JP18" s="124"/>
      <c r="JQ18" s="109"/>
      <c r="JR18" s="129" t="str">
        <f t="shared" si="26"/>
        <v/>
      </c>
      <c r="JS18" s="109"/>
      <c r="JT18" s="109"/>
      <c r="JU18" s="109"/>
      <c r="JV18" s="109"/>
      <c r="JW18" s="110"/>
      <c r="JX18" s="109"/>
      <c r="JY18" s="109"/>
      <c r="JZ18" s="124"/>
      <c r="KA18" s="109"/>
      <c r="KB18" s="129" t="str">
        <f t="shared" si="27"/>
        <v/>
      </c>
      <c r="KC18" s="109"/>
      <c r="KD18" s="109"/>
      <c r="KE18" s="109"/>
      <c r="KF18" s="109"/>
      <c r="KG18" s="110"/>
      <c r="KH18" s="109"/>
      <c r="KI18" s="109"/>
      <c r="KJ18" s="124"/>
      <c r="KK18" s="109"/>
      <c r="KL18" s="129" t="str">
        <f t="shared" si="28"/>
        <v/>
      </c>
      <c r="KM18" s="109"/>
      <c r="KN18" s="109"/>
      <c r="KO18" s="109"/>
      <c r="KP18" s="109"/>
      <c r="KQ18" s="110"/>
      <c r="KR18" s="109"/>
      <c r="KS18" s="109"/>
      <c r="KT18" s="124"/>
      <c r="KU18" s="109"/>
      <c r="KV18" s="129" t="str">
        <f t="shared" si="29"/>
        <v/>
      </c>
      <c r="KW18" s="109"/>
      <c r="KX18" s="109"/>
      <c r="KY18" s="109"/>
      <c r="KZ18" s="109"/>
      <c r="LA18" s="110"/>
      <c r="LB18" s="109"/>
      <c r="LC18" s="109"/>
      <c r="LD18" s="124"/>
      <c r="LE18" s="109"/>
      <c r="LF18" s="129" t="str">
        <f t="shared" si="30"/>
        <v/>
      </c>
      <c r="LG18" s="109"/>
      <c r="LH18" s="109"/>
      <c r="LI18" s="109"/>
      <c r="LJ18" s="109"/>
      <c r="LK18" s="110"/>
      <c r="LL18" s="109"/>
      <c r="LM18" s="109"/>
      <c r="LN18" s="124"/>
      <c r="LO18" s="109"/>
      <c r="LP18" s="129" t="str">
        <f t="shared" si="31"/>
        <v/>
      </c>
      <c r="LQ18" s="109"/>
      <c r="LR18" s="109"/>
      <c r="LS18" s="109"/>
      <c r="LT18" s="109"/>
      <c r="LU18" s="110"/>
      <c r="LV18" s="109"/>
      <c r="LW18" s="109"/>
      <c r="LX18" s="124"/>
      <c r="LY18" s="109"/>
      <c r="LZ18" s="129" t="str">
        <f t="shared" si="32"/>
        <v/>
      </c>
      <c r="MA18" s="109"/>
      <c r="MB18" s="109"/>
      <c r="MC18" s="109"/>
      <c r="MD18" s="109"/>
      <c r="ME18" s="110"/>
    </row>
    <row r="19" spans="2:343" ht="27.95" customHeight="1">
      <c r="B19" s="138" t="str">
        <f ca="1">INDIRECT("'BDD - Joueurs'!B11")</f>
        <v>DUQUENOY Thomas</v>
      </c>
      <c r="C19" s="140">
        <f>COUNTIF(X19:ME19,C9)</f>
        <v>3</v>
      </c>
      <c r="D19" s="141">
        <f>COUNTIF(X19:ME19,D9)</f>
        <v>0</v>
      </c>
      <c r="E19" s="141">
        <f>COUNTIF(X19:ME19,E9)</f>
        <v>0</v>
      </c>
      <c r="F19" s="142">
        <f>COUNTIF(X19:ME19,F9)</f>
        <v>1</v>
      </c>
      <c r="G19" s="140">
        <f>COUNTIF(X19:ME19,G9)</f>
        <v>4</v>
      </c>
      <c r="H19" s="141">
        <f>COUNTIF(X19:ME19,H9)</f>
        <v>0</v>
      </c>
      <c r="I19" s="141">
        <f>COUNTIF(X19:ME19,I9)</f>
        <v>0</v>
      </c>
      <c r="J19" s="141">
        <f>COUNTIF(X19:ME19,J9)</f>
        <v>0</v>
      </c>
      <c r="K19" s="141">
        <f t="shared" si="37"/>
        <v>0</v>
      </c>
      <c r="L19" s="141">
        <f>COUNTIF(X19:ME19,L9)</f>
        <v>0</v>
      </c>
      <c r="M19" s="141">
        <f t="shared" si="33"/>
        <v>0</v>
      </c>
      <c r="N19" s="141">
        <f>COUNTIF(X19:ME19,N9)</f>
        <v>0</v>
      </c>
      <c r="O19" s="142">
        <f>COUNTIF(X19:ME19,O9)</f>
        <v>1</v>
      </c>
      <c r="P19" s="143">
        <f t="shared" si="0"/>
        <v>195</v>
      </c>
      <c r="Q19" s="144">
        <f t="shared" si="35"/>
        <v>5.75</v>
      </c>
      <c r="R19" s="165">
        <f t="shared" si="36"/>
        <v>1121.25</v>
      </c>
      <c r="S19" s="143">
        <f t="shared" si="42"/>
        <v>0</v>
      </c>
      <c r="T19" s="143">
        <f t="shared" si="38"/>
        <v>0</v>
      </c>
      <c r="U19" s="143">
        <f t="shared" si="39"/>
        <v>0</v>
      </c>
      <c r="V19" s="143">
        <f t="shared" si="40"/>
        <v>0</v>
      </c>
      <c r="W19" s="142">
        <f t="shared" si="41"/>
        <v>0</v>
      </c>
      <c r="X19" s="107" t="s">
        <v>124</v>
      </c>
      <c r="Y19" s="107" t="s">
        <v>269</v>
      </c>
      <c r="Z19" s="123">
        <v>60</v>
      </c>
      <c r="AA19" s="107">
        <v>5</v>
      </c>
      <c r="AB19" s="130">
        <f t="shared" si="34"/>
        <v>300</v>
      </c>
      <c r="AC19" s="107"/>
      <c r="AD19" s="107"/>
      <c r="AE19" s="107"/>
      <c r="AF19" s="107"/>
      <c r="AG19" s="108"/>
      <c r="AH19" s="107" t="s">
        <v>124</v>
      </c>
      <c r="AI19" s="107" t="s">
        <v>269</v>
      </c>
      <c r="AJ19" s="123"/>
      <c r="AK19" s="107">
        <v>5</v>
      </c>
      <c r="AL19" s="130" t="str">
        <f t="shared" si="2"/>
        <v/>
      </c>
      <c r="AM19" s="107"/>
      <c r="AN19" s="107"/>
      <c r="AO19" s="107"/>
      <c r="AP19" s="107"/>
      <c r="AQ19" s="108"/>
      <c r="AR19" s="107" t="s">
        <v>124</v>
      </c>
      <c r="AS19" s="107" t="s">
        <v>269</v>
      </c>
      <c r="AT19" s="123">
        <v>45</v>
      </c>
      <c r="AU19" s="107">
        <v>5</v>
      </c>
      <c r="AV19" s="130">
        <f t="shared" si="3"/>
        <v>225</v>
      </c>
      <c r="AW19" s="107"/>
      <c r="AX19" s="107"/>
      <c r="AY19" s="107"/>
      <c r="AZ19" s="107"/>
      <c r="BA19" s="108"/>
      <c r="BB19" s="107"/>
      <c r="BC19" s="107" t="s">
        <v>100</v>
      </c>
      <c r="BD19" s="123"/>
      <c r="BE19" s="107"/>
      <c r="BF19" s="130" t="str">
        <f t="shared" si="4"/>
        <v/>
      </c>
      <c r="BG19" s="107"/>
      <c r="BH19" s="107"/>
      <c r="BI19" s="107"/>
      <c r="BJ19" s="107"/>
      <c r="BK19" s="108"/>
      <c r="BL19" s="107" t="s">
        <v>127</v>
      </c>
      <c r="BM19" s="107" t="s">
        <v>269</v>
      </c>
      <c r="BN19" s="123">
        <v>90</v>
      </c>
      <c r="BO19" s="107">
        <v>8</v>
      </c>
      <c r="BP19" s="130">
        <f t="shared" si="5"/>
        <v>720</v>
      </c>
      <c r="BQ19" s="107"/>
      <c r="BR19" s="107"/>
      <c r="BS19" s="107"/>
      <c r="BT19" s="107"/>
      <c r="BU19" s="108"/>
      <c r="BV19" s="107"/>
      <c r="BW19" s="107"/>
      <c r="BX19" s="123"/>
      <c r="BY19" s="107"/>
      <c r="BZ19" s="130" t="str">
        <f t="shared" si="6"/>
        <v/>
      </c>
      <c r="CA19" s="107"/>
      <c r="CB19" s="107"/>
      <c r="CC19" s="107"/>
      <c r="CD19" s="107"/>
      <c r="CE19" s="108"/>
      <c r="CF19" s="107"/>
      <c r="CG19" s="107"/>
      <c r="CH19" s="123"/>
      <c r="CI19" s="107"/>
      <c r="CJ19" s="130" t="str">
        <f t="shared" si="7"/>
        <v/>
      </c>
      <c r="CK19" s="107"/>
      <c r="CL19" s="107"/>
      <c r="CM19" s="107"/>
      <c r="CN19" s="107"/>
      <c r="CO19" s="108"/>
      <c r="CP19" s="107"/>
      <c r="CQ19" s="107"/>
      <c r="CR19" s="123"/>
      <c r="CS19" s="107"/>
      <c r="CT19" s="130" t="str">
        <f t="shared" si="8"/>
        <v/>
      </c>
      <c r="CU19" s="107"/>
      <c r="CV19" s="107"/>
      <c r="CW19" s="107"/>
      <c r="CX19" s="107"/>
      <c r="CY19" s="108"/>
      <c r="CZ19" s="107"/>
      <c r="DA19" s="107"/>
      <c r="DB19" s="123"/>
      <c r="DC19" s="107"/>
      <c r="DD19" s="130" t="str">
        <f t="shared" si="9"/>
        <v/>
      </c>
      <c r="DE19" s="107"/>
      <c r="DF19" s="107"/>
      <c r="DG19" s="107"/>
      <c r="DH19" s="107"/>
      <c r="DI19" s="108"/>
      <c r="DJ19" s="107"/>
      <c r="DK19" s="107"/>
      <c r="DL19" s="123"/>
      <c r="DM19" s="107"/>
      <c r="DN19" s="130" t="str">
        <f t="shared" si="10"/>
        <v/>
      </c>
      <c r="DO19" s="107"/>
      <c r="DP19" s="107"/>
      <c r="DQ19" s="107"/>
      <c r="DR19" s="107"/>
      <c r="DS19" s="108"/>
      <c r="DT19" s="107"/>
      <c r="DU19" s="107"/>
      <c r="DV19" s="123"/>
      <c r="DW19" s="107"/>
      <c r="DX19" s="130" t="str">
        <f t="shared" si="11"/>
        <v/>
      </c>
      <c r="DY19" s="107"/>
      <c r="DZ19" s="107"/>
      <c r="EA19" s="107"/>
      <c r="EB19" s="107"/>
      <c r="EC19" s="108"/>
      <c r="ED19" s="107"/>
      <c r="EE19" s="107"/>
      <c r="EF19" s="123"/>
      <c r="EG19" s="107"/>
      <c r="EH19" s="130" t="str">
        <f t="shared" si="12"/>
        <v/>
      </c>
      <c r="EI19" s="107"/>
      <c r="EJ19" s="107"/>
      <c r="EK19" s="107"/>
      <c r="EL19" s="107"/>
      <c r="EM19" s="108"/>
      <c r="EN19" s="107"/>
      <c r="EO19" s="107"/>
      <c r="EP19" s="123"/>
      <c r="EQ19" s="107"/>
      <c r="ER19" s="130" t="str">
        <f t="shared" si="13"/>
        <v/>
      </c>
      <c r="ES19" s="107"/>
      <c r="ET19" s="107"/>
      <c r="EU19" s="107"/>
      <c r="EV19" s="107"/>
      <c r="EW19" s="108"/>
      <c r="EX19" s="107"/>
      <c r="EY19" s="107"/>
      <c r="EZ19" s="123"/>
      <c r="FA19" s="107"/>
      <c r="FB19" s="130" t="str">
        <f t="shared" si="14"/>
        <v/>
      </c>
      <c r="FC19" s="107"/>
      <c r="FD19" s="107"/>
      <c r="FE19" s="107"/>
      <c r="FF19" s="107"/>
      <c r="FG19" s="108"/>
      <c r="FH19" s="107"/>
      <c r="FI19" s="107"/>
      <c r="FJ19" s="123"/>
      <c r="FK19" s="107"/>
      <c r="FL19" s="130" t="str">
        <f t="shared" si="15"/>
        <v/>
      </c>
      <c r="FM19" s="107"/>
      <c r="FN19" s="107"/>
      <c r="FO19" s="107"/>
      <c r="FP19" s="107"/>
      <c r="FQ19" s="108"/>
      <c r="FR19" s="107"/>
      <c r="FS19" s="107"/>
      <c r="FT19" s="123"/>
      <c r="FU19" s="107"/>
      <c r="FV19" s="130" t="str">
        <f t="shared" si="16"/>
        <v/>
      </c>
      <c r="FW19" s="107"/>
      <c r="FX19" s="107"/>
      <c r="FY19" s="107"/>
      <c r="FZ19" s="107"/>
      <c r="GA19" s="108"/>
      <c r="GB19" s="107"/>
      <c r="GC19" s="107"/>
      <c r="GD19" s="123"/>
      <c r="GE19" s="107"/>
      <c r="GF19" s="130" t="str">
        <f t="shared" si="17"/>
        <v/>
      </c>
      <c r="GG19" s="107"/>
      <c r="GH19" s="107"/>
      <c r="GI19" s="107"/>
      <c r="GJ19" s="107"/>
      <c r="GK19" s="108"/>
      <c r="GL19" s="107"/>
      <c r="GM19" s="107"/>
      <c r="GN19" s="123"/>
      <c r="GO19" s="107"/>
      <c r="GP19" s="130" t="str">
        <f t="shared" si="18"/>
        <v/>
      </c>
      <c r="GQ19" s="107"/>
      <c r="GR19" s="107"/>
      <c r="GS19" s="107"/>
      <c r="GT19" s="107"/>
      <c r="GU19" s="108"/>
      <c r="GV19" s="107"/>
      <c r="GW19" s="107"/>
      <c r="GX19" s="123"/>
      <c r="GY19" s="107"/>
      <c r="GZ19" s="130" t="str">
        <f t="shared" si="19"/>
        <v/>
      </c>
      <c r="HA19" s="107"/>
      <c r="HB19" s="107"/>
      <c r="HC19" s="107"/>
      <c r="HD19" s="107"/>
      <c r="HE19" s="108"/>
      <c r="HF19" s="107"/>
      <c r="HG19" s="107"/>
      <c r="HH19" s="123"/>
      <c r="HI19" s="107"/>
      <c r="HJ19" s="130" t="str">
        <f t="shared" si="20"/>
        <v/>
      </c>
      <c r="HK19" s="107"/>
      <c r="HL19" s="107"/>
      <c r="HM19" s="107"/>
      <c r="HN19" s="107"/>
      <c r="HO19" s="108"/>
      <c r="HP19" s="107"/>
      <c r="HQ19" s="107"/>
      <c r="HR19" s="123"/>
      <c r="HS19" s="107"/>
      <c r="HT19" s="130" t="str">
        <f t="shared" si="21"/>
        <v/>
      </c>
      <c r="HU19" s="107"/>
      <c r="HV19" s="107"/>
      <c r="HW19" s="107"/>
      <c r="HX19" s="107"/>
      <c r="HY19" s="108"/>
      <c r="HZ19" s="107"/>
      <c r="IA19" s="107"/>
      <c r="IB19" s="123"/>
      <c r="IC19" s="107"/>
      <c r="ID19" s="130" t="str">
        <f t="shared" si="22"/>
        <v/>
      </c>
      <c r="IE19" s="107"/>
      <c r="IF19" s="107"/>
      <c r="IG19" s="107"/>
      <c r="IH19" s="107"/>
      <c r="II19" s="108"/>
      <c r="IJ19" s="107"/>
      <c r="IK19" s="107"/>
      <c r="IL19" s="123"/>
      <c r="IM19" s="107"/>
      <c r="IN19" s="130" t="str">
        <f t="shared" si="23"/>
        <v/>
      </c>
      <c r="IO19" s="107"/>
      <c r="IP19" s="107"/>
      <c r="IQ19" s="107"/>
      <c r="IR19" s="107"/>
      <c r="IS19" s="108"/>
      <c r="IT19" s="107"/>
      <c r="IU19" s="107"/>
      <c r="IV19" s="123"/>
      <c r="IW19" s="107"/>
      <c r="IX19" s="130" t="str">
        <f t="shared" si="24"/>
        <v/>
      </c>
      <c r="IY19" s="107"/>
      <c r="IZ19" s="107"/>
      <c r="JA19" s="107"/>
      <c r="JB19" s="107"/>
      <c r="JC19" s="108"/>
      <c r="JD19" s="107"/>
      <c r="JE19" s="107"/>
      <c r="JF19" s="123"/>
      <c r="JG19" s="107"/>
      <c r="JH19" s="130" t="str">
        <f t="shared" si="25"/>
        <v/>
      </c>
      <c r="JI19" s="107"/>
      <c r="JJ19" s="107"/>
      <c r="JK19" s="107"/>
      <c r="JL19" s="107"/>
      <c r="JM19" s="108"/>
      <c r="JN19" s="107"/>
      <c r="JO19" s="107"/>
      <c r="JP19" s="123"/>
      <c r="JQ19" s="107"/>
      <c r="JR19" s="130" t="str">
        <f t="shared" si="26"/>
        <v/>
      </c>
      <c r="JS19" s="107"/>
      <c r="JT19" s="107"/>
      <c r="JU19" s="107"/>
      <c r="JV19" s="107"/>
      <c r="JW19" s="108"/>
      <c r="JX19" s="107"/>
      <c r="JY19" s="107"/>
      <c r="JZ19" s="123"/>
      <c r="KA19" s="107"/>
      <c r="KB19" s="130" t="str">
        <f t="shared" si="27"/>
        <v/>
      </c>
      <c r="KC19" s="107"/>
      <c r="KD19" s="107"/>
      <c r="KE19" s="107"/>
      <c r="KF19" s="107"/>
      <c r="KG19" s="108"/>
      <c r="KH19" s="107"/>
      <c r="KI19" s="107"/>
      <c r="KJ19" s="123"/>
      <c r="KK19" s="107"/>
      <c r="KL19" s="130" t="str">
        <f t="shared" si="28"/>
        <v/>
      </c>
      <c r="KM19" s="107"/>
      <c r="KN19" s="107"/>
      <c r="KO19" s="107"/>
      <c r="KP19" s="107"/>
      <c r="KQ19" s="108"/>
      <c r="KR19" s="107"/>
      <c r="KS19" s="107"/>
      <c r="KT19" s="123"/>
      <c r="KU19" s="107"/>
      <c r="KV19" s="130" t="str">
        <f t="shared" si="29"/>
        <v/>
      </c>
      <c r="KW19" s="107"/>
      <c r="KX19" s="107"/>
      <c r="KY19" s="107"/>
      <c r="KZ19" s="107"/>
      <c r="LA19" s="108"/>
      <c r="LB19" s="107"/>
      <c r="LC19" s="107"/>
      <c r="LD19" s="123"/>
      <c r="LE19" s="107"/>
      <c r="LF19" s="130" t="str">
        <f t="shared" si="30"/>
        <v/>
      </c>
      <c r="LG19" s="107"/>
      <c r="LH19" s="107"/>
      <c r="LI19" s="107"/>
      <c r="LJ19" s="107"/>
      <c r="LK19" s="108"/>
      <c r="LL19" s="107"/>
      <c r="LM19" s="107"/>
      <c r="LN19" s="123"/>
      <c r="LO19" s="107"/>
      <c r="LP19" s="130" t="str">
        <f t="shared" si="31"/>
        <v/>
      </c>
      <c r="LQ19" s="107"/>
      <c r="LR19" s="107"/>
      <c r="LS19" s="107"/>
      <c r="LT19" s="107"/>
      <c r="LU19" s="108"/>
      <c r="LV19" s="107"/>
      <c r="LW19" s="107"/>
      <c r="LX19" s="123"/>
      <c r="LY19" s="107"/>
      <c r="LZ19" s="130" t="str">
        <f t="shared" si="32"/>
        <v/>
      </c>
      <c r="MA19" s="107"/>
      <c r="MB19" s="107"/>
      <c r="MC19" s="107"/>
      <c r="MD19" s="107"/>
      <c r="ME19" s="108"/>
    </row>
    <row r="20" spans="2:343" ht="27.95" customHeight="1">
      <c r="B20" s="96" t="str">
        <f ca="1">INDIRECT("'BDD - Joueurs'!B12")</f>
        <v>KIPRE Jordan</v>
      </c>
      <c r="C20" s="145">
        <f>COUNTIF(X20:ME20,C9)</f>
        <v>1</v>
      </c>
      <c r="D20" s="146">
        <f>COUNTIF(X20:ME20,D9)</f>
        <v>0</v>
      </c>
      <c r="E20" s="146">
        <f>COUNTIF(X20:ME20,E9)</f>
        <v>1</v>
      </c>
      <c r="F20" s="147">
        <f>COUNTIF(X20:ME20,F9)</f>
        <v>1</v>
      </c>
      <c r="G20" s="145">
        <f>COUNTIF(X20:ME20,G9)</f>
        <v>3</v>
      </c>
      <c r="H20" s="146">
        <f>COUNTIF(X20:ME20,H9)</f>
        <v>0</v>
      </c>
      <c r="I20" s="146">
        <f>COUNTIF(X20:ME20,I9)</f>
        <v>0</v>
      </c>
      <c r="J20" s="146">
        <f>COUNTIF(X20:ME20,J9)</f>
        <v>0</v>
      </c>
      <c r="K20" s="146">
        <f t="shared" si="37"/>
        <v>0</v>
      </c>
      <c r="L20" s="146">
        <f>COUNTIF(X20:ME20,L9)</f>
        <v>0</v>
      </c>
      <c r="M20" s="146">
        <f t="shared" si="33"/>
        <v>0</v>
      </c>
      <c r="N20" s="146">
        <f>COUNTIF(X20:ME20,N9)</f>
        <v>2</v>
      </c>
      <c r="O20" s="147">
        <f>COUNTIF(X20:ME20,O9)</f>
        <v>0</v>
      </c>
      <c r="P20" s="148">
        <f t="shared" si="0"/>
        <v>80</v>
      </c>
      <c r="Q20" s="149">
        <f t="shared" si="35"/>
        <v>7.333333333333333</v>
      </c>
      <c r="R20" s="166">
        <f t="shared" si="36"/>
        <v>586.66666666666663</v>
      </c>
      <c r="S20" s="148">
        <f t="shared" si="42"/>
        <v>0</v>
      </c>
      <c r="T20" s="148">
        <f t="shared" si="38"/>
        <v>0</v>
      </c>
      <c r="U20" s="148">
        <f t="shared" si="39"/>
        <v>0</v>
      </c>
      <c r="V20" s="148">
        <f t="shared" si="40"/>
        <v>0</v>
      </c>
      <c r="W20" s="147">
        <f t="shared" si="41"/>
        <v>0</v>
      </c>
      <c r="X20" s="109"/>
      <c r="Y20" s="109" t="s">
        <v>271</v>
      </c>
      <c r="Z20" s="124"/>
      <c r="AA20" s="109"/>
      <c r="AB20" s="129" t="str">
        <f t="shared" si="34"/>
        <v/>
      </c>
      <c r="AC20" s="109"/>
      <c r="AD20" s="109"/>
      <c r="AE20" s="109"/>
      <c r="AF20" s="109"/>
      <c r="AG20" s="110"/>
      <c r="AH20" s="109"/>
      <c r="AI20" s="109" t="s">
        <v>271</v>
      </c>
      <c r="AJ20" s="124"/>
      <c r="AK20" s="109"/>
      <c r="AL20" s="129" t="str">
        <f t="shared" si="2"/>
        <v/>
      </c>
      <c r="AM20" s="109"/>
      <c r="AN20" s="109"/>
      <c r="AO20" s="109"/>
      <c r="AP20" s="109"/>
      <c r="AQ20" s="110"/>
      <c r="AR20" s="109" t="s">
        <v>124</v>
      </c>
      <c r="AS20" s="109" t="s">
        <v>269</v>
      </c>
      <c r="AT20" s="124">
        <v>27</v>
      </c>
      <c r="AU20" s="109">
        <v>8</v>
      </c>
      <c r="AV20" s="129">
        <f t="shared" si="3"/>
        <v>216</v>
      </c>
      <c r="AW20" s="109"/>
      <c r="AX20" s="109"/>
      <c r="AY20" s="109"/>
      <c r="AZ20" s="109"/>
      <c r="BA20" s="110"/>
      <c r="BB20" s="109" t="s">
        <v>126</v>
      </c>
      <c r="BC20" s="109" t="s">
        <v>269</v>
      </c>
      <c r="BD20" s="124">
        <v>36</v>
      </c>
      <c r="BE20" s="109">
        <v>7</v>
      </c>
      <c r="BF20" s="129">
        <f t="shared" si="4"/>
        <v>252</v>
      </c>
      <c r="BG20" s="109"/>
      <c r="BH20" s="109"/>
      <c r="BI20" s="109"/>
      <c r="BJ20" s="109"/>
      <c r="BK20" s="110"/>
      <c r="BL20" s="109" t="s">
        <v>127</v>
      </c>
      <c r="BM20" s="109" t="s">
        <v>269</v>
      </c>
      <c r="BN20" s="124">
        <v>17</v>
      </c>
      <c r="BO20" s="109">
        <v>7</v>
      </c>
      <c r="BP20" s="129">
        <f t="shared" si="5"/>
        <v>119</v>
      </c>
      <c r="BQ20" s="109"/>
      <c r="BR20" s="109"/>
      <c r="BS20" s="109"/>
      <c r="BT20" s="109"/>
      <c r="BU20" s="110"/>
      <c r="BV20" s="109"/>
      <c r="BW20" s="109"/>
      <c r="BX20" s="124"/>
      <c r="BY20" s="109"/>
      <c r="BZ20" s="129" t="str">
        <f t="shared" si="6"/>
        <v/>
      </c>
      <c r="CA20" s="109"/>
      <c r="CB20" s="109"/>
      <c r="CC20" s="109"/>
      <c r="CD20" s="109"/>
      <c r="CE20" s="110"/>
      <c r="CF20" s="109"/>
      <c r="CG20" s="109"/>
      <c r="CH20" s="124"/>
      <c r="CI20" s="109"/>
      <c r="CJ20" s="129" t="str">
        <f t="shared" si="7"/>
        <v/>
      </c>
      <c r="CK20" s="109"/>
      <c r="CL20" s="109"/>
      <c r="CM20" s="109"/>
      <c r="CN20" s="109"/>
      <c r="CO20" s="110"/>
      <c r="CP20" s="109"/>
      <c r="CQ20" s="109"/>
      <c r="CR20" s="124"/>
      <c r="CS20" s="109"/>
      <c r="CT20" s="129" t="str">
        <f t="shared" si="8"/>
        <v/>
      </c>
      <c r="CU20" s="109"/>
      <c r="CV20" s="109"/>
      <c r="CW20" s="109"/>
      <c r="CX20" s="109"/>
      <c r="CY20" s="110"/>
      <c r="CZ20" s="109"/>
      <c r="DA20" s="109"/>
      <c r="DB20" s="124"/>
      <c r="DC20" s="109"/>
      <c r="DD20" s="129" t="str">
        <f t="shared" si="9"/>
        <v/>
      </c>
      <c r="DE20" s="109"/>
      <c r="DF20" s="109"/>
      <c r="DG20" s="109"/>
      <c r="DH20" s="109"/>
      <c r="DI20" s="110"/>
      <c r="DJ20" s="109"/>
      <c r="DK20" s="109"/>
      <c r="DL20" s="124"/>
      <c r="DM20" s="109"/>
      <c r="DN20" s="129" t="str">
        <f t="shared" si="10"/>
        <v/>
      </c>
      <c r="DO20" s="109"/>
      <c r="DP20" s="109"/>
      <c r="DQ20" s="109"/>
      <c r="DR20" s="109"/>
      <c r="DS20" s="110"/>
      <c r="DT20" s="109"/>
      <c r="DU20" s="109"/>
      <c r="DV20" s="124"/>
      <c r="DW20" s="109"/>
      <c r="DX20" s="129" t="str">
        <f t="shared" si="11"/>
        <v/>
      </c>
      <c r="DY20" s="109"/>
      <c r="DZ20" s="109"/>
      <c r="EA20" s="109"/>
      <c r="EB20" s="109"/>
      <c r="EC20" s="110"/>
      <c r="ED20" s="109"/>
      <c r="EE20" s="109"/>
      <c r="EF20" s="124"/>
      <c r="EG20" s="109"/>
      <c r="EH20" s="129" t="str">
        <f t="shared" si="12"/>
        <v/>
      </c>
      <c r="EI20" s="109"/>
      <c r="EJ20" s="109"/>
      <c r="EK20" s="109"/>
      <c r="EL20" s="109"/>
      <c r="EM20" s="110"/>
      <c r="EN20" s="109"/>
      <c r="EO20" s="109"/>
      <c r="EP20" s="124"/>
      <c r="EQ20" s="109"/>
      <c r="ER20" s="129" t="str">
        <f t="shared" si="13"/>
        <v/>
      </c>
      <c r="ES20" s="109"/>
      <c r="ET20" s="109"/>
      <c r="EU20" s="109"/>
      <c r="EV20" s="109"/>
      <c r="EW20" s="110"/>
      <c r="EX20" s="109"/>
      <c r="EY20" s="109"/>
      <c r="EZ20" s="124"/>
      <c r="FA20" s="109"/>
      <c r="FB20" s="129" t="str">
        <f t="shared" si="14"/>
        <v/>
      </c>
      <c r="FC20" s="109"/>
      <c r="FD20" s="109"/>
      <c r="FE20" s="109"/>
      <c r="FF20" s="109"/>
      <c r="FG20" s="110"/>
      <c r="FH20" s="109"/>
      <c r="FI20" s="109"/>
      <c r="FJ20" s="124"/>
      <c r="FK20" s="109"/>
      <c r="FL20" s="129" t="str">
        <f t="shared" si="15"/>
        <v/>
      </c>
      <c r="FM20" s="109"/>
      <c r="FN20" s="109"/>
      <c r="FO20" s="109"/>
      <c r="FP20" s="109"/>
      <c r="FQ20" s="110"/>
      <c r="FR20" s="109"/>
      <c r="FS20" s="109"/>
      <c r="FT20" s="124"/>
      <c r="FU20" s="109"/>
      <c r="FV20" s="129" t="str">
        <f t="shared" si="16"/>
        <v/>
      </c>
      <c r="FW20" s="109"/>
      <c r="FX20" s="109"/>
      <c r="FY20" s="109"/>
      <c r="FZ20" s="109"/>
      <c r="GA20" s="110"/>
      <c r="GB20" s="109"/>
      <c r="GC20" s="109"/>
      <c r="GD20" s="124"/>
      <c r="GE20" s="109"/>
      <c r="GF20" s="129" t="str">
        <f t="shared" si="17"/>
        <v/>
      </c>
      <c r="GG20" s="109"/>
      <c r="GH20" s="109"/>
      <c r="GI20" s="109"/>
      <c r="GJ20" s="109"/>
      <c r="GK20" s="110"/>
      <c r="GL20" s="109"/>
      <c r="GM20" s="109"/>
      <c r="GN20" s="124"/>
      <c r="GO20" s="109"/>
      <c r="GP20" s="129" t="str">
        <f t="shared" si="18"/>
        <v/>
      </c>
      <c r="GQ20" s="109"/>
      <c r="GR20" s="109"/>
      <c r="GS20" s="109"/>
      <c r="GT20" s="109"/>
      <c r="GU20" s="110"/>
      <c r="GV20" s="109"/>
      <c r="GW20" s="109"/>
      <c r="GX20" s="124"/>
      <c r="GY20" s="109"/>
      <c r="GZ20" s="129" t="str">
        <f t="shared" si="19"/>
        <v/>
      </c>
      <c r="HA20" s="109"/>
      <c r="HB20" s="109"/>
      <c r="HC20" s="109"/>
      <c r="HD20" s="109"/>
      <c r="HE20" s="110"/>
      <c r="HF20" s="109"/>
      <c r="HG20" s="109"/>
      <c r="HH20" s="124"/>
      <c r="HI20" s="109"/>
      <c r="HJ20" s="129" t="str">
        <f t="shared" si="20"/>
        <v/>
      </c>
      <c r="HK20" s="109"/>
      <c r="HL20" s="109"/>
      <c r="HM20" s="109"/>
      <c r="HN20" s="109"/>
      <c r="HO20" s="110"/>
      <c r="HP20" s="109"/>
      <c r="HQ20" s="109"/>
      <c r="HR20" s="124"/>
      <c r="HS20" s="109"/>
      <c r="HT20" s="129" t="str">
        <f t="shared" si="21"/>
        <v/>
      </c>
      <c r="HU20" s="109"/>
      <c r="HV20" s="109"/>
      <c r="HW20" s="109"/>
      <c r="HX20" s="109"/>
      <c r="HY20" s="110"/>
      <c r="HZ20" s="109"/>
      <c r="IA20" s="109"/>
      <c r="IB20" s="124"/>
      <c r="IC20" s="109"/>
      <c r="ID20" s="129" t="str">
        <f t="shared" si="22"/>
        <v/>
      </c>
      <c r="IE20" s="109"/>
      <c r="IF20" s="109"/>
      <c r="IG20" s="109"/>
      <c r="IH20" s="109"/>
      <c r="II20" s="110"/>
      <c r="IJ20" s="109"/>
      <c r="IK20" s="109"/>
      <c r="IL20" s="124"/>
      <c r="IM20" s="109"/>
      <c r="IN20" s="129" t="str">
        <f t="shared" si="23"/>
        <v/>
      </c>
      <c r="IO20" s="109"/>
      <c r="IP20" s="109"/>
      <c r="IQ20" s="109"/>
      <c r="IR20" s="109"/>
      <c r="IS20" s="110"/>
      <c r="IT20" s="109"/>
      <c r="IU20" s="109"/>
      <c r="IV20" s="124"/>
      <c r="IW20" s="109"/>
      <c r="IX20" s="129" t="str">
        <f t="shared" si="24"/>
        <v/>
      </c>
      <c r="IY20" s="109"/>
      <c r="IZ20" s="109"/>
      <c r="JA20" s="109"/>
      <c r="JB20" s="109"/>
      <c r="JC20" s="110"/>
      <c r="JD20" s="109"/>
      <c r="JE20" s="109"/>
      <c r="JF20" s="124"/>
      <c r="JG20" s="109"/>
      <c r="JH20" s="129" t="str">
        <f t="shared" si="25"/>
        <v/>
      </c>
      <c r="JI20" s="109"/>
      <c r="JJ20" s="109"/>
      <c r="JK20" s="109"/>
      <c r="JL20" s="109"/>
      <c r="JM20" s="110"/>
      <c r="JN20" s="109"/>
      <c r="JO20" s="109"/>
      <c r="JP20" s="124"/>
      <c r="JQ20" s="109"/>
      <c r="JR20" s="129" t="str">
        <f t="shared" si="26"/>
        <v/>
      </c>
      <c r="JS20" s="109"/>
      <c r="JT20" s="109"/>
      <c r="JU20" s="109"/>
      <c r="JV20" s="109"/>
      <c r="JW20" s="110"/>
      <c r="JX20" s="109"/>
      <c r="JY20" s="109"/>
      <c r="JZ20" s="124"/>
      <c r="KA20" s="109"/>
      <c r="KB20" s="129" t="str">
        <f t="shared" si="27"/>
        <v/>
      </c>
      <c r="KC20" s="109"/>
      <c r="KD20" s="109"/>
      <c r="KE20" s="109"/>
      <c r="KF20" s="109"/>
      <c r="KG20" s="110"/>
      <c r="KH20" s="109"/>
      <c r="KI20" s="109"/>
      <c r="KJ20" s="124"/>
      <c r="KK20" s="109"/>
      <c r="KL20" s="129" t="str">
        <f t="shared" si="28"/>
        <v/>
      </c>
      <c r="KM20" s="109"/>
      <c r="KN20" s="109"/>
      <c r="KO20" s="109"/>
      <c r="KP20" s="109"/>
      <c r="KQ20" s="110"/>
      <c r="KR20" s="109"/>
      <c r="KS20" s="109"/>
      <c r="KT20" s="124"/>
      <c r="KU20" s="109"/>
      <c r="KV20" s="129" t="str">
        <f t="shared" si="29"/>
        <v/>
      </c>
      <c r="KW20" s="109"/>
      <c r="KX20" s="109"/>
      <c r="KY20" s="109"/>
      <c r="KZ20" s="109"/>
      <c r="LA20" s="110"/>
      <c r="LB20" s="109"/>
      <c r="LC20" s="109"/>
      <c r="LD20" s="124"/>
      <c r="LE20" s="109"/>
      <c r="LF20" s="129" t="str">
        <f t="shared" si="30"/>
        <v/>
      </c>
      <c r="LG20" s="109"/>
      <c r="LH20" s="109"/>
      <c r="LI20" s="109"/>
      <c r="LJ20" s="109"/>
      <c r="LK20" s="110"/>
      <c r="LL20" s="109"/>
      <c r="LM20" s="109"/>
      <c r="LN20" s="124"/>
      <c r="LO20" s="109"/>
      <c r="LP20" s="129" t="str">
        <f t="shared" si="31"/>
        <v/>
      </c>
      <c r="LQ20" s="109"/>
      <c r="LR20" s="109"/>
      <c r="LS20" s="109"/>
      <c r="LT20" s="109"/>
      <c r="LU20" s="110"/>
      <c r="LV20" s="109"/>
      <c r="LW20" s="109"/>
      <c r="LX20" s="124"/>
      <c r="LY20" s="109"/>
      <c r="LZ20" s="129" t="str">
        <f t="shared" si="32"/>
        <v/>
      </c>
      <c r="MA20" s="109"/>
      <c r="MB20" s="109"/>
      <c r="MC20" s="109"/>
      <c r="MD20" s="109"/>
      <c r="ME20" s="110"/>
    </row>
    <row r="21" spans="2:343" ht="27.95" customHeight="1">
      <c r="B21" s="138" t="str">
        <f ca="1">INDIRECT("'BDD - Joueurs'!B13")</f>
        <v>KONATE Mamadou</v>
      </c>
      <c r="C21" s="140">
        <f>COUNTIF(X21:ME21,C9)</f>
        <v>3</v>
      </c>
      <c r="D21" s="141">
        <f>COUNTIF(X21:ME21,D9)</f>
        <v>0</v>
      </c>
      <c r="E21" s="141">
        <f>COUNTIF(X21:ME21,E9)</f>
        <v>1</v>
      </c>
      <c r="F21" s="142">
        <f>COUNTIF(X21:ME21,F9)</f>
        <v>1</v>
      </c>
      <c r="G21" s="140">
        <f>COUNTIF(X21:ME21,G9)</f>
        <v>5</v>
      </c>
      <c r="H21" s="141">
        <f>COUNTIF(X21:ME21,H9)</f>
        <v>0</v>
      </c>
      <c r="I21" s="141">
        <f>COUNTIF(X21:ME21,I9)</f>
        <v>0</v>
      </c>
      <c r="J21" s="141">
        <f>COUNTIF(X21:ME21,J9)</f>
        <v>0</v>
      </c>
      <c r="K21" s="141">
        <f t="shared" si="37"/>
        <v>0</v>
      </c>
      <c r="L21" s="141">
        <f>COUNTIF(X21:ME21,L9)</f>
        <v>0</v>
      </c>
      <c r="M21" s="141">
        <f t="shared" si="33"/>
        <v>0</v>
      </c>
      <c r="N21" s="141">
        <f>COUNTIF(X21:ME21,N9)</f>
        <v>0</v>
      </c>
      <c r="O21" s="142">
        <f>COUNTIF(X21:ME21,O9)</f>
        <v>0</v>
      </c>
      <c r="P21" s="143">
        <f t="shared" si="0"/>
        <v>216</v>
      </c>
      <c r="Q21" s="144">
        <f t="shared" si="35"/>
        <v>6.8</v>
      </c>
      <c r="R21" s="165">
        <f t="shared" si="36"/>
        <v>1468.8</v>
      </c>
      <c r="S21" s="143">
        <f t="shared" si="42"/>
        <v>1</v>
      </c>
      <c r="T21" s="143">
        <f t="shared" si="38"/>
        <v>0</v>
      </c>
      <c r="U21" s="143">
        <f t="shared" si="39"/>
        <v>0</v>
      </c>
      <c r="V21" s="143">
        <f t="shared" si="40"/>
        <v>0</v>
      </c>
      <c r="W21" s="142">
        <f t="shared" si="41"/>
        <v>0</v>
      </c>
      <c r="X21" s="107" t="s">
        <v>124</v>
      </c>
      <c r="Y21" s="107" t="s">
        <v>269</v>
      </c>
      <c r="Z21" s="123">
        <v>60</v>
      </c>
      <c r="AA21" s="107">
        <v>5</v>
      </c>
      <c r="AB21" s="130">
        <f t="shared" si="34"/>
        <v>300</v>
      </c>
      <c r="AC21" s="107">
        <v>1</v>
      </c>
      <c r="AD21" s="107"/>
      <c r="AE21" s="107"/>
      <c r="AF21" s="107"/>
      <c r="AG21" s="108"/>
      <c r="AH21" s="107" t="s">
        <v>124</v>
      </c>
      <c r="AI21" s="107" t="s">
        <v>269</v>
      </c>
      <c r="AJ21" s="123">
        <v>57</v>
      </c>
      <c r="AK21" s="107">
        <v>5</v>
      </c>
      <c r="AL21" s="130">
        <f t="shared" si="2"/>
        <v>285</v>
      </c>
      <c r="AM21" s="107"/>
      <c r="AN21" s="107"/>
      <c r="AO21" s="107"/>
      <c r="AP21" s="107"/>
      <c r="AQ21" s="108"/>
      <c r="AR21" s="107" t="s">
        <v>124</v>
      </c>
      <c r="AS21" s="107" t="s">
        <v>269</v>
      </c>
      <c r="AT21" s="123">
        <v>45</v>
      </c>
      <c r="AU21" s="107">
        <v>8</v>
      </c>
      <c r="AV21" s="130">
        <f t="shared" si="3"/>
        <v>360</v>
      </c>
      <c r="AW21" s="107"/>
      <c r="AX21" s="107"/>
      <c r="AY21" s="107"/>
      <c r="AZ21" s="107"/>
      <c r="BA21" s="108"/>
      <c r="BB21" s="107" t="s">
        <v>126</v>
      </c>
      <c r="BC21" s="107" t="s">
        <v>269</v>
      </c>
      <c r="BD21" s="123">
        <v>45</v>
      </c>
      <c r="BE21" s="107">
        <v>7</v>
      </c>
      <c r="BF21" s="130">
        <f t="shared" si="4"/>
        <v>315</v>
      </c>
      <c r="BG21" s="107"/>
      <c r="BH21" s="107"/>
      <c r="BI21" s="107"/>
      <c r="BJ21" s="107"/>
      <c r="BK21" s="108"/>
      <c r="BL21" s="107" t="s">
        <v>127</v>
      </c>
      <c r="BM21" s="107" t="s">
        <v>269</v>
      </c>
      <c r="BN21" s="123">
        <v>9</v>
      </c>
      <c r="BO21" s="107">
        <v>9</v>
      </c>
      <c r="BP21" s="130">
        <f t="shared" si="5"/>
        <v>81</v>
      </c>
      <c r="BQ21" s="107"/>
      <c r="BR21" s="107"/>
      <c r="BS21" s="107"/>
      <c r="BT21" s="107"/>
      <c r="BU21" s="108"/>
      <c r="BV21" s="107"/>
      <c r="BW21" s="107"/>
      <c r="BX21" s="123"/>
      <c r="BY21" s="107"/>
      <c r="BZ21" s="130" t="str">
        <f t="shared" si="6"/>
        <v/>
      </c>
      <c r="CA21" s="107"/>
      <c r="CB21" s="107"/>
      <c r="CC21" s="107"/>
      <c r="CD21" s="107"/>
      <c r="CE21" s="108"/>
      <c r="CF21" s="107"/>
      <c r="CG21" s="107"/>
      <c r="CH21" s="123"/>
      <c r="CI21" s="107"/>
      <c r="CJ21" s="130" t="str">
        <f t="shared" si="7"/>
        <v/>
      </c>
      <c r="CK21" s="107"/>
      <c r="CL21" s="107"/>
      <c r="CM21" s="107"/>
      <c r="CN21" s="107"/>
      <c r="CO21" s="108"/>
      <c r="CP21" s="107"/>
      <c r="CQ21" s="107"/>
      <c r="CR21" s="123"/>
      <c r="CS21" s="107"/>
      <c r="CT21" s="130" t="str">
        <f t="shared" si="8"/>
        <v/>
      </c>
      <c r="CU21" s="107"/>
      <c r="CV21" s="107"/>
      <c r="CW21" s="107"/>
      <c r="CX21" s="107"/>
      <c r="CY21" s="108"/>
      <c r="CZ21" s="107"/>
      <c r="DA21" s="107"/>
      <c r="DB21" s="123"/>
      <c r="DC21" s="107"/>
      <c r="DD21" s="130" t="str">
        <f t="shared" si="9"/>
        <v/>
      </c>
      <c r="DE21" s="107"/>
      <c r="DF21" s="107"/>
      <c r="DG21" s="107"/>
      <c r="DH21" s="107"/>
      <c r="DI21" s="108"/>
      <c r="DJ21" s="107"/>
      <c r="DK21" s="107"/>
      <c r="DL21" s="123"/>
      <c r="DM21" s="107"/>
      <c r="DN21" s="130" t="str">
        <f t="shared" si="10"/>
        <v/>
      </c>
      <c r="DO21" s="107"/>
      <c r="DP21" s="107"/>
      <c r="DQ21" s="107"/>
      <c r="DR21" s="107"/>
      <c r="DS21" s="108"/>
      <c r="DT21" s="107"/>
      <c r="DU21" s="107"/>
      <c r="DV21" s="123"/>
      <c r="DW21" s="107"/>
      <c r="DX21" s="130" t="str">
        <f t="shared" si="11"/>
        <v/>
      </c>
      <c r="DY21" s="107"/>
      <c r="DZ21" s="107"/>
      <c r="EA21" s="107"/>
      <c r="EB21" s="107"/>
      <c r="EC21" s="108"/>
      <c r="ED21" s="107"/>
      <c r="EE21" s="107"/>
      <c r="EF21" s="123"/>
      <c r="EG21" s="107"/>
      <c r="EH21" s="130" t="str">
        <f t="shared" si="12"/>
        <v/>
      </c>
      <c r="EI21" s="107"/>
      <c r="EJ21" s="107"/>
      <c r="EK21" s="107"/>
      <c r="EL21" s="107"/>
      <c r="EM21" s="108"/>
      <c r="EN21" s="107"/>
      <c r="EO21" s="107"/>
      <c r="EP21" s="123"/>
      <c r="EQ21" s="107"/>
      <c r="ER21" s="130" t="str">
        <f t="shared" si="13"/>
        <v/>
      </c>
      <c r="ES21" s="107"/>
      <c r="ET21" s="107"/>
      <c r="EU21" s="107"/>
      <c r="EV21" s="107"/>
      <c r="EW21" s="108"/>
      <c r="EX21" s="107"/>
      <c r="EY21" s="107"/>
      <c r="EZ21" s="123"/>
      <c r="FA21" s="107"/>
      <c r="FB21" s="130" t="str">
        <f t="shared" si="14"/>
        <v/>
      </c>
      <c r="FC21" s="107"/>
      <c r="FD21" s="107"/>
      <c r="FE21" s="107"/>
      <c r="FF21" s="107"/>
      <c r="FG21" s="108"/>
      <c r="FH21" s="107"/>
      <c r="FI21" s="107"/>
      <c r="FJ21" s="123"/>
      <c r="FK21" s="107"/>
      <c r="FL21" s="130" t="str">
        <f t="shared" si="15"/>
        <v/>
      </c>
      <c r="FM21" s="107"/>
      <c r="FN21" s="107"/>
      <c r="FO21" s="107"/>
      <c r="FP21" s="107"/>
      <c r="FQ21" s="108"/>
      <c r="FR21" s="107"/>
      <c r="FS21" s="107"/>
      <c r="FT21" s="123"/>
      <c r="FU21" s="107"/>
      <c r="FV21" s="130" t="str">
        <f t="shared" si="16"/>
        <v/>
      </c>
      <c r="FW21" s="107"/>
      <c r="FX21" s="107"/>
      <c r="FY21" s="107"/>
      <c r="FZ21" s="107"/>
      <c r="GA21" s="108"/>
      <c r="GB21" s="107"/>
      <c r="GC21" s="107"/>
      <c r="GD21" s="123"/>
      <c r="GE21" s="107"/>
      <c r="GF21" s="130" t="str">
        <f t="shared" si="17"/>
        <v/>
      </c>
      <c r="GG21" s="107"/>
      <c r="GH21" s="107"/>
      <c r="GI21" s="107"/>
      <c r="GJ21" s="107"/>
      <c r="GK21" s="108"/>
      <c r="GL21" s="107"/>
      <c r="GM21" s="107"/>
      <c r="GN21" s="123"/>
      <c r="GO21" s="107"/>
      <c r="GP21" s="130" t="str">
        <f t="shared" si="18"/>
        <v/>
      </c>
      <c r="GQ21" s="107"/>
      <c r="GR21" s="107"/>
      <c r="GS21" s="107"/>
      <c r="GT21" s="107"/>
      <c r="GU21" s="108"/>
      <c r="GV21" s="107"/>
      <c r="GW21" s="107"/>
      <c r="GX21" s="123"/>
      <c r="GY21" s="107"/>
      <c r="GZ21" s="130" t="str">
        <f t="shared" si="19"/>
        <v/>
      </c>
      <c r="HA21" s="107"/>
      <c r="HB21" s="107"/>
      <c r="HC21" s="107"/>
      <c r="HD21" s="107"/>
      <c r="HE21" s="108"/>
      <c r="HF21" s="107"/>
      <c r="HG21" s="107"/>
      <c r="HH21" s="123"/>
      <c r="HI21" s="107"/>
      <c r="HJ21" s="130" t="str">
        <f t="shared" si="20"/>
        <v/>
      </c>
      <c r="HK21" s="107"/>
      <c r="HL21" s="107"/>
      <c r="HM21" s="107"/>
      <c r="HN21" s="107"/>
      <c r="HO21" s="108"/>
      <c r="HP21" s="107"/>
      <c r="HQ21" s="107"/>
      <c r="HR21" s="123"/>
      <c r="HS21" s="107"/>
      <c r="HT21" s="130" t="str">
        <f t="shared" si="21"/>
        <v/>
      </c>
      <c r="HU21" s="107"/>
      <c r="HV21" s="107"/>
      <c r="HW21" s="107"/>
      <c r="HX21" s="107"/>
      <c r="HY21" s="108"/>
      <c r="HZ21" s="107"/>
      <c r="IA21" s="107"/>
      <c r="IB21" s="123"/>
      <c r="IC21" s="107"/>
      <c r="ID21" s="130" t="str">
        <f t="shared" si="22"/>
        <v/>
      </c>
      <c r="IE21" s="107"/>
      <c r="IF21" s="107"/>
      <c r="IG21" s="107"/>
      <c r="IH21" s="107"/>
      <c r="II21" s="108"/>
      <c r="IJ21" s="107"/>
      <c r="IK21" s="107"/>
      <c r="IL21" s="123"/>
      <c r="IM21" s="107"/>
      <c r="IN21" s="130" t="str">
        <f t="shared" si="23"/>
        <v/>
      </c>
      <c r="IO21" s="107"/>
      <c r="IP21" s="107"/>
      <c r="IQ21" s="107"/>
      <c r="IR21" s="107"/>
      <c r="IS21" s="108"/>
      <c r="IT21" s="107"/>
      <c r="IU21" s="107"/>
      <c r="IV21" s="123"/>
      <c r="IW21" s="107"/>
      <c r="IX21" s="130" t="str">
        <f t="shared" si="24"/>
        <v/>
      </c>
      <c r="IY21" s="107"/>
      <c r="IZ21" s="107"/>
      <c r="JA21" s="107"/>
      <c r="JB21" s="107"/>
      <c r="JC21" s="108"/>
      <c r="JD21" s="107"/>
      <c r="JE21" s="107"/>
      <c r="JF21" s="123"/>
      <c r="JG21" s="107"/>
      <c r="JH21" s="130" t="str">
        <f t="shared" si="25"/>
        <v/>
      </c>
      <c r="JI21" s="107"/>
      <c r="JJ21" s="107"/>
      <c r="JK21" s="107"/>
      <c r="JL21" s="107"/>
      <c r="JM21" s="108"/>
      <c r="JN21" s="107"/>
      <c r="JO21" s="107"/>
      <c r="JP21" s="123"/>
      <c r="JQ21" s="107"/>
      <c r="JR21" s="130" t="str">
        <f t="shared" si="26"/>
        <v/>
      </c>
      <c r="JS21" s="107"/>
      <c r="JT21" s="107"/>
      <c r="JU21" s="107"/>
      <c r="JV21" s="107"/>
      <c r="JW21" s="108"/>
      <c r="JX21" s="107"/>
      <c r="JY21" s="107"/>
      <c r="JZ21" s="123"/>
      <c r="KA21" s="107"/>
      <c r="KB21" s="130" t="str">
        <f t="shared" si="27"/>
        <v/>
      </c>
      <c r="KC21" s="107"/>
      <c r="KD21" s="107"/>
      <c r="KE21" s="107"/>
      <c r="KF21" s="107"/>
      <c r="KG21" s="108"/>
      <c r="KH21" s="107"/>
      <c r="KI21" s="107"/>
      <c r="KJ21" s="123"/>
      <c r="KK21" s="107"/>
      <c r="KL21" s="130" t="str">
        <f t="shared" si="28"/>
        <v/>
      </c>
      <c r="KM21" s="107"/>
      <c r="KN21" s="107"/>
      <c r="KO21" s="107"/>
      <c r="KP21" s="107"/>
      <c r="KQ21" s="108"/>
      <c r="KR21" s="107"/>
      <c r="KS21" s="107"/>
      <c r="KT21" s="123"/>
      <c r="KU21" s="107"/>
      <c r="KV21" s="130" t="str">
        <f t="shared" si="29"/>
        <v/>
      </c>
      <c r="KW21" s="107"/>
      <c r="KX21" s="107"/>
      <c r="KY21" s="107"/>
      <c r="KZ21" s="107"/>
      <c r="LA21" s="108"/>
      <c r="LB21" s="107"/>
      <c r="LC21" s="107"/>
      <c r="LD21" s="123"/>
      <c r="LE21" s="107"/>
      <c r="LF21" s="130" t="str">
        <f t="shared" si="30"/>
        <v/>
      </c>
      <c r="LG21" s="107"/>
      <c r="LH21" s="107"/>
      <c r="LI21" s="107"/>
      <c r="LJ21" s="107"/>
      <c r="LK21" s="108"/>
      <c r="LL21" s="107"/>
      <c r="LM21" s="107"/>
      <c r="LN21" s="123"/>
      <c r="LO21" s="107"/>
      <c r="LP21" s="130" t="str">
        <f t="shared" si="31"/>
        <v/>
      </c>
      <c r="LQ21" s="107"/>
      <c r="LR21" s="107"/>
      <c r="LS21" s="107"/>
      <c r="LT21" s="107"/>
      <c r="LU21" s="108"/>
      <c r="LV21" s="107"/>
      <c r="LW21" s="107"/>
      <c r="LX21" s="123"/>
      <c r="LY21" s="107"/>
      <c r="LZ21" s="130" t="str">
        <f t="shared" si="32"/>
        <v/>
      </c>
      <c r="MA21" s="107"/>
      <c r="MB21" s="107"/>
      <c r="MC21" s="107"/>
      <c r="MD21" s="107"/>
      <c r="ME21" s="108"/>
    </row>
    <row r="22" spans="2:343" ht="27.95" customHeight="1">
      <c r="B22" s="96" t="str">
        <f ca="1">INDIRECT("'BDD - Joueurs'!B14")</f>
        <v>LECOUFFE Hugo</v>
      </c>
      <c r="C22" s="145">
        <f>COUNTIF(X22:ME22,C9)</f>
        <v>2</v>
      </c>
      <c r="D22" s="146">
        <f>COUNTIF(X22:ME22,D9)</f>
        <v>0</v>
      </c>
      <c r="E22" s="146">
        <f>COUNTIF(X22:ME22,E9)</f>
        <v>1</v>
      </c>
      <c r="F22" s="147">
        <f>COUNTIF(X22:ME22,F9)</f>
        <v>1</v>
      </c>
      <c r="G22" s="145">
        <f>COUNTIF(X22:ME22,G9)</f>
        <v>4</v>
      </c>
      <c r="H22" s="146">
        <f>COUNTIF(X22:ME22,H9)</f>
        <v>0</v>
      </c>
      <c r="I22" s="146">
        <f>COUNTIF(X22:ME22,I9)</f>
        <v>0</v>
      </c>
      <c r="J22" s="146">
        <f>COUNTIF(X22:ME22,J9)</f>
        <v>0</v>
      </c>
      <c r="K22" s="146">
        <f t="shared" si="37"/>
        <v>0</v>
      </c>
      <c r="L22" s="146">
        <f>COUNTIF(X22:ME22,L9)</f>
        <v>0</v>
      </c>
      <c r="M22" s="146">
        <f t="shared" si="33"/>
        <v>1</v>
      </c>
      <c r="N22" s="146">
        <f>COUNTIF(X22:ME22,N9)</f>
        <v>0</v>
      </c>
      <c r="O22" s="147">
        <f>COUNTIF(X22:ME22,O9)</f>
        <v>0</v>
      </c>
      <c r="P22" s="148">
        <f t="shared" si="0"/>
        <v>269</v>
      </c>
      <c r="Q22" s="149">
        <f t="shared" si="35"/>
        <v>5.5</v>
      </c>
      <c r="R22" s="166">
        <f t="shared" si="36"/>
        <v>1479.5</v>
      </c>
      <c r="S22" s="148">
        <f t="shared" si="42"/>
        <v>2</v>
      </c>
      <c r="T22" s="148">
        <f t="shared" si="38"/>
        <v>0</v>
      </c>
      <c r="U22" s="148">
        <f t="shared" si="39"/>
        <v>0</v>
      </c>
      <c r="V22" s="148">
        <f t="shared" si="40"/>
        <v>0</v>
      </c>
      <c r="W22" s="147">
        <f t="shared" si="41"/>
        <v>0</v>
      </c>
      <c r="X22" s="109"/>
      <c r="Y22" s="109" t="s">
        <v>14</v>
      </c>
      <c r="Z22" s="124"/>
      <c r="AA22" s="109"/>
      <c r="AB22" s="129" t="str">
        <f t="shared" si="34"/>
        <v/>
      </c>
      <c r="AC22" s="109"/>
      <c r="AD22" s="109"/>
      <c r="AE22" s="109"/>
      <c r="AF22" s="109"/>
      <c r="AG22" s="110"/>
      <c r="AH22" s="109" t="s">
        <v>124</v>
      </c>
      <c r="AI22" s="109" t="s">
        <v>269</v>
      </c>
      <c r="AJ22" s="124">
        <v>57</v>
      </c>
      <c r="AK22" s="109">
        <v>5</v>
      </c>
      <c r="AL22" s="129">
        <f t="shared" si="2"/>
        <v>285</v>
      </c>
      <c r="AM22" s="109"/>
      <c r="AN22" s="109"/>
      <c r="AO22" s="109"/>
      <c r="AP22" s="109"/>
      <c r="AQ22" s="110"/>
      <c r="AR22" s="109" t="s">
        <v>124</v>
      </c>
      <c r="AS22" s="109" t="s">
        <v>269</v>
      </c>
      <c r="AT22" s="124">
        <v>68</v>
      </c>
      <c r="AU22" s="109">
        <v>5</v>
      </c>
      <c r="AV22" s="129">
        <f t="shared" si="3"/>
        <v>340</v>
      </c>
      <c r="AW22" s="109">
        <v>1</v>
      </c>
      <c r="AX22" s="109"/>
      <c r="AY22" s="109"/>
      <c r="AZ22" s="109"/>
      <c r="BA22" s="110"/>
      <c r="BB22" s="109" t="s">
        <v>126</v>
      </c>
      <c r="BC22" s="109" t="s">
        <v>269</v>
      </c>
      <c r="BD22" s="124">
        <v>54</v>
      </c>
      <c r="BE22" s="109">
        <v>5</v>
      </c>
      <c r="BF22" s="129">
        <f t="shared" si="4"/>
        <v>270</v>
      </c>
      <c r="BG22" s="109"/>
      <c r="BH22" s="109"/>
      <c r="BI22" s="109"/>
      <c r="BJ22" s="109"/>
      <c r="BK22" s="110"/>
      <c r="BL22" s="109" t="s">
        <v>127</v>
      </c>
      <c r="BM22" s="109" t="s">
        <v>269</v>
      </c>
      <c r="BN22" s="124">
        <v>90</v>
      </c>
      <c r="BO22" s="109">
        <v>7</v>
      </c>
      <c r="BP22" s="129">
        <f t="shared" si="5"/>
        <v>630</v>
      </c>
      <c r="BQ22" s="109">
        <v>1</v>
      </c>
      <c r="BR22" s="109"/>
      <c r="BS22" s="109"/>
      <c r="BT22" s="109"/>
      <c r="BU22" s="110"/>
      <c r="BV22" s="109"/>
      <c r="BW22" s="109"/>
      <c r="BX22" s="124"/>
      <c r="BY22" s="109"/>
      <c r="BZ22" s="129" t="str">
        <f t="shared" si="6"/>
        <v/>
      </c>
      <c r="CA22" s="109"/>
      <c r="CB22" s="109"/>
      <c r="CC22" s="109"/>
      <c r="CD22" s="109"/>
      <c r="CE22" s="110"/>
      <c r="CF22" s="109"/>
      <c r="CG22" s="109"/>
      <c r="CH22" s="124"/>
      <c r="CI22" s="109"/>
      <c r="CJ22" s="129" t="str">
        <f t="shared" si="7"/>
        <v/>
      </c>
      <c r="CK22" s="109"/>
      <c r="CL22" s="109"/>
      <c r="CM22" s="109"/>
      <c r="CN22" s="109"/>
      <c r="CO22" s="110"/>
      <c r="CP22" s="109"/>
      <c r="CQ22" s="109"/>
      <c r="CR22" s="124"/>
      <c r="CS22" s="109"/>
      <c r="CT22" s="129" t="str">
        <f t="shared" si="8"/>
        <v/>
      </c>
      <c r="CU22" s="109"/>
      <c r="CV22" s="109"/>
      <c r="CW22" s="109"/>
      <c r="CX22" s="109"/>
      <c r="CY22" s="110"/>
      <c r="CZ22" s="109"/>
      <c r="DA22" s="109"/>
      <c r="DB22" s="124"/>
      <c r="DC22" s="109"/>
      <c r="DD22" s="129" t="str">
        <f t="shared" si="9"/>
        <v/>
      </c>
      <c r="DE22" s="109"/>
      <c r="DF22" s="109"/>
      <c r="DG22" s="109"/>
      <c r="DH22" s="109"/>
      <c r="DI22" s="110"/>
      <c r="DJ22" s="109"/>
      <c r="DK22" s="109"/>
      <c r="DL22" s="124"/>
      <c r="DM22" s="109"/>
      <c r="DN22" s="129" t="str">
        <f t="shared" si="10"/>
        <v/>
      </c>
      <c r="DO22" s="109"/>
      <c r="DP22" s="109"/>
      <c r="DQ22" s="109"/>
      <c r="DR22" s="109"/>
      <c r="DS22" s="110"/>
      <c r="DT22" s="109"/>
      <c r="DU22" s="109"/>
      <c r="DV22" s="124"/>
      <c r="DW22" s="109"/>
      <c r="DX22" s="129" t="str">
        <f t="shared" si="11"/>
        <v/>
      </c>
      <c r="DY22" s="109"/>
      <c r="DZ22" s="109"/>
      <c r="EA22" s="109"/>
      <c r="EB22" s="109"/>
      <c r="EC22" s="110"/>
      <c r="ED22" s="109"/>
      <c r="EE22" s="109"/>
      <c r="EF22" s="124"/>
      <c r="EG22" s="109"/>
      <c r="EH22" s="129" t="str">
        <f t="shared" si="12"/>
        <v/>
      </c>
      <c r="EI22" s="109"/>
      <c r="EJ22" s="109"/>
      <c r="EK22" s="109"/>
      <c r="EL22" s="109"/>
      <c r="EM22" s="110"/>
      <c r="EN22" s="109"/>
      <c r="EO22" s="109"/>
      <c r="EP22" s="124"/>
      <c r="EQ22" s="109"/>
      <c r="ER22" s="129" t="str">
        <f t="shared" si="13"/>
        <v/>
      </c>
      <c r="ES22" s="109"/>
      <c r="ET22" s="109"/>
      <c r="EU22" s="109"/>
      <c r="EV22" s="109"/>
      <c r="EW22" s="110"/>
      <c r="EX22" s="109"/>
      <c r="EY22" s="109"/>
      <c r="EZ22" s="124"/>
      <c r="FA22" s="109"/>
      <c r="FB22" s="129" t="str">
        <f t="shared" si="14"/>
        <v/>
      </c>
      <c r="FC22" s="109"/>
      <c r="FD22" s="109"/>
      <c r="FE22" s="109"/>
      <c r="FF22" s="109"/>
      <c r="FG22" s="110"/>
      <c r="FH22" s="109"/>
      <c r="FI22" s="109"/>
      <c r="FJ22" s="124"/>
      <c r="FK22" s="109"/>
      <c r="FL22" s="129" t="str">
        <f t="shared" si="15"/>
        <v/>
      </c>
      <c r="FM22" s="109"/>
      <c r="FN22" s="109"/>
      <c r="FO22" s="109"/>
      <c r="FP22" s="109"/>
      <c r="FQ22" s="110"/>
      <c r="FR22" s="109"/>
      <c r="FS22" s="109"/>
      <c r="FT22" s="124"/>
      <c r="FU22" s="109"/>
      <c r="FV22" s="129" t="str">
        <f t="shared" si="16"/>
        <v/>
      </c>
      <c r="FW22" s="109"/>
      <c r="FX22" s="109"/>
      <c r="FY22" s="109"/>
      <c r="FZ22" s="109"/>
      <c r="GA22" s="110"/>
      <c r="GB22" s="109"/>
      <c r="GC22" s="109"/>
      <c r="GD22" s="124"/>
      <c r="GE22" s="109"/>
      <c r="GF22" s="129" t="str">
        <f t="shared" si="17"/>
        <v/>
      </c>
      <c r="GG22" s="109"/>
      <c r="GH22" s="109"/>
      <c r="GI22" s="109"/>
      <c r="GJ22" s="109"/>
      <c r="GK22" s="110"/>
      <c r="GL22" s="109"/>
      <c r="GM22" s="109"/>
      <c r="GN22" s="124"/>
      <c r="GO22" s="109"/>
      <c r="GP22" s="129" t="str">
        <f t="shared" si="18"/>
        <v/>
      </c>
      <c r="GQ22" s="109"/>
      <c r="GR22" s="109"/>
      <c r="GS22" s="109"/>
      <c r="GT22" s="109"/>
      <c r="GU22" s="110"/>
      <c r="GV22" s="109"/>
      <c r="GW22" s="109"/>
      <c r="GX22" s="124"/>
      <c r="GY22" s="109"/>
      <c r="GZ22" s="129" t="str">
        <f t="shared" si="19"/>
        <v/>
      </c>
      <c r="HA22" s="109"/>
      <c r="HB22" s="109"/>
      <c r="HC22" s="109"/>
      <c r="HD22" s="109"/>
      <c r="HE22" s="110"/>
      <c r="HF22" s="109"/>
      <c r="HG22" s="109"/>
      <c r="HH22" s="124"/>
      <c r="HI22" s="109"/>
      <c r="HJ22" s="129" t="str">
        <f t="shared" si="20"/>
        <v/>
      </c>
      <c r="HK22" s="109"/>
      <c r="HL22" s="109"/>
      <c r="HM22" s="109"/>
      <c r="HN22" s="109"/>
      <c r="HO22" s="110"/>
      <c r="HP22" s="109"/>
      <c r="HQ22" s="109"/>
      <c r="HR22" s="124"/>
      <c r="HS22" s="109"/>
      <c r="HT22" s="129" t="str">
        <f t="shared" si="21"/>
        <v/>
      </c>
      <c r="HU22" s="109"/>
      <c r="HV22" s="109"/>
      <c r="HW22" s="109"/>
      <c r="HX22" s="109"/>
      <c r="HY22" s="110"/>
      <c r="HZ22" s="109"/>
      <c r="IA22" s="109"/>
      <c r="IB22" s="124"/>
      <c r="IC22" s="109"/>
      <c r="ID22" s="129" t="str">
        <f t="shared" si="22"/>
        <v/>
      </c>
      <c r="IE22" s="109"/>
      <c r="IF22" s="109"/>
      <c r="IG22" s="109"/>
      <c r="IH22" s="109"/>
      <c r="II22" s="110"/>
      <c r="IJ22" s="109"/>
      <c r="IK22" s="109"/>
      <c r="IL22" s="124"/>
      <c r="IM22" s="109"/>
      <c r="IN22" s="129" t="str">
        <f t="shared" si="23"/>
        <v/>
      </c>
      <c r="IO22" s="109"/>
      <c r="IP22" s="109"/>
      <c r="IQ22" s="109"/>
      <c r="IR22" s="109"/>
      <c r="IS22" s="110"/>
      <c r="IT22" s="109"/>
      <c r="IU22" s="109"/>
      <c r="IV22" s="124"/>
      <c r="IW22" s="109"/>
      <c r="IX22" s="129" t="str">
        <f t="shared" si="24"/>
        <v/>
      </c>
      <c r="IY22" s="109"/>
      <c r="IZ22" s="109"/>
      <c r="JA22" s="109"/>
      <c r="JB22" s="109"/>
      <c r="JC22" s="110"/>
      <c r="JD22" s="109"/>
      <c r="JE22" s="109"/>
      <c r="JF22" s="124"/>
      <c r="JG22" s="109"/>
      <c r="JH22" s="129" t="str">
        <f t="shared" si="25"/>
        <v/>
      </c>
      <c r="JI22" s="109"/>
      <c r="JJ22" s="109"/>
      <c r="JK22" s="109"/>
      <c r="JL22" s="109"/>
      <c r="JM22" s="110"/>
      <c r="JN22" s="109"/>
      <c r="JO22" s="109"/>
      <c r="JP22" s="124"/>
      <c r="JQ22" s="109"/>
      <c r="JR22" s="129" t="str">
        <f t="shared" si="26"/>
        <v/>
      </c>
      <c r="JS22" s="109"/>
      <c r="JT22" s="109"/>
      <c r="JU22" s="109"/>
      <c r="JV22" s="109"/>
      <c r="JW22" s="110"/>
      <c r="JX22" s="109"/>
      <c r="JY22" s="109"/>
      <c r="JZ22" s="124"/>
      <c r="KA22" s="109"/>
      <c r="KB22" s="129" t="str">
        <f t="shared" si="27"/>
        <v/>
      </c>
      <c r="KC22" s="109"/>
      <c r="KD22" s="109"/>
      <c r="KE22" s="109"/>
      <c r="KF22" s="109"/>
      <c r="KG22" s="110"/>
      <c r="KH22" s="109"/>
      <c r="KI22" s="109"/>
      <c r="KJ22" s="124"/>
      <c r="KK22" s="109"/>
      <c r="KL22" s="129" t="str">
        <f t="shared" si="28"/>
        <v/>
      </c>
      <c r="KM22" s="109"/>
      <c r="KN22" s="109"/>
      <c r="KO22" s="109"/>
      <c r="KP22" s="109"/>
      <c r="KQ22" s="110"/>
      <c r="KR22" s="109"/>
      <c r="KS22" s="109"/>
      <c r="KT22" s="124"/>
      <c r="KU22" s="109"/>
      <c r="KV22" s="129" t="str">
        <f t="shared" si="29"/>
        <v/>
      </c>
      <c r="KW22" s="109"/>
      <c r="KX22" s="109"/>
      <c r="KY22" s="109"/>
      <c r="KZ22" s="109"/>
      <c r="LA22" s="110"/>
      <c r="LB22" s="109"/>
      <c r="LC22" s="109"/>
      <c r="LD22" s="124"/>
      <c r="LE22" s="109"/>
      <c r="LF22" s="129" t="str">
        <f t="shared" si="30"/>
        <v/>
      </c>
      <c r="LG22" s="109"/>
      <c r="LH22" s="109"/>
      <c r="LI22" s="109"/>
      <c r="LJ22" s="109"/>
      <c r="LK22" s="110"/>
      <c r="LL22" s="109"/>
      <c r="LM22" s="109"/>
      <c r="LN22" s="124"/>
      <c r="LO22" s="109"/>
      <c r="LP22" s="129" t="str">
        <f t="shared" si="31"/>
        <v/>
      </c>
      <c r="LQ22" s="109"/>
      <c r="LR22" s="109"/>
      <c r="LS22" s="109"/>
      <c r="LT22" s="109"/>
      <c r="LU22" s="110"/>
      <c r="LV22" s="109"/>
      <c r="LW22" s="109"/>
      <c r="LX22" s="124"/>
      <c r="LY22" s="109"/>
      <c r="LZ22" s="129" t="str">
        <f t="shared" si="32"/>
        <v/>
      </c>
      <c r="MA22" s="109"/>
      <c r="MB22" s="109"/>
      <c r="MC22" s="109"/>
      <c r="MD22" s="109"/>
      <c r="ME22" s="110"/>
    </row>
    <row r="23" spans="2:343" ht="27.95" customHeight="1">
      <c r="B23" s="138" t="str">
        <f ca="1">INDIRECT("'BDD - Joueurs'!B15")</f>
        <v>LEFRANC Nathan</v>
      </c>
      <c r="C23" s="140">
        <f>COUNTIF(X23:ME23,C9)</f>
        <v>2</v>
      </c>
      <c r="D23" s="141">
        <f>COUNTIF(X23:ME23,D9)</f>
        <v>0</v>
      </c>
      <c r="E23" s="141">
        <f>COUNTIF(X23:ME23,E9)</f>
        <v>0</v>
      </c>
      <c r="F23" s="142">
        <f>COUNTIF(X23:ME23,F9)</f>
        <v>0</v>
      </c>
      <c r="G23" s="140">
        <f>COUNTIF(X23:ME23,G9)</f>
        <v>2</v>
      </c>
      <c r="H23" s="141">
        <f>COUNTIF(X23:ME23,H9)</f>
        <v>0</v>
      </c>
      <c r="I23" s="141">
        <f>COUNTIF(X23:ME23,I9)</f>
        <v>0</v>
      </c>
      <c r="J23" s="141">
        <f>COUNTIF(X23:ME23,J9)</f>
        <v>0</v>
      </c>
      <c r="K23" s="141">
        <f t="shared" si="37"/>
        <v>1</v>
      </c>
      <c r="L23" s="141">
        <f>COUNTIF(X23:ME23,L9)</f>
        <v>0</v>
      </c>
      <c r="M23" s="141">
        <f t="shared" si="33"/>
        <v>0</v>
      </c>
      <c r="N23" s="141">
        <f>COUNTIF(X23:ME23,N9)</f>
        <v>0</v>
      </c>
      <c r="O23" s="142">
        <f>COUNTIF(X23:ME23,O9)</f>
        <v>2</v>
      </c>
      <c r="P23" s="143">
        <f t="shared" si="0"/>
        <v>105</v>
      </c>
      <c r="Q23" s="144">
        <f t="shared" si="35"/>
        <v>4.5</v>
      </c>
      <c r="R23" s="165">
        <f t="shared" si="36"/>
        <v>472.5</v>
      </c>
      <c r="S23" s="143">
        <f t="shared" si="42"/>
        <v>0</v>
      </c>
      <c r="T23" s="143">
        <f t="shared" si="38"/>
        <v>0</v>
      </c>
      <c r="U23" s="143">
        <f t="shared" si="39"/>
        <v>0</v>
      </c>
      <c r="V23" s="143">
        <f t="shared" si="40"/>
        <v>0</v>
      </c>
      <c r="W23" s="142">
        <f t="shared" si="41"/>
        <v>0</v>
      </c>
      <c r="X23" s="107" t="s">
        <v>124</v>
      </c>
      <c r="Y23" s="107" t="s">
        <v>269</v>
      </c>
      <c r="Z23" s="123">
        <v>60</v>
      </c>
      <c r="AA23" s="107">
        <v>5</v>
      </c>
      <c r="AB23" s="130">
        <f t="shared" si="34"/>
        <v>300</v>
      </c>
      <c r="AC23" s="107"/>
      <c r="AD23" s="107"/>
      <c r="AE23" s="107"/>
      <c r="AF23" s="107"/>
      <c r="AG23" s="108"/>
      <c r="AH23" s="107" t="s">
        <v>124</v>
      </c>
      <c r="AI23" s="107" t="s">
        <v>269</v>
      </c>
      <c r="AJ23" s="123">
        <v>45</v>
      </c>
      <c r="AK23" s="107">
        <v>4</v>
      </c>
      <c r="AL23" s="130">
        <f t="shared" si="2"/>
        <v>180</v>
      </c>
      <c r="AM23" s="107"/>
      <c r="AN23" s="107"/>
      <c r="AO23" s="107"/>
      <c r="AP23" s="107"/>
      <c r="AQ23" s="108"/>
      <c r="AR23" s="107"/>
      <c r="AS23" s="107" t="s">
        <v>15</v>
      </c>
      <c r="AT23" s="123"/>
      <c r="AU23" s="107"/>
      <c r="AV23" s="130" t="str">
        <f t="shared" si="3"/>
        <v/>
      </c>
      <c r="AW23" s="107"/>
      <c r="AX23" s="107"/>
      <c r="AY23" s="107"/>
      <c r="AZ23" s="107"/>
      <c r="BA23" s="108"/>
      <c r="BB23" s="107"/>
      <c r="BC23" s="107" t="s">
        <v>100</v>
      </c>
      <c r="BD23" s="123"/>
      <c r="BE23" s="107"/>
      <c r="BF23" s="130" t="str">
        <f t="shared" si="4"/>
        <v/>
      </c>
      <c r="BG23" s="107"/>
      <c r="BH23" s="107"/>
      <c r="BI23" s="107"/>
      <c r="BJ23" s="107"/>
      <c r="BK23" s="108"/>
      <c r="BL23" s="107"/>
      <c r="BM23" s="107" t="s">
        <v>100</v>
      </c>
      <c r="BN23" s="123"/>
      <c r="BO23" s="107"/>
      <c r="BP23" s="130" t="str">
        <f t="shared" si="5"/>
        <v/>
      </c>
      <c r="BQ23" s="107"/>
      <c r="BR23" s="107"/>
      <c r="BS23" s="107"/>
      <c r="BT23" s="107"/>
      <c r="BU23" s="108"/>
      <c r="BV23" s="107"/>
      <c r="BW23" s="107"/>
      <c r="BX23" s="123"/>
      <c r="BY23" s="107"/>
      <c r="BZ23" s="130" t="str">
        <f t="shared" si="6"/>
        <v/>
      </c>
      <c r="CA23" s="107"/>
      <c r="CB23" s="107"/>
      <c r="CC23" s="107"/>
      <c r="CD23" s="107"/>
      <c r="CE23" s="108"/>
      <c r="CF23" s="107"/>
      <c r="CG23" s="107"/>
      <c r="CH23" s="123"/>
      <c r="CI23" s="107"/>
      <c r="CJ23" s="130" t="str">
        <f t="shared" si="7"/>
        <v/>
      </c>
      <c r="CK23" s="107"/>
      <c r="CL23" s="107"/>
      <c r="CM23" s="107"/>
      <c r="CN23" s="107"/>
      <c r="CO23" s="108"/>
      <c r="CP23" s="107"/>
      <c r="CQ23" s="107"/>
      <c r="CR23" s="123"/>
      <c r="CS23" s="107"/>
      <c r="CT23" s="130" t="str">
        <f t="shared" si="8"/>
        <v/>
      </c>
      <c r="CU23" s="107"/>
      <c r="CV23" s="107"/>
      <c r="CW23" s="107"/>
      <c r="CX23" s="107"/>
      <c r="CY23" s="108"/>
      <c r="CZ23" s="107"/>
      <c r="DA23" s="107"/>
      <c r="DB23" s="123"/>
      <c r="DC23" s="107"/>
      <c r="DD23" s="130" t="str">
        <f t="shared" si="9"/>
        <v/>
      </c>
      <c r="DE23" s="107"/>
      <c r="DF23" s="107"/>
      <c r="DG23" s="107"/>
      <c r="DH23" s="107"/>
      <c r="DI23" s="108"/>
      <c r="DJ23" s="107"/>
      <c r="DK23" s="107"/>
      <c r="DL23" s="123"/>
      <c r="DM23" s="107"/>
      <c r="DN23" s="130" t="str">
        <f t="shared" si="10"/>
        <v/>
      </c>
      <c r="DO23" s="107"/>
      <c r="DP23" s="107"/>
      <c r="DQ23" s="107"/>
      <c r="DR23" s="107"/>
      <c r="DS23" s="108"/>
      <c r="DT23" s="107"/>
      <c r="DU23" s="107"/>
      <c r="DV23" s="123"/>
      <c r="DW23" s="107"/>
      <c r="DX23" s="130" t="str">
        <f t="shared" si="11"/>
        <v/>
      </c>
      <c r="DY23" s="107"/>
      <c r="DZ23" s="107"/>
      <c r="EA23" s="107"/>
      <c r="EB23" s="107"/>
      <c r="EC23" s="108"/>
      <c r="ED23" s="107"/>
      <c r="EE23" s="107"/>
      <c r="EF23" s="123"/>
      <c r="EG23" s="107"/>
      <c r="EH23" s="130" t="str">
        <f t="shared" si="12"/>
        <v/>
      </c>
      <c r="EI23" s="107"/>
      <c r="EJ23" s="107"/>
      <c r="EK23" s="107"/>
      <c r="EL23" s="107"/>
      <c r="EM23" s="108"/>
      <c r="EN23" s="107"/>
      <c r="EO23" s="107"/>
      <c r="EP23" s="123"/>
      <c r="EQ23" s="107"/>
      <c r="ER23" s="130" t="str">
        <f t="shared" si="13"/>
        <v/>
      </c>
      <c r="ES23" s="107"/>
      <c r="ET23" s="107"/>
      <c r="EU23" s="107"/>
      <c r="EV23" s="107"/>
      <c r="EW23" s="108"/>
      <c r="EX23" s="107"/>
      <c r="EY23" s="107"/>
      <c r="EZ23" s="123"/>
      <c r="FA23" s="107"/>
      <c r="FB23" s="130" t="str">
        <f t="shared" si="14"/>
        <v/>
      </c>
      <c r="FC23" s="107"/>
      <c r="FD23" s="107"/>
      <c r="FE23" s="107"/>
      <c r="FF23" s="107"/>
      <c r="FG23" s="108"/>
      <c r="FH23" s="107"/>
      <c r="FI23" s="107"/>
      <c r="FJ23" s="123"/>
      <c r="FK23" s="107"/>
      <c r="FL23" s="130" t="str">
        <f t="shared" si="15"/>
        <v/>
      </c>
      <c r="FM23" s="107"/>
      <c r="FN23" s="107"/>
      <c r="FO23" s="107"/>
      <c r="FP23" s="107"/>
      <c r="FQ23" s="108"/>
      <c r="FR23" s="107"/>
      <c r="FS23" s="107"/>
      <c r="FT23" s="123"/>
      <c r="FU23" s="107"/>
      <c r="FV23" s="130" t="str">
        <f t="shared" si="16"/>
        <v/>
      </c>
      <c r="FW23" s="107"/>
      <c r="FX23" s="107"/>
      <c r="FY23" s="107"/>
      <c r="FZ23" s="107"/>
      <c r="GA23" s="108"/>
      <c r="GB23" s="107"/>
      <c r="GC23" s="107"/>
      <c r="GD23" s="123"/>
      <c r="GE23" s="107"/>
      <c r="GF23" s="130" t="str">
        <f t="shared" si="17"/>
        <v/>
      </c>
      <c r="GG23" s="107"/>
      <c r="GH23" s="107"/>
      <c r="GI23" s="107"/>
      <c r="GJ23" s="107"/>
      <c r="GK23" s="108"/>
      <c r="GL23" s="107"/>
      <c r="GM23" s="107"/>
      <c r="GN23" s="123"/>
      <c r="GO23" s="107"/>
      <c r="GP23" s="130" t="str">
        <f t="shared" si="18"/>
        <v/>
      </c>
      <c r="GQ23" s="107"/>
      <c r="GR23" s="107"/>
      <c r="GS23" s="107"/>
      <c r="GT23" s="107"/>
      <c r="GU23" s="108"/>
      <c r="GV23" s="107"/>
      <c r="GW23" s="107"/>
      <c r="GX23" s="123"/>
      <c r="GY23" s="107"/>
      <c r="GZ23" s="130" t="str">
        <f t="shared" si="19"/>
        <v/>
      </c>
      <c r="HA23" s="107"/>
      <c r="HB23" s="107"/>
      <c r="HC23" s="107"/>
      <c r="HD23" s="107"/>
      <c r="HE23" s="108"/>
      <c r="HF23" s="107"/>
      <c r="HG23" s="107"/>
      <c r="HH23" s="123"/>
      <c r="HI23" s="107"/>
      <c r="HJ23" s="130" t="str">
        <f t="shared" si="20"/>
        <v/>
      </c>
      <c r="HK23" s="107"/>
      <c r="HL23" s="107"/>
      <c r="HM23" s="107"/>
      <c r="HN23" s="107"/>
      <c r="HO23" s="108"/>
      <c r="HP23" s="107"/>
      <c r="HQ23" s="107"/>
      <c r="HR23" s="123"/>
      <c r="HS23" s="107"/>
      <c r="HT23" s="130" t="str">
        <f t="shared" si="21"/>
        <v/>
      </c>
      <c r="HU23" s="107"/>
      <c r="HV23" s="107"/>
      <c r="HW23" s="107"/>
      <c r="HX23" s="107"/>
      <c r="HY23" s="108"/>
      <c r="HZ23" s="107"/>
      <c r="IA23" s="107"/>
      <c r="IB23" s="123"/>
      <c r="IC23" s="107"/>
      <c r="ID23" s="130" t="str">
        <f t="shared" si="22"/>
        <v/>
      </c>
      <c r="IE23" s="107"/>
      <c r="IF23" s="107"/>
      <c r="IG23" s="107"/>
      <c r="IH23" s="107"/>
      <c r="II23" s="108"/>
      <c r="IJ23" s="107"/>
      <c r="IK23" s="107"/>
      <c r="IL23" s="123"/>
      <c r="IM23" s="107"/>
      <c r="IN23" s="130" t="str">
        <f t="shared" si="23"/>
        <v/>
      </c>
      <c r="IO23" s="107"/>
      <c r="IP23" s="107"/>
      <c r="IQ23" s="107"/>
      <c r="IR23" s="107"/>
      <c r="IS23" s="108"/>
      <c r="IT23" s="107"/>
      <c r="IU23" s="107"/>
      <c r="IV23" s="123"/>
      <c r="IW23" s="107"/>
      <c r="IX23" s="130" t="str">
        <f t="shared" si="24"/>
        <v/>
      </c>
      <c r="IY23" s="107"/>
      <c r="IZ23" s="107"/>
      <c r="JA23" s="107"/>
      <c r="JB23" s="107"/>
      <c r="JC23" s="108"/>
      <c r="JD23" s="107"/>
      <c r="JE23" s="107"/>
      <c r="JF23" s="123"/>
      <c r="JG23" s="107"/>
      <c r="JH23" s="130" t="str">
        <f t="shared" si="25"/>
        <v/>
      </c>
      <c r="JI23" s="107"/>
      <c r="JJ23" s="107"/>
      <c r="JK23" s="107"/>
      <c r="JL23" s="107"/>
      <c r="JM23" s="108"/>
      <c r="JN23" s="107"/>
      <c r="JO23" s="107"/>
      <c r="JP23" s="123"/>
      <c r="JQ23" s="107"/>
      <c r="JR23" s="130" t="str">
        <f t="shared" si="26"/>
        <v/>
      </c>
      <c r="JS23" s="107"/>
      <c r="JT23" s="107"/>
      <c r="JU23" s="107"/>
      <c r="JV23" s="107"/>
      <c r="JW23" s="108"/>
      <c r="JX23" s="107"/>
      <c r="JY23" s="107"/>
      <c r="JZ23" s="123"/>
      <c r="KA23" s="107"/>
      <c r="KB23" s="130" t="str">
        <f t="shared" si="27"/>
        <v/>
      </c>
      <c r="KC23" s="107"/>
      <c r="KD23" s="107"/>
      <c r="KE23" s="107"/>
      <c r="KF23" s="107"/>
      <c r="KG23" s="108"/>
      <c r="KH23" s="107"/>
      <c r="KI23" s="107"/>
      <c r="KJ23" s="123"/>
      <c r="KK23" s="107"/>
      <c r="KL23" s="130" t="str">
        <f t="shared" si="28"/>
        <v/>
      </c>
      <c r="KM23" s="107"/>
      <c r="KN23" s="107"/>
      <c r="KO23" s="107"/>
      <c r="KP23" s="107"/>
      <c r="KQ23" s="108"/>
      <c r="KR23" s="107"/>
      <c r="KS23" s="107"/>
      <c r="KT23" s="123"/>
      <c r="KU23" s="107"/>
      <c r="KV23" s="130" t="str">
        <f t="shared" si="29"/>
        <v/>
      </c>
      <c r="KW23" s="107"/>
      <c r="KX23" s="107"/>
      <c r="KY23" s="107"/>
      <c r="KZ23" s="107"/>
      <c r="LA23" s="108"/>
      <c r="LB23" s="107"/>
      <c r="LC23" s="107"/>
      <c r="LD23" s="123"/>
      <c r="LE23" s="107"/>
      <c r="LF23" s="130" t="str">
        <f t="shared" si="30"/>
        <v/>
      </c>
      <c r="LG23" s="107"/>
      <c r="LH23" s="107"/>
      <c r="LI23" s="107"/>
      <c r="LJ23" s="107"/>
      <c r="LK23" s="108"/>
      <c r="LL23" s="107"/>
      <c r="LM23" s="107"/>
      <c r="LN23" s="123"/>
      <c r="LO23" s="107"/>
      <c r="LP23" s="130" t="str">
        <f t="shared" si="31"/>
        <v/>
      </c>
      <c r="LQ23" s="107"/>
      <c r="LR23" s="107"/>
      <c r="LS23" s="107"/>
      <c r="LT23" s="107"/>
      <c r="LU23" s="108"/>
      <c r="LV23" s="107"/>
      <c r="LW23" s="107"/>
      <c r="LX23" s="123"/>
      <c r="LY23" s="107"/>
      <c r="LZ23" s="130" t="str">
        <f t="shared" si="32"/>
        <v/>
      </c>
      <c r="MA23" s="107"/>
      <c r="MB23" s="107"/>
      <c r="MC23" s="107"/>
      <c r="MD23" s="107"/>
      <c r="ME23" s="108"/>
    </row>
    <row r="24" spans="2:343" ht="27.95" customHeight="1">
      <c r="B24" s="96" t="str">
        <f ca="1">INDIRECT("'BDD - Joueurs'!B16")</f>
        <v>MASSOUSSI Elie</v>
      </c>
      <c r="C24" s="145">
        <f>COUNTIF(X24:ME24,C9)</f>
        <v>3</v>
      </c>
      <c r="D24" s="146">
        <f>COUNTIF(X24:ME24,D9)</f>
        <v>0</v>
      </c>
      <c r="E24" s="146">
        <f>COUNTIF(X24:ME24,E9)</f>
        <v>1</v>
      </c>
      <c r="F24" s="147">
        <f>COUNTIF(X24:ME24,F9)</f>
        <v>1</v>
      </c>
      <c r="G24" s="145">
        <f>COUNTIF(X24:ME24,G9)</f>
        <v>5</v>
      </c>
      <c r="H24" s="146">
        <f>COUNTIF(X24:ME24,H9)</f>
        <v>0</v>
      </c>
      <c r="I24" s="146">
        <f>COUNTIF(X24:ME24,I9)</f>
        <v>0</v>
      </c>
      <c r="J24" s="146">
        <f>COUNTIF(X24:ME24,J9)</f>
        <v>0</v>
      </c>
      <c r="K24" s="146">
        <f t="shared" si="37"/>
        <v>0</v>
      </c>
      <c r="L24" s="146">
        <f>COUNTIF(X24:ME24,L9)</f>
        <v>0</v>
      </c>
      <c r="M24" s="146">
        <f t="shared" si="33"/>
        <v>0</v>
      </c>
      <c r="N24" s="146">
        <f>COUNTIF(X24:ME24,N9)</f>
        <v>0</v>
      </c>
      <c r="O24" s="147">
        <f>COUNTIF(X24:ME24,O9)</f>
        <v>0</v>
      </c>
      <c r="P24" s="148">
        <f t="shared" si="0"/>
        <v>430</v>
      </c>
      <c r="Q24" s="149">
        <f t="shared" si="35"/>
        <v>6.2</v>
      </c>
      <c r="R24" s="166">
        <f t="shared" si="36"/>
        <v>2666</v>
      </c>
      <c r="S24" s="148">
        <f t="shared" si="42"/>
        <v>0</v>
      </c>
      <c r="T24" s="148">
        <f t="shared" si="38"/>
        <v>0</v>
      </c>
      <c r="U24" s="148">
        <f t="shared" si="39"/>
        <v>0</v>
      </c>
      <c r="V24" s="148">
        <f t="shared" si="40"/>
        <v>0</v>
      </c>
      <c r="W24" s="147">
        <f t="shared" si="41"/>
        <v>0</v>
      </c>
      <c r="X24" s="109" t="s">
        <v>124</v>
      </c>
      <c r="Y24" s="109" t="s">
        <v>269</v>
      </c>
      <c r="Z24" s="124">
        <v>90</v>
      </c>
      <c r="AA24" s="109">
        <v>5</v>
      </c>
      <c r="AB24" s="129">
        <f t="shared" si="34"/>
        <v>450</v>
      </c>
      <c r="AC24" s="109"/>
      <c r="AD24" s="109"/>
      <c r="AE24" s="109"/>
      <c r="AF24" s="109"/>
      <c r="AG24" s="110"/>
      <c r="AH24" s="109" t="s">
        <v>124</v>
      </c>
      <c r="AI24" s="109" t="s">
        <v>269</v>
      </c>
      <c r="AJ24" s="124">
        <v>90</v>
      </c>
      <c r="AK24" s="109">
        <v>5</v>
      </c>
      <c r="AL24" s="129">
        <f t="shared" si="2"/>
        <v>450</v>
      </c>
      <c r="AM24" s="109"/>
      <c r="AN24" s="109"/>
      <c r="AO24" s="109"/>
      <c r="AP24" s="109"/>
      <c r="AQ24" s="110"/>
      <c r="AR24" s="109" t="s">
        <v>124</v>
      </c>
      <c r="AS24" s="109" t="s">
        <v>269</v>
      </c>
      <c r="AT24" s="124">
        <v>70</v>
      </c>
      <c r="AU24" s="109">
        <v>7</v>
      </c>
      <c r="AV24" s="129">
        <f t="shared" si="3"/>
        <v>490</v>
      </c>
      <c r="AW24" s="109"/>
      <c r="AX24" s="109"/>
      <c r="AY24" s="109"/>
      <c r="AZ24" s="109"/>
      <c r="BA24" s="110"/>
      <c r="BB24" s="109" t="s">
        <v>126</v>
      </c>
      <c r="BC24" s="109" t="s">
        <v>269</v>
      </c>
      <c r="BD24" s="124">
        <v>90</v>
      </c>
      <c r="BE24" s="109">
        <v>6</v>
      </c>
      <c r="BF24" s="129">
        <f t="shared" si="4"/>
        <v>540</v>
      </c>
      <c r="BG24" s="109"/>
      <c r="BH24" s="109"/>
      <c r="BI24" s="109"/>
      <c r="BJ24" s="109"/>
      <c r="BK24" s="110"/>
      <c r="BL24" s="109" t="s">
        <v>127</v>
      </c>
      <c r="BM24" s="109" t="s">
        <v>269</v>
      </c>
      <c r="BN24" s="124">
        <v>90</v>
      </c>
      <c r="BO24" s="109">
        <v>8</v>
      </c>
      <c r="BP24" s="129">
        <f t="shared" si="5"/>
        <v>720</v>
      </c>
      <c r="BQ24" s="109"/>
      <c r="BR24" s="109"/>
      <c r="BS24" s="109"/>
      <c r="BT24" s="109"/>
      <c r="BU24" s="110"/>
      <c r="BV24" s="109"/>
      <c r="BW24" s="109"/>
      <c r="BX24" s="124"/>
      <c r="BY24" s="109"/>
      <c r="BZ24" s="129" t="str">
        <f t="shared" si="6"/>
        <v/>
      </c>
      <c r="CA24" s="109"/>
      <c r="CB24" s="109"/>
      <c r="CC24" s="109"/>
      <c r="CD24" s="109"/>
      <c r="CE24" s="110"/>
      <c r="CF24" s="109"/>
      <c r="CG24" s="109"/>
      <c r="CH24" s="124"/>
      <c r="CI24" s="109"/>
      <c r="CJ24" s="129" t="str">
        <f t="shared" si="7"/>
        <v/>
      </c>
      <c r="CK24" s="109"/>
      <c r="CL24" s="109"/>
      <c r="CM24" s="109"/>
      <c r="CN24" s="109"/>
      <c r="CO24" s="110"/>
      <c r="CP24" s="109"/>
      <c r="CQ24" s="109"/>
      <c r="CR24" s="124"/>
      <c r="CS24" s="109"/>
      <c r="CT24" s="129" t="str">
        <f t="shared" si="8"/>
        <v/>
      </c>
      <c r="CU24" s="109"/>
      <c r="CV24" s="109"/>
      <c r="CW24" s="109"/>
      <c r="CX24" s="109"/>
      <c r="CY24" s="110"/>
      <c r="CZ24" s="109"/>
      <c r="DA24" s="109"/>
      <c r="DB24" s="124"/>
      <c r="DC24" s="109"/>
      <c r="DD24" s="129" t="str">
        <f t="shared" si="9"/>
        <v/>
      </c>
      <c r="DE24" s="109"/>
      <c r="DF24" s="109"/>
      <c r="DG24" s="109"/>
      <c r="DH24" s="109"/>
      <c r="DI24" s="110"/>
      <c r="DJ24" s="109"/>
      <c r="DK24" s="109"/>
      <c r="DL24" s="124"/>
      <c r="DM24" s="109"/>
      <c r="DN24" s="129" t="str">
        <f t="shared" si="10"/>
        <v/>
      </c>
      <c r="DO24" s="109"/>
      <c r="DP24" s="109"/>
      <c r="DQ24" s="109"/>
      <c r="DR24" s="109"/>
      <c r="DS24" s="110"/>
      <c r="DT24" s="109"/>
      <c r="DU24" s="109"/>
      <c r="DV24" s="124"/>
      <c r="DW24" s="109"/>
      <c r="DX24" s="129" t="str">
        <f t="shared" si="11"/>
        <v/>
      </c>
      <c r="DY24" s="109"/>
      <c r="DZ24" s="109"/>
      <c r="EA24" s="109"/>
      <c r="EB24" s="109"/>
      <c r="EC24" s="110"/>
      <c r="ED24" s="109"/>
      <c r="EE24" s="109"/>
      <c r="EF24" s="124"/>
      <c r="EG24" s="109"/>
      <c r="EH24" s="129" t="str">
        <f t="shared" si="12"/>
        <v/>
      </c>
      <c r="EI24" s="109"/>
      <c r="EJ24" s="109"/>
      <c r="EK24" s="109"/>
      <c r="EL24" s="109"/>
      <c r="EM24" s="110"/>
      <c r="EN24" s="109"/>
      <c r="EO24" s="109"/>
      <c r="EP24" s="124"/>
      <c r="EQ24" s="109"/>
      <c r="ER24" s="129" t="str">
        <f t="shared" si="13"/>
        <v/>
      </c>
      <c r="ES24" s="109"/>
      <c r="ET24" s="109"/>
      <c r="EU24" s="109"/>
      <c r="EV24" s="109"/>
      <c r="EW24" s="110"/>
      <c r="EX24" s="109"/>
      <c r="EY24" s="109"/>
      <c r="EZ24" s="124"/>
      <c r="FA24" s="109"/>
      <c r="FB24" s="129" t="str">
        <f t="shared" si="14"/>
        <v/>
      </c>
      <c r="FC24" s="109"/>
      <c r="FD24" s="109"/>
      <c r="FE24" s="109"/>
      <c r="FF24" s="109"/>
      <c r="FG24" s="110"/>
      <c r="FH24" s="109"/>
      <c r="FI24" s="109"/>
      <c r="FJ24" s="124"/>
      <c r="FK24" s="109"/>
      <c r="FL24" s="129" t="str">
        <f t="shared" si="15"/>
        <v/>
      </c>
      <c r="FM24" s="109"/>
      <c r="FN24" s="109"/>
      <c r="FO24" s="109"/>
      <c r="FP24" s="109"/>
      <c r="FQ24" s="110"/>
      <c r="FR24" s="109"/>
      <c r="FS24" s="109"/>
      <c r="FT24" s="124"/>
      <c r="FU24" s="109"/>
      <c r="FV24" s="129" t="str">
        <f t="shared" si="16"/>
        <v/>
      </c>
      <c r="FW24" s="109"/>
      <c r="FX24" s="109"/>
      <c r="FY24" s="109"/>
      <c r="FZ24" s="109"/>
      <c r="GA24" s="110"/>
      <c r="GB24" s="109"/>
      <c r="GC24" s="109"/>
      <c r="GD24" s="124"/>
      <c r="GE24" s="109"/>
      <c r="GF24" s="129" t="str">
        <f t="shared" si="17"/>
        <v/>
      </c>
      <c r="GG24" s="109"/>
      <c r="GH24" s="109"/>
      <c r="GI24" s="109"/>
      <c r="GJ24" s="109"/>
      <c r="GK24" s="110"/>
      <c r="GL24" s="109"/>
      <c r="GM24" s="109"/>
      <c r="GN24" s="124"/>
      <c r="GO24" s="109"/>
      <c r="GP24" s="129" t="str">
        <f t="shared" si="18"/>
        <v/>
      </c>
      <c r="GQ24" s="109"/>
      <c r="GR24" s="109"/>
      <c r="GS24" s="109"/>
      <c r="GT24" s="109"/>
      <c r="GU24" s="110"/>
      <c r="GV24" s="109"/>
      <c r="GW24" s="109"/>
      <c r="GX24" s="124"/>
      <c r="GY24" s="109"/>
      <c r="GZ24" s="129" t="str">
        <f t="shared" si="19"/>
        <v/>
      </c>
      <c r="HA24" s="109"/>
      <c r="HB24" s="109"/>
      <c r="HC24" s="109"/>
      <c r="HD24" s="109"/>
      <c r="HE24" s="110"/>
      <c r="HF24" s="109"/>
      <c r="HG24" s="109"/>
      <c r="HH24" s="124"/>
      <c r="HI24" s="109"/>
      <c r="HJ24" s="129" t="str">
        <f t="shared" si="20"/>
        <v/>
      </c>
      <c r="HK24" s="109"/>
      <c r="HL24" s="109"/>
      <c r="HM24" s="109"/>
      <c r="HN24" s="109"/>
      <c r="HO24" s="110"/>
      <c r="HP24" s="109"/>
      <c r="HQ24" s="109"/>
      <c r="HR24" s="124"/>
      <c r="HS24" s="109"/>
      <c r="HT24" s="129" t="str">
        <f t="shared" si="21"/>
        <v/>
      </c>
      <c r="HU24" s="109"/>
      <c r="HV24" s="109"/>
      <c r="HW24" s="109"/>
      <c r="HX24" s="109"/>
      <c r="HY24" s="110"/>
      <c r="HZ24" s="109"/>
      <c r="IA24" s="109"/>
      <c r="IB24" s="124"/>
      <c r="IC24" s="109"/>
      <c r="ID24" s="129" t="str">
        <f t="shared" si="22"/>
        <v/>
      </c>
      <c r="IE24" s="109"/>
      <c r="IF24" s="109"/>
      <c r="IG24" s="109"/>
      <c r="IH24" s="109"/>
      <c r="II24" s="110"/>
      <c r="IJ24" s="109"/>
      <c r="IK24" s="109"/>
      <c r="IL24" s="124"/>
      <c r="IM24" s="109"/>
      <c r="IN24" s="129" t="str">
        <f t="shared" si="23"/>
        <v/>
      </c>
      <c r="IO24" s="109"/>
      <c r="IP24" s="109"/>
      <c r="IQ24" s="109"/>
      <c r="IR24" s="109"/>
      <c r="IS24" s="110"/>
      <c r="IT24" s="109"/>
      <c r="IU24" s="109"/>
      <c r="IV24" s="124"/>
      <c r="IW24" s="109"/>
      <c r="IX24" s="129" t="str">
        <f t="shared" si="24"/>
        <v/>
      </c>
      <c r="IY24" s="109"/>
      <c r="IZ24" s="109"/>
      <c r="JA24" s="109"/>
      <c r="JB24" s="109"/>
      <c r="JC24" s="110"/>
      <c r="JD24" s="109"/>
      <c r="JE24" s="109"/>
      <c r="JF24" s="124"/>
      <c r="JG24" s="109"/>
      <c r="JH24" s="129" t="str">
        <f t="shared" si="25"/>
        <v/>
      </c>
      <c r="JI24" s="109"/>
      <c r="JJ24" s="109"/>
      <c r="JK24" s="109"/>
      <c r="JL24" s="109"/>
      <c r="JM24" s="110"/>
      <c r="JN24" s="109"/>
      <c r="JO24" s="109"/>
      <c r="JP24" s="124"/>
      <c r="JQ24" s="109"/>
      <c r="JR24" s="129" t="str">
        <f t="shared" si="26"/>
        <v/>
      </c>
      <c r="JS24" s="109"/>
      <c r="JT24" s="109"/>
      <c r="JU24" s="109"/>
      <c r="JV24" s="109"/>
      <c r="JW24" s="110"/>
      <c r="JX24" s="109"/>
      <c r="JY24" s="109"/>
      <c r="JZ24" s="124"/>
      <c r="KA24" s="109"/>
      <c r="KB24" s="129" t="str">
        <f t="shared" si="27"/>
        <v/>
      </c>
      <c r="KC24" s="109"/>
      <c r="KD24" s="109"/>
      <c r="KE24" s="109"/>
      <c r="KF24" s="109"/>
      <c r="KG24" s="110"/>
      <c r="KH24" s="109"/>
      <c r="KI24" s="109"/>
      <c r="KJ24" s="124"/>
      <c r="KK24" s="109"/>
      <c r="KL24" s="129" t="str">
        <f t="shared" si="28"/>
        <v/>
      </c>
      <c r="KM24" s="109"/>
      <c r="KN24" s="109"/>
      <c r="KO24" s="109"/>
      <c r="KP24" s="109"/>
      <c r="KQ24" s="110"/>
      <c r="KR24" s="109"/>
      <c r="KS24" s="109"/>
      <c r="KT24" s="124"/>
      <c r="KU24" s="109"/>
      <c r="KV24" s="129" t="str">
        <f t="shared" si="29"/>
        <v/>
      </c>
      <c r="KW24" s="109"/>
      <c r="KX24" s="109"/>
      <c r="KY24" s="109"/>
      <c r="KZ24" s="109"/>
      <c r="LA24" s="110"/>
      <c r="LB24" s="109"/>
      <c r="LC24" s="109"/>
      <c r="LD24" s="124"/>
      <c r="LE24" s="109"/>
      <c r="LF24" s="129" t="str">
        <f t="shared" si="30"/>
        <v/>
      </c>
      <c r="LG24" s="109"/>
      <c r="LH24" s="109"/>
      <c r="LI24" s="109"/>
      <c r="LJ24" s="109"/>
      <c r="LK24" s="110"/>
      <c r="LL24" s="109"/>
      <c r="LM24" s="109"/>
      <c r="LN24" s="124"/>
      <c r="LO24" s="109"/>
      <c r="LP24" s="129" t="str">
        <f t="shared" si="31"/>
        <v/>
      </c>
      <c r="LQ24" s="109"/>
      <c r="LR24" s="109"/>
      <c r="LS24" s="109"/>
      <c r="LT24" s="109"/>
      <c r="LU24" s="110"/>
      <c r="LV24" s="109"/>
      <c r="LW24" s="109"/>
      <c r="LX24" s="124"/>
      <c r="LY24" s="109"/>
      <c r="LZ24" s="129" t="str">
        <f t="shared" si="32"/>
        <v/>
      </c>
      <c r="MA24" s="109"/>
      <c r="MB24" s="109"/>
      <c r="MC24" s="109"/>
      <c r="MD24" s="109"/>
      <c r="ME24" s="110"/>
    </row>
    <row r="25" spans="2:343" ht="27.95" customHeight="1">
      <c r="B25" s="138" t="str">
        <f ca="1">INDIRECT("'BDD - Joueurs'!B17")</f>
        <v>NGOUABI Yoann</v>
      </c>
      <c r="C25" s="140">
        <f>COUNTIF(X25:ME25,C9)</f>
        <v>3</v>
      </c>
      <c r="D25" s="141">
        <f>COUNTIF(X25:ME25,D9)</f>
        <v>0</v>
      </c>
      <c r="E25" s="141">
        <f>COUNTIF(X25:ME25,E9)</f>
        <v>1</v>
      </c>
      <c r="F25" s="142">
        <f>COUNTIF(X25:ME25,F9)</f>
        <v>1</v>
      </c>
      <c r="G25" s="140">
        <f>COUNTIF(X25:ME25,G9)</f>
        <v>5</v>
      </c>
      <c r="H25" s="141">
        <f>COUNTIF(X25:ME25,H9)</f>
        <v>0</v>
      </c>
      <c r="I25" s="141">
        <f>COUNTIF(X25:ME25,I9)</f>
        <v>0</v>
      </c>
      <c r="J25" s="141">
        <f>COUNTIF(X25:ME25,J9)</f>
        <v>0</v>
      </c>
      <c r="K25" s="141">
        <f t="shared" si="37"/>
        <v>0</v>
      </c>
      <c r="L25" s="141">
        <f>COUNTIF(X25:ME25,L9)</f>
        <v>0</v>
      </c>
      <c r="M25" s="141">
        <f t="shared" si="33"/>
        <v>0</v>
      </c>
      <c r="N25" s="141">
        <f>COUNTIF(X25:ME25,N9)</f>
        <v>0</v>
      </c>
      <c r="O25" s="142">
        <f>COUNTIF(X25:ME25,O9)</f>
        <v>0</v>
      </c>
      <c r="P25" s="143">
        <f t="shared" si="0"/>
        <v>420</v>
      </c>
      <c r="Q25" s="144">
        <f t="shared" si="35"/>
        <v>5.8</v>
      </c>
      <c r="R25" s="165">
        <f t="shared" si="36"/>
        <v>2436</v>
      </c>
      <c r="S25" s="143">
        <f t="shared" si="42"/>
        <v>0</v>
      </c>
      <c r="T25" s="143">
        <f t="shared" si="38"/>
        <v>0</v>
      </c>
      <c r="U25" s="143">
        <f t="shared" si="39"/>
        <v>0</v>
      </c>
      <c r="V25" s="143">
        <f t="shared" si="40"/>
        <v>0</v>
      </c>
      <c r="W25" s="142">
        <f t="shared" si="41"/>
        <v>0</v>
      </c>
      <c r="X25" s="107" t="s">
        <v>124</v>
      </c>
      <c r="Y25" s="107" t="s">
        <v>269</v>
      </c>
      <c r="Z25" s="123">
        <v>60</v>
      </c>
      <c r="AA25" s="107">
        <v>5</v>
      </c>
      <c r="AB25" s="130">
        <f t="shared" si="34"/>
        <v>300</v>
      </c>
      <c r="AC25" s="107"/>
      <c r="AD25" s="107"/>
      <c r="AE25" s="107"/>
      <c r="AF25" s="107"/>
      <c r="AG25" s="108"/>
      <c r="AH25" s="107" t="s">
        <v>124</v>
      </c>
      <c r="AI25" s="107" t="s">
        <v>269</v>
      </c>
      <c r="AJ25" s="123">
        <v>90</v>
      </c>
      <c r="AK25" s="107">
        <v>5</v>
      </c>
      <c r="AL25" s="130">
        <f t="shared" si="2"/>
        <v>450</v>
      </c>
      <c r="AM25" s="107"/>
      <c r="AN25" s="107"/>
      <c r="AO25" s="107"/>
      <c r="AP25" s="107"/>
      <c r="AQ25" s="108"/>
      <c r="AR25" s="107" t="s">
        <v>124</v>
      </c>
      <c r="AS25" s="107" t="s">
        <v>269</v>
      </c>
      <c r="AT25" s="123">
        <v>90</v>
      </c>
      <c r="AU25" s="107">
        <v>7</v>
      </c>
      <c r="AV25" s="130">
        <f t="shared" si="3"/>
        <v>630</v>
      </c>
      <c r="AW25" s="107"/>
      <c r="AX25" s="107"/>
      <c r="AY25" s="107"/>
      <c r="AZ25" s="107"/>
      <c r="BA25" s="108"/>
      <c r="BB25" s="107" t="s">
        <v>126</v>
      </c>
      <c r="BC25" s="107" t="s">
        <v>269</v>
      </c>
      <c r="BD25" s="123">
        <v>90</v>
      </c>
      <c r="BE25" s="107">
        <v>4</v>
      </c>
      <c r="BF25" s="130">
        <f t="shared" si="4"/>
        <v>360</v>
      </c>
      <c r="BG25" s="107"/>
      <c r="BH25" s="107"/>
      <c r="BI25" s="107"/>
      <c r="BJ25" s="107"/>
      <c r="BK25" s="108"/>
      <c r="BL25" s="107" t="s">
        <v>127</v>
      </c>
      <c r="BM25" s="107" t="s">
        <v>269</v>
      </c>
      <c r="BN25" s="123">
        <v>90</v>
      </c>
      <c r="BO25" s="107">
        <v>8</v>
      </c>
      <c r="BP25" s="130">
        <f t="shared" si="5"/>
        <v>720</v>
      </c>
      <c r="BQ25" s="107"/>
      <c r="BR25" s="107"/>
      <c r="BS25" s="107"/>
      <c r="BT25" s="107"/>
      <c r="BU25" s="108"/>
      <c r="BV25" s="107"/>
      <c r="BW25" s="107"/>
      <c r="BX25" s="123"/>
      <c r="BY25" s="107"/>
      <c r="BZ25" s="130" t="str">
        <f t="shared" si="6"/>
        <v/>
      </c>
      <c r="CA25" s="107"/>
      <c r="CB25" s="107"/>
      <c r="CC25" s="107"/>
      <c r="CD25" s="107"/>
      <c r="CE25" s="108"/>
      <c r="CF25" s="107"/>
      <c r="CG25" s="107"/>
      <c r="CH25" s="123"/>
      <c r="CI25" s="107"/>
      <c r="CJ25" s="130" t="str">
        <f t="shared" si="7"/>
        <v/>
      </c>
      <c r="CK25" s="107"/>
      <c r="CL25" s="107"/>
      <c r="CM25" s="107"/>
      <c r="CN25" s="107"/>
      <c r="CO25" s="108"/>
      <c r="CP25" s="107"/>
      <c r="CQ25" s="107"/>
      <c r="CR25" s="123"/>
      <c r="CS25" s="107"/>
      <c r="CT25" s="130" t="str">
        <f t="shared" si="8"/>
        <v/>
      </c>
      <c r="CU25" s="107"/>
      <c r="CV25" s="107"/>
      <c r="CW25" s="107"/>
      <c r="CX25" s="107"/>
      <c r="CY25" s="108"/>
      <c r="CZ25" s="107"/>
      <c r="DA25" s="107"/>
      <c r="DB25" s="123"/>
      <c r="DC25" s="107"/>
      <c r="DD25" s="130" t="str">
        <f t="shared" si="9"/>
        <v/>
      </c>
      <c r="DE25" s="107"/>
      <c r="DF25" s="107"/>
      <c r="DG25" s="107"/>
      <c r="DH25" s="107"/>
      <c r="DI25" s="108"/>
      <c r="DJ25" s="107"/>
      <c r="DK25" s="107"/>
      <c r="DL25" s="123"/>
      <c r="DM25" s="107"/>
      <c r="DN25" s="130" t="str">
        <f t="shared" si="10"/>
        <v/>
      </c>
      <c r="DO25" s="107"/>
      <c r="DP25" s="107"/>
      <c r="DQ25" s="107"/>
      <c r="DR25" s="107"/>
      <c r="DS25" s="108"/>
      <c r="DT25" s="107"/>
      <c r="DU25" s="107"/>
      <c r="DV25" s="123"/>
      <c r="DW25" s="107"/>
      <c r="DX25" s="130" t="str">
        <f t="shared" si="11"/>
        <v/>
      </c>
      <c r="DY25" s="107"/>
      <c r="DZ25" s="107"/>
      <c r="EA25" s="107"/>
      <c r="EB25" s="107"/>
      <c r="EC25" s="108"/>
      <c r="ED25" s="107"/>
      <c r="EE25" s="107"/>
      <c r="EF25" s="123"/>
      <c r="EG25" s="107"/>
      <c r="EH25" s="130" t="str">
        <f t="shared" si="12"/>
        <v/>
      </c>
      <c r="EI25" s="107"/>
      <c r="EJ25" s="107"/>
      <c r="EK25" s="107"/>
      <c r="EL25" s="107"/>
      <c r="EM25" s="108"/>
      <c r="EN25" s="107"/>
      <c r="EO25" s="107"/>
      <c r="EP25" s="123"/>
      <c r="EQ25" s="107"/>
      <c r="ER25" s="130" t="str">
        <f t="shared" si="13"/>
        <v/>
      </c>
      <c r="ES25" s="107"/>
      <c r="ET25" s="107"/>
      <c r="EU25" s="107"/>
      <c r="EV25" s="107"/>
      <c r="EW25" s="108"/>
      <c r="EX25" s="107"/>
      <c r="EY25" s="107"/>
      <c r="EZ25" s="123"/>
      <c r="FA25" s="107"/>
      <c r="FB25" s="130" t="str">
        <f t="shared" si="14"/>
        <v/>
      </c>
      <c r="FC25" s="107"/>
      <c r="FD25" s="107"/>
      <c r="FE25" s="107"/>
      <c r="FF25" s="107"/>
      <c r="FG25" s="108"/>
      <c r="FH25" s="107"/>
      <c r="FI25" s="107"/>
      <c r="FJ25" s="123"/>
      <c r="FK25" s="107"/>
      <c r="FL25" s="130" t="str">
        <f t="shared" si="15"/>
        <v/>
      </c>
      <c r="FM25" s="107"/>
      <c r="FN25" s="107"/>
      <c r="FO25" s="107"/>
      <c r="FP25" s="107"/>
      <c r="FQ25" s="108"/>
      <c r="FR25" s="107"/>
      <c r="FS25" s="107"/>
      <c r="FT25" s="123"/>
      <c r="FU25" s="107"/>
      <c r="FV25" s="130" t="str">
        <f t="shared" si="16"/>
        <v/>
      </c>
      <c r="FW25" s="107"/>
      <c r="FX25" s="107"/>
      <c r="FY25" s="107"/>
      <c r="FZ25" s="107"/>
      <c r="GA25" s="108"/>
      <c r="GB25" s="107"/>
      <c r="GC25" s="107"/>
      <c r="GD25" s="123"/>
      <c r="GE25" s="107"/>
      <c r="GF25" s="130" t="str">
        <f t="shared" si="17"/>
        <v/>
      </c>
      <c r="GG25" s="107"/>
      <c r="GH25" s="107"/>
      <c r="GI25" s="107"/>
      <c r="GJ25" s="107"/>
      <c r="GK25" s="108"/>
      <c r="GL25" s="107"/>
      <c r="GM25" s="107"/>
      <c r="GN25" s="123"/>
      <c r="GO25" s="107"/>
      <c r="GP25" s="130" t="str">
        <f t="shared" si="18"/>
        <v/>
      </c>
      <c r="GQ25" s="107"/>
      <c r="GR25" s="107"/>
      <c r="GS25" s="107"/>
      <c r="GT25" s="107"/>
      <c r="GU25" s="108"/>
      <c r="GV25" s="107"/>
      <c r="GW25" s="107"/>
      <c r="GX25" s="123"/>
      <c r="GY25" s="107"/>
      <c r="GZ25" s="130" t="str">
        <f t="shared" si="19"/>
        <v/>
      </c>
      <c r="HA25" s="107"/>
      <c r="HB25" s="107"/>
      <c r="HC25" s="107"/>
      <c r="HD25" s="107"/>
      <c r="HE25" s="108"/>
      <c r="HF25" s="107"/>
      <c r="HG25" s="107"/>
      <c r="HH25" s="123"/>
      <c r="HI25" s="107"/>
      <c r="HJ25" s="130" t="str">
        <f t="shared" si="20"/>
        <v/>
      </c>
      <c r="HK25" s="107"/>
      <c r="HL25" s="107"/>
      <c r="HM25" s="107"/>
      <c r="HN25" s="107"/>
      <c r="HO25" s="108"/>
      <c r="HP25" s="107"/>
      <c r="HQ25" s="107"/>
      <c r="HR25" s="123"/>
      <c r="HS25" s="107"/>
      <c r="HT25" s="130" t="str">
        <f t="shared" si="21"/>
        <v/>
      </c>
      <c r="HU25" s="107"/>
      <c r="HV25" s="107"/>
      <c r="HW25" s="107"/>
      <c r="HX25" s="107"/>
      <c r="HY25" s="108"/>
      <c r="HZ25" s="107"/>
      <c r="IA25" s="107"/>
      <c r="IB25" s="123"/>
      <c r="IC25" s="107"/>
      <c r="ID25" s="130" t="str">
        <f t="shared" si="22"/>
        <v/>
      </c>
      <c r="IE25" s="107"/>
      <c r="IF25" s="107"/>
      <c r="IG25" s="107"/>
      <c r="IH25" s="107"/>
      <c r="II25" s="108"/>
      <c r="IJ25" s="107"/>
      <c r="IK25" s="107"/>
      <c r="IL25" s="123"/>
      <c r="IM25" s="107"/>
      <c r="IN25" s="130" t="str">
        <f t="shared" si="23"/>
        <v/>
      </c>
      <c r="IO25" s="107"/>
      <c r="IP25" s="107"/>
      <c r="IQ25" s="107"/>
      <c r="IR25" s="107"/>
      <c r="IS25" s="108"/>
      <c r="IT25" s="107"/>
      <c r="IU25" s="107"/>
      <c r="IV25" s="123"/>
      <c r="IW25" s="107"/>
      <c r="IX25" s="130" t="str">
        <f t="shared" si="24"/>
        <v/>
      </c>
      <c r="IY25" s="107"/>
      <c r="IZ25" s="107"/>
      <c r="JA25" s="107"/>
      <c r="JB25" s="107"/>
      <c r="JC25" s="108"/>
      <c r="JD25" s="107"/>
      <c r="JE25" s="107"/>
      <c r="JF25" s="123"/>
      <c r="JG25" s="107"/>
      <c r="JH25" s="130" t="str">
        <f t="shared" si="25"/>
        <v/>
      </c>
      <c r="JI25" s="107"/>
      <c r="JJ25" s="107"/>
      <c r="JK25" s="107"/>
      <c r="JL25" s="107"/>
      <c r="JM25" s="108"/>
      <c r="JN25" s="107"/>
      <c r="JO25" s="107"/>
      <c r="JP25" s="123"/>
      <c r="JQ25" s="107"/>
      <c r="JR25" s="130" t="str">
        <f t="shared" si="26"/>
        <v/>
      </c>
      <c r="JS25" s="107"/>
      <c r="JT25" s="107"/>
      <c r="JU25" s="107"/>
      <c r="JV25" s="107"/>
      <c r="JW25" s="108"/>
      <c r="JX25" s="107"/>
      <c r="JY25" s="107"/>
      <c r="JZ25" s="123"/>
      <c r="KA25" s="107"/>
      <c r="KB25" s="130" t="str">
        <f t="shared" si="27"/>
        <v/>
      </c>
      <c r="KC25" s="107"/>
      <c r="KD25" s="107"/>
      <c r="KE25" s="107"/>
      <c r="KF25" s="107"/>
      <c r="KG25" s="108"/>
      <c r="KH25" s="107"/>
      <c r="KI25" s="107"/>
      <c r="KJ25" s="123"/>
      <c r="KK25" s="107"/>
      <c r="KL25" s="130" t="str">
        <f t="shared" si="28"/>
        <v/>
      </c>
      <c r="KM25" s="107"/>
      <c r="KN25" s="107"/>
      <c r="KO25" s="107"/>
      <c r="KP25" s="107"/>
      <c r="KQ25" s="108"/>
      <c r="KR25" s="107"/>
      <c r="KS25" s="107"/>
      <c r="KT25" s="123"/>
      <c r="KU25" s="107"/>
      <c r="KV25" s="130" t="str">
        <f t="shared" si="29"/>
        <v/>
      </c>
      <c r="KW25" s="107"/>
      <c r="KX25" s="107"/>
      <c r="KY25" s="107"/>
      <c r="KZ25" s="107"/>
      <c r="LA25" s="108"/>
      <c r="LB25" s="107"/>
      <c r="LC25" s="107"/>
      <c r="LD25" s="123"/>
      <c r="LE25" s="107"/>
      <c r="LF25" s="130" t="str">
        <f t="shared" si="30"/>
        <v/>
      </c>
      <c r="LG25" s="107"/>
      <c r="LH25" s="107"/>
      <c r="LI25" s="107"/>
      <c r="LJ25" s="107"/>
      <c r="LK25" s="108"/>
      <c r="LL25" s="107"/>
      <c r="LM25" s="107"/>
      <c r="LN25" s="123"/>
      <c r="LO25" s="107"/>
      <c r="LP25" s="130" t="str">
        <f t="shared" si="31"/>
        <v/>
      </c>
      <c r="LQ25" s="107"/>
      <c r="LR25" s="107"/>
      <c r="LS25" s="107"/>
      <c r="LT25" s="107"/>
      <c r="LU25" s="108"/>
      <c r="LV25" s="107"/>
      <c r="LW25" s="107"/>
      <c r="LX25" s="123"/>
      <c r="LY25" s="107"/>
      <c r="LZ25" s="130" t="str">
        <f t="shared" si="32"/>
        <v/>
      </c>
      <c r="MA25" s="107"/>
      <c r="MB25" s="107"/>
      <c r="MC25" s="107"/>
      <c r="MD25" s="107"/>
      <c r="ME25" s="108"/>
    </row>
    <row r="26" spans="2:343" ht="27.95" customHeight="1">
      <c r="B26" s="96" t="str">
        <f ca="1">INDIRECT("'BDD - Joueurs'!B18")</f>
        <v>PLANET Mathis</v>
      </c>
      <c r="C26" s="145">
        <f>COUNTIF(X26:ME26,C9)</f>
        <v>3</v>
      </c>
      <c r="D26" s="146">
        <f>COUNTIF(X26:ME26,D9)</f>
        <v>0</v>
      </c>
      <c r="E26" s="146">
        <f>COUNTIF(X26:ME26,E9)</f>
        <v>1</v>
      </c>
      <c r="F26" s="147">
        <f>COUNTIF(X26:ME26,F9)</f>
        <v>1</v>
      </c>
      <c r="G26" s="145">
        <f>COUNTIF(X26:ME26,G9)</f>
        <v>5</v>
      </c>
      <c r="H26" s="146">
        <f>COUNTIF(X26:ME26,H9)</f>
        <v>0</v>
      </c>
      <c r="I26" s="146">
        <f>COUNTIF(X26:ME26,I9)</f>
        <v>0</v>
      </c>
      <c r="J26" s="146">
        <f>COUNTIF(X26:ME26,J9)</f>
        <v>0</v>
      </c>
      <c r="K26" s="146">
        <f t="shared" si="37"/>
        <v>0</v>
      </c>
      <c r="L26" s="146">
        <f>COUNTIF(X26:ME26,L9)</f>
        <v>0</v>
      </c>
      <c r="M26" s="146">
        <f t="shared" si="33"/>
        <v>0</v>
      </c>
      <c r="N26" s="146">
        <f>COUNTIF(X26:ME26,N9)</f>
        <v>0</v>
      </c>
      <c r="O26" s="147">
        <f>COUNTIF(X26:ME26,O9)</f>
        <v>0</v>
      </c>
      <c r="P26" s="148">
        <f t="shared" si="0"/>
        <v>213</v>
      </c>
      <c r="Q26" s="149">
        <f t="shared" si="35"/>
        <v>6.2</v>
      </c>
      <c r="R26" s="166">
        <f t="shared" si="36"/>
        <v>1320.6000000000001</v>
      </c>
      <c r="S26" s="148">
        <f t="shared" si="42"/>
        <v>0</v>
      </c>
      <c r="T26" s="148">
        <f t="shared" si="38"/>
        <v>0</v>
      </c>
      <c r="U26" s="148">
        <f t="shared" si="39"/>
        <v>0</v>
      </c>
      <c r="V26" s="148">
        <f t="shared" si="40"/>
        <v>0</v>
      </c>
      <c r="W26" s="147">
        <f t="shared" si="41"/>
        <v>0</v>
      </c>
      <c r="X26" s="109" t="s">
        <v>124</v>
      </c>
      <c r="Y26" s="109" t="s">
        <v>269</v>
      </c>
      <c r="Z26" s="124">
        <v>60</v>
      </c>
      <c r="AA26" s="109">
        <v>5</v>
      </c>
      <c r="AB26" s="129">
        <f t="shared" si="34"/>
        <v>300</v>
      </c>
      <c r="AC26" s="109"/>
      <c r="AD26" s="109"/>
      <c r="AE26" s="109"/>
      <c r="AF26" s="109"/>
      <c r="AG26" s="110"/>
      <c r="AH26" s="109" t="s">
        <v>124</v>
      </c>
      <c r="AI26" s="109" t="s">
        <v>269</v>
      </c>
      <c r="AJ26" s="124">
        <v>57</v>
      </c>
      <c r="AK26" s="109">
        <v>5</v>
      </c>
      <c r="AL26" s="129">
        <f t="shared" si="2"/>
        <v>285</v>
      </c>
      <c r="AM26" s="109"/>
      <c r="AN26" s="109"/>
      <c r="AO26" s="109"/>
      <c r="AP26" s="109"/>
      <c r="AQ26" s="110"/>
      <c r="AR26" s="109" t="s">
        <v>124</v>
      </c>
      <c r="AS26" s="109" t="s">
        <v>269</v>
      </c>
      <c r="AT26" s="124">
        <v>45</v>
      </c>
      <c r="AU26" s="109">
        <v>7</v>
      </c>
      <c r="AV26" s="129">
        <f t="shared" si="3"/>
        <v>315</v>
      </c>
      <c r="AW26" s="109"/>
      <c r="AX26" s="109"/>
      <c r="AY26" s="109"/>
      <c r="AZ26" s="109"/>
      <c r="BA26" s="110"/>
      <c r="BB26" s="109" t="s">
        <v>126</v>
      </c>
      <c r="BC26" s="109" t="s">
        <v>269</v>
      </c>
      <c r="BD26" s="124">
        <v>45</v>
      </c>
      <c r="BE26" s="109">
        <v>6</v>
      </c>
      <c r="BF26" s="129">
        <f t="shared" si="4"/>
        <v>270</v>
      </c>
      <c r="BG26" s="109"/>
      <c r="BH26" s="109"/>
      <c r="BI26" s="109"/>
      <c r="BJ26" s="109"/>
      <c r="BK26" s="110"/>
      <c r="BL26" s="109" t="s">
        <v>127</v>
      </c>
      <c r="BM26" s="109" t="s">
        <v>269</v>
      </c>
      <c r="BN26" s="124">
        <v>6</v>
      </c>
      <c r="BO26" s="109">
        <v>8</v>
      </c>
      <c r="BP26" s="129">
        <f t="shared" si="5"/>
        <v>48</v>
      </c>
      <c r="BQ26" s="109"/>
      <c r="BR26" s="109"/>
      <c r="BS26" s="109"/>
      <c r="BT26" s="109"/>
      <c r="BU26" s="110"/>
      <c r="BV26" s="109"/>
      <c r="BW26" s="109"/>
      <c r="BX26" s="124"/>
      <c r="BY26" s="109"/>
      <c r="BZ26" s="129" t="str">
        <f t="shared" si="6"/>
        <v/>
      </c>
      <c r="CA26" s="109"/>
      <c r="CB26" s="109"/>
      <c r="CC26" s="109"/>
      <c r="CD26" s="109"/>
      <c r="CE26" s="110"/>
      <c r="CF26" s="109"/>
      <c r="CG26" s="109"/>
      <c r="CH26" s="124"/>
      <c r="CI26" s="109"/>
      <c r="CJ26" s="129" t="str">
        <f t="shared" si="7"/>
        <v/>
      </c>
      <c r="CK26" s="109"/>
      <c r="CL26" s="109"/>
      <c r="CM26" s="109"/>
      <c r="CN26" s="109"/>
      <c r="CO26" s="110"/>
      <c r="CP26" s="109"/>
      <c r="CQ26" s="109"/>
      <c r="CR26" s="124"/>
      <c r="CS26" s="109"/>
      <c r="CT26" s="129" t="str">
        <f t="shared" si="8"/>
        <v/>
      </c>
      <c r="CU26" s="109"/>
      <c r="CV26" s="109"/>
      <c r="CW26" s="109"/>
      <c r="CX26" s="109"/>
      <c r="CY26" s="110"/>
      <c r="CZ26" s="109"/>
      <c r="DA26" s="109"/>
      <c r="DB26" s="124"/>
      <c r="DC26" s="109"/>
      <c r="DD26" s="129" t="str">
        <f t="shared" si="9"/>
        <v/>
      </c>
      <c r="DE26" s="109"/>
      <c r="DF26" s="109"/>
      <c r="DG26" s="109"/>
      <c r="DH26" s="109"/>
      <c r="DI26" s="110"/>
      <c r="DJ26" s="109"/>
      <c r="DK26" s="109"/>
      <c r="DL26" s="124"/>
      <c r="DM26" s="109"/>
      <c r="DN26" s="129" t="str">
        <f t="shared" si="10"/>
        <v/>
      </c>
      <c r="DO26" s="109"/>
      <c r="DP26" s="109"/>
      <c r="DQ26" s="109"/>
      <c r="DR26" s="109"/>
      <c r="DS26" s="110"/>
      <c r="DT26" s="109"/>
      <c r="DU26" s="109"/>
      <c r="DV26" s="124"/>
      <c r="DW26" s="109"/>
      <c r="DX26" s="129" t="str">
        <f t="shared" si="11"/>
        <v/>
      </c>
      <c r="DY26" s="109"/>
      <c r="DZ26" s="109"/>
      <c r="EA26" s="109"/>
      <c r="EB26" s="109"/>
      <c r="EC26" s="110"/>
      <c r="ED26" s="109"/>
      <c r="EE26" s="109"/>
      <c r="EF26" s="124"/>
      <c r="EG26" s="109"/>
      <c r="EH26" s="129" t="str">
        <f t="shared" si="12"/>
        <v/>
      </c>
      <c r="EI26" s="109"/>
      <c r="EJ26" s="109"/>
      <c r="EK26" s="109"/>
      <c r="EL26" s="109"/>
      <c r="EM26" s="110"/>
      <c r="EN26" s="109"/>
      <c r="EO26" s="109"/>
      <c r="EP26" s="124"/>
      <c r="EQ26" s="109"/>
      <c r="ER26" s="129" t="str">
        <f t="shared" si="13"/>
        <v/>
      </c>
      <c r="ES26" s="109"/>
      <c r="ET26" s="109"/>
      <c r="EU26" s="109"/>
      <c r="EV26" s="109"/>
      <c r="EW26" s="110"/>
      <c r="EX26" s="109"/>
      <c r="EY26" s="109"/>
      <c r="EZ26" s="124"/>
      <c r="FA26" s="109"/>
      <c r="FB26" s="129" t="str">
        <f t="shared" si="14"/>
        <v/>
      </c>
      <c r="FC26" s="109"/>
      <c r="FD26" s="109"/>
      <c r="FE26" s="109"/>
      <c r="FF26" s="109"/>
      <c r="FG26" s="110"/>
      <c r="FH26" s="109"/>
      <c r="FI26" s="109"/>
      <c r="FJ26" s="124"/>
      <c r="FK26" s="109"/>
      <c r="FL26" s="129" t="str">
        <f t="shared" si="15"/>
        <v/>
      </c>
      <c r="FM26" s="109"/>
      <c r="FN26" s="109"/>
      <c r="FO26" s="109"/>
      <c r="FP26" s="109"/>
      <c r="FQ26" s="110"/>
      <c r="FR26" s="109"/>
      <c r="FS26" s="109"/>
      <c r="FT26" s="124"/>
      <c r="FU26" s="109"/>
      <c r="FV26" s="129" t="str">
        <f t="shared" si="16"/>
        <v/>
      </c>
      <c r="FW26" s="109"/>
      <c r="FX26" s="109"/>
      <c r="FY26" s="109"/>
      <c r="FZ26" s="109"/>
      <c r="GA26" s="110"/>
      <c r="GB26" s="109"/>
      <c r="GC26" s="109"/>
      <c r="GD26" s="124"/>
      <c r="GE26" s="109"/>
      <c r="GF26" s="129" t="str">
        <f t="shared" si="17"/>
        <v/>
      </c>
      <c r="GG26" s="109"/>
      <c r="GH26" s="109"/>
      <c r="GI26" s="109"/>
      <c r="GJ26" s="109"/>
      <c r="GK26" s="110"/>
      <c r="GL26" s="109"/>
      <c r="GM26" s="109"/>
      <c r="GN26" s="124"/>
      <c r="GO26" s="109"/>
      <c r="GP26" s="129" t="str">
        <f t="shared" si="18"/>
        <v/>
      </c>
      <c r="GQ26" s="109"/>
      <c r="GR26" s="109"/>
      <c r="GS26" s="109"/>
      <c r="GT26" s="109"/>
      <c r="GU26" s="110"/>
      <c r="GV26" s="109"/>
      <c r="GW26" s="109"/>
      <c r="GX26" s="124"/>
      <c r="GY26" s="109"/>
      <c r="GZ26" s="129" t="str">
        <f t="shared" si="19"/>
        <v/>
      </c>
      <c r="HA26" s="109"/>
      <c r="HB26" s="109"/>
      <c r="HC26" s="109"/>
      <c r="HD26" s="109"/>
      <c r="HE26" s="110"/>
      <c r="HF26" s="109"/>
      <c r="HG26" s="109"/>
      <c r="HH26" s="124"/>
      <c r="HI26" s="109"/>
      <c r="HJ26" s="129" t="str">
        <f t="shared" si="20"/>
        <v/>
      </c>
      <c r="HK26" s="109"/>
      <c r="HL26" s="109"/>
      <c r="HM26" s="109"/>
      <c r="HN26" s="109"/>
      <c r="HO26" s="110"/>
      <c r="HP26" s="109"/>
      <c r="HQ26" s="109"/>
      <c r="HR26" s="124"/>
      <c r="HS26" s="109"/>
      <c r="HT26" s="129" t="str">
        <f t="shared" si="21"/>
        <v/>
      </c>
      <c r="HU26" s="109"/>
      <c r="HV26" s="109"/>
      <c r="HW26" s="109"/>
      <c r="HX26" s="109"/>
      <c r="HY26" s="110"/>
      <c r="HZ26" s="109"/>
      <c r="IA26" s="109"/>
      <c r="IB26" s="124"/>
      <c r="IC26" s="109"/>
      <c r="ID26" s="129" t="str">
        <f t="shared" si="22"/>
        <v/>
      </c>
      <c r="IE26" s="109"/>
      <c r="IF26" s="109"/>
      <c r="IG26" s="109"/>
      <c r="IH26" s="109"/>
      <c r="II26" s="110"/>
      <c r="IJ26" s="109"/>
      <c r="IK26" s="109"/>
      <c r="IL26" s="124"/>
      <c r="IM26" s="109"/>
      <c r="IN26" s="129" t="str">
        <f t="shared" si="23"/>
        <v/>
      </c>
      <c r="IO26" s="109"/>
      <c r="IP26" s="109"/>
      <c r="IQ26" s="109"/>
      <c r="IR26" s="109"/>
      <c r="IS26" s="110"/>
      <c r="IT26" s="109"/>
      <c r="IU26" s="109"/>
      <c r="IV26" s="124"/>
      <c r="IW26" s="109"/>
      <c r="IX26" s="129" t="str">
        <f t="shared" si="24"/>
        <v/>
      </c>
      <c r="IY26" s="109"/>
      <c r="IZ26" s="109"/>
      <c r="JA26" s="109"/>
      <c r="JB26" s="109"/>
      <c r="JC26" s="110"/>
      <c r="JD26" s="109"/>
      <c r="JE26" s="109"/>
      <c r="JF26" s="124"/>
      <c r="JG26" s="109"/>
      <c r="JH26" s="129" t="str">
        <f t="shared" si="25"/>
        <v/>
      </c>
      <c r="JI26" s="109"/>
      <c r="JJ26" s="109"/>
      <c r="JK26" s="109"/>
      <c r="JL26" s="109"/>
      <c r="JM26" s="110"/>
      <c r="JN26" s="109"/>
      <c r="JO26" s="109"/>
      <c r="JP26" s="124"/>
      <c r="JQ26" s="109"/>
      <c r="JR26" s="129" t="str">
        <f t="shared" si="26"/>
        <v/>
      </c>
      <c r="JS26" s="109"/>
      <c r="JT26" s="109"/>
      <c r="JU26" s="109"/>
      <c r="JV26" s="109"/>
      <c r="JW26" s="110"/>
      <c r="JX26" s="109"/>
      <c r="JY26" s="109"/>
      <c r="JZ26" s="124"/>
      <c r="KA26" s="109"/>
      <c r="KB26" s="129" t="str">
        <f t="shared" si="27"/>
        <v/>
      </c>
      <c r="KC26" s="109"/>
      <c r="KD26" s="109"/>
      <c r="KE26" s="109"/>
      <c r="KF26" s="109"/>
      <c r="KG26" s="110"/>
      <c r="KH26" s="109"/>
      <c r="KI26" s="109"/>
      <c r="KJ26" s="124"/>
      <c r="KK26" s="109"/>
      <c r="KL26" s="129" t="str">
        <f t="shared" si="28"/>
        <v/>
      </c>
      <c r="KM26" s="109"/>
      <c r="KN26" s="109"/>
      <c r="KO26" s="109"/>
      <c r="KP26" s="109"/>
      <c r="KQ26" s="110"/>
      <c r="KR26" s="109"/>
      <c r="KS26" s="109"/>
      <c r="KT26" s="124"/>
      <c r="KU26" s="109"/>
      <c r="KV26" s="129" t="str">
        <f t="shared" si="29"/>
        <v/>
      </c>
      <c r="KW26" s="109"/>
      <c r="KX26" s="109"/>
      <c r="KY26" s="109"/>
      <c r="KZ26" s="109"/>
      <c r="LA26" s="110"/>
      <c r="LB26" s="109"/>
      <c r="LC26" s="109"/>
      <c r="LD26" s="124"/>
      <c r="LE26" s="109"/>
      <c r="LF26" s="129" t="str">
        <f t="shared" si="30"/>
        <v/>
      </c>
      <c r="LG26" s="109"/>
      <c r="LH26" s="109"/>
      <c r="LI26" s="109"/>
      <c r="LJ26" s="109"/>
      <c r="LK26" s="110"/>
      <c r="LL26" s="109"/>
      <c r="LM26" s="109"/>
      <c r="LN26" s="124"/>
      <c r="LO26" s="109"/>
      <c r="LP26" s="129" t="str">
        <f t="shared" si="31"/>
        <v/>
      </c>
      <c r="LQ26" s="109"/>
      <c r="LR26" s="109"/>
      <c r="LS26" s="109"/>
      <c r="LT26" s="109"/>
      <c r="LU26" s="110"/>
      <c r="LV26" s="109"/>
      <c r="LW26" s="109"/>
      <c r="LX26" s="124"/>
      <c r="LY26" s="109"/>
      <c r="LZ26" s="129" t="str">
        <f t="shared" si="32"/>
        <v/>
      </c>
      <c r="MA26" s="109"/>
      <c r="MB26" s="109"/>
      <c r="MC26" s="109"/>
      <c r="MD26" s="109"/>
      <c r="ME26" s="110"/>
    </row>
    <row r="27" spans="2:343" ht="27.95" customHeight="1">
      <c r="B27" s="138" t="str">
        <f ca="1">INDIRECT("'BDD - Joueurs'!B19")</f>
        <v>PRONNIER Nicolas</v>
      </c>
      <c r="C27" s="140">
        <f>COUNTIF(X27:ME27,C9)</f>
        <v>3</v>
      </c>
      <c r="D27" s="141">
        <f>COUNTIF(X27:ME27,D9)</f>
        <v>0</v>
      </c>
      <c r="E27" s="141">
        <f>COUNTIF(X27:ME27,E9)</f>
        <v>1</v>
      </c>
      <c r="F27" s="142">
        <f>COUNTIF(X27:ME27,F9)</f>
        <v>1</v>
      </c>
      <c r="G27" s="140">
        <f>COUNTIF(X27:ME27,G9)</f>
        <v>5</v>
      </c>
      <c r="H27" s="141">
        <f>COUNTIF(X27:ME27,H9)</f>
        <v>0</v>
      </c>
      <c r="I27" s="141">
        <f>COUNTIF(X27:ME27,I9)</f>
        <v>0</v>
      </c>
      <c r="J27" s="141">
        <f>COUNTIF(X27:ME27,J9)</f>
        <v>0</v>
      </c>
      <c r="K27" s="141">
        <f t="shared" si="37"/>
        <v>0</v>
      </c>
      <c r="L27" s="141">
        <f>COUNTIF(X27:ME27,L9)</f>
        <v>0</v>
      </c>
      <c r="M27" s="141">
        <f t="shared" si="33"/>
        <v>0</v>
      </c>
      <c r="N27" s="141">
        <f>COUNTIF(X27:ME27,N9)</f>
        <v>0</v>
      </c>
      <c r="O27" s="142">
        <f>COUNTIF(X27:ME27,O9)</f>
        <v>0</v>
      </c>
      <c r="P27" s="143">
        <f t="shared" si="0"/>
        <v>375</v>
      </c>
      <c r="Q27" s="144">
        <f t="shared" si="35"/>
        <v>5.8</v>
      </c>
      <c r="R27" s="165">
        <f t="shared" si="36"/>
        <v>2175</v>
      </c>
      <c r="S27" s="143">
        <f t="shared" si="42"/>
        <v>0</v>
      </c>
      <c r="T27" s="143">
        <f t="shared" si="38"/>
        <v>0</v>
      </c>
      <c r="U27" s="143">
        <f t="shared" si="39"/>
        <v>0</v>
      </c>
      <c r="V27" s="143">
        <f t="shared" si="40"/>
        <v>0</v>
      </c>
      <c r="W27" s="142">
        <f t="shared" si="41"/>
        <v>0</v>
      </c>
      <c r="X27" s="107" t="s">
        <v>124</v>
      </c>
      <c r="Y27" s="107" t="s">
        <v>269</v>
      </c>
      <c r="Z27" s="123">
        <v>60</v>
      </c>
      <c r="AA27" s="107">
        <v>5</v>
      </c>
      <c r="AB27" s="130">
        <f t="shared" si="34"/>
        <v>300</v>
      </c>
      <c r="AC27" s="107"/>
      <c r="AD27" s="107"/>
      <c r="AE27" s="107"/>
      <c r="AF27" s="107"/>
      <c r="AG27" s="108"/>
      <c r="AH27" s="107" t="s">
        <v>124</v>
      </c>
      <c r="AI27" s="107" t="s">
        <v>269</v>
      </c>
      <c r="AJ27" s="123">
        <v>45</v>
      </c>
      <c r="AK27" s="107">
        <v>4</v>
      </c>
      <c r="AL27" s="130">
        <f t="shared" si="2"/>
        <v>180</v>
      </c>
      <c r="AM27" s="107"/>
      <c r="AN27" s="107"/>
      <c r="AO27" s="107"/>
      <c r="AP27" s="107"/>
      <c r="AQ27" s="108"/>
      <c r="AR27" s="107" t="s">
        <v>124</v>
      </c>
      <c r="AS27" s="107" t="s">
        <v>269</v>
      </c>
      <c r="AT27" s="123">
        <v>90</v>
      </c>
      <c r="AU27" s="107">
        <v>6</v>
      </c>
      <c r="AV27" s="130">
        <f t="shared" si="3"/>
        <v>540</v>
      </c>
      <c r="AW27" s="107"/>
      <c r="AX27" s="107"/>
      <c r="AY27" s="107"/>
      <c r="AZ27" s="107"/>
      <c r="BA27" s="108"/>
      <c r="BB27" s="107" t="s">
        <v>126</v>
      </c>
      <c r="BC27" s="107" t="s">
        <v>269</v>
      </c>
      <c r="BD27" s="123">
        <v>90</v>
      </c>
      <c r="BE27" s="107">
        <v>6</v>
      </c>
      <c r="BF27" s="130">
        <f t="shared" si="4"/>
        <v>540</v>
      </c>
      <c r="BG27" s="107"/>
      <c r="BH27" s="107"/>
      <c r="BI27" s="107"/>
      <c r="BJ27" s="107"/>
      <c r="BK27" s="108"/>
      <c r="BL27" s="107" t="s">
        <v>127</v>
      </c>
      <c r="BM27" s="107" t="s">
        <v>269</v>
      </c>
      <c r="BN27" s="123">
        <v>90</v>
      </c>
      <c r="BO27" s="107">
        <v>8</v>
      </c>
      <c r="BP27" s="130">
        <f t="shared" si="5"/>
        <v>720</v>
      </c>
      <c r="BQ27" s="107"/>
      <c r="BR27" s="107"/>
      <c r="BS27" s="107"/>
      <c r="BT27" s="107"/>
      <c r="BU27" s="108"/>
      <c r="BV27" s="107"/>
      <c r="BW27" s="107"/>
      <c r="BX27" s="123"/>
      <c r="BY27" s="107"/>
      <c r="BZ27" s="130" t="str">
        <f t="shared" si="6"/>
        <v/>
      </c>
      <c r="CA27" s="107"/>
      <c r="CB27" s="107"/>
      <c r="CC27" s="107"/>
      <c r="CD27" s="107"/>
      <c r="CE27" s="108"/>
      <c r="CF27" s="107"/>
      <c r="CG27" s="107"/>
      <c r="CH27" s="123"/>
      <c r="CI27" s="107"/>
      <c r="CJ27" s="130" t="str">
        <f t="shared" si="7"/>
        <v/>
      </c>
      <c r="CK27" s="107"/>
      <c r="CL27" s="107"/>
      <c r="CM27" s="107"/>
      <c r="CN27" s="107"/>
      <c r="CO27" s="108"/>
      <c r="CP27" s="107"/>
      <c r="CQ27" s="107"/>
      <c r="CR27" s="123"/>
      <c r="CS27" s="107"/>
      <c r="CT27" s="130" t="str">
        <f t="shared" si="8"/>
        <v/>
      </c>
      <c r="CU27" s="107"/>
      <c r="CV27" s="107"/>
      <c r="CW27" s="107"/>
      <c r="CX27" s="107"/>
      <c r="CY27" s="108"/>
      <c r="CZ27" s="107"/>
      <c r="DA27" s="107"/>
      <c r="DB27" s="123"/>
      <c r="DC27" s="107"/>
      <c r="DD27" s="130" t="str">
        <f t="shared" si="9"/>
        <v/>
      </c>
      <c r="DE27" s="107"/>
      <c r="DF27" s="107"/>
      <c r="DG27" s="107"/>
      <c r="DH27" s="107"/>
      <c r="DI27" s="108"/>
      <c r="DJ27" s="107"/>
      <c r="DK27" s="107"/>
      <c r="DL27" s="123"/>
      <c r="DM27" s="107"/>
      <c r="DN27" s="130" t="str">
        <f t="shared" si="10"/>
        <v/>
      </c>
      <c r="DO27" s="107"/>
      <c r="DP27" s="107"/>
      <c r="DQ27" s="107"/>
      <c r="DR27" s="107"/>
      <c r="DS27" s="108"/>
      <c r="DT27" s="107"/>
      <c r="DU27" s="107"/>
      <c r="DV27" s="123"/>
      <c r="DW27" s="107"/>
      <c r="DX27" s="130" t="str">
        <f t="shared" si="11"/>
        <v/>
      </c>
      <c r="DY27" s="107"/>
      <c r="DZ27" s="107"/>
      <c r="EA27" s="107"/>
      <c r="EB27" s="107"/>
      <c r="EC27" s="108"/>
      <c r="ED27" s="107"/>
      <c r="EE27" s="107"/>
      <c r="EF27" s="123"/>
      <c r="EG27" s="107"/>
      <c r="EH27" s="130" t="str">
        <f t="shared" si="12"/>
        <v/>
      </c>
      <c r="EI27" s="107"/>
      <c r="EJ27" s="107"/>
      <c r="EK27" s="107"/>
      <c r="EL27" s="107"/>
      <c r="EM27" s="108"/>
      <c r="EN27" s="107"/>
      <c r="EO27" s="107"/>
      <c r="EP27" s="123"/>
      <c r="EQ27" s="107"/>
      <c r="ER27" s="130" t="str">
        <f t="shared" si="13"/>
        <v/>
      </c>
      <c r="ES27" s="107"/>
      <c r="ET27" s="107"/>
      <c r="EU27" s="107"/>
      <c r="EV27" s="107"/>
      <c r="EW27" s="108"/>
      <c r="EX27" s="107"/>
      <c r="EY27" s="107"/>
      <c r="EZ27" s="123"/>
      <c r="FA27" s="107"/>
      <c r="FB27" s="130" t="str">
        <f t="shared" si="14"/>
        <v/>
      </c>
      <c r="FC27" s="107"/>
      <c r="FD27" s="107"/>
      <c r="FE27" s="107"/>
      <c r="FF27" s="107"/>
      <c r="FG27" s="108"/>
      <c r="FH27" s="107"/>
      <c r="FI27" s="107"/>
      <c r="FJ27" s="123"/>
      <c r="FK27" s="107"/>
      <c r="FL27" s="130" t="str">
        <f t="shared" si="15"/>
        <v/>
      </c>
      <c r="FM27" s="107"/>
      <c r="FN27" s="107"/>
      <c r="FO27" s="107"/>
      <c r="FP27" s="107"/>
      <c r="FQ27" s="108"/>
      <c r="FR27" s="107"/>
      <c r="FS27" s="107"/>
      <c r="FT27" s="123"/>
      <c r="FU27" s="107"/>
      <c r="FV27" s="130" t="str">
        <f t="shared" si="16"/>
        <v/>
      </c>
      <c r="FW27" s="107"/>
      <c r="FX27" s="107"/>
      <c r="FY27" s="107"/>
      <c r="FZ27" s="107"/>
      <c r="GA27" s="108"/>
      <c r="GB27" s="107"/>
      <c r="GC27" s="107"/>
      <c r="GD27" s="123"/>
      <c r="GE27" s="107"/>
      <c r="GF27" s="130" t="str">
        <f t="shared" si="17"/>
        <v/>
      </c>
      <c r="GG27" s="107"/>
      <c r="GH27" s="107"/>
      <c r="GI27" s="107"/>
      <c r="GJ27" s="107"/>
      <c r="GK27" s="108"/>
      <c r="GL27" s="107"/>
      <c r="GM27" s="107"/>
      <c r="GN27" s="123"/>
      <c r="GO27" s="107"/>
      <c r="GP27" s="130" t="str">
        <f t="shared" si="18"/>
        <v/>
      </c>
      <c r="GQ27" s="107"/>
      <c r="GR27" s="107"/>
      <c r="GS27" s="107"/>
      <c r="GT27" s="107"/>
      <c r="GU27" s="108"/>
      <c r="GV27" s="107"/>
      <c r="GW27" s="107"/>
      <c r="GX27" s="123"/>
      <c r="GY27" s="107"/>
      <c r="GZ27" s="130" t="str">
        <f t="shared" si="19"/>
        <v/>
      </c>
      <c r="HA27" s="107"/>
      <c r="HB27" s="107"/>
      <c r="HC27" s="107"/>
      <c r="HD27" s="107"/>
      <c r="HE27" s="108"/>
      <c r="HF27" s="107"/>
      <c r="HG27" s="107"/>
      <c r="HH27" s="123"/>
      <c r="HI27" s="107"/>
      <c r="HJ27" s="130" t="str">
        <f t="shared" si="20"/>
        <v/>
      </c>
      <c r="HK27" s="107"/>
      <c r="HL27" s="107"/>
      <c r="HM27" s="107"/>
      <c r="HN27" s="107"/>
      <c r="HO27" s="108"/>
      <c r="HP27" s="107"/>
      <c r="HQ27" s="107"/>
      <c r="HR27" s="123"/>
      <c r="HS27" s="107"/>
      <c r="HT27" s="130" t="str">
        <f t="shared" si="21"/>
        <v/>
      </c>
      <c r="HU27" s="107"/>
      <c r="HV27" s="107"/>
      <c r="HW27" s="107"/>
      <c r="HX27" s="107"/>
      <c r="HY27" s="108"/>
      <c r="HZ27" s="107"/>
      <c r="IA27" s="107"/>
      <c r="IB27" s="123"/>
      <c r="IC27" s="107"/>
      <c r="ID27" s="130" t="str">
        <f t="shared" si="22"/>
        <v/>
      </c>
      <c r="IE27" s="107"/>
      <c r="IF27" s="107"/>
      <c r="IG27" s="107"/>
      <c r="IH27" s="107"/>
      <c r="II27" s="108"/>
      <c r="IJ27" s="107"/>
      <c r="IK27" s="107"/>
      <c r="IL27" s="123"/>
      <c r="IM27" s="107"/>
      <c r="IN27" s="130" t="str">
        <f t="shared" si="23"/>
        <v/>
      </c>
      <c r="IO27" s="107"/>
      <c r="IP27" s="107"/>
      <c r="IQ27" s="107"/>
      <c r="IR27" s="107"/>
      <c r="IS27" s="108"/>
      <c r="IT27" s="107"/>
      <c r="IU27" s="107"/>
      <c r="IV27" s="123"/>
      <c r="IW27" s="107"/>
      <c r="IX27" s="130" t="str">
        <f t="shared" si="24"/>
        <v/>
      </c>
      <c r="IY27" s="107"/>
      <c r="IZ27" s="107"/>
      <c r="JA27" s="107"/>
      <c r="JB27" s="107"/>
      <c r="JC27" s="108"/>
      <c r="JD27" s="107"/>
      <c r="JE27" s="107"/>
      <c r="JF27" s="123"/>
      <c r="JG27" s="107"/>
      <c r="JH27" s="130" t="str">
        <f t="shared" si="25"/>
        <v/>
      </c>
      <c r="JI27" s="107"/>
      <c r="JJ27" s="107"/>
      <c r="JK27" s="107"/>
      <c r="JL27" s="107"/>
      <c r="JM27" s="108"/>
      <c r="JN27" s="107"/>
      <c r="JO27" s="107"/>
      <c r="JP27" s="123"/>
      <c r="JQ27" s="107"/>
      <c r="JR27" s="130" t="str">
        <f t="shared" si="26"/>
        <v/>
      </c>
      <c r="JS27" s="107"/>
      <c r="JT27" s="107"/>
      <c r="JU27" s="107"/>
      <c r="JV27" s="107"/>
      <c r="JW27" s="108"/>
      <c r="JX27" s="107"/>
      <c r="JY27" s="107"/>
      <c r="JZ27" s="123"/>
      <c r="KA27" s="107"/>
      <c r="KB27" s="130" t="str">
        <f t="shared" si="27"/>
        <v/>
      </c>
      <c r="KC27" s="107"/>
      <c r="KD27" s="107"/>
      <c r="KE27" s="107"/>
      <c r="KF27" s="107"/>
      <c r="KG27" s="108"/>
      <c r="KH27" s="107"/>
      <c r="KI27" s="107"/>
      <c r="KJ27" s="123"/>
      <c r="KK27" s="107"/>
      <c r="KL27" s="130" t="str">
        <f t="shared" si="28"/>
        <v/>
      </c>
      <c r="KM27" s="107"/>
      <c r="KN27" s="107"/>
      <c r="KO27" s="107"/>
      <c r="KP27" s="107"/>
      <c r="KQ27" s="108"/>
      <c r="KR27" s="107"/>
      <c r="KS27" s="107"/>
      <c r="KT27" s="123"/>
      <c r="KU27" s="107"/>
      <c r="KV27" s="130" t="str">
        <f t="shared" si="29"/>
        <v/>
      </c>
      <c r="KW27" s="107"/>
      <c r="KX27" s="107"/>
      <c r="KY27" s="107"/>
      <c r="KZ27" s="107"/>
      <c r="LA27" s="108"/>
      <c r="LB27" s="107"/>
      <c r="LC27" s="107"/>
      <c r="LD27" s="123"/>
      <c r="LE27" s="107"/>
      <c r="LF27" s="130" t="str">
        <f t="shared" si="30"/>
        <v/>
      </c>
      <c r="LG27" s="107"/>
      <c r="LH27" s="107"/>
      <c r="LI27" s="107"/>
      <c r="LJ27" s="107"/>
      <c r="LK27" s="108"/>
      <c r="LL27" s="107"/>
      <c r="LM27" s="107"/>
      <c r="LN27" s="123"/>
      <c r="LO27" s="107"/>
      <c r="LP27" s="130" t="str">
        <f t="shared" si="31"/>
        <v/>
      </c>
      <c r="LQ27" s="107"/>
      <c r="LR27" s="107"/>
      <c r="LS27" s="107"/>
      <c r="LT27" s="107"/>
      <c r="LU27" s="108"/>
      <c r="LV27" s="107"/>
      <c r="LW27" s="107"/>
      <c r="LX27" s="123"/>
      <c r="LY27" s="107"/>
      <c r="LZ27" s="130" t="str">
        <f t="shared" si="32"/>
        <v/>
      </c>
      <c r="MA27" s="107"/>
      <c r="MB27" s="107"/>
      <c r="MC27" s="107"/>
      <c r="MD27" s="107"/>
      <c r="ME27" s="108"/>
    </row>
    <row r="28" spans="2:343" ht="27.95" customHeight="1">
      <c r="B28" s="96" t="str">
        <f ca="1">INDIRECT("'BDD - Joueurs'!B20")</f>
        <v>STIOUET Reda</v>
      </c>
      <c r="C28" s="145">
        <f>COUNTIF(X28:ME28,C9)</f>
        <v>1</v>
      </c>
      <c r="D28" s="146">
        <f>COUNTIF(X28:ME28,D9)</f>
        <v>0</v>
      </c>
      <c r="E28" s="146">
        <f>COUNTIF(X28:ME28,E9)</f>
        <v>1</v>
      </c>
      <c r="F28" s="147">
        <f>COUNTIF(X28:ME28,F9)</f>
        <v>1</v>
      </c>
      <c r="G28" s="145">
        <f>COUNTIF(X28:ME28,G9)</f>
        <v>3</v>
      </c>
      <c r="H28" s="146">
        <f>COUNTIF(X28:ME28,H9)</f>
        <v>0</v>
      </c>
      <c r="I28" s="146">
        <f>COUNTIF(X28:ME28,I9)</f>
        <v>0</v>
      </c>
      <c r="J28" s="146">
        <f>COUNTIF(X28:ME28,J9)</f>
        <v>0</v>
      </c>
      <c r="K28" s="146">
        <f t="shared" si="37"/>
        <v>0</v>
      </c>
      <c r="L28" s="146">
        <f>COUNTIF(X28:ME28,L9)</f>
        <v>0</v>
      </c>
      <c r="M28" s="146">
        <f t="shared" si="33"/>
        <v>2</v>
      </c>
      <c r="N28" s="146">
        <f>COUNTIF(X28:ME28,N9)</f>
        <v>0</v>
      </c>
      <c r="O28" s="147">
        <f>COUNTIF(X28:ME28,O9)</f>
        <v>0</v>
      </c>
      <c r="P28" s="148">
        <f t="shared" si="0"/>
        <v>219</v>
      </c>
      <c r="Q28" s="149">
        <f t="shared" si="35"/>
        <v>6.666666666666667</v>
      </c>
      <c r="R28" s="166">
        <f t="shared" si="36"/>
        <v>1460</v>
      </c>
      <c r="S28" s="148">
        <f t="shared" si="42"/>
        <v>1</v>
      </c>
      <c r="T28" s="148">
        <f t="shared" si="38"/>
        <v>1</v>
      </c>
      <c r="U28" s="148">
        <f t="shared" si="39"/>
        <v>0</v>
      </c>
      <c r="V28" s="148">
        <f t="shared" si="40"/>
        <v>0</v>
      </c>
      <c r="W28" s="147">
        <f t="shared" si="41"/>
        <v>0</v>
      </c>
      <c r="X28" s="109"/>
      <c r="Y28" s="109" t="s">
        <v>14</v>
      </c>
      <c r="Z28" s="124"/>
      <c r="AA28" s="109"/>
      <c r="AB28" s="129" t="str">
        <f t="shared" si="34"/>
        <v/>
      </c>
      <c r="AC28" s="109"/>
      <c r="AD28" s="109"/>
      <c r="AE28" s="109"/>
      <c r="AF28" s="109"/>
      <c r="AG28" s="110"/>
      <c r="AH28" s="109"/>
      <c r="AI28" s="109" t="s">
        <v>14</v>
      </c>
      <c r="AJ28" s="124"/>
      <c r="AK28" s="109"/>
      <c r="AL28" s="129" t="str">
        <f t="shared" si="2"/>
        <v/>
      </c>
      <c r="AM28" s="109"/>
      <c r="AN28" s="109"/>
      <c r="AO28" s="109"/>
      <c r="AP28" s="109"/>
      <c r="AQ28" s="110"/>
      <c r="AR28" s="109" t="s">
        <v>124</v>
      </c>
      <c r="AS28" s="109" t="s">
        <v>269</v>
      </c>
      <c r="AT28" s="124">
        <v>45</v>
      </c>
      <c r="AU28" s="109">
        <v>8</v>
      </c>
      <c r="AV28" s="129">
        <f t="shared" si="3"/>
        <v>360</v>
      </c>
      <c r="AW28" s="109">
        <v>1</v>
      </c>
      <c r="AX28" s="109"/>
      <c r="AY28" s="109"/>
      <c r="AZ28" s="109"/>
      <c r="BA28" s="110"/>
      <c r="BB28" s="109" t="s">
        <v>126</v>
      </c>
      <c r="BC28" s="109" t="s">
        <v>269</v>
      </c>
      <c r="BD28" s="124">
        <v>90</v>
      </c>
      <c r="BE28" s="109">
        <v>5</v>
      </c>
      <c r="BF28" s="129">
        <f t="shared" si="4"/>
        <v>450</v>
      </c>
      <c r="BG28" s="109"/>
      <c r="BH28" s="109">
        <v>1</v>
      </c>
      <c r="BI28" s="109"/>
      <c r="BJ28" s="109"/>
      <c r="BK28" s="110"/>
      <c r="BL28" s="109" t="s">
        <v>127</v>
      </c>
      <c r="BM28" s="109" t="s">
        <v>269</v>
      </c>
      <c r="BN28" s="124">
        <v>84</v>
      </c>
      <c r="BO28" s="109">
        <v>7</v>
      </c>
      <c r="BP28" s="129">
        <f t="shared" si="5"/>
        <v>588</v>
      </c>
      <c r="BQ28" s="109"/>
      <c r="BR28" s="109"/>
      <c r="BS28" s="109"/>
      <c r="BT28" s="109"/>
      <c r="BU28" s="110"/>
      <c r="BV28" s="109"/>
      <c r="BW28" s="109"/>
      <c r="BX28" s="124"/>
      <c r="BY28" s="109"/>
      <c r="BZ28" s="129" t="str">
        <f t="shared" si="6"/>
        <v/>
      </c>
      <c r="CA28" s="109"/>
      <c r="CB28" s="109"/>
      <c r="CC28" s="109"/>
      <c r="CD28" s="109"/>
      <c r="CE28" s="110"/>
      <c r="CF28" s="109"/>
      <c r="CG28" s="109"/>
      <c r="CH28" s="124"/>
      <c r="CI28" s="109"/>
      <c r="CJ28" s="129" t="str">
        <f t="shared" si="7"/>
        <v/>
      </c>
      <c r="CK28" s="109"/>
      <c r="CL28" s="109"/>
      <c r="CM28" s="109"/>
      <c r="CN28" s="109"/>
      <c r="CO28" s="110"/>
      <c r="CP28" s="109"/>
      <c r="CQ28" s="109"/>
      <c r="CR28" s="124"/>
      <c r="CS28" s="109"/>
      <c r="CT28" s="129" t="str">
        <f t="shared" si="8"/>
        <v/>
      </c>
      <c r="CU28" s="109"/>
      <c r="CV28" s="109"/>
      <c r="CW28" s="109"/>
      <c r="CX28" s="109"/>
      <c r="CY28" s="110"/>
      <c r="CZ28" s="109"/>
      <c r="DA28" s="109"/>
      <c r="DB28" s="124"/>
      <c r="DC28" s="109"/>
      <c r="DD28" s="129" t="str">
        <f t="shared" si="9"/>
        <v/>
      </c>
      <c r="DE28" s="109"/>
      <c r="DF28" s="109"/>
      <c r="DG28" s="109"/>
      <c r="DH28" s="109"/>
      <c r="DI28" s="110"/>
      <c r="DJ28" s="109"/>
      <c r="DK28" s="109"/>
      <c r="DL28" s="124"/>
      <c r="DM28" s="109"/>
      <c r="DN28" s="129" t="str">
        <f t="shared" si="10"/>
        <v/>
      </c>
      <c r="DO28" s="109"/>
      <c r="DP28" s="109"/>
      <c r="DQ28" s="109"/>
      <c r="DR28" s="109"/>
      <c r="DS28" s="110"/>
      <c r="DT28" s="109"/>
      <c r="DU28" s="109"/>
      <c r="DV28" s="124"/>
      <c r="DW28" s="109"/>
      <c r="DX28" s="129" t="str">
        <f t="shared" si="11"/>
        <v/>
      </c>
      <c r="DY28" s="109"/>
      <c r="DZ28" s="109"/>
      <c r="EA28" s="109"/>
      <c r="EB28" s="109"/>
      <c r="EC28" s="110"/>
      <c r="ED28" s="109"/>
      <c r="EE28" s="109"/>
      <c r="EF28" s="124"/>
      <c r="EG28" s="109"/>
      <c r="EH28" s="129" t="str">
        <f t="shared" si="12"/>
        <v/>
      </c>
      <c r="EI28" s="109"/>
      <c r="EJ28" s="109"/>
      <c r="EK28" s="109"/>
      <c r="EL28" s="109"/>
      <c r="EM28" s="110"/>
      <c r="EN28" s="109"/>
      <c r="EO28" s="109"/>
      <c r="EP28" s="124"/>
      <c r="EQ28" s="109"/>
      <c r="ER28" s="129" t="str">
        <f t="shared" si="13"/>
        <v/>
      </c>
      <c r="ES28" s="109"/>
      <c r="ET28" s="109"/>
      <c r="EU28" s="109"/>
      <c r="EV28" s="109"/>
      <c r="EW28" s="110"/>
      <c r="EX28" s="109"/>
      <c r="EY28" s="109"/>
      <c r="EZ28" s="124"/>
      <c r="FA28" s="109"/>
      <c r="FB28" s="129" t="str">
        <f t="shared" si="14"/>
        <v/>
      </c>
      <c r="FC28" s="109"/>
      <c r="FD28" s="109"/>
      <c r="FE28" s="109"/>
      <c r="FF28" s="109"/>
      <c r="FG28" s="110"/>
      <c r="FH28" s="109"/>
      <c r="FI28" s="109"/>
      <c r="FJ28" s="124"/>
      <c r="FK28" s="109"/>
      <c r="FL28" s="129" t="str">
        <f t="shared" si="15"/>
        <v/>
      </c>
      <c r="FM28" s="109"/>
      <c r="FN28" s="109"/>
      <c r="FO28" s="109"/>
      <c r="FP28" s="109"/>
      <c r="FQ28" s="110"/>
      <c r="FR28" s="109"/>
      <c r="FS28" s="109"/>
      <c r="FT28" s="124"/>
      <c r="FU28" s="109"/>
      <c r="FV28" s="129" t="str">
        <f t="shared" si="16"/>
        <v/>
      </c>
      <c r="FW28" s="109"/>
      <c r="FX28" s="109"/>
      <c r="FY28" s="109"/>
      <c r="FZ28" s="109"/>
      <c r="GA28" s="110"/>
      <c r="GB28" s="109"/>
      <c r="GC28" s="109"/>
      <c r="GD28" s="124"/>
      <c r="GE28" s="109"/>
      <c r="GF28" s="129" t="str">
        <f t="shared" si="17"/>
        <v/>
      </c>
      <c r="GG28" s="109"/>
      <c r="GH28" s="109"/>
      <c r="GI28" s="109"/>
      <c r="GJ28" s="109"/>
      <c r="GK28" s="110"/>
      <c r="GL28" s="109"/>
      <c r="GM28" s="109"/>
      <c r="GN28" s="124"/>
      <c r="GO28" s="109"/>
      <c r="GP28" s="129" t="str">
        <f t="shared" si="18"/>
        <v/>
      </c>
      <c r="GQ28" s="109"/>
      <c r="GR28" s="109"/>
      <c r="GS28" s="109"/>
      <c r="GT28" s="109"/>
      <c r="GU28" s="110"/>
      <c r="GV28" s="109"/>
      <c r="GW28" s="109"/>
      <c r="GX28" s="124"/>
      <c r="GY28" s="109"/>
      <c r="GZ28" s="129" t="str">
        <f t="shared" si="19"/>
        <v/>
      </c>
      <c r="HA28" s="109"/>
      <c r="HB28" s="109"/>
      <c r="HC28" s="109"/>
      <c r="HD28" s="109"/>
      <c r="HE28" s="110"/>
      <c r="HF28" s="109"/>
      <c r="HG28" s="109"/>
      <c r="HH28" s="124"/>
      <c r="HI28" s="109"/>
      <c r="HJ28" s="129" t="str">
        <f t="shared" si="20"/>
        <v/>
      </c>
      <c r="HK28" s="109"/>
      <c r="HL28" s="109"/>
      <c r="HM28" s="109"/>
      <c r="HN28" s="109"/>
      <c r="HO28" s="110"/>
      <c r="HP28" s="109"/>
      <c r="HQ28" s="109"/>
      <c r="HR28" s="124"/>
      <c r="HS28" s="109"/>
      <c r="HT28" s="129" t="str">
        <f t="shared" si="21"/>
        <v/>
      </c>
      <c r="HU28" s="109"/>
      <c r="HV28" s="109"/>
      <c r="HW28" s="109"/>
      <c r="HX28" s="109"/>
      <c r="HY28" s="110"/>
      <c r="HZ28" s="109"/>
      <c r="IA28" s="109"/>
      <c r="IB28" s="124"/>
      <c r="IC28" s="109"/>
      <c r="ID28" s="129" t="str">
        <f t="shared" si="22"/>
        <v/>
      </c>
      <c r="IE28" s="109"/>
      <c r="IF28" s="109"/>
      <c r="IG28" s="109"/>
      <c r="IH28" s="109"/>
      <c r="II28" s="110"/>
      <c r="IJ28" s="109"/>
      <c r="IK28" s="109"/>
      <c r="IL28" s="124"/>
      <c r="IM28" s="109"/>
      <c r="IN28" s="129" t="str">
        <f t="shared" si="23"/>
        <v/>
      </c>
      <c r="IO28" s="109"/>
      <c r="IP28" s="109"/>
      <c r="IQ28" s="109"/>
      <c r="IR28" s="109"/>
      <c r="IS28" s="110"/>
      <c r="IT28" s="109"/>
      <c r="IU28" s="109"/>
      <c r="IV28" s="124"/>
      <c r="IW28" s="109"/>
      <c r="IX28" s="129" t="str">
        <f t="shared" si="24"/>
        <v/>
      </c>
      <c r="IY28" s="109"/>
      <c r="IZ28" s="109"/>
      <c r="JA28" s="109"/>
      <c r="JB28" s="109"/>
      <c r="JC28" s="110"/>
      <c r="JD28" s="109"/>
      <c r="JE28" s="109"/>
      <c r="JF28" s="124"/>
      <c r="JG28" s="109"/>
      <c r="JH28" s="129" t="str">
        <f t="shared" si="25"/>
        <v/>
      </c>
      <c r="JI28" s="109"/>
      <c r="JJ28" s="109"/>
      <c r="JK28" s="109"/>
      <c r="JL28" s="109"/>
      <c r="JM28" s="110"/>
      <c r="JN28" s="109"/>
      <c r="JO28" s="109"/>
      <c r="JP28" s="124"/>
      <c r="JQ28" s="109"/>
      <c r="JR28" s="129" t="str">
        <f t="shared" si="26"/>
        <v/>
      </c>
      <c r="JS28" s="109"/>
      <c r="JT28" s="109"/>
      <c r="JU28" s="109"/>
      <c r="JV28" s="109"/>
      <c r="JW28" s="110"/>
      <c r="JX28" s="109"/>
      <c r="JY28" s="109"/>
      <c r="JZ28" s="124"/>
      <c r="KA28" s="109"/>
      <c r="KB28" s="129" t="str">
        <f t="shared" si="27"/>
        <v/>
      </c>
      <c r="KC28" s="109"/>
      <c r="KD28" s="109"/>
      <c r="KE28" s="109"/>
      <c r="KF28" s="109"/>
      <c r="KG28" s="110"/>
      <c r="KH28" s="109"/>
      <c r="KI28" s="109"/>
      <c r="KJ28" s="124"/>
      <c r="KK28" s="109"/>
      <c r="KL28" s="129" t="str">
        <f t="shared" si="28"/>
        <v/>
      </c>
      <c r="KM28" s="109"/>
      <c r="KN28" s="109"/>
      <c r="KO28" s="109"/>
      <c r="KP28" s="109"/>
      <c r="KQ28" s="110"/>
      <c r="KR28" s="109"/>
      <c r="KS28" s="109"/>
      <c r="KT28" s="124"/>
      <c r="KU28" s="109"/>
      <c r="KV28" s="129" t="str">
        <f t="shared" si="29"/>
        <v/>
      </c>
      <c r="KW28" s="109"/>
      <c r="KX28" s="109"/>
      <c r="KY28" s="109"/>
      <c r="KZ28" s="109"/>
      <c r="LA28" s="110"/>
      <c r="LB28" s="109"/>
      <c r="LC28" s="109"/>
      <c r="LD28" s="124"/>
      <c r="LE28" s="109"/>
      <c r="LF28" s="129" t="str">
        <f t="shared" si="30"/>
        <v/>
      </c>
      <c r="LG28" s="109"/>
      <c r="LH28" s="109"/>
      <c r="LI28" s="109"/>
      <c r="LJ28" s="109"/>
      <c r="LK28" s="110"/>
      <c r="LL28" s="109"/>
      <c r="LM28" s="109"/>
      <c r="LN28" s="124"/>
      <c r="LO28" s="109"/>
      <c r="LP28" s="129" t="str">
        <f t="shared" si="31"/>
        <v/>
      </c>
      <c r="LQ28" s="109"/>
      <c r="LR28" s="109"/>
      <c r="LS28" s="109"/>
      <c r="LT28" s="109"/>
      <c r="LU28" s="110"/>
      <c r="LV28" s="109"/>
      <c r="LW28" s="109"/>
      <c r="LX28" s="124"/>
      <c r="LY28" s="109"/>
      <c r="LZ28" s="129" t="str">
        <f t="shared" si="32"/>
        <v/>
      </c>
      <c r="MA28" s="109"/>
      <c r="MB28" s="109"/>
      <c r="MC28" s="109"/>
      <c r="MD28" s="109"/>
      <c r="ME28" s="110"/>
    </row>
    <row r="29" spans="2:343" ht="27.95" customHeight="1">
      <c r="B29" s="138" t="str">
        <f ca="1">INDIRECT("'BDD - Joueurs'!B21")</f>
        <v>ZERDEB Said</v>
      </c>
      <c r="C29" s="140">
        <f>COUNTIF(X29:ME29,C9)</f>
        <v>0</v>
      </c>
      <c r="D29" s="141">
        <f>COUNTIF(X29:ME29,D9)</f>
        <v>0</v>
      </c>
      <c r="E29" s="141">
        <f>COUNTIF(X29:ME29,E9)</f>
        <v>0</v>
      </c>
      <c r="F29" s="142">
        <f>COUNTIF(X29:ME29,F9)</f>
        <v>1</v>
      </c>
      <c r="G29" s="140">
        <f>COUNTIF(X29:ME29,G9)</f>
        <v>1</v>
      </c>
      <c r="H29" s="141">
        <f>COUNTIF(X29:ME29,H9)</f>
        <v>0</v>
      </c>
      <c r="I29" s="141">
        <f>COUNTIF(X29:ME29,I9)</f>
        <v>0</v>
      </c>
      <c r="J29" s="141">
        <f>COUNTIF(X29:ME29,J9)</f>
        <v>0</v>
      </c>
      <c r="K29" s="141">
        <f t="shared" si="37"/>
        <v>0</v>
      </c>
      <c r="L29" s="141">
        <f>COUNTIF(X29:ME29,L9)</f>
        <v>0</v>
      </c>
      <c r="M29" s="141">
        <f t="shared" si="33"/>
        <v>3</v>
      </c>
      <c r="N29" s="141">
        <f>COUNTIF(X29:ME29,N9)</f>
        <v>1</v>
      </c>
      <c r="O29" s="142">
        <f>COUNTIF(X29:ME29,O9)</f>
        <v>0</v>
      </c>
      <c r="P29" s="143">
        <f t="shared" si="0"/>
        <v>81</v>
      </c>
      <c r="Q29" s="144">
        <f t="shared" si="35"/>
        <v>9</v>
      </c>
      <c r="R29" s="165">
        <f t="shared" si="36"/>
        <v>729</v>
      </c>
      <c r="S29" s="143">
        <f t="shared" ref="S29:S39" si="43">SUM(AC29,AM29,AW29,BG29,BQ29,CA29,CK29,CU29,DE29,DO29,DY29,EI29,ES29,FC29,FM29,FW29,GG29,GQ29,HA29,HK29,HU29,IE29,IO29,IY29,JI29,JS29,KC29,KM29,KW29,LG29,LQ29,MA29)</f>
        <v>0</v>
      </c>
      <c r="T29" s="143">
        <f t="shared" si="38"/>
        <v>0</v>
      </c>
      <c r="U29" s="143">
        <f t="shared" si="39"/>
        <v>0</v>
      </c>
      <c r="V29" s="143">
        <f t="shared" si="40"/>
        <v>0</v>
      </c>
      <c r="W29" s="142">
        <f t="shared" si="41"/>
        <v>0</v>
      </c>
      <c r="X29" s="107"/>
      <c r="Y29" s="107" t="s">
        <v>14</v>
      </c>
      <c r="Z29" s="123"/>
      <c r="AA29" s="107"/>
      <c r="AB29" s="130" t="str">
        <f t="shared" si="34"/>
        <v/>
      </c>
      <c r="AC29" s="107"/>
      <c r="AD29" s="107"/>
      <c r="AE29" s="107"/>
      <c r="AF29" s="107"/>
      <c r="AG29" s="108"/>
      <c r="AH29" s="107"/>
      <c r="AI29" s="107" t="s">
        <v>14</v>
      </c>
      <c r="AJ29" s="123"/>
      <c r="AK29" s="107"/>
      <c r="AL29" s="130" t="str">
        <f t="shared" si="2"/>
        <v/>
      </c>
      <c r="AM29" s="107"/>
      <c r="AN29" s="107"/>
      <c r="AO29" s="107"/>
      <c r="AP29" s="107"/>
      <c r="AQ29" s="108"/>
      <c r="AR29" s="107"/>
      <c r="AS29" s="107" t="s">
        <v>14</v>
      </c>
      <c r="AT29" s="123"/>
      <c r="AU29" s="107"/>
      <c r="AV29" s="130" t="str">
        <f t="shared" si="3"/>
        <v/>
      </c>
      <c r="AW29" s="107"/>
      <c r="AX29" s="107"/>
      <c r="AY29" s="107"/>
      <c r="AZ29" s="107"/>
      <c r="BA29" s="108"/>
      <c r="BB29" s="107"/>
      <c r="BC29" s="107" t="s">
        <v>271</v>
      </c>
      <c r="BD29" s="123"/>
      <c r="BE29" s="107"/>
      <c r="BF29" s="130" t="str">
        <f t="shared" si="4"/>
        <v/>
      </c>
      <c r="BG29" s="107"/>
      <c r="BH29" s="107"/>
      <c r="BI29" s="107"/>
      <c r="BJ29" s="107"/>
      <c r="BK29" s="108"/>
      <c r="BL29" s="107" t="s">
        <v>127</v>
      </c>
      <c r="BM29" s="107" t="s">
        <v>269</v>
      </c>
      <c r="BN29" s="123">
        <v>81</v>
      </c>
      <c r="BO29" s="107">
        <v>9</v>
      </c>
      <c r="BP29" s="130">
        <f t="shared" si="5"/>
        <v>729</v>
      </c>
      <c r="BQ29" s="107"/>
      <c r="BR29" s="107"/>
      <c r="BS29" s="107"/>
      <c r="BT29" s="107"/>
      <c r="BU29" s="108"/>
      <c r="BV29" s="107"/>
      <c r="BW29" s="107"/>
      <c r="BX29" s="123"/>
      <c r="BY29" s="107"/>
      <c r="BZ29" s="130" t="str">
        <f t="shared" si="6"/>
        <v/>
      </c>
      <c r="CA29" s="107"/>
      <c r="CB29" s="107"/>
      <c r="CC29" s="107"/>
      <c r="CD29" s="107"/>
      <c r="CE29" s="108"/>
      <c r="CF29" s="107"/>
      <c r="CG29" s="107"/>
      <c r="CH29" s="123"/>
      <c r="CI29" s="107"/>
      <c r="CJ29" s="130" t="str">
        <f t="shared" si="7"/>
        <v/>
      </c>
      <c r="CK29" s="107"/>
      <c r="CL29" s="107"/>
      <c r="CM29" s="107"/>
      <c r="CN29" s="107"/>
      <c r="CO29" s="108"/>
      <c r="CP29" s="107"/>
      <c r="CQ29" s="107"/>
      <c r="CR29" s="123"/>
      <c r="CS29" s="107"/>
      <c r="CT29" s="130" t="str">
        <f t="shared" si="8"/>
        <v/>
      </c>
      <c r="CU29" s="107"/>
      <c r="CV29" s="107"/>
      <c r="CW29" s="107"/>
      <c r="CX29" s="107"/>
      <c r="CY29" s="108"/>
      <c r="CZ29" s="107"/>
      <c r="DA29" s="107"/>
      <c r="DB29" s="123"/>
      <c r="DC29" s="107"/>
      <c r="DD29" s="130" t="str">
        <f t="shared" si="9"/>
        <v/>
      </c>
      <c r="DE29" s="107"/>
      <c r="DF29" s="107"/>
      <c r="DG29" s="107"/>
      <c r="DH29" s="107"/>
      <c r="DI29" s="108"/>
      <c r="DJ29" s="107"/>
      <c r="DK29" s="107"/>
      <c r="DL29" s="123"/>
      <c r="DM29" s="107"/>
      <c r="DN29" s="130" t="str">
        <f t="shared" si="10"/>
        <v/>
      </c>
      <c r="DO29" s="107"/>
      <c r="DP29" s="107"/>
      <c r="DQ29" s="107"/>
      <c r="DR29" s="107"/>
      <c r="DS29" s="108"/>
      <c r="DT29" s="107"/>
      <c r="DU29" s="107"/>
      <c r="DV29" s="123"/>
      <c r="DW29" s="107"/>
      <c r="DX29" s="130" t="str">
        <f t="shared" si="11"/>
        <v/>
      </c>
      <c r="DY29" s="107"/>
      <c r="DZ29" s="107"/>
      <c r="EA29" s="107"/>
      <c r="EB29" s="107"/>
      <c r="EC29" s="108"/>
      <c r="ED29" s="107"/>
      <c r="EE29" s="107"/>
      <c r="EF29" s="123"/>
      <c r="EG29" s="107"/>
      <c r="EH29" s="130" t="str">
        <f t="shared" si="12"/>
        <v/>
      </c>
      <c r="EI29" s="107"/>
      <c r="EJ29" s="107"/>
      <c r="EK29" s="107"/>
      <c r="EL29" s="107"/>
      <c r="EM29" s="108"/>
      <c r="EN29" s="107"/>
      <c r="EO29" s="107"/>
      <c r="EP29" s="123"/>
      <c r="EQ29" s="107"/>
      <c r="ER29" s="130" t="str">
        <f t="shared" si="13"/>
        <v/>
      </c>
      <c r="ES29" s="107"/>
      <c r="ET29" s="107"/>
      <c r="EU29" s="107"/>
      <c r="EV29" s="107"/>
      <c r="EW29" s="108"/>
      <c r="EX29" s="107"/>
      <c r="EY29" s="107"/>
      <c r="EZ29" s="123"/>
      <c r="FA29" s="107"/>
      <c r="FB29" s="130" t="str">
        <f t="shared" si="14"/>
        <v/>
      </c>
      <c r="FC29" s="107"/>
      <c r="FD29" s="107"/>
      <c r="FE29" s="107"/>
      <c r="FF29" s="107"/>
      <c r="FG29" s="108"/>
      <c r="FH29" s="107"/>
      <c r="FI29" s="107"/>
      <c r="FJ29" s="123"/>
      <c r="FK29" s="107"/>
      <c r="FL29" s="130" t="str">
        <f t="shared" si="15"/>
        <v/>
      </c>
      <c r="FM29" s="107"/>
      <c r="FN29" s="107"/>
      <c r="FO29" s="107"/>
      <c r="FP29" s="107"/>
      <c r="FQ29" s="108"/>
      <c r="FR29" s="107"/>
      <c r="FS29" s="107"/>
      <c r="FT29" s="123"/>
      <c r="FU29" s="107"/>
      <c r="FV29" s="130" t="str">
        <f t="shared" si="16"/>
        <v/>
      </c>
      <c r="FW29" s="107"/>
      <c r="FX29" s="107"/>
      <c r="FY29" s="107"/>
      <c r="FZ29" s="107"/>
      <c r="GA29" s="108"/>
      <c r="GB29" s="107"/>
      <c r="GC29" s="107"/>
      <c r="GD29" s="123"/>
      <c r="GE29" s="107"/>
      <c r="GF29" s="130" t="str">
        <f t="shared" si="17"/>
        <v/>
      </c>
      <c r="GG29" s="107"/>
      <c r="GH29" s="107"/>
      <c r="GI29" s="107"/>
      <c r="GJ29" s="107"/>
      <c r="GK29" s="108"/>
      <c r="GL29" s="107"/>
      <c r="GM29" s="107"/>
      <c r="GN29" s="123"/>
      <c r="GO29" s="107"/>
      <c r="GP29" s="130" t="str">
        <f t="shared" si="18"/>
        <v/>
      </c>
      <c r="GQ29" s="107"/>
      <c r="GR29" s="107"/>
      <c r="GS29" s="107"/>
      <c r="GT29" s="107"/>
      <c r="GU29" s="108"/>
      <c r="GV29" s="107"/>
      <c r="GW29" s="107"/>
      <c r="GX29" s="123"/>
      <c r="GY29" s="107"/>
      <c r="GZ29" s="130" t="str">
        <f t="shared" si="19"/>
        <v/>
      </c>
      <c r="HA29" s="107"/>
      <c r="HB29" s="107"/>
      <c r="HC29" s="107"/>
      <c r="HD29" s="107"/>
      <c r="HE29" s="108"/>
      <c r="HF29" s="107"/>
      <c r="HG29" s="107"/>
      <c r="HH29" s="123"/>
      <c r="HI29" s="107"/>
      <c r="HJ29" s="130" t="str">
        <f t="shared" si="20"/>
        <v/>
      </c>
      <c r="HK29" s="107"/>
      <c r="HL29" s="107"/>
      <c r="HM29" s="107"/>
      <c r="HN29" s="107"/>
      <c r="HO29" s="108"/>
      <c r="HP29" s="107"/>
      <c r="HQ29" s="107"/>
      <c r="HR29" s="123"/>
      <c r="HS29" s="107"/>
      <c r="HT29" s="130" t="str">
        <f t="shared" si="21"/>
        <v/>
      </c>
      <c r="HU29" s="107"/>
      <c r="HV29" s="107"/>
      <c r="HW29" s="107"/>
      <c r="HX29" s="107"/>
      <c r="HY29" s="108"/>
      <c r="HZ29" s="107"/>
      <c r="IA29" s="107"/>
      <c r="IB29" s="123"/>
      <c r="IC29" s="107"/>
      <c r="ID29" s="130" t="str">
        <f t="shared" si="22"/>
        <v/>
      </c>
      <c r="IE29" s="107"/>
      <c r="IF29" s="107"/>
      <c r="IG29" s="107"/>
      <c r="IH29" s="107"/>
      <c r="II29" s="108"/>
      <c r="IJ29" s="107"/>
      <c r="IK29" s="107"/>
      <c r="IL29" s="123"/>
      <c r="IM29" s="107"/>
      <c r="IN29" s="130" t="str">
        <f t="shared" si="23"/>
        <v/>
      </c>
      <c r="IO29" s="107"/>
      <c r="IP29" s="107"/>
      <c r="IQ29" s="107"/>
      <c r="IR29" s="107"/>
      <c r="IS29" s="108"/>
      <c r="IT29" s="107"/>
      <c r="IU29" s="107"/>
      <c r="IV29" s="123"/>
      <c r="IW29" s="107"/>
      <c r="IX29" s="130" t="str">
        <f t="shared" si="24"/>
        <v/>
      </c>
      <c r="IY29" s="107"/>
      <c r="IZ29" s="107"/>
      <c r="JA29" s="107"/>
      <c r="JB29" s="107"/>
      <c r="JC29" s="108"/>
      <c r="JD29" s="107"/>
      <c r="JE29" s="107"/>
      <c r="JF29" s="123"/>
      <c r="JG29" s="107"/>
      <c r="JH29" s="130" t="str">
        <f t="shared" si="25"/>
        <v/>
      </c>
      <c r="JI29" s="107"/>
      <c r="JJ29" s="107"/>
      <c r="JK29" s="107"/>
      <c r="JL29" s="107"/>
      <c r="JM29" s="108"/>
      <c r="JN29" s="107"/>
      <c r="JO29" s="107"/>
      <c r="JP29" s="123"/>
      <c r="JQ29" s="107"/>
      <c r="JR29" s="130" t="str">
        <f t="shared" si="26"/>
        <v/>
      </c>
      <c r="JS29" s="107"/>
      <c r="JT29" s="107"/>
      <c r="JU29" s="107"/>
      <c r="JV29" s="107"/>
      <c r="JW29" s="108"/>
      <c r="JX29" s="107"/>
      <c r="JY29" s="107"/>
      <c r="JZ29" s="123"/>
      <c r="KA29" s="107"/>
      <c r="KB29" s="130" t="str">
        <f t="shared" si="27"/>
        <v/>
      </c>
      <c r="KC29" s="107"/>
      <c r="KD29" s="107"/>
      <c r="KE29" s="107"/>
      <c r="KF29" s="107"/>
      <c r="KG29" s="108"/>
      <c r="KH29" s="107"/>
      <c r="KI29" s="107"/>
      <c r="KJ29" s="123"/>
      <c r="KK29" s="107"/>
      <c r="KL29" s="130" t="str">
        <f t="shared" si="28"/>
        <v/>
      </c>
      <c r="KM29" s="107"/>
      <c r="KN29" s="107"/>
      <c r="KO29" s="107"/>
      <c r="KP29" s="107"/>
      <c r="KQ29" s="108"/>
      <c r="KR29" s="107"/>
      <c r="KS29" s="107"/>
      <c r="KT29" s="123"/>
      <c r="KU29" s="107"/>
      <c r="KV29" s="130" t="str">
        <f t="shared" si="29"/>
        <v/>
      </c>
      <c r="KW29" s="107"/>
      <c r="KX29" s="107"/>
      <c r="KY29" s="107"/>
      <c r="KZ29" s="107"/>
      <c r="LA29" s="108"/>
      <c r="LB29" s="107"/>
      <c r="LC29" s="107"/>
      <c r="LD29" s="123"/>
      <c r="LE29" s="107"/>
      <c r="LF29" s="130" t="str">
        <f t="shared" si="30"/>
        <v/>
      </c>
      <c r="LG29" s="107"/>
      <c r="LH29" s="107"/>
      <c r="LI29" s="107"/>
      <c r="LJ29" s="107"/>
      <c r="LK29" s="108"/>
      <c r="LL29" s="107"/>
      <c r="LM29" s="107"/>
      <c r="LN29" s="123"/>
      <c r="LO29" s="107"/>
      <c r="LP29" s="130" t="str">
        <f t="shared" si="31"/>
        <v/>
      </c>
      <c r="LQ29" s="107"/>
      <c r="LR29" s="107"/>
      <c r="LS29" s="107"/>
      <c r="LT29" s="107"/>
      <c r="LU29" s="108"/>
      <c r="LV29" s="107"/>
      <c r="LW29" s="107"/>
      <c r="LX29" s="123"/>
      <c r="LY29" s="107"/>
      <c r="LZ29" s="130" t="str">
        <f t="shared" si="32"/>
        <v/>
      </c>
      <c r="MA29" s="107"/>
      <c r="MB29" s="107"/>
      <c r="MC29" s="107"/>
      <c r="MD29" s="107"/>
      <c r="ME29" s="108"/>
    </row>
    <row r="30" spans="2:343" ht="27.95" customHeight="1">
      <c r="B30" s="96" t="str">
        <f ca="1">INDIRECT("'BDD - Joueurs'!B22")</f>
        <v>OSSENI Farouk</v>
      </c>
      <c r="C30" s="145">
        <f>COUNTIF(X30:ME30,C9)</f>
        <v>2</v>
      </c>
      <c r="D30" s="146">
        <f>COUNTIF(X30:ME30,D9)</f>
        <v>0</v>
      </c>
      <c r="E30" s="146">
        <f>COUNTIF(X30:ME30,E9)</f>
        <v>0</v>
      </c>
      <c r="F30" s="147">
        <f>COUNTIF(X30:ME30,F9)</f>
        <v>0</v>
      </c>
      <c r="G30" s="145">
        <f>COUNTIF(X30:ME30,G9)</f>
        <v>2</v>
      </c>
      <c r="H30" s="146">
        <f>COUNTIF(X30:ME30,H9)</f>
        <v>0</v>
      </c>
      <c r="I30" s="146">
        <f>COUNTIF(X30:ME30,I9)</f>
        <v>0</v>
      </c>
      <c r="J30" s="146">
        <f>COUNTIF(X30:ME30,J9)</f>
        <v>0</v>
      </c>
      <c r="K30" s="146">
        <f t="shared" si="37"/>
        <v>1</v>
      </c>
      <c r="L30" s="146">
        <f>COUNTIF(X30:ME30,L9)</f>
        <v>0</v>
      </c>
      <c r="M30" s="146">
        <f t="shared" si="33"/>
        <v>0</v>
      </c>
      <c r="N30" s="146">
        <f>COUNTIF(X30:ME30,N9)</f>
        <v>0</v>
      </c>
      <c r="O30" s="147">
        <f>COUNTIF(X30:ME30,O9)</f>
        <v>2</v>
      </c>
      <c r="P30" s="148">
        <f t="shared" si="0"/>
        <v>110</v>
      </c>
      <c r="Q30" s="149">
        <f t="shared" si="35"/>
        <v>4.5</v>
      </c>
      <c r="R30" s="166">
        <f t="shared" si="36"/>
        <v>495</v>
      </c>
      <c r="S30" s="148">
        <f t="shared" si="43"/>
        <v>0</v>
      </c>
      <c r="T30" s="148">
        <f t="shared" si="38"/>
        <v>0</v>
      </c>
      <c r="U30" s="148">
        <f t="shared" si="39"/>
        <v>0</v>
      </c>
      <c r="V30" s="148">
        <f t="shared" si="40"/>
        <v>0</v>
      </c>
      <c r="W30" s="147">
        <f t="shared" si="41"/>
        <v>0</v>
      </c>
      <c r="X30" s="109" t="s">
        <v>124</v>
      </c>
      <c r="Y30" s="109" t="s">
        <v>269</v>
      </c>
      <c r="Z30" s="124">
        <v>60</v>
      </c>
      <c r="AA30" s="109">
        <v>5</v>
      </c>
      <c r="AB30" s="129">
        <f t="shared" si="34"/>
        <v>300</v>
      </c>
      <c r="AC30" s="109"/>
      <c r="AD30" s="109"/>
      <c r="AE30" s="109"/>
      <c r="AF30" s="109"/>
      <c r="AG30" s="110"/>
      <c r="AH30" s="109" t="s">
        <v>124</v>
      </c>
      <c r="AI30" s="109" t="s">
        <v>269</v>
      </c>
      <c r="AJ30" s="124">
        <v>50</v>
      </c>
      <c r="AK30" s="109">
        <v>4</v>
      </c>
      <c r="AL30" s="129">
        <f t="shared" si="2"/>
        <v>200</v>
      </c>
      <c r="AM30" s="109"/>
      <c r="AN30" s="109"/>
      <c r="AO30" s="109"/>
      <c r="AP30" s="109"/>
      <c r="AQ30" s="110"/>
      <c r="AR30" s="109"/>
      <c r="AS30" s="109" t="s">
        <v>15</v>
      </c>
      <c r="AT30" s="124"/>
      <c r="AU30" s="109"/>
      <c r="AV30" s="129" t="str">
        <f t="shared" si="3"/>
        <v/>
      </c>
      <c r="AW30" s="109"/>
      <c r="AX30" s="109"/>
      <c r="AY30" s="109"/>
      <c r="AZ30" s="109"/>
      <c r="BA30" s="110"/>
      <c r="BB30" s="109"/>
      <c r="BC30" s="109" t="s">
        <v>100</v>
      </c>
      <c r="BD30" s="124"/>
      <c r="BE30" s="109"/>
      <c r="BF30" s="129" t="str">
        <f t="shared" si="4"/>
        <v/>
      </c>
      <c r="BG30" s="109"/>
      <c r="BH30" s="109"/>
      <c r="BI30" s="109"/>
      <c r="BJ30" s="109"/>
      <c r="BK30" s="110"/>
      <c r="BL30" s="109"/>
      <c r="BM30" s="109" t="s">
        <v>100</v>
      </c>
      <c r="BN30" s="124"/>
      <c r="BO30" s="109"/>
      <c r="BP30" s="129" t="str">
        <f t="shared" si="5"/>
        <v/>
      </c>
      <c r="BQ30" s="109"/>
      <c r="BR30" s="109"/>
      <c r="BS30" s="109"/>
      <c r="BT30" s="109"/>
      <c r="BU30" s="110"/>
      <c r="BV30" s="109"/>
      <c r="BW30" s="109"/>
      <c r="BX30" s="124"/>
      <c r="BY30" s="109"/>
      <c r="BZ30" s="129" t="str">
        <f t="shared" si="6"/>
        <v/>
      </c>
      <c r="CA30" s="109"/>
      <c r="CB30" s="109"/>
      <c r="CC30" s="109"/>
      <c r="CD30" s="109"/>
      <c r="CE30" s="110"/>
      <c r="CF30" s="109"/>
      <c r="CG30" s="109"/>
      <c r="CH30" s="124"/>
      <c r="CI30" s="109"/>
      <c r="CJ30" s="129" t="str">
        <f t="shared" si="7"/>
        <v/>
      </c>
      <c r="CK30" s="109"/>
      <c r="CL30" s="109"/>
      <c r="CM30" s="109"/>
      <c r="CN30" s="109"/>
      <c r="CO30" s="110"/>
      <c r="CP30" s="109"/>
      <c r="CQ30" s="109"/>
      <c r="CR30" s="124"/>
      <c r="CS30" s="109"/>
      <c r="CT30" s="129" t="str">
        <f t="shared" si="8"/>
        <v/>
      </c>
      <c r="CU30" s="109"/>
      <c r="CV30" s="109"/>
      <c r="CW30" s="109"/>
      <c r="CX30" s="109"/>
      <c r="CY30" s="110"/>
      <c r="CZ30" s="109"/>
      <c r="DA30" s="109"/>
      <c r="DB30" s="124"/>
      <c r="DC30" s="109"/>
      <c r="DD30" s="129" t="str">
        <f t="shared" si="9"/>
        <v/>
      </c>
      <c r="DE30" s="109"/>
      <c r="DF30" s="109"/>
      <c r="DG30" s="109"/>
      <c r="DH30" s="109"/>
      <c r="DI30" s="110"/>
      <c r="DJ30" s="109"/>
      <c r="DK30" s="109"/>
      <c r="DL30" s="124"/>
      <c r="DM30" s="109"/>
      <c r="DN30" s="129" t="str">
        <f t="shared" si="10"/>
        <v/>
      </c>
      <c r="DO30" s="109"/>
      <c r="DP30" s="109"/>
      <c r="DQ30" s="109"/>
      <c r="DR30" s="109"/>
      <c r="DS30" s="110"/>
      <c r="DT30" s="109"/>
      <c r="DU30" s="109"/>
      <c r="DV30" s="124"/>
      <c r="DW30" s="109"/>
      <c r="DX30" s="129" t="str">
        <f t="shared" si="11"/>
        <v/>
      </c>
      <c r="DY30" s="109"/>
      <c r="DZ30" s="109"/>
      <c r="EA30" s="109"/>
      <c r="EB30" s="109"/>
      <c r="EC30" s="110"/>
      <c r="ED30" s="109"/>
      <c r="EE30" s="109"/>
      <c r="EF30" s="124"/>
      <c r="EG30" s="109"/>
      <c r="EH30" s="129" t="str">
        <f t="shared" si="12"/>
        <v/>
      </c>
      <c r="EI30" s="109"/>
      <c r="EJ30" s="109"/>
      <c r="EK30" s="109"/>
      <c r="EL30" s="109"/>
      <c r="EM30" s="110"/>
      <c r="EN30" s="109"/>
      <c r="EO30" s="109"/>
      <c r="EP30" s="124"/>
      <c r="EQ30" s="109"/>
      <c r="ER30" s="129" t="str">
        <f t="shared" si="13"/>
        <v/>
      </c>
      <c r="ES30" s="109"/>
      <c r="ET30" s="109"/>
      <c r="EU30" s="109"/>
      <c r="EV30" s="109"/>
      <c r="EW30" s="110"/>
      <c r="EX30" s="109"/>
      <c r="EY30" s="109"/>
      <c r="EZ30" s="124"/>
      <c r="FA30" s="109"/>
      <c r="FB30" s="129" t="str">
        <f t="shared" si="14"/>
        <v/>
      </c>
      <c r="FC30" s="109"/>
      <c r="FD30" s="109"/>
      <c r="FE30" s="109"/>
      <c r="FF30" s="109"/>
      <c r="FG30" s="110"/>
      <c r="FH30" s="109"/>
      <c r="FI30" s="109"/>
      <c r="FJ30" s="124"/>
      <c r="FK30" s="109"/>
      <c r="FL30" s="129" t="str">
        <f t="shared" si="15"/>
        <v/>
      </c>
      <c r="FM30" s="109"/>
      <c r="FN30" s="109"/>
      <c r="FO30" s="109"/>
      <c r="FP30" s="109"/>
      <c r="FQ30" s="110"/>
      <c r="FR30" s="109"/>
      <c r="FS30" s="109"/>
      <c r="FT30" s="124"/>
      <c r="FU30" s="109"/>
      <c r="FV30" s="129" t="str">
        <f t="shared" si="16"/>
        <v/>
      </c>
      <c r="FW30" s="109"/>
      <c r="FX30" s="109"/>
      <c r="FY30" s="109"/>
      <c r="FZ30" s="109"/>
      <c r="GA30" s="110"/>
      <c r="GB30" s="109"/>
      <c r="GC30" s="109"/>
      <c r="GD30" s="124"/>
      <c r="GE30" s="109"/>
      <c r="GF30" s="129" t="str">
        <f t="shared" si="17"/>
        <v/>
      </c>
      <c r="GG30" s="109"/>
      <c r="GH30" s="109"/>
      <c r="GI30" s="109"/>
      <c r="GJ30" s="109"/>
      <c r="GK30" s="110"/>
      <c r="GL30" s="109"/>
      <c r="GM30" s="109"/>
      <c r="GN30" s="124"/>
      <c r="GO30" s="109"/>
      <c r="GP30" s="129" t="str">
        <f t="shared" si="18"/>
        <v/>
      </c>
      <c r="GQ30" s="109"/>
      <c r="GR30" s="109"/>
      <c r="GS30" s="109"/>
      <c r="GT30" s="109"/>
      <c r="GU30" s="110"/>
      <c r="GV30" s="109"/>
      <c r="GW30" s="109"/>
      <c r="GX30" s="124"/>
      <c r="GY30" s="109"/>
      <c r="GZ30" s="129" t="str">
        <f t="shared" si="19"/>
        <v/>
      </c>
      <c r="HA30" s="109"/>
      <c r="HB30" s="109"/>
      <c r="HC30" s="109"/>
      <c r="HD30" s="109"/>
      <c r="HE30" s="110"/>
      <c r="HF30" s="109"/>
      <c r="HG30" s="109"/>
      <c r="HH30" s="124"/>
      <c r="HI30" s="109"/>
      <c r="HJ30" s="129" t="str">
        <f t="shared" si="20"/>
        <v/>
      </c>
      <c r="HK30" s="109"/>
      <c r="HL30" s="109"/>
      <c r="HM30" s="109"/>
      <c r="HN30" s="109"/>
      <c r="HO30" s="110"/>
      <c r="HP30" s="109"/>
      <c r="HQ30" s="109"/>
      <c r="HR30" s="124"/>
      <c r="HS30" s="109"/>
      <c r="HT30" s="129" t="str">
        <f t="shared" si="21"/>
        <v/>
      </c>
      <c r="HU30" s="109"/>
      <c r="HV30" s="109"/>
      <c r="HW30" s="109"/>
      <c r="HX30" s="109"/>
      <c r="HY30" s="110"/>
      <c r="HZ30" s="109"/>
      <c r="IA30" s="109"/>
      <c r="IB30" s="124"/>
      <c r="IC30" s="109"/>
      <c r="ID30" s="129" t="str">
        <f t="shared" si="22"/>
        <v/>
      </c>
      <c r="IE30" s="109"/>
      <c r="IF30" s="109"/>
      <c r="IG30" s="109"/>
      <c r="IH30" s="109"/>
      <c r="II30" s="110"/>
      <c r="IJ30" s="109"/>
      <c r="IK30" s="109"/>
      <c r="IL30" s="124"/>
      <c r="IM30" s="109"/>
      <c r="IN30" s="129" t="str">
        <f t="shared" si="23"/>
        <v/>
      </c>
      <c r="IO30" s="109"/>
      <c r="IP30" s="109"/>
      <c r="IQ30" s="109"/>
      <c r="IR30" s="109"/>
      <c r="IS30" s="110"/>
      <c r="IT30" s="109"/>
      <c r="IU30" s="109"/>
      <c r="IV30" s="124"/>
      <c r="IW30" s="109"/>
      <c r="IX30" s="129" t="str">
        <f t="shared" si="24"/>
        <v/>
      </c>
      <c r="IY30" s="109"/>
      <c r="IZ30" s="109"/>
      <c r="JA30" s="109"/>
      <c r="JB30" s="109"/>
      <c r="JC30" s="110"/>
      <c r="JD30" s="109"/>
      <c r="JE30" s="109"/>
      <c r="JF30" s="124"/>
      <c r="JG30" s="109"/>
      <c r="JH30" s="129" t="str">
        <f t="shared" si="25"/>
        <v/>
      </c>
      <c r="JI30" s="109"/>
      <c r="JJ30" s="109"/>
      <c r="JK30" s="109"/>
      <c r="JL30" s="109"/>
      <c r="JM30" s="110"/>
      <c r="JN30" s="109"/>
      <c r="JO30" s="109"/>
      <c r="JP30" s="124"/>
      <c r="JQ30" s="109"/>
      <c r="JR30" s="129" t="str">
        <f t="shared" si="26"/>
        <v/>
      </c>
      <c r="JS30" s="109"/>
      <c r="JT30" s="109"/>
      <c r="JU30" s="109"/>
      <c r="JV30" s="109"/>
      <c r="JW30" s="110"/>
      <c r="JX30" s="109"/>
      <c r="JY30" s="109"/>
      <c r="JZ30" s="124"/>
      <c r="KA30" s="109"/>
      <c r="KB30" s="129" t="str">
        <f t="shared" si="27"/>
        <v/>
      </c>
      <c r="KC30" s="109"/>
      <c r="KD30" s="109"/>
      <c r="KE30" s="109"/>
      <c r="KF30" s="109"/>
      <c r="KG30" s="110"/>
      <c r="KH30" s="109"/>
      <c r="KI30" s="109"/>
      <c r="KJ30" s="124"/>
      <c r="KK30" s="109"/>
      <c r="KL30" s="129" t="str">
        <f t="shared" si="28"/>
        <v/>
      </c>
      <c r="KM30" s="109"/>
      <c r="KN30" s="109"/>
      <c r="KO30" s="109"/>
      <c r="KP30" s="109"/>
      <c r="KQ30" s="110"/>
      <c r="KR30" s="109"/>
      <c r="KS30" s="109"/>
      <c r="KT30" s="124"/>
      <c r="KU30" s="109"/>
      <c r="KV30" s="129" t="str">
        <f t="shared" si="29"/>
        <v/>
      </c>
      <c r="KW30" s="109"/>
      <c r="KX30" s="109"/>
      <c r="KY30" s="109"/>
      <c r="KZ30" s="109"/>
      <c r="LA30" s="110"/>
      <c r="LB30" s="109"/>
      <c r="LC30" s="109"/>
      <c r="LD30" s="124"/>
      <c r="LE30" s="109"/>
      <c r="LF30" s="129" t="str">
        <f t="shared" si="30"/>
        <v/>
      </c>
      <c r="LG30" s="109"/>
      <c r="LH30" s="109"/>
      <c r="LI30" s="109"/>
      <c r="LJ30" s="109"/>
      <c r="LK30" s="110"/>
      <c r="LL30" s="109"/>
      <c r="LM30" s="109"/>
      <c r="LN30" s="124"/>
      <c r="LO30" s="109"/>
      <c r="LP30" s="129" t="str">
        <f t="shared" si="31"/>
        <v/>
      </c>
      <c r="LQ30" s="109"/>
      <c r="LR30" s="109"/>
      <c r="LS30" s="109"/>
      <c r="LT30" s="109"/>
      <c r="LU30" s="110"/>
      <c r="LV30" s="109"/>
      <c r="LW30" s="109"/>
      <c r="LX30" s="124"/>
      <c r="LY30" s="109"/>
      <c r="LZ30" s="129" t="str">
        <f t="shared" si="32"/>
        <v/>
      </c>
      <c r="MA30" s="109"/>
      <c r="MB30" s="109"/>
      <c r="MC30" s="109"/>
      <c r="MD30" s="109"/>
      <c r="ME30" s="110"/>
    </row>
    <row r="31" spans="2:343" ht="27.95" customHeight="1">
      <c r="B31" s="138">
        <f ca="1">INDIRECT("'BDD - Joueurs'!B23")</f>
        <v>0</v>
      </c>
      <c r="C31" s="140">
        <f>COUNTIF(X31:ME31,C9)</f>
        <v>0</v>
      </c>
      <c r="D31" s="141">
        <f>COUNTIF(X31:ME31,D9)</f>
        <v>0</v>
      </c>
      <c r="E31" s="141">
        <f>COUNTIF(X31:ME31,E9)</f>
        <v>0</v>
      </c>
      <c r="F31" s="142">
        <f>COUNTIF(X31:ME31,F9)</f>
        <v>0</v>
      </c>
      <c r="G31" s="140">
        <f>COUNTIF(X31:ME31,G9)</f>
        <v>0</v>
      </c>
      <c r="H31" s="141">
        <f>COUNTIF(X31:ME31,H9)</f>
        <v>0</v>
      </c>
      <c r="I31" s="141">
        <f>COUNTIF(X31:ME31,I9)</f>
        <v>0</v>
      </c>
      <c r="J31" s="141">
        <f>COUNTIF(X31:ME31,J9)</f>
        <v>0</v>
      </c>
      <c r="K31" s="141">
        <f t="shared" si="37"/>
        <v>0</v>
      </c>
      <c r="L31" s="141">
        <f>COUNTIF(X31:ME31,L9)</f>
        <v>0</v>
      </c>
      <c r="M31" s="141">
        <f t="shared" si="33"/>
        <v>0</v>
      </c>
      <c r="N31" s="141">
        <f>COUNTIF(X31:ME31,N9)</f>
        <v>0</v>
      </c>
      <c r="O31" s="142">
        <f>COUNTIF(X31:ME31,O9)</f>
        <v>0</v>
      </c>
      <c r="P31" s="143">
        <f t="shared" si="0"/>
        <v>0</v>
      </c>
      <c r="Q31" s="144" t="str">
        <f t="shared" si="35"/>
        <v/>
      </c>
      <c r="R31" s="165" t="str">
        <f t="shared" si="36"/>
        <v/>
      </c>
      <c r="S31" s="143">
        <f t="shared" si="43"/>
        <v>0</v>
      </c>
      <c r="T31" s="143">
        <f t="shared" si="38"/>
        <v>0</v>
      </c>
      <c r="U31" s="143">
        <f t="shared" si="39"/>
        <v>0</v>
      </c>
      <c r="V31" s="143">
        <f t="shared" si="40"/>
        <v>0</v>
      </c>
      <c r="W31" s="142">
        <f t="shared" si="41"/>
        <v>0</v>
      </c>
      <c r="X31" s="107"/>
      <c r="Y31" s="107"/>
      <c r="Z31" s="123"/>
      <c r="AA31" s="107"/>
      <c r="AB31" s="130" t="str">
        <f t="shared" si="34"/>
        <v/>
      </c>
      <c r="AC31" s="107"/>
      <c r="AD31" s="107"/>
      <c r="AE31" s="107"/>
      <c r="AF31" s="107"/>
      <c r="AG31" s="108"/>
      <c r="AH31" s="107"/>
      <c r="AI31" s="107"/>
      <c r="AJ31" s="123"/>
      <c r="AK31" s="107"/>
      <c r="AL31" s="130" t="str">
        <f t="shared" si="2"/>
        <v/>
      </c>
      <c r="AM31" s="107"/>
      <c r="AN31" s="107"/>
      <c r="AO31" s="107"/>
      <c r="AP31" s="107"/>
      <c r="AQ31" s="108"/>
      <c r="AR31" s="107"/>
      <c r="AS31" s="107"/>
      <c r="AT31" s="123"/>
      <c r="AU31" s="107"/>
      <c r="AV31" s="130" t="str">
        <f t="shared" si="3"/>
        <v/>
      </c>
      <c r="AW31" s="107"/>
      <c r="AX31" s="107"/>
      <c r="AY31" s="107"/>
      <c r="AZ31" s="107"/>
      <c r="BA31" s="108"/>
      <c r="BB31" s="107"/>
      <c r="BC31" s="107"/>
      <c r="BD31" s="123"/>
      <c r="BE31" s="107"/>
      <c r="BF31" s="130" t="str">
        <f t="shared" si="4"/>
        <v/>
      </c>
      <c r="BG31" s="107"/>
      <c r="BH31" s="107"/>
      <c r="BI31" s="107"/>
      <c r="BJ31" s="107"/>
      <c r="BK31" s="108"/>
      <c r="BL31" s="107"/>
      <c r="BM31" s="107"/>
      <c r="BN31" s="123"/>
      <c r="BO31" s="107"/>
      <c r="BP31" s="130" t="str">
        <f t="shared" si="5"/>
        <v/>
      </c>
      <c r="BQ31" s="107"/>
      <c r="BR31" s="107"/>
      <c r="BS31" s="107"/>
      <c r="BT31" s="107"/>
      <c r="BU31" s="108"/>
      <c r="BV31" s="107"/>
      <c r="BW31" s="107"/>
      <c r="BX31" s="123"/>
      <c r="BY31" s="107"/>
      <c r="BZ31" s="130" t="str">
        <f t="shared" si="6"/>
        <v/>
      </c>
      <c r="CA31" s="107"/>
      <c r="CB31" s="107"/>
      <c r="CC31" s="107"/>
      <c r="CD31" s="107"/>
      <c r="CE31" s="108"/>
      <c r="CF31" s="107"/>
      <c r="CG31" s="107"/>
      <c r="CH31" s="123"/>
      <c r="CI31" s="107"/>
      <c r="CJ31" s="130" t="str">
        <f t="shared" si="7"/>
        <v/>
      </c>
      <c r="CK31" s="107"/>
      <c r="CL31" s="107"/>
      <c r="CM31" s="107"/>
      <c r="CN31" s="107"/>
      <c r="CO31" s="108"/>
      <c r="CP31" s="107"/>
      <c r="CQ31" s="107"/>
      <c r="CR31" s="123"/>
      <c r="CS31" s="107"/>
      <c r="CT31" s="130" t="str">
        <f t="shared" si="8"/>
        <v/>
      </c>
      <c r="CU31" s="107"/>
      <c r="CV31" s="107"/>
      <c r="CW31" s="107"/>
      <c r="CX31" s="107"/>
      <c r="CY31" s="108"/>
      <c r="CZ31" s="107"/>
      <c r="DA31" s="107"/>
      <c r="DB31" s="123"/>
      <c r="DC31" s="107"/>
      <c r="DD31" s="130" t="str">
        <f t="shared" si="9"/>
        <v/>
      </c>
      <c r="DE31" s="107"/>
      <c r="DF31" s="107"/>
      <c r="DG31" s="107"/>
      <c r="DH31" s="107"/>
      <c r="DI31" s="108"/>
      <c r="DJ31" s="107"/>
      <c r="DK31" s="107"/>
      <c r="DL31" s="123"/>
      <c r="DM31" s="107"/>
      <c r="DN31" s="130" t="str">
        <f t="shared" si="10"/>
        <v/>
      </c>
      <c r="DO31" s="107"/>
      <c r="DP31" s="107"/>
      <c r="DQ31" s="107"/>
      <c r="DR31" s="107"/>
      <c r="DS31" s="108"/>
      <c r="DT31" s="107"/>
      <c r="DU31" s="107"/>
      <c r="DV31" s="123"/>
      <c r="DW31" s="107"/>
      <c r="DX31" s="130" t="str">
        <f t="shared" si="11"/>
        <v/>
      </c>
      <c r="DY31" s="107"/>
      <c r="DZ31" s="107"/>
      <c r="EA31" s="107"/>
      <c r="EB31" s="107"/>
      <c r="EC31" s="108"/>
      <c r="ED31" s="107"/>
      <c r="EE31" s="107"/>
      <c r="EF31" s="123"/>
      <c r="EG31" s="107"/>
      <c r="EH31" s="130" t="str">
        <f t="shared" si="12"/>
        <v/>
      </c>
      <c r="EI31" s="107"/>
      <c r="EJ31" s="107"/>
      <c r="EK31" s="107"/>
      <c r="EL31" s="107"/>
      <c r="EM31" s="108"/>
      <c r="EN31" s="107"/>
      <c r="EO31" s="107"/>
      <c r="EP31" s="123"/>
      <c r="EQ31" s="107"/>
      <c r="ER31" s="130" t="str">
        <f t="shared" si="13"/>
        <v/>
      </c>
      <c r="ES31" s="107"/>
      <c r="ET31" s="107"/>
      <c r="EU31" s="107"/>
      <c r="EV31" s="107"/>
      <c r="EW31" s="108"/>
      <c r="EX31" s="107"/>
      <c r="EY31" s="107"/>
      <c r="EZ31" s="123"/>
      <c r="FA31" s="107"/>
      <c r="FB31" s="130" t="str">
        <f t="shared" si="14"/>
        <v/>
      </c>
      <c r="FC31" s="107"/>
      <c r="FD31" s="107"/>
      <c r="FE31" s="107"/>
      <c r="FF31" s="107"/>
      <c r="FG31" s="108"/>
      <c r="FH31" s="107"/>
      <c r="FI31" s="107"/>
      <c r="FJ31" s="123"/>
      <c r="FK31" s="107"/>
      <c r="FL31" s="130" t="str">
        <f t="shared" si="15"/>
        <v/>
      </c>
      <c r="FM31" s="107"/>
      <c r="FN31" s="107"/>
      <c r="FO31" s="107"/>
      <c r="FP31" s="107"/>
      <c r="FQ31" s="108"/>
      <c r="FR31" s="107"/>
      <c r="FS31" s="107"/>
      <c r="FT31" s="123"/>
      <c r="FU31" s="107"/>
      <c r="FV31" s="130" t="str">
        <f t="shared" si="16"/>
        <v/>
      </c>
      <c r="FW31" s="107"/>
      <c r="FX31" s="107"/>
      <c r="FY31" s="107"/>
      <c r="FZ31" s="107"/>
      <c r="GA31" s="108"/>
      <c r="GB31" s="107"/>
      <c r="GC31" s="107"/>
      <c r="GD31" s="123"/>
      <c r="GE31" s="107"/>
      <c r="GF31" s="130" t="str">
        <f t="shared" si="17"/>
        <v/>
      </c>
      <c r="GG31" s="107"/>
      <c r="GH31" s="107"/>
      <c r="GI31" s="107"/>
      <c r="GJ31" s="107"/>
      <c r="GK31" s="108"/>
      <c r="GL31" s="107"/>
      <c r="GM31" s="107"/>
      <c r="GN31" s="123"/>
      <c r="GO31" s="107"/>
      <c r="GP31" s="130" t="str">
        <f t="shared" si="18"/>
        <v/>
      </c>
      <c r="GQ31" s="107"/>
      <c r="GR31" s="107"/>
      <c r="GS31" s="107"/>
      <c r="GT31" s="107"/>
      <c r="GU31" s="108"/>
      <c r="GV31" s="107"/>
      <c r="GW31" s="107"/>
      <c r="GX31" s="123"/>
      <c r="GY31" s="107"/>
      <c r="GZ31" s="130" t="str">
        <f t="shared" si="19"/>
        <v/>
      </c>
      <c r="HA31" s="107"/>
      <c r="HB31" s="107"/>
      <c r="HC31" s="107"/>
      <c r="HD31" s="107"/>
      <c r="HE31" s="108"/>
      <c r="HF31" s="107"/>
      <c r="HG31" s="107"/>
      <c r="HH31" s="123"/>
      <c r="HI31" s="107"/>
      <c r="HJ31" s="130" t="str">
        <f t="shared" si="20"/>
        <v/>
      </c>
      <c r="HK31" s="107"/>
      <c r="HL31" s="107"/>
      <c r="HM31" s="107"/>
      <c r="HN31" s="107"/>
      <c r="HO31" s="108"/>
      <c r="HP31" s="107"/>
      <c r="HQ31" s="107"/>
      <c r="HR31" s="123"/>
      <c r="HS31" s="107"/>
      <c r="HT31" s="130" t="str">
        <f t="shared" si="21"/>
        <v/>
      </c>
      <c r="HU31" s="107"/>
      <c r="HV31" s="107"/>
      <c r="HW31" s="107"/>
      <c r="HX31" s="107"/>
      <c r="HY31" s="108"/>
      <c r="HZ31" s="107"/>
      <c r="IA31" s="107"/>
      <c r="IB31" s="123"/>
      <c r="IC31" s="107"/>
      <c r="ID31" s="130" t="str">
        <f t="shared" si="22"/>
        <v/>
      </c>
      <c r="IE31" s="107"/>
      <c r="IF31" s="107"/>
      <c r="IG31" s="107"/>
      <c r="IH31" s="107"/>
      <c r="II31" s="108"/>
      <c r="IJ31" s="107"/>
      <c r="IK31" s="107"/>
      <c r="IL31" s="123"/>
      <c r="IM31" s="107"/>
      <c r="IN31" s="130" t="str">
        <f t="shared" si="23"/>
        <v/>
      </c>
      <c r="IO31" s="107"/>
      <c r="IP31" s="107"/>
      <c r="IQ31" s="107"/>
      <c r="IR31" s="107"/>
      <c r="IS31" s="108"/>
      <c r="IT31" s="107"/>
      <c r="IU31" s="107"/>
      <c r="IV31" s="123"/>
      <c r="IW31" s="107"/>
      <c r="IX31" s="130" t="str">
        <f t="shared" si="24"/>
        <v/>
      </c>
      <c r="IY31" s="107"/>
      <c r="IZ31" s="107"/>
      <c r="JA31" s="107"/>
      <c r="JB31" s="107"/>
      <c r="JC31" s="108"/>
      <c r="JD31" s="107"/>
      <c r="JE31" s="107"/>
      <c r="JF31" s="123"/>
      <c r="JG31" s="107"/>
      <c r="JH31" s="130" t="str">
        <f t="shared" si="25"/>
        <v/>
      </c>
      <c r="JI31" s="107"/>
      <c r="JJ31" s="107"/>
      <c r="JK31" s="107"/>
      <c r="JL31" s="107"/>
      <c r="JM31" s="108"/>
      <c r="JN31" s="107"/>
      <c r="JO31" s="107"/>
      <c r="JP31" s="123"/>
      <c r="JQ31" s="107"/>
      <c r="JR31" s="130" t="str">
        <f t="shared" si="26"/>
        <v/>
      </c>
      <c r="JS31" s="107"/>
      <c r="JT31" s="107"/>
      <c r="JU31" s="107"/>
      <c r="JV31" s="107"/>
      <c r="JW31" s="108"/>
      <c r="JX31" s="107"/>
      <c r="JY31" s="107"/>
      <c r="JZ31" s="123"/>
      <c r="KA31" s="107"/>
      <c r="KB31" s="130" t="str">
        <f t="shared" si="27"/>
        <v/>
      </c>
      <c r="KC31" s="107"/>
      <c r="KD31" s="107"/>
      <c r="KE31" s="107"/>
      <c r="KF31" s="107"/>
      <c r="KG31" s="108"/>
      <c r="KH31" s="107"/>
      <c r="KI31" s="107"/>
      <c r="KJ31" s="123"/>
      <c r="KK31" s="107"/>
      <c r="KL31" s="130" t="str">
        <f t="shared" si="28"/>
        <v/>
      </c>
      <c r="KM31" s="107"/>
      <c r="KN31" s="107"/>
      <c r="KO31" s="107"/>
      <c r="KP31" s="107"/>
      <c r="KQ31" s="108"/>
      <c r="KR31" s="107"/>
      <c r="KS31" s="107"/>
      <c r="KT31" s="123"/>
      <c r="KU31" s="107"/>
      <c r="KV31" s="130" t="str">
        <f t="shared" si="29"/>
        <v/>
      </c>
      <c r="KW31" s="107"/>
      <c r="KX31" s="107"/>
      <c r="KY31" s="107"/>
      <c r="KZ31" s="107"/>
      <c r="LA31" s="108"/>
      <c r="LB31" s="107"/>
      <c r="LC31" s="107"/>
      <c r="LD31" s="123"/>
      <c r="LE31" s="107"/>
      <c r="LF31" s="130" t="str">
        <f t="shared" si="30"/>
        <v/>
      </c>
      <c r="LG31" s="107"/>
      <c r="LH31" s="107"/>
      <c r="LI31" s="107"/>
      <c r="LJ31" s="107"/>
      <c r="LK31" s="108"/>
      <c r="LL31" s="107"/>
      <c r="LM31" s="107"/>
      <c r="LN31" s="123"/>
      <c r="LO31" s="107"/>
      <c r="LP31" s="130" t="str">
        <f t="shared" si="31"/>
        <v/>
      </c>
      <c r="LQ31" s="107"/>
      <c r="LR31" s="107"/>
      <c r="LS31" s="107"/>
      <c r="LT31" s="107"/>
      <c r="LU31" s="108"/>
      <c r="LV31" s="107"/>
      <c r="LW31" s="107"/>
      <c r="LX31" s="123"/>
      <c r="LY31" s="107"/>
      <c r="LZ31" s="130" t="str">
        <f t="shared" si="32"/>
        <v/>
      </c>
      <c r="MA31" s="107"/>
      <c r="MB31" s="107"/>
      <c r="MC31" s="107"/>
      <c r="MD31" s="107"/>
      <c r="ME31" s="108"/>
    </row>
    <row r="32" spans="2:343" ht="27.95" customHeight="1">
      <c r="B32" s="96">
        <f ca="1">INDIRECT("'BDD - Joueurs'!B24")</f>
        <v>0</v>
      </c>
      <c r="C32" s="145">
        <f>COUNTIF(X32:ME32,C9)</f>
        <v>0</v>
      </c>
      <c r="D32" s="146">
        <f>COUNTIF(X32:ME32,D9)</f>
        <v>0</v>
      </c>
      <c r="E32" s="146">
        <f>COUNTIF(X32:ME32,E9)</f>
        <v>0</v>
      </c>
      <c r="F32" s="147">
        <f>COUNTIF(X32:ME32,F9)</f>
        <v>0</v>
      </c>
      <c r="G32" s="145">
        <f>COUNTIF(X32:ME32,G9)</f>
        <v>0</v>
      </c>
      <c r="H32" s="146">
        <f>COUNTIF(X32:ME32,H9)</f>
        <v>0</v>
      </c>
      <c r="I32" s="146">
        <f>COUNTIF(X32:ME32,I9)</f>
        <v>0</v>
      </c>
      <c r="J32" s="146">
        <f>COUNTIF(X32:ME32,J9)</f>
        <v>0</v>
      </c>
      <c r="K32" s="146">
        <f t="shared" si="37"/>
        <v>0</v>
      </c>
      <c r="L32" s="146">
        <f>COUNTIF(X32:ME32,L9)</f>
        <v>0</v>
      </c>
      <c r="M32" s="146">
        <f t="shared" si="33"/>
        <v>0</v>
      </c>
      <c r="N32" s="146">
        <f>COUNTIF(X32:ME32,N9)</f>
        <v>0</v>
      </c>
      <c r="O32" s="147">
        <f>COUNTIF(X32:ME32,O9)</f>
        <v>0</v>
      </c>
      <c r="P32" s="148">
        <f t="shared" si="0"/>
        <v>0</v>
      </c>
      <c r="Q32" s="149" t="str">
        <f t="shared" si="35"/>
        <v/>
      </c>
      <c r="R32" s="166" t="str">
        <f t="shared" si="36"/>
        <v/>
      </c>
      <c r="S32" s="148">
        <f t="shared" si="43"/>
        <v>0</v>
      </c>
      <c r="T32" s="148">
        <f t="shared" si="38"/>
        <v>0</v>
      </c>
      <c r="U32" s="148">
        <f t="shared" si="39"/>
        <v>0</v>
      </c>
      <c r="V32" s="148">
        <f t="shared" si="40"/>
        <v>0</v>
      </c>
      <c r="W32" s="147">
        <f t="shared" si="41"/>
        <v>0</v>
      </c>
      <c r="X32" s="109"/>
      <c r="Y32" s="109"/>
      <c r="Z32" s="124"/>
      <c r="AA32" s="109"/>
      <c r="AB32" s="129" t="str">
        <f t="shared" si="34"/>
        <v/>
      </c>
      <c r="AC32" s="109"/>
      <c r="AD32" s="109"/>
      <c r="AE32" s="109"/>
      <c r="AF32" s="109"/>
      <c r="AG32" s="110"/>
      <c r="AH32" s="109"/>
      <c r="AI32" s="109"/>
      <c r="AJ32" s="124"/>
      <c r="AK32" s="109"/>
      <c r="AL32" s="129" t="str">
        <f t="shared" si="2"/>
        <v/>
      </c>
      <c r="AM32" s="109"/>
      <c r="AN32" s="109"/>
      <c r="AO32" s="109"/>
      <c r="AP32" s="109"/>
      <c r="AQ32" s="110"/>
      <c r="AR32" s="109"/>
      <c r="AS32" s="109"/>
      <c r="AT32" s="124"/>
      <c r="AU32" s="109"/>
      <c r="AV32" s="129" t="str">
        <f t="shared" si="3"/>
        <v/>
      </c>
      <c r="AW32" s="109"/>
      <c r="AX32" s="109"/>
      <c r="AY32" s="109"/>
      <c r="AZ32" s="109"/>
      <c r="BA32" s="110"/>
      <c r="BB32" s="109"/>
      <c r="BC32" s="109"/>
      <c r="BD32" s="124"/>
      <c r="BE32" s="109"/>
      <c r="BF32" s="129" t="str">
        <f t="shared" si="4"/>
        <v/>
      </c>
      <c r="BG32" s="109"/>
      <c r="BH32" s="109"/>
      <c r="BI32" s="109"/>
      <c r="BJ32" s="109"/>
      <c r="BK32" s="110"/>
      <c r="BL32" s="109"/>
      <c r="BM32" s="109"/>
      <c r="BN32" s="124"/>
      <c r="BO32" s="109"/>
      <c r="BP32" s="129" t="str">
        <f t="shared" si="5"/>
        <v/>
      </c>
      <c r="BQ32" s="109"/>
      <c r="BR32" s="109"/>
      <c r="BS32" s="109"/>
      <c r="BT32" s="109"/>
      <c r="BU32" s="110"/>
      <c r="BV32" s="109"/>
      <c r="BW32" s="109"/>
      <c r="BX32" s="124"/>
      <c r="BY32" s="109"/>
      <c r="BZ32" s="129" t="str">
        <f t="shared" si="6"/>
        <v/>
      </c>
      <c r="CA32" s="109"/>
      <c r="CB32" s="109"/>
      <c r="CC32" s="109"/>
      <c r="CD32" s="109"/>
      <c r="CE32" s="110"/>
      <c r="CF32" s="109"/>
      <c r="CG32" s="109"/>
      <c r="CH32" s="124"/>
      <c r="CI32" s="109"/>
      <c r="CJ32" s="129" t="str">
        <f t="shared" si="7"/>
        <v/>
      </c>
      <c r="CK32" s="109"/>
      <c r="CL32" s="109"/>
      <c r="CM32" s="109"/>
      <c r="CN32" s="109"/>
      <c r="CO32" s="110"/>
      <c r="CP32" s="109"/>
      <c r="CQ32" s="109"/>
      <c r="CR32" s="124"/>
      <c r="CS32" s="109"/>
      <c r="CT32" s="129" t="str">
        <f t="shared" si="8"/>
        <v/>
      </c>
      <c r="CU32" s="109"/>
      <c r="CV32" s="109"/>
      <c r="CW32" s="109"/>
      <c r="CX32" s="109"/>
      <c r="CY32" s="110"/>
      <c r="CZ32" s="109"/>
      <c r="DA32" s="109"/>
      <c r="DB32" s="124"/>
      <c r="DC32" s="109"/>
      <c r="DD32" s="129" t="str">
        <f t="shared" si="9"/>
        <v/>
      </c>
      <c r="DE32" s="109"/>
      <c r="DF32" s="109"/>
      <c r="DG32" s="109"/>
      <c r="DH32" s="109"/>
      <c r="DI32" s="110"/>
      <c r="DJ32" s="109"/>
      <c r="DK32" s="109"/>
      <c r="DL32" s="124"/>
      <c r="DM32" s="109"/>
      <c r="DN32" s="129" t="str">
        <f t="shared" si="10"/>
        <v/>
      </c>
      <c r="DO32" s="109"/>
      <c r="DP32" s="109"/>
      <c r="DQ32" s="109"/>
      <c r="DR32" s="109"/>
      <c r="DS32" s="110"/>
      <c r="DT32" s="109"/>
      <c r="DU32" s="109"/>
      <c r="DV32" s="124"/>
      <c r="DW32" s="109"/>
      <c r="DX32" s="129" t="str">
        <f t="shared" si="11"/>
        <v/>
      </c>
      <c r="DY32" s="109"/>
      <c r="DZ32" s="109"/>
      <c r="EA32" s="109"/>
      <c r="EB32" s="109"/>
      <c r="EC32" s="110"/>
      <c r="ED32" s="109"/>
      <c r="EE32" s="109"/>
      <c r="EF32" s="124"/>
      <c r="EG32" s="109"/>
      <c r="EH32" s="129" t="str">
        <f t="shared" si="12"/>
        <v/>
      </c>
      <c r="EI32" s="109"/>
      <c r="EJ32" s="109"/>
      <c r="EK32" s="109"/>
      <c r="EL32" s="109"/>
      <c r="EM32" s="110"/>
      <c r="EN32" s="109"/>
      <c r="EO32" s="109"/>
      <c r="EP32" s="124"/>
      <c r="EQ32" s="109"/>
      <c r="ER32" s="129" t="str">
        <f t="shared" si="13"/>
        <v/>
      </c>
      <c r="ES32" s="109"/>
      <c r="ET32" s="109"/>
      <c r="EU32" s="109"/>
      <c r="EV32" s="109"/>
      <c r="EW32" s="110"/>
      <c r="EX32" s="109"/>
      <c r="EY32" s="109"/>
      <c r="EZ32" s="124"/>
      <c r="FA32" s="109"/>
      <c r="FB32" s="129" t="str">
        <f t="shared" si="14"/>
        <v/>
      </c>
      <c r="FC32" s="109"/>
      <c r="FD32" s="109"/>
      <c r="FE32" s="109"/>
      <c r="FF32" s="109"/>
      <c r="FG32" s="110"/>
      <c r="FH32" s="109"/>
      <c r="FI32" s="109"/>
      <c r="FJ32" s="124"/>
      <c r="FK32" s="109"/>
      <c r="FL32" s="129" t="str">
        <f t="shared" si="15"/>
        <v/>
      </c>
      <c r="FM32" s="109"/>
      <c r="FN32" s="109"/>
      <c r="FO32" s="109"/>
      <c r="FP32" s="109"/>
      <c r="FQ32" s="110"/>
      <c r="FR32" s="109"/>
      <c r="FS32" s="109"/>
      <c r="FT32" s="124"/>
      <c r="FU32" s="109"/>
      <c r="FV32" s="129" t="str">
        <f t="shared" si="16"/>
        <v/>
      </c>
      <c r="FW32" s="109"/>
      <c r="FX32" s="109"/>
      <c r="FY32" s="109"/>
      <c r="FZ32" s="109"/>
      <c r="GA32" s="110"/>
      <c r="GB32" s="109"/>
      <c r="GC32" s="109"/>
      <c r="GD32" s="124"/>
      <c r="GE32" s="109"/>
      <c r="GF32" s="129" t="str">
        <f t="shared" si="17"/>
        <v/>
      </c>
      <c r="GG32" s="109"/>
      <c r="GH32" s="109"/>
      <c r="GI32" s="109"/>
      <c r="GJ32" s="109"/>
      <c r="GK32" s="110"/>
      <c r="GL32" s="109"/>
      <c r="GM32" s="109"/>
      <c r="GN32" s="124"/>
      <c r="GO32" s="109"/>
      <c r="GP32" s="129" t="str">
        <f t="shared" si="18"/>
        <v/>
      </c>
      <c r="GQ32" s="109"/>
      <c r="GR32" s="109"/>
      <c r="GS32" s="109"/>
      <c r="GT32" s="109"/>
      <c r="GU32" s="110"/>
      <c r="GV32" s="109"/>
      <c r="GW32" s="109"/>
      <c r="GX32" s="124"/>
      <c r="GY32" s="109"/>
      <c r="GZ32" s="129" t="str">
        <f t="shared" si="19"/>
        <v/>
      </c>
      <c r="HA32" s="109"/>
      <c r="HB32" s="109"/>
      <c r="HC32" s="109"/>
      <c r="HD32" s="109"/>
      <c r="HE32" s="110"/>
      <c r="HF32" s="109"/>
      <c r="HG32" s="109"/>
      <c r="HH32" s="124"/>
      <c r="HI32" s="109"/>
      <c r="HJ32" s="129" t="str">
        <f t="shared" si="20"/>
        <v/>
      </c>
      <c r="HK32" s="109"/>
      <c r="HL32" s="109"/>
      <c r="HM32" s="109"/>
      <c r="HN32" s="109"/>
      <c r="HO32" s="110"/>
      <c r="HP32" s="109"/>
      <c r="HQ32" s="109"/>
      <c r="HR32" s="124"/>
      <c r="HS32" s="109"/>
      <c r="HT32" s="129" t="str">
        <f t="shared" si="21"/>
        <v/>
      </c>
      <c r="HU32" s="109"/>
      <c r="HV32" s="109"/>
      <c r="HW32" s="109"/>
      <c r="HX32" s="109"/>
      <c r="HY32" s="110"/>
      <c r="HZ32" s="109"/>
      <c r="IA32" s="109"/>
      <c r="IB32" s="124"/>
      <c r="IC32" s="109"/>
      <c r="ID32" s="129" t="str">
        <f t="shared" si="22"/>
        <v/>
      </c>
      <c r="IE32" s="109"/>
      <c r="IF32" s="109"/>
      <c r="IG32" s="109"/>
      <c r="IH32" s="109"/>
      <c r="II32" s="110"/>
      <c r="IJ32" s="109"/>
      <c r="IK32" s="109"/>
      <c r="IL32" s="124"/>
      <c r="IM32" s="109"/>
      <c r="IN32" s="129" t="str">
        <f t="shared" si="23"/>
        <v/>
      </c>
      <c r="IO32" s="109"/>
      <c r="IP32" s="109"/>
      <c r="IQ32" s="109"/>
      <c r="IR32" s="109"/>
      <c r="IS32" s="110"/>
      <c r="IT32" s="109"/>
      <c r="IU32" s="109"/>
      <c r="IV32" s="124"/>
      <c r="IW32" s="109"/>
      <c r="IX32" s="129" t="str">
        <f t="shared" si="24"/>
        <v/>
      </c>
      <c r="IY32" s="109"/>
      <c r="IZ32" s="109"/>
      <c r="JA32" s="109"/>
      <c r="JB32" s="109"/>
      <c r="JC32" s="110"/>
      <c r="JD32" s="109"/>
      <c r="JE32" s="109"/>
      <c r="JF32" s="124"/>
      <c r="JG32" s="109"/>
      <c r="JH32" s="129" t="str">
        <f t="shared" si="25"/>
        <v/>
      </c>
      <c r="JI32" s="109"/>
      <c r="JJ32" s="109"/>
      <c r="JK32" s="109"/>
      <c r="JL32" s="109"/>
      <c r="JM32" s="110"/>
      <c r="JN32" s="109"/>
      <c r="JO32" s="109"/>
      <c r="JP32" s="124"/>
      <c r="JQ32" s="109"/>
      <c r="JR32" s="129" t="str">
        <f t="shared" si="26"/>
        <v/>
      </c>
      <c r="JS32" s="109"/>
      <c r="JT32" s="109"/>
      <c r="JU32" s="109"/>
      <c r="JV32" s="109"/>
      <c r="JW32" s="110"/>
      <c r="JX32" s="109"/>
      <c r="JY32" s="109"/>
      <c r="JZ32" s="124"/>
      <c r="KA32" s="109"/>
      <c r="KB32" s="129" t="str">
        <f t="shared" si="27"/>
        <v/>
      </c>
      <c r="KC32" s="109"/>
      <c r="KD32" s="109"/>
      <c r="KE32" s="109"/>
      <c r="KF32" s="109"/>
      <c r="KG32" s="110"/>
      <c r="KH32" s="109"/>
      <c r="KI32" s="109"/>
      <c r="KJ32" s="124"/>
      <c r="KK32" s="109"/>
      <c r="KL32" s="129" t="str">
        <f t="shared" si="28"/>
        <v/>
      </c>
      <c r="KM32" s="109"/>
      <c r="KN32" s="109"/>
      <c r="KO32" s="109"/>
      <c r="KP32" s="109"/>
      <c r="KQ32" s="110"/>
      <c r="KR32" s="109"/>
      <c r="KS32" s="109"/>
      <c r="KT32" s="124"/>
      <c r="KU32" s="109"/>
      <c r="KV32" s="129" t="str">
        <f t="shared" si="29"/>
        <v/>
      </c>
      <c r="KW32" s="109"/>
      <c r="KX32" s="109"/>
      <c r="KY32" s="109"/>
      <c r="KZ32" s="109"/>
      <c r="LA32" s="110"/>
      <c r="LB32" s="109"/>
      <c r="LC32" s="109"/>
      <c r="LD32" s="124"/>
      <c r="LE32" s="109"/>
      <c r="LF32" s="129" t="str">
        <f t="shared" si="30"/>
        <v/>
      </c>
      <c r="LG32" s="109"/>
      <c r="LH32" s="109"/>
      <c r="LI32" s="109"/>
      <c r="LJ32" s="109"/>
      <c r="LK32" s="110"/>
      <c r="LL32" s="109"/>
      <c r="LM32" s="109"/>
      <c r="LN32" s="124"/>
      <c r="LO32" s="109"/>
      <c r="LP32" s="129" t="str">
        <f t="shared" si="31"/>
        <v/>
      </c>
      <c r="LQ32" s="109"/>
      <c r="LR32" s="109"/>
      <c r="LS32" s="109"/>
      <c r="LT32" s="109"/>
      <c r="LU32" s="110"/>
      <c r="LV32" s="109"/>
      <c r="LW32" s="109"/>
      <c r="LX32" s="124"/>
      <c r="LY32" s="109"/>
      <c r="LZ32" s="129" t="str">
        <f t="shared" si="32"/>
        <v/>
      </c>
      <c r="MA32" s="109"/>
      <c r="MB32" s="109"/>
      <c r="MC32" s="109"/>
      <c r="MD32" s="109"/>
      <c r="ME32" s="110"/>
    </row>
    <row r="33" spans="2:343" ht="27.95" customHeight="1">
      <c r="B33" s="138">
        <f ca="1">INDIRECT("'BDD - Joueurs'!B25")</f>
        <v>0</v>
      </c>
      <c r="C33" s="140">
        <f>COUNTIF(X33:ME33,C9)</f>
        <v>0</v>
      </c>
      <c r="D33" s="141">
        <f>COUNTIF(X33:ME33,D9)</f>
        <v>0</v>
      </c>
      <c r="E33" s="141">
        <f>COUNTIF(X33:ME33,E9)</f>
        <v>0</v>
      </c>
      <c r="F33" s="142">
        <f>COUNTIF(X33:ME33,F9)</f>
        <v>0</v>
      </c>
      <c r="G33" s="140">
        <f>COUNTIF(X33:ME33,G9)</f>
        <v>0</v>
      </c>
      <c r="H33" s="141">
        <f>COUNTIF(X33:ME33,H9)</f>
        <v>0</v>
      </c>
      <c r="I33" s="141">
        <f>COUNTIF(X33:ME33,I9)</f>
        <v>0</v>
      </c>
      <c r="J33" s="141">
        <f>COUNTIF(X33:ME33,J9)</f>
        <v>0</v>
      </c>
      <c r="K33" s="141">
        <f t="shared" si="37"/>
        <v>0</v>
      </c>
      <c r="L33" s="141">
        <f>COUNTIF(X33:ME33,L9)</f>
        <v>0</v>
      </c>
      <c r="M33" s="141">
        <f t="shared" si="33"/>
        <v>0</v>
      </c>
      <c r="N33" s="141">
        <f>COUNTIF(X33:ME33,N9)</f>
        <v>0</v>
      </c>
      <c r="O33" s="142">
        <f>COUNTIF(X33:ME33,O9)</f>
        <v>0</v>
      </c>
      <c r="P33" s="143">
        <f t="shared" si="0"/>
        <v>0</v>
      </c>
      <c r="Q33" s="144" t="str">
        <f t="shared" si="35"/>
        <v/>
      </c>
      <c r="R33" s="165" t="str">
        <f t="shared" si="36"/>
        <v/>
      </c>
      <c r="S33" s="143">
        <f t="shared" si="43"/>
        <v>0</v>
      </c>
      <c r="T33" s="143">
        <f t="shared" si="38"/>
        <v>0</v>
      </c>
      <c r="U33" s="143">
        <f t="shared" si="39"/>
        <v>0</v>
      </c>
      <c r="V33" s="143">
        <f t="shared" si="40"/>
        <v>0</v>
      </c>
      <c r="W33" s="142">
        <f t="shared" si="41"/>
        <v>0</v>
      </c>
      <c r="X33" s="107"/>
      <c r="Y33" s="107"/>
      <c r="Z33" s="123"/>
      <c r="AA33" s="107"/>
      <c r="AB33" s="130" t="str">
        <f t="shared" si="34"/>
        <v/>
      </c>
      <c r="AC33" s="107"/>
      <c r="AD33" s="107"/>
      <c r="AE33" s="107"/>
      <c r="AF33" s="107"/>
      <c r="AG33" s="108"/>
      <c r="AH33" s="107"/>
      <c r="AI33" s="107"/>
      <c r="AJ33" s="123"/>
      <c r="AK33" s="107"/>
      <c r="AL33" s="130" t="str">
        <f t="shared" si="2"/>
        <v/>
      </c>
      <c r="AM33" s="107"/>
      <c r="AN33" s="107"/>
      <c r="AO33" s="107"/>
      <c r="AP33" s="107"/>
      <c r="AQ33" s="108"/>
      <c r="AR33" s="107"/>
      <c r="AS33" s="107"/>
      <c r="AT33" s="123"/>
      <c r="AU33" s="107"/>
      <c r="AV33" s="130" t="str">
        <f t="shared" si="3"/>
        <v/>
      </c>
      <c r="AW33" s="107"/>
      <c r="AX33" s="107"/>
      <c r="AY33" s="107"/>
      <c r="AZ33" s="107"/>
      <c r="BA33" s="108"/>
      <c r="BB33" s="107"/>
      <c r="BC33" s="107"/>
      <c r="BD33" s="123"/>
      <c r="BE33" s="107"/>
      <c r="BF33" s="130" t="str">
        <f t="shared" si="4"/>
        <v/>
      </c>
      <c r="BG33" s="107"/>
      <c r="BH33" s="107"/>
      <c r="BI33" s="107"/>
      <c r="BJ33" s="107"/>
      <c r="BK33" s="108"/>
      <c r="BL33" s="107"/>
      <c r="BM33" s="107"/>
      <c r="BN33" s="123"/>
      <c r="BO33" s="107"/>
      <c r="BP33" s="130" t="str">
        <f t="shared" si="5"/>
        <v/>
      </c>
      <c r="BQ33" s="107"/>
      <c r="BR33" s="107"/>
      <c r="BS33" s="107"/>
      <c r="BT33" s="107"/>
      <c r="BU33" s="108"/>
      <c r="BV33" s="107"/>
      <c r="BW33" s="107"/>
      <c r="BX33" s="123"/>
      <c r="BY33" s="107"/>
      <c r="BZ33" s="130" t="str">
        <f t="shared" si="6"/>
        <v/>
      </c>
      <c r="CA33" s="107"/>
      <c r="CB33" s="107"/>
      <c r="CC33" s="107"/>
      <c r="CD33" s="107"/>
      <c r="CE33" s="108"/>
      <c r="CF33" s="107"/>
      <c r="CG33" s="107"/>
      <c r="CH33" s="123"/>
      <c r="CI33" s="107"/>
      <c r="CJ33" s="130" t="str">
        <f t="shared" si="7"/>
        <v/>
      </c>
      <c r="CK33" s="107"/>
      <c r="CL33" s="107"/>
      <c r="CM33" s="107"/>
      <c r="CN33" s="107"/>
      <c r="CO33" s="108"/>
      <c r="CP33" s="107"/>
      <c r="CQ33" s="107"/>
      <c r="CR33" s="123"/>
      <c r="CS33" s="107"/>
      <c r="CT33" s="130" t="str">
        <f t="shared" si="8"/>
        <v/>
      </c>
      <c r="CU33" s="107"/>
      <c r="CV33" s="107"/>
      <c r="CW33" s="107"/>
      <c r="CX33" s="107"/>
      <c r="CY33" s="108"/>
      <c r="CZ33" s="107"/>
      <c r="DA33" s="107"/>
      <c r="DB33" s="123"/>
      <c r="DC33" s="107"/>
      <c r="DD33" s="130" t="str">
        <f t="shared" si="9"/>
        <v/>
      </c>
      <c r="DE33" s="107"/>
      <c r="DF33" s="107"/>
      <c r="DG33" s="107"/>
      <c r="DH33" s="107"/>
      <c r="DI33" s="108"/>
      <c r="DJ33" s="107"/>
      <c r="DK33" s="107"/>
      <c r="DL33" s="123"/>
      <c r="DM33" s="107"/>
      <c r="DN33" s="130" t="str">
        <f t="shared" si="10"/>
        <v/>
      </c>
      <c r="DO33" s="107"/>
      <c r="DP33" s="107"/>
      <c r="DQ33" s="107"/>
      <c r="DR33" s="107"/>
      <c r="DS33" s="108"/>
      <c r="DT33" s="107"/>
      <c r="DU33" s="107"/>
      <c r="DV33" s="123"/>
      <c r="DW33" s="107"/>
      <c r="DX33" s="130" t="str">
        <f t="shared" si="11"/>
        <v/>
      </c>
      <c r="DY33" s="107"/>
      <c r="DZ33" s="107"/>
      <c r="EA33" s="107"/>
      <c r="EB33" s="107"/>
      <c r="EC33" s="108"/>
      <c r="ED33" s="107"/>
      <c r="EE33" s="107"/>
      <c r="EF33" s="123"/>
      <c r="EG33" s="107"/>
      <c r="EH33" s="130" t="str">
        <f t="shared" si="12"/>
        <v/>
      </c>
      <c r="EI33" s="107"/>
      <c r="EJ33" s="107"/>
      <c r="EK33" s="107"/>
      <c r="EL33" s="107"/>
      <c r="EM33" s="108"/>
      <c r="EN33" s="107"/>
      <c r="EO33" s="107"/>
      <c r="EP33" s="123"/>
      <c r="EQ33" s="107"/>
      <c r="ER33" s="130" t="str">
        <f t="shared" si="13"/>
        <v/>
      </c>
      <c r="ES33" s="107"/>
      <c r="ET33" s="107"/>
      <c r="EU33" s="107"/>
      <c r="EV33" s="107"/>
      <c r="EW33" s="108"/>
      <c r="EX33" s="107"/>
      <c r="EY33" s="107"/>
      <c r="EZ33" s="123"/>
      <c r="FA33" s="107"/>
      <c r="FB33" s="130" t="str">
        <f t="shared" si="14"/>
        <v/>
      </c>
      <c r="FC33" s="107"/>
      <c r="FD33" s="107"/>
      <c r="FE33" s="107"/>
      <c r="FF33" s="107"/>
      <c r="FG33" s="108"/>
      <c r="FH33" s="107"/>
      <c r="FI33" s="107"/>
      <c r="FJ33" s="123"/>
      <c r="FK33" s="107"/>
      <c r="FL33" s="130" t="str">
        <f t="shared" si="15"/>
        <v/>
      </c>
      <c r="FM33" s="107"/>
      <c r="FN33" s="107"/>
      <c r="FO33" s="107"/>
      <c r="FP33" s="107"/>
      <c r="FQ33" s="108"/>
      <c r="FR33" s="107"/>
      <c r="FS33" s="107"/>
      <c r="FT33" s="123"/>
      <c r="FU33" s="107"/>
      <c r="FV33" s="130" t="str">
        <f t="shared" si="16"/>
        <v/>
      </c>
      <c r="FW33" s="107"/>
      <c r="FX33" s="107"/>
      <c r="FY33" s="107"/>
      <c r="FZ33" s="107"/>
      <c r="GA33" s="108"/>
      <c r="GB33" s="107"/>
      <c r="GC33" s="107"/>
      <c r="GD33" s="123"/>
      <c r="GE33" s="107"/>
      <c r="GF33" s="130" t="str">
        <f t="shared" si="17"/>
        <v/>
      </c>
      <c r="GG33" s="107"/>
      <c r="GH33" s="107"/>
      <c r="GI33" s="107"/>
      <c r="GJ33" s="107"/>
      <c r="GK33" s="108"/>
      <c r="GL33" s="107"/>
      <c r="GM33" s="107"/>
      <c r="GN33" s="123"/>
      <c r="GO33" s="107"/>
      <c r="GP33" s="130" t="str">
        <f t="shared" si="18"/>
        <v/>
      </c>
      <c r="GQ33" s="107"/>
      <c r="GR33" s="107"/>
      <c r="GS33" s="107"/>
      <c r="GT33" s="107"/>
      <c r="GU33" s="108"/>
      <c r="GV33" s="107"/>
      <c r="GW33" s="107"/>
      <c r="GX33" s="123"/>
      <c r="GY33" s="107"/>
      <c r="GZ33" s="130" t="str">
        <f t="shared" si="19"/>
        <v/>
      </c>
      <c r="HA33" s="107"/>
      <c r="HB33" s="107"/>
      <c r="HC33" s="107"/>
      <c r="HD33" s="107"/>
      <c r="HE33" s="108"/>
      <c r="HF33" s="107"/>
      <c r="HG33" s="107"/>
      <c r="HH33" s="123"/>
      <c r="HI33" s="107"/>
      <c r="HJ33" s="130" t="str">
        <f t="shared" si="20"/>
        <v/>
      </c>
      <c r="HK33" s="107"/>
      <c r="HL33" s="107"/>
      <c r="HM33" s="107"/>
      <c r="HN33" s="107"/>
      <c r="HO33" s="108"/>
      <c r="HP33" s="107"/>
      <c r="HQ33" s="107"/>
      <c r="HR33" s="123"/>
      <c r="HS33" s="107"/>
      <c r="HT33" s="130" t="str">
        <f t="shared" si="21"/>
        <v/>
      </c>
      <c r="HU33" s="107"/>
      <c r="HV33" s="107"/>
      <c r="HW33" s="107"/>
      <c r="HX33" s="107"/>
      <c r="HY33" s="108"/>
      <c r="HZ33" s="107"/>
      <c r="IA33" s="107"/>
      <c r="IB33" s="123"/>
      <c r="IC33" s="107"/>
      <c r="ID33" s="130" t="str">
        <f t="shared" si="22"/>
        <v/>
      </c>
      <c r="IE33" s="107"/>
      <c r="IF33" s="107"/>
      <c r="IG33" s="107"/>
      <c r="IH33" s="107"/>
      <c r="II33" s="108"/>
      <c r="IJ33" s="107"/>
      <c r="IK33" s="107"/>
      <c r="IL33" s="123"/>
      <c r="IM33" s="107"/>
      <c r="IN33" s="130" t="str">
        <f t="shared" si="23"/>
        <v/>
      </c>
      <c r="IO33" s="107"/>
      <c r="IP33" s="107"/>
      <c r="IQ33" s="107"/>
      <c r="IR33" s="107"/>
      <c r="IS33" s="108"/>
      <c r="IT33" s="107"/>
      <c r="IU33" s="107"/>
      <c r="IV33" s="123"/>
      <c r="IW33" s="107"/>
      <c r="IX33" s="130" t="str">
        <f t="shared" si="24"/>
        <v/>
      </c>
      <c r="IY33" s="107"/>
      <c r="IZ33" s="107"/>
      <c r="JA33" s="107"/>
      <c r="JB33" s="107"/>
      <c r="JC33" s="108"/>
      <c r="JD33" s="107"/>
      <c r="JE33" s="107"/>
      <c r="JF33" s="123"/>
      <c r="JG33" s="107"/>
      <c r="JH33" s="130" t="str">
        <f t="shared" si="25"/>
        <v/>
      </c>
      <c r="JI33" s="107"/>
      <c r="JJ33" s="107"/>
      <c r="JK33" s="107"/>
      <c r="JL33" s="107"/>
      <c r="JM33" s="108"/>
      <c r="JN33" s="107"/>
      <c r="JO33" s="107"/>
      <c r="JP33" s="123"/>
      <c r="JQ33" s="107"/>
      <c r="JR33" s="130" t="str">
        <f t="shared" si="26"/>
        <v/>
      </c>
      <c r="JS33" s="107"/>
      <c r="JT33" s="107"/>
      <c r="JU33" s="107"/>
      <c r="JV33" s="107"/>
      <c r="JW33" s="108"/>
      <c r="JX33" s="107"/>
      <c r="JY33" s="107"/>
      <c r="JZ33" s="123"/>
      <c r="KA33" s="107"/>
      <c r="KB33" s="130" t="str">
        <f t="shared" si="27"/>
        <v/>
      </c>
      <c r="KC33" s="107"/>
      <c r="KD33" s="107"/>
      <c r="KE33" s="107"/>
      <c r="KF33" s="107"/>
      <c r="KG33" s="108"/>
      <c r="KH33" s="107"/>
      <c r="KI33" s="107"/>
      <c r="KJ33" s="123"/>
      <c r="KK33" s="107"/>
      <c r="KL33" s="130" t="str">
        <f t="shared" si="28"/>
        <v/>
      </c>
      <c r="KM33" s="107"/>
      <c r="KN33" s="107"/>
      <c r="KO33" s="107"/>
      <c r="KP33" s="107"/>
      <c r="KQ33" s="108"/>
      <c r="KR33" s="107"/>
      <c r="KS33" s="107"/>
      <c r="KT33" s="123"/>
      <c r="KU33" s="107"/>
      <c r="KV33" s="130" t="str">
        <f t="shared" si="29"/>
        <v/>
      </c>
      <c r="KW33" s="107"/>
      <c r="KX33" s="107"/>
      <c r="KY33" s="107"/>
      <c r="KZ33" s="107"/>
      <c r="LA33" s="108"/>
      <c r="LB33" s="107"/>
      <c r="LC33" s="107"/>
      <c r="LD33" s="123"/>
      <c r="LE33" s="107"/>
      <c r="LF33" s="130" t="str">
        <f t="shared" si="30"/>
        <v/>
      </c>
      <c r="LG33" s="107"/>
      <c r="LH33" s="107"/>
      <c r="LI33" s="107"/>
      <c r="LJ33" s="107"/>
      <c r="LK33" s="108"/>
      <c r="LL33" s="107"/>
      <c r="LM33" s="107"/>
      <c r="LN33" s="123"/>
      <c r="LO33" s="107"/>
      <c r="LP33" s="130" t="str">
        <f t="shared" si="31"/>
        <v/>
      </c>
      <c r="LQ33" s="107"/>
      <c r="LR33" s="107"/>
      <c r="LS33" s="107"/>
      <c r="LT33" s="107"/>
      <c r="LU33" s="108"/>
      <c r="LV33" s="107"/>
      <c r="LW33" s="107"/>
      <c r="LX33" s="123"/>
      <c r="LY33" s="107"/>
      <c r="LZ33" s="130" t="str">
        <f t="shared" si="32"/>
        <v/>
      </c>
      <c r="MA33" s="107"/>
      <c r="MB33" s="107"/>
      <c r="MC33" s="107"/>
      <c r="MD33" s="107"/>
      <c r="ME33" s="108"/>
    </row>
    <row r="34" spans="2:343" ht="27.95" customHeight="1">
      <c r="B34" s="96">
        <f ca="1">INDIRECT("'BDD - Joueurs'!B26")</f>
        <v>0</v>
      </c>
      <c r="C34" s="145">
        <f>COUNTIF(X34:ME34,C9)</f>
        <v>0</v>
      </c>
      <c r="D34" s="146">
        <f>COUNTIF(X34:ME34,D9)</f>
        <v>0</v>
      </c>
      <c r="E34" s="146">
        <f>COUNTIF(X34:ME34,E9)</f>
        <v>0</v>
      </c>
      <c r="F34" s="147">
        <f>COUNTIF(X34:ME34,F9)</f>
        <v>0</v>
      </c>
      <c r="G34" s="145">
        <f>COUNTIF(X34:ME34,G9)</f>
        <v>0</v>
      </c>
      <c r="H34" s="146">
        <f>COUNTIF(X34:ME34,H9)</f>
        <v>0</v>
      </c>
      <c r="I34" s="146">
        <f>COUNTIF(X34:ME34,I9)</f>
        <v>0</v>
      </c>
      <c r="J34" s="146">
        <f>COUNTIF(X34:ME34,J9)</f>
        <v>0</v>
      </c>
      <c r="K34" s="146">
        <f t="shared" si="37"/>
        <v>0</v>
      </c>
      <c r="L34" s="146">
        <f>COUNTIF(X34:ME34,L9)</f>
        <v>0</v>
      </c>
      <c r="M34" s="146">
        <f t="shared" si="33"/>
        <v>0</v>
      </c>
      <c r="N34" s="146">
        <f>COUNTIF(X34:ME34,N9)</f>
        <v>0</v>
      </c>
      <c r="O34" s="147">
        <f>COUNTIF(X34:ME34,O9)</f>
        <v>0</v>
      </c>
      <c r="P34" s="148">
        <f t="shared" si="0"/>
        <v>0</v>
      </c>
      <c r="Q34" s="149" t="str">
        <f t="shared" si="35"/>
        <v/>
      </c>
      <c r="R34" s="166" t="str">
        <f t="shared" si="36"/>
        <v/>
      </c>
      <c r="S34" s="148">
        <f t="shared" si="43"/>
        <v>0</v>
      </c>
      <c r="T34" s="148">
        <f t="shared" si="38"/>
        <v>0</v>
      </c>
      <c r="U34" s="148">
        <f t="shared" si="39"/>
        <v>0</v>
      </c>
      <c r="V34" s="148">
        <f t="shared" si="40"/>
        <v>0</v>
      </c>
      <c r="W34" s="147">
        <f t="shared" si="41"/>
        <v>0</v>
      </c>
      <c r="X34" s="109"/>
      <c r="Y34" s="109"/>
      <c r="Z34" s="124"/>
      <c r="AA34" s="109"/>
      <c r="AB34" s="129" t="str">
        <f t="shared" si="34"/>
        <v/>
      </c>
      <c r="AC34" s="109"/>
      <c r="AD34" s="109"/>
      <c r="AE34" s="109"/>
      <c r="AF34" s="109"/>
      <c r="AG34" s="110"/>
      <c r="AH34" s="109"/>
      <c r="AI34" s="109"/>
      <c r="AJ34" s="124"/>
      <c r="AK34" s="109"/>
      <c r="AL34" s="129" t="str">
        <f t="shared" si="2"/>
        <v/>
      </c>
      <c r="AM34" s="109"/>
      <c r="AN34" s="109"/>
      <c r="AO34" s="109"/>
      <c r="AP34" s="109"/>
      <c r="AQ34" s="110"/>
      <c r="AR34" s="109"/>
      <c r="AS34" s="109"/>
      <c r="AT34" s="124"/>
      <c r="AU34" s="109"/>
      <c r="AV34" s="129" t="str">
        <f t="shared" si="3"/>
        <v/>
      </c>
      <c r="AW34" s="109"/>
      <c r="AX34" s="109"/>
      <c r="AY34" s="109"/>
      <c r="AZ34" s="109"/>
      <c r="BA34" s="110"/>
      <c r="BB34" s="109"/>
      <c r="BC34" s="109"/>
      <c r="BD34" s="124"/>
      <c r="BE34" s="109"/>
      <c r="BF34" s="129" t="str">
        <f t="shared" si="4"/>
        <v/>
      </c>
      <c r="BG34" s="109"/>
      <c r="BH34" s="109"/>
      <c r="BI34" s="109"/>
      <c r="BJ34" s="109"/>
      <c r="BK34" s="110"/>
      <c r="BL34" s="109"/>
      <c r="BM34" s="109"/>
      <c r="BN34" s="124"/>
      <c r="BO34" s="109"/>
      <c r="BP34" s="129" t="str">
        <f t="shared" si="5"/>
        <v/>
      </c>
      <c r="BQ34" s="109"/>
      <c r="BR34" s="109"/>
      <c r="BS34" s="109"/>
      <c r="BT34" s="109"/>
      <c r="BU34" s="110"/>
      <c r="BV34" s="109"/>
      <c r="BW34" s="109"/>
      <c r="BX34" s="124"/>
      <c r="BY34" s="109"/>
      <c r="BZ34" s="129" t="str">
        <f t="shared" si="6"/>
        <v/>
      </c>
      <c r="CA34" s="109"/>
      <c r="CB34" s="109"/>
      <c r="CC34" s="109"/>
      <c r="CD34" s="109"/>
      <c r="CE34" s="110"/>
      <c r="CF34" s="109"/>
      <c r="CG34" s="109"/>
      <c r="CH34" s="124"/>
      <c r="CI34" s="109"/>
      <c r="CJ34" s="129" t="str">
        <f t="shared" si="7"/>
        <v/>
      </c>
      <c r="CK34" s="109"/>
      <c r="CL34" s="109"/>
      <c r="CM34" s="109"/>
      <c r="CN34" s="109"/>
      <c r="CO34" s="110"/>
      <c r="CP34" s="109"/>
      <c r="CQ34" s="109"/>
      <c r="CR34" s="124"/>
      <c r="CS34" s="109"/>
      <c r="CT34" s="129" t="str">
        <f t="shared" si="8"/>
        <v/>
      </c>
      <c r="CU34" s="109"/>
      <c r="CV34" s="109"/>
      <c r="CW34" s="109"/>
      <c r="CX34" s="109"/>
      <c r="CY34" s="110"/>
      <c r="CZ34" s="109"/>
      <c r="DA34" s="109"/>
      <c r="DB34" s="124"/>
      <c r="DC34" s="109"/>
      <c r="DD34" s="129" t="str">
        <f t="shared" si="9"/>
        <v/>
      </c>
      <c r="DE34" s="109"/>
      <c r="DF34" s="109"/>
      <c r="DG34" s="109"/>
      <c r="DH34" s="109"/>
      <c r="DI34" s="110"/>
      <c r="DJ34" s="109"/>
      <c r="DK34" s="109"/>
      <c r="DL34" s="124"/>
      <c r="DM34" s="109"/>
      <c r="DN34" s="129" t="str">
        <f t="shared" si="10"/>
        <v/>
      </c>
      <c r="DO34" s="109"/>
      <c r="DP34" s="109"/>
      <c r="DQ34" s="109"/>
      <c r="DR34" s="109"/>
      <c r="DS34" s="110"/>
      <c r="DT34" s="109"/>
      <c r="DU34" s="109"/>
      <c r="DV34" s="124"/>
      <c r="DW34" s="109"/>
      <c r="DX34" s="129" t="str">
        <f t="shared" si="11"/>
        <v/>
      </c>
      <c r="DY34" s="109"/>
      <c r="DZ34" s="109"/>
      <c r="EA34" s="109"/>
      <c r="EB34" s="109"/>
      <c r="EC34" s="110"/>
      <c r="ED34" s="109"/>
      <c r="EE34" s="109"/>
      <c r="EF34" s="124"/>
      <c r="EG34" s="109"/>
      <c r="EH34" s="129" t="str">
        <f t="shared" si="12"/>
        <v/>
      </c>
      <c r="EI34" s="109"/>
      <c r="EJ34" s="109"/>
      <c r="EK34" s="109"/>
      <c r="EL34" s="109"/>
      <c r="EM34" s="110"/>
      <c r="EN34" s="109"/>
      <c r="EO34" s="109"/>
      <c r="EP34" s="124"/>
      <c r="EQ34" s="109"/>
      <c r="ER34" s="129" t="str">
        <f t="shared" si="13"/>
        <v/>
      </c>
      <c r="ES34" s="109"/>
      <c r="ET34" s="109"/>
      <c r="EU34" s="109"/>
      <c r="EV34" s="109"/>
      <c r="EW34" s="110"/>
      <c r="EX34" s="109"/>
      <c r="EY34" s="109"/>
      <c r="EZ34" s="124"/>
      <c r="FA34" s="109"/>
      <c r="FB34" s="129" t="str">
        <f t="shared" si="14"/>
        <v/>
      </c>
      <c r="FC34" s="109"/>
      <c r="FD34" s="109"/>
      <c r="FE34" s="109"/>
      <c r="FF34" s="109"/>
      <c r="FG34" s="110"/>
      <c r="FH34" s="109"/>
      <c r="FI34" s="109"/>
      <c r="FJ34" s="124"/>
      <c r="FK34" s="109"/>
      <c r="FL34" s="129" t="str">
        <f t="shared" si="15"/>
        <v/>
      </c>
      <c r="FM34" s="109"/>
      <c r="FN34" s="109"/>
      <c r="FO34" s="109"/>
      <c r="FP34" s="109"/>
      <c r="FQ34" s="110"/>
      <c r="FR34" s="109"/>
      <c r="FS34" s="109"/>
      <c r="FT34" s="124"/>
      <c r="FU34" s="109"/>
      <c r="FV34" s="129" t="str">
        <f t="shared" si="16"/>
        <v/>
      </c>
      <c r="FW34" s="109"/>
      <c r="FX34" s="109"/>
      <c r="FY34" s="109"/>
      <c r="FZ34" s="109"/>
      <c r="GA34" s="110"/>
      <c r="GB34" s="109"/>
      <c r="GC34" s="109"/>
      <c r="GD34" s="124"/>
      <c r="GE34" s="109"/>
      <c r="GF34" s="129" t="str">
        <f t="shared" si="17"/>
        <v/>
      </c>
      <c r="GG34" s="109"/>
      <c r="GH34" s="109"/>
      <c r="GI34" s="109"/>
      <c r="GJ34" s="109"/>
      <c r="GK34" s="110"/>
      <c r="GL34" s="109"/>
      <c r="GM34" s="109"/>
      <c r="GN34" s="124"/>
      <c r="GO34" s="109"/>
      <c r="GP34" s="129" t="str">
        <f t="shared" si="18"/>
        <v/>
      </c>
      <c r="GQ34" s="109"/>
      <c r="GR34" s="109"/>
      <c r="GS34" s="109"/>
      <c r="GT34" s="109"/>
      <c r="GU34" s="110"/>
      <c r="GV34" s="109"/>
      <c r="GW34" s="109"/>
      <c r="GX34" s="124"/>
      <c r="GY34" s="109"/>
      <c r="GZ34" s="129" t="str">
        <f t="shared" si="19"/>
        <v/>
      </c>
      <c r="HA34" s="109"/>
      <c r="HB34" s="109"/>
      <c r="HC34" s="109"/>
      <c r="HD34" s="109"/>
      <c r="HE34" s="110"/>
      <c r="HF34" s="109"/>
      <c r="HG34" s="109"/>
      <c r="HH34" s="124"/>
      <c r="HI34" s="109"/>
      <c r="HJ34" s="129" t="str">
        <f t="shared" si="20"/>
        <v/>
      </c>
      <c r="HK34" s="109"/>
      <c r="HL34" s="109"/>
      <c r="HM34" s="109"/>
      <c r="HN34" s="109"/>
      <c r="HO34" s="110"/>
      <c r="HP34" s="109"/>
      <c r="HQ34" s="109"/>
      <c r="HR34" s="124"/>
      <c r="HS34" s="109"/>
      <c r="HT34" s="129" t="str">
        <f t="shared" si="21"/>
        <v/>
      </c>
      <c r="HU34" s="109"/>
      <c r="HV34" s="109"/>
      <c r="HW34" s="109"/>
      <c r="HX34" s="109"/>
      <c r="HY34" s="110"/>
      <c r="HZ34" s="109"/>
      <c r="IA34" s="109"/>
      <c r="IB34" s="124"/>
      <c r="IC34" s="109"/>
      <c r="ID34" s="129" t="str">
        <f t="shared" si="22"/>
        <v/>
      </c>
      <c r="IE34" s="109"/>
      <c r="IF34" s="109"/>
      <c r="IG34" s="109"/>
      <c r="IH34" s="109"/>
      <c r="II34" s="110"/>
      <c r="IJ34" s="109"/>
      <c r="IK34" s="109"/>
      <c r="IL34" s="124"/>
      <c r="IM34" s="109"/>
      <c r="IN34" s="129" t="str">
        <f t="shared" si="23"/>
        <v/>
      </c>
      <c r="IO34" s="109"/>
      <c r="IP34" s="109"/>
      <c r="IQ34" s="109"/>
      <c r="IR34" s="109"/>
      <c r="IS34" s="110"/>
      <c r="IT34" s="109"/>
      <c r="IU34" s="109"/>
      <c r="IV34" s="124"/>
      <c r="IW34" s="109"/>
      <c r="IX34" s="129" t="str">
        <f t="shared" si="24"/>
        <v/>
      </c>
      <c r="IY34" s="109"/>
      <c r="IZ34" s="109"/>
      <c r="JA34" s="109"/>
      <c r="JB34" s="109"/>
      <c r="JC34" s="110"/>
      <c r="JD34" s="109"/>
      <c r="JE34" s="109"/>
      <c r="JF34" s="124"/>
      <c r="JG34" s="109"/>
      <c r="JH34" s="129" t="str">
        <f t="shared" si="25"/>
        <v/>
      </c>
      <c r="JI34" s="109"/>
      <c r="JJ34" s="109"/>
      <c r="JK34" s="109"/>
      <c r="JL34" s="109"/>
      <c r="JM34" s="110"/>
      <c r="JN34" s="109"/>
      <c r="JO34" s="109"/>
      <c r="JP34" s="124"/>
      <c r="JQ34" s="109"/>
      <c r="JR34" s="129" t="str">
        <f t="shared" si="26"/>
        <v/>
      </c>
      <c r="JS34" s="109"/>
      <c r="JT34" s="109"/>
      <c r="JU34" s="109"/>
      <c r="JV34" s="109"/>
      <c r="JW34" s="110"/>
      <c r="JX34" s="109"/>
      <c r="JY34" s="109"/>
      <c r="JZ34" s="124"/>
      <c r="KA34" s="109"/>
      <c r="KB34" s="129" t="str">
        <f t="shared" si="27"/>
        <v/>
      </c>
      <c r="KC34" s="109"/>
      <c r="KD34" s="109"/>
      <c r="KE34" s="109"/>
      <c r="KF34" s="109"/>
      <c r="KG34" s="110"/>
      <c r="KH34" s="109"/>
      <c r="KI34" s="109"/>
      <c r="KJ34" s="124"/>
      <c r="KK34" s="109"/>
      <c r="KL34" s="129" t="str">
        <f t="shared" si="28"/>
        <v/>
      </c>
      <c r="KM34" s="109"/>
      <c r="KN34" s="109"/>
      <c r="KO34" s="109"/>
      <c r="KP34" s="109"/>
      <c r="KQ34" s="110"/>
      <c r="KR34" s="109"/>
      <c r="KS34" s="109"/>
      <c r="KT34" s="124"/>
      <c r="KU34" s="109"/>
      <c r="KV34" s="129" t="str">
        <f t="shared" si="29"/>
        <v/>
      </c>
      <c r="KW34" s="109"/>
      <c r="KX34" s="109"/>
      <c r="KY34" s="109"/>
      <c r="KZ34" s="109"/>
      <c r="LA34" s="110"/>
      <c r="LB34" s="109"/>
      <c r="LC34" s="109"/>
      <c r="LD34" s="124"/>
      <c r="LE34" s="109"/>
      <c r="LF34" s="129" t="str">
        <f t="shared" si="30"/>
        <v/>
      </c>
      <c r="LG34" s="109"/>
      <c r="LH34" s="109"/>
      <c r="LI34" s="109"/>
      <c r="LJ34" s="109"/>
      <c r="LK34" s="110"/>
      <c r="LL34" s="109"/>
      <c r="LM34" s="109"/>
      <c r="LN34" s="124"/>
      <c r="LO34" s="109"/>
      <c r="LP34" s="129" t="str">
        <f t="shared" si="31"/>
        <v/>
      </c>
      <c r="LQ34" s="109"/>
      <c r="LR34" s="109"/>
      <c r="LS34" s="109"/>
      <c r="LT34" s="109"/>
      <c r="LU34" s="110"/>
      <c r="LV34" s="109"/>
      <c r="LW34" s="109"/>
      <c r="LX34" s="124"/>
      <c r="LY34" s="109"/>
      <c r="LZ34" s="129" t="str">
        <f t="shared" si="32"/>
        <v/>
      </c>
      <c r="MA34" s="109"/>
      <c r="MB34" s="109"/>
      <c r="MC34" s="109"/>
      <c r="MD34" s="109"/>
      <c r="ME34" s="110"/>
    </row>
    <row r="35" spans="2:343" ht="27.95" customHeight="1">
      <c r="B35" s="138">
        <f ca="1">INDIRECT("'BDD - Joueurs'!B27")</f>
        <v>0</v>
      </c>
      <c r="C35" s="140">
        <f>COUNTIF(X35:ME35,C9)</f>
        <v>0</v>
      </c>
      <c r="D35" s="141">
        <f>COUNTIF(X35:ME35,D9)</f>
        <v>0</v>
      </c>
      <c r="E35" s="141">
        <f>COUNTIF(X35:ME35,E9)</f>
        <v>0</v>
      </c>
      <c r="F35" s="142">
        <f>COUNTIF(X35:ME35,F9)</f>
        <v>0</v>
      </c>
      <c r="G35" s="140">
        <f>COUNTIF(X35:ME35,G9)</f>
        <v>0</v>
      </c>
      <c r="H35" s="141">
        <f>COUNTIF(X35:ME35,H9)</f>
        <v>0</v>
      </c>
      <c r="I35" s="141">
        <f>COUNTIF(X35:ME35,I9)</f>
        <v>0</v>
      </c>
      <c r="J35" s="141">
        <f>COUNTIF(X35:ME35,J9)</f>
        <v>0</v>
      </c>
      <c r="K35" s="141">
        <f t="shared" si="37"/>
        <v>0</v>
      </c>
      <c r="L35" s="141">
        <f>COUNTIF(X35:ME35,L9)</f>
        <v>0</v>
      </c>
      <c r="M35" s="141">
        <f t="shared" si="33"/>
        <v>0</v>
      </c>
      <c r="N35" s="141">
        <f>COUNTIF(X35:ME35,N9)</f>
        <v>0</v>
      </c>
      <c r="O35" s="142">
        <f>COUNTIF(X35:ME35,O9)</f>
        <v>0</v>
      </c>
      <c r="P35" s="143">
        <f t="shared" si="0"/>
        <v>0</v>
      </c>
      <c r="Q35" s="144" t="str">
        <f t="shared" si="35"/>
        <v/>
      </c>
      <c r="R35" s="165" t="str">
        <f t="shared" si="36"/>
        <v/>
      </c>
      <c r="S35" s="143">
        <f t="shared" si="43"/>
        <v>0</v>
      </c>
      <c r="T35" s="143">
        <f t="shared" si="38"/>
        <v>0</v>
      </c>
      <c r="U35" s="143">
        <f t="shared" si="39"/>
        <v>0</v>
      </c>
      <c r="V35" s="143">
        <f t="shared" si="40"/>
        <v>0</v>
      </c>
      <c r="W35" s="142">
        <f t="shared" si="41"/>
        <v>0</v>
      </c>
      <c r="X35" s="107"/>
      <c r="Y35" s="107"/>
      <c r="Z35" s="123"/>
      <c r="AA35" s="107"/>
      <c r="AB35" s="130" t="str">
        <f t="shared" si="34"/>
        <v/>
      </c>
      <c r="AC35" s="107"/>
      <c r="AD35" s="107"/>
      <c r="AE35" s="107"/>
      <c r="AF35" s="107"/>
      <c r="AG35" s="108"/>
      <c r="AH35" s="107"/>
      <c r="AI35" s="107"/>
      <c r="AJ35" s="123"/>
      <c r="AK35" s="107"/>
      <c r="AL35" s="130" t="str">
        <f t="shared" si="2"/>
        <v/>
      </c>
      <c r="AM35" s="107"/>
      <c r="AN35" s="107"/>
      <c r="AO35" s="107"/>
      <c r="AP35" s="107"/>
      <c r="AQ35" s="108"/>
      <c r="AR35" s="107"/>
      <c r="AS35" s="107"/>
      <c r="AT35" s="123"/>
      <c r="AU35" s="107"/>
      <c r="AV35" s="130" t="str">
        <f t="shared" si="3"/>
        <v/>
      </c>
      <c r="AW35" s="107"/>
      <c r="AX35" s="107"/>
      <c r="AY35" s="107"/>
      <c r="AZ35" s="107"/>
      <c r="BA35" s="108"/>
      <c r="BB35" s="107"/>
      <c r="BC35" s="107"/>
      <c r="BD35" s="123"/>
      <c r="BE35" s="107"/>
      <c r="BF35" s="130" t="str">
        <f t="shared" si="4"/>
        <v/>
      </c>
      <c r="BG35" s="107"/>
      <c r="BH35" s="107"/>
      <c r="BI35" s="107"/>
      <c r="BJ35" s="107"/>
      <c r="BK35" s="108"/>
      <c r="BL35" s="107"/>
      <c r="BM35" s="107"/>
      <c r="BN35" s="123"/>
      <c r="BO35" s="107"/>
      <c r="BP35" s="130" t="str">
        <f t="shared" si="5"/>
        <v/>
      </c>
      <c r="BQ35" s="107"/>
      <c r="BR35" s="107"/>
      <c r="BS35" s="107"/>
      <c r="BT35" s="107"/>
      <c r="BU35" s="108"/>
      <c r="BV35" s="107"/>
      <c r="BW35" s="107"/>
      <c r="BX35" s="123"/>
      <c r="BY35" s="107"/>
      <c r="BZ35" s="130" t="str">
        <f t="shared" si="6"/>
        <v/>
      </c>
      <c r="CA35" s="107"/>
      <c r="CB35" s="107"/>
      <c r="CC35" s="107"/>
      <c r="CD35" s="107"/>
      <c r="CE35" s="108"/>
      <c r="CF35" s="107"/>
      <c r="CG35" s="107"/>
      <c r="CH35" s="123"/>
      <c r="CI35" s="107"/>
      <c r="CJ35" s="130" t="str">
        <f t="shared" si="7"/>
        <v/>
      </c>
      <c r="CK35" s="107"/>
      <c r="CL35" s="107"/>
      <c r="CM35" s="107"/>
      <c r="CN35" s="107"/>
      <c r="CO35" s="108"/>
      <c r="CP35" s="107"/>
      <c r="CQ35" s="107"/>
      <c r="CR35" s="123"/>
      <c r="CS35" s="107"/>
      <c r="CT35" s="130" t="str">
        <f t="shared" si="8"/>
        <v/>
      </c>
      <c r="CU35" s="107"/>
      <c r="CV35" s="107"/>
      <c r="CW35" s="107"/>
      <c r="CX35" s="107"/>
      <c r="CY35" s="108"/>
      <c r="CZ35" s="107"/>
      <c r="DA35" s="107"/>
      <c r="DB35" s="123"/>
      <c r="DC35" s="107"/>
      <c r="DD35" s="130" t="str">
        <f t="shared" si="9"/>
        <v/>
      </c>
      <c r="DE35" s="107"/>
      <c r="DF35" s="107"/>
      <c r="DG35" s="107"/>
      <c r="DH35" s="107"/>
      <c r="DI35" s="108"/>
      <c r="DJ35" s="107"/>
      <c r="DK35" s="107"/>
      <c r="DL35" s="123"/>
      <c r="DM35" s="107"/>
      <c r="DN35" s="130" t="str">
        <f t="shared" si="10"/>
        <v/>
      </c>
      <c r="DO35" s="107"/>
      <c r="DP35" s="107"/>
      <c r="DQ35" s="107"/>
      <c r="DR35" s="107"/>
      <c r="DS35" s="108"/>
      <c r="DT35" s="107"/>
      <c r="DU35" s="107"/>
      <c r="DV35" s="123"/>
      <c r="DW35" s="107"/>
      <c r="DX35" s="130" t="str">
        <f t="shared" si="11"/>
        <v/>
      </c>
      <c r="DY35" s="107"/>
      <c r="DZ35" s="107"/>
      <c r="EA35" s="107"/>
      <c r="EB35" s="107"/>
      <c r="EC35" s="108"/>
      <c r="ED35" s="107"/>
      <c r="EE35" s="107"/>
      <c r="EF35" s="123"/>
      <c r="EG35" s="107"/>
      <c r="EH35" s="130" t="str">
        <f t="shared" si="12"/>
        <v/>
      </c>
      <c r="EI35" s="107"/>
      <c r="EJ35" s="107"/>
      <c r="EK35" s="107"/>
      <c r="EL35" s="107"/>
      <c r="EM35" s="108"/>
      <c r="EN35" s="107"/>
      <c r="EO35" s="107"/>
      <c r="EP35" s="123"/>
      <c r="EQ35" s="107"/>
      <c r="ER35" s="130" t="str">
        <f t="shared" si="13"/>
        <v/>
      </c>
      <c r="ES35" s="107"/>
      <c r="ET35" s="107"/>
      <c r="EU35" s="107"/>
      <c r="EV35" s="107"/>
      <c r="EW35" s="108"/>
      <c r="EX35" s="107"/>
      <c r="EY35" s="107"/>
      <c r="EZ35" s="123"/>
      <c r="FA35" s="107"/>
      <c r="FB35" s="130" t="str">
        <f t="shared" si="14"/>
        <v/>
      </c>
      <c r="FC35" s="107"/>
      <c r="FD35" s="107"/>
      <c r="FE35" s="107"/>
      <c r="FF35" s="107"/>
      <c r="FG35" s="108"/>
      <c r="FH35" s="107"/>
      <c r="FI35" s="107"/>
      <c r="FJ35" s="123"/>
      <c r="FK35" s="107"/>
      <c r="FL35" s="130" t="str">
        <f t="shared" si="15"/>
        <v/>
      </c>
      <c r="FM35" s="107"/>
      <c r="FN35" s="107"/>
      <c r="FO35" s="107"/>
      <c r="FP35" s="107"/>
      <c r="FQ35" s="108"/>
      <c r="FR35" s="107"/>
      <c r="FS35" s="107"/>
      <c r="FT35" s="123"/>
      <c r="FU35" s="107"/>
      <c r="FV35" s="130" t="str">
        <f t="shared" si="16"/>
        <v/>
      </c>
      <c r="FW35" s="107"/>
      <c r="FX35" s="107"/>
      <c r="FY35" s="107"/>
      <c r="FZ35" s="107"/>
      <c r="GA35" s="108"/>
      <c r="GB35" s="107"/>
      <c r="GC35" s="107"/>
      <c r="GD35" s="123"/>
      <c r="GE35" s="107"/>
      <c r="GF35" s="130" t="str">
        <f t="shared" si="17"/>
        <v/>
      </c>
      <c r="GG35" s="107"/>
      <c r="GH35" s="107"/>
      <c r="GI35" s="107"/>
      <c r="GJ35" s="107"/>
      <c r="GK35" s="108"/>
      <c r="GL35" s="107"/>
      <c r="GM35" s="107"/>
      <c r="GN35" s="123"/>
      <c r="GO35" s="107"/>
      <c r="GP35" s="130" t="str">
        <f t="shared" si="18"/>
        <v/>
      </c>
      <c r="GQ35" s="107"/>
      <c r="GR35" s="107"/>
      <c r="GS35" s="107"/>
      <c r="GT35" s="107"/>
      <c r="GU35" s="108"/>
      <c r="GV35" s="107"/>
      <c r="GW35" s="107"/>
      <c r="GX35" s="123"/>
      <c r="GY35" s="107"/>
      <c r="GZ35" s="130" t="str">
        <f t="shared" si="19"/>
        <v/>
      </c>
      <c r="HA35" s="107"/>
      <c r="HB35" s="107"/>
      <c r="HC35" s="107"/>
      <c r="HD35" s="107"/>
      <c r="HE35" s="108"/>
      <c r="HF35" s="107"/>
      <c r="HG35" s="107"/>
      <c r="HH35" s="123"/>
      <c r="HI35" s="107"/>
      <c r="HJ35" s="130" t="str">
        <f t="shared" si="20"/>
        <v/>
      </c>
      <c r="HK35" s="107"/>
      <c r="HL35" s="107"/>
      <c r="HM35" s="107"/>
      <c r="HN35" s="107"/>
      <c r="HO35" s="108"/>
      <c r="HP35" s="107"/>
      <c r="HQ35" s="107"/>
      <c r="HR35" s="123"/>
      <c r="HS35" s="107"/>
      <c r="HT35" s="130" t="str">
        <f t="shared" si="21"/>
        <v/>
      </c>
      <c r="HU35" s="107"/>
      <c r="HV35" s="107"/>
      <c r="HW35" s="107"/>
      <c r="HX35" s="107"/>
      <c r="HY35" s="108"/>
      <c r="HZ35" s="107"/>
      <c r="IA35" s="107"/>
      <c r="IB35" s="123"/>
      <c r="IC35" s="107"/>
      <c r="ID35" s="130" t="str">
        <f t="shared" si="22"/>
        <v/>
      </c>
      <c r="IE35" s="107"/>
      <c r="IF35" s="107"/>
      <c r="IG35" s="107"/>
      <c r="IH35" s="107"/>
      <c r="II35" s="108"/>
      <c r="IJ35" s="107"/>
      <c r="IK35" s="107"/>
      <c r="IL35" s="123"/>
      <c r="IM35" s="107"/>
      <c r="IN35" s="130" t="str">
        <f t="shared" si="23"/>
        <v/>
      </c>
      <c r="IO35" s="107"/>
      <c r="IP35" s="107"/>
      <c r="IQ35" s="107"/>
      <c r="IR35" s="107"/>
      <c r="IS35" s="108"/>
      <c r="IT35" s="107"/>
      <c r="IU35" s="107"/>
      <c r="IV35" s="123"/>
      <c r="IW35" s="107"/>
      <c r="IX35" s="130" t="str">
        <f t="shared" si="24"/>
        <v/>
      </c>
      <c r="IY35" s="107"/>
      <c r="IZ35" s="107"/>
      <c r="JA35" s="107"/>
      <c r="JB35" s="107"/>
      <c r="JC35" s="108"/>
      <c r="JD35" s="107"/>
      <c r="JE35" s="107"/>
      <c r="JF35" s="123"/>
      <c r="JG35" s="107"/>
      <c r="JH35" s="130" t="str">
        <f t="shared" si="25"/>
        <v/>
      </c>
      <c r="JI35" s="107"/>
      <c r="JJ35" s="107"/>
      <c r="JK35" s="107"/>
      <c r="JL35" s="107"/>
      <c r="JM35" s="108"/>
      <c r="JN35" s="107"/>
      <c r="JO35" s="107"/>
      <c r="JP35" s="123"/>
      <c r="JQ35" s="107"/>
      <c r="JR35" s="130" t="str">
        <f t="shared" si="26"/>
        <v/>
      </c>
      <c r="JS35" s="107"/>
      <c r="JT35" s="107"/>
      <c r="JU35" s="107"/>
      <c r="JV35" s="107"/>
      <c r="JW35" s="108"/>
      <c r="JX35" s="107"/>
      <c r="JY35" s="107"/>
      <c r="JZ35" s="123"/>
      <c r="KA35" s="107"/>
      <c r="KB35" s="130" t="str">
        <f t="shared" si="27"/>
        <v/>
      </c>
      <c r="KC35" s="107"/>
      <c r="KD35" s="107"/>
      <c r="KE35" s="107"/>
      <c r="KF35" s="107"/>
      <c r="KG35" s="108"/>
      <c r="KH35" s="107"/>
      <c r="KI35" s="107"/>
      <c r="KJ35" s="123"/>
      <c r="KK35" s="107"/>
      <c r="KL35" s="130" t="str">
        <f t="shared" si="28"/>
        <v/>
      </c>
      <c r="KM35" s="107"/>
      <c r="KN35" s="107"/>
      <c r="KO35" s="107"/>
      <c r="KP35" s="107"/>
      <c r="KQ35" s="108"/>
      <c r="KR35" s="107"/>
      <c r="KS35" s="107"/>
      <c r="KT35" s="123"/>
      <c r="KU35" s="107"/>
      <c r="KV35" s="130" t="str">
        <f t="shared" si="29"/>
        <v/>
      </c>
      <c r="KW35" s="107"/>
      <c r="KX35" s="107"/>
      <c r="KY35" s="107"/>
      <c r="KZ35" s="107"/>
      <c r="LA35" s="108"/>
      <c r="LB35" s="107"/>
      <c r="LC35" s="107"/>
      <c r="LD35" s="123"/>
      <c r="LE35" s="107"/>
      <c r="LF35" s="130" t="str">
        <f t="shared" si="30"/>
        <v/>
      </c>
      <c r="LG35" s="107"/>
      <c r="LH35" s="107"/>
      <c r="LI35" s="107"/>
      <c r="LJ35" s="107"/>
      <c r="LK35" s="108"/>
      <c r="LL35" s="107"/>
      <c r="LM35" s="107"/>
      <c r="LN35" s="123"/>
      <c r="LO35" s="107"/>
      <c r="LP35" s="130" t="str">
        <f t="shared" si="31"/>
        <v/>
      </c>
      <c r="LQ35" s="107"/>
      <c r="LR35" s="107"/>
      <c r="LS35" s="107"/>
      <c r="LT35" s="107"/>
      <c r="LU35" s="108"/>
      <c r="LV35" s="107"/>
      <c r="LW35" s="107"/>
      <c r="LX35" s="123"/>
      <c r="LY35" s="107"/>
      <c r="LZ35" s="130" t="str">
        <f t="shared" si="32"/>
        <v/>
      </c>
      <c r="MA35" s="107"/>
      <c r="MB35" s="107"/>
      <c r="MC35" s="107"/>
      <c r="MD35" s="107"/>
      <c r="ME35" s="108"/>
    </row>
    <row r="36" spans="2:343" ht="27.95" customHeight="1">
      <c r="B36" s="96">
        <f ca="1">INDIRECT("'BDD - Joueurs'!B28")</f>
        <v>0</v>
      </c>
      <c r="C36" s="145">
        <f>COUNTIF(X36:ME36,C9)</f>
        <v>0</v>
      </c>
      <c r="D36" s="146">
        <f>COUNTIF(X36:ME36,D9)</f>
        <v>0</v>
      </c>
      <c r="E36" s="146">
        <f>COUNTIF(X36:ME36,E9)</f>
        <v>0</v>
      </c>
      <c r="F36" s="147">
        <f>COUNTIF(X36:ME36,F9)</f>
        <v>0</v>
      </c>
      <c r="G36" s="145">
        <f>COUNTIF(X36:ME36,G9)</f>
        <v>0</v>
      </c>
      <c r="H36" s="146">
        <f>COUNTIF(X36:ME36,H9)</f>
        <v>0</v>
      </c>
      <c r="I36" s="146">
        <f>COUNTIF(X36:ME36,I9)</f>
        <v>0</v>
      </c>
      <c r="J36" s="146">
        <f>COUNTIF(X36:ME36,J9)</f>
        <v>0</v>
      </c>
      <c r="K36" s="146">
        <f t="shared" si="37"/>
        <v>0</v>
      </c>
      <c r="L36" s="146">
        <f>COUNTIF(X36:ME36,L9)</f>
        <v>0</v>
      </c>
      <c r="M36" s="146">
        <f t="shared" si="33"/>
        <v>0</v>
      </c>
      <c r="N36" s="146">
        <f>COUNTIF(X36:ME36,N9)</f>
        <v>0</v>
      </c>
      <c r="O36" s="147">
        <f>COUNTIF(X36:ME36,O9)</f>
        <v>0</v>
      </c>
      <c r="P36" s="148">
        <f t="shared" si="0"/>
        <v>0</v>
      </c>
      <c r="Q36" s="149" t="str">
        <f t="shared" si="35"/>
        <v/>
      </c>
      <c r="R36" s="166" t="str">
        <f t="shared" si="36"/>
        <v/>
      </c>
      <c r="S36" s="148">
        <f t="shared" si="43"/>
        <v>0</v>
      </c>
      <c r="T36" s="148">
        <f t="shared" si="38"/>
        <v>0</v>
      </c>
      <c r="U36" s="148">
        <f t="shared" si="39"/>
        <v>0</v>
      </c>
      <c r="V36" s="148">
        <f t="shared" si="40"/>
        <v>0</v>
      </c>
      <c r="W36" s="147">
        <f t="shared" si="41"/>
        <v>0</v>
      </c>
      <c r="X36" s="109"/>
      <c r="Y36" s="109"/>
      <c r="Z36" s="124"/>
      <c r="AA36" s="109"/>
      <c r="AB36" s="129" t="str">
        <f t="shared" si="34"/>
        <v/>
      </c>
      <c r="AC36" s="109"/>
      <c r="AD36" s="109"/>
      <c r="AE36" s="109"/>
      <c r="AF36" s="109"/>
      <c r="AG36" s="110"/>
      <c r="AH36" s="109"/>
      <c r="AI36" s="109"/>
      <c r="AJ36" s="124"/>
      <c r="AK36" s="109"/>
      <c r="AL36" s="129" t="str">
        <f t="shared" si="2"/>
        <v/>
      </c>
      <c r="AM36" s="109"/>
      <c r="AN36" s="109"/>
      <c r="AO36" s="109"/>
      <c r="AP36" s="109"/>
      <c r="AQ36" s="110"/>
      <c r="AR36" s="109"/>
      <c r="AS36" s="109"/>
      <c r="AT36" s="124"/>
      <c r="AU36" s="109"/>
      <c r="AV36" s="129" t="str">
        <f t="shared" si="3"/>
        <v/>
      </c>
      <c r="AW36" s="109"/>
      <c r="AX36" s="109"/>
      <c r="AY36" s="109"/>
      <c r="AZ36" s="109"/>
      <c r="BA36" s="110"/>
      <c r="BB36" s="109"/>
      <c r="BC36" s="109"/>
      <c r="BD36" s="124"/>
      <c r="BE36" s="109"/>
      <c r="BF36" s="129" t="str">
        <f t="shared" si="4"/>
        <v/>
      </c>
      <c r="BG36" s="109"/>
      <c r="BH36" s="109"/>
      <c r="BI36" s="109"/>
      <c r="BJ36" s="109"/>
      <c r="BK36" s="110"/>
      <c r="BL36" s="109"/>
      <c r="BM36" s="109"/>
      <c r="BN36" s="124"/>
      <c r="BO36" s="109"/>
      <c r="BP36" s="129" t="str">
        <f t="shared" si="5"/>
        <v/>
      </c>
      <c r="BQ36" s="109"/>
      <c r="BR36" s="109"/>
      <c r="BS36" s="109"/>
      <c r="BT36" s="109"/>
      <c r="BU36" s="110"/>
      <c r="BV36" s="109"/>
      <c r="BW36" s="109"/>
      <c r="BX36" s="124"/>
      <c r="BY36" s="109"/>
      <c r="BZ36" s="129" t="str">
        <f t="shared" si="6"/>
        <v/>
      </c>
      <c r="CA36" s="109"/>
      <c r="CB36" s="109"/>
      <c r="CC36" s="109"/>
      <c r="CD36" s="109"/>
      <c r="CE36" s="110"/>
      <c r="CF36" s="109"/>
      <c r="CG36" s="109"/>
      <c r="CH36" s="124"/>
      <c r="CI36" s="109"/>
      <c r="CJ36" s="129" t="str">
        <f t="shared" si="7"/>
        <v/>
      </c>
      <c r="CK36" s="109"/>
      <c r="CL36" s="109"/>
      <c r="CM36" s="109"/>
      <c r="CN36" s="109"/>
      <c r="CO36" s="110"/>
      <c r="CP36" s="109"/>
      <c r="CQ36" s="109"/>
      <c r="CR36" s="124"/>
      <c r="CS36" s="109"/>
      <c r="CT36" s="129" t="str">
        <f t="shared" si="8"/>
        <v/>
      </c>
      <c r="CU36" s="109"/>
      <c r="CV36" s="109"/>
      <c r="CW36" s="109"/>
      <c r="CX36" s="109"/>
      <c r="CY36" s="110"/>
      <c r="CZ36" s="109"/>
      <c r="DA36" s="109"/>
      <c r="DB36" s="124"/>
      <c r="DC36" s="109"/>
      <c r="DD36" s="129" t="str">
        <f t="shared" si="9"/>
        <v/>
      </c>
      <c r="DE36" s="109"/>
      <c r="DF36" s="109"/>
      <c r="DG36" s="109"/>
      <c r="DH36" s="109"/>
      <c r="DI36" s="110"/>
      <c r="DJ36" s="109"/>
      <c r="DK36" s="109"/>
      <c r="DL36" s="124"/>
      <c r="DM36" s="109"/>
      <c r="DN36" s="129" t="str">
        <f t="shared" si="10"/>
        <v/>
      </c>
      <c r="DO36" s="109"/>
      <c r="DP36" s="109"/>
      <c r="DQ36" s="109"/>
      <c r="DR36" s="109"/>
      <c r="DS36" s="110"/>
      <c r="DT36" s="109"/>
      <c r="DU36" s="109"/>
      <c r="DV36" s="124"/>
      <c r="DW36" s="109"/>
      <c r="DX36" s="129" t="str">
        <f t="shared" si="11"/>
        <v/>
      </c>
      <c r="DY36" s="109"/>
      <c r="DZ36" s="109"/>
      <c r="EA36" s="109"/>
      <c r="EB36" s="109"/>
      <c r="EC36" s="110"/>
      <c r="ED36" s="109"/>
      <c r="EE36" s="109"/>
      <c r="EF36" s="124"/>
      <c r="EG36" s="109"/>
      <c r="EH36" s="129" t="str">
        <f t="shared" si="12"/>
        <v/>
      </c>
      <c r="EI36" s="109"/>
      <c r="EJ36" s="109"/>
      <c r="EK36" s="109"/>
      <c r="EL36" s="109"/>
      <c r="EM36" s="110"/>
      <c r="EN36" s="109"/>
      <c r="EO36" s="109"/>
      <c r="EP36" s="124"/>
      <c r="EQ36" s="109"/>
      <c r="ER36" s="129" t="str">
        <f t="shared" si="13"/>
        <v/>
      </c>
      <c r="ES36" s="109"/>
      <c r="ET36" s="109"/>
      <c r="EU36" s="109"/>
      <c r="EV36" s="109"/>
      <c r="EW36" s="110"/>
      <c r="EX36" s="109"/>
      <c r="EY36" s="109"/>
      <c r="EZ36" s="124"/>
      <c r="FA36" s="109"/>
      <c r="FB36" s="129" t="str">
        <f t="shared" si="14"/>
        <v/>
      </c>
      <c r="FC36" s="109"/>
      <c r="FD36" s="109"/>
      <c r="FE36" s="109"/>
      <c r="FF36" s="109"/>
      <c r="FG36" s="110"/>
      <c r="FH36" s="109"/>
      <c r="FI36" s="109"/>
      <c r="FJ36" s="124"/>
      <c r="FK36" s="109"/>
      <c r="FL36" s="129" t="str">
        <f t="shared" si="15"/>
        <v/>
      </c>
      <c r="FM36" s="109"/>
      <c r="FN36" s="109"/>
      <c r="FO36" s="109"/>
      <c r="FP36" s="109"/>
      <c r="FQ36" s="110"/>
      <c r="FR36" s="109"/>
      <c r="FS36" s="109"/>
      <c r="FT36" s="124"/>
      <c r="FU36" s="109"/>
      <c r="FV36" s="129" t="str">
        <f t="shared" si="16"/>
        <v/>
      </c>
      <c r="FW36" s="109"/>
      <c r="FX36" s="109"/>
      <c r="FY36" s="109"/>
      <c r="FZ36" s="109"/>
      <c r="GA36" s="110"/>
      <c r="GB36" s="109"/>
      <c r="GC36" s="109"/>
      <c r="GD36" s="124"/>
      <c r="GE36" s="109"/>
      <c r="GF36" s="129" t="str">
        <f t="shared" si="17"/>
        <v/>
      </c>
      <c r="GG36" s="109"/>
      <c r="GH36" s="109"/>
      <c r="GI36" s="109"/>
      <c r="GJ36" s="109"/>
      <c r="GK36" s="110"/>
      <c r="GL36" s="109"/>
      <c r="GM36" s="109"/>
      <c r="GN36" s="124"/>
      <c r="GO36" s="109"/>
      <c r="GP36" s="129" t="str">
        <f t="shared" si="18"/>
        <v/>
      </c>
      <c r="GQ36" s="109"/>
      <c r="GR36" s="109"/>
      <c r="GS36" s="109"/>
      <c r="GT36" s="109"/>
      <c r="GU36" s="110"/>
      <c r="GV36" s="109"/>
      <c r="GW36" s="109"/>
      <c r="GX36" s="124"/>
      <c r="GY36" s="109"/>
      <c r="GZ36" s="129" t="str">
        <f t="shared" si="19"/>
        <v/>
      </c>
      <c r="HA36" s="109"/>
      <c r="HB36" s="109"/>
      <c r="HC36" s="109"/>
      <c r="HD36" s="109"/>
      <c r="HE36" s="110"/>
      <c r="HF36" s="109"/>
      <c r="HG36" s="109"/>
      <c r="HH36" s="124"/>
      <c r="HI36" s="109"/>
      <c r="HJ36" s="129" t="str">
        <f t="shared" si="20"/>
        <v/>
      </c>
      <c r="HK36" s="109"/>
      <c r="HL36" s="109"/>
      <c r="HM36" s="109"/>
      <c r="HN36" s="109"/>
      <c r="HO36" s="110"/>
      <c r="HP36" s="109"/>
      <c r="HQ36" s="109"/>
      <c r="HR36" s="124"/>
      <c r="HS36" s="109"/>
      <c r="HT36" s="129" t="str">
        <f t="shared" si="21"/>
        <v/>
      </c>
      <c r="HU36" s="109"/>
      <c r="HV36" s="109"/>
      <c r="HW36" s="109"/>
      <c r="HX36" s="109"/>
      <c r="HY36" s="110"/>
      <c r="HZ36" s="109"/>
      <c r="IA36" s="109"/>
      <c r="IB36" s="124"/>
      <c r="IC36" s="109"/>
      <c r="ID36" s="129" t="str">
        <f t="shared" si="22"/>
        <v/>
      </c>
      <c r="IE36" s="109"/>
      <c r="IF36" s="109"/>
      <c r="IG36" s="109"/>
      <c r="IH36" s="109"/>
      <c r="II36" s="110"/>
      <c r="IJ36" s="109"/>
      <c r="IK36" s="109"/>
      <c r="IL36" s="124"/>
      <c r="IM36" s="109"/>
      <c r="IN36" s="129" t="str">
        <f t="shared" si="23"/>
        <v/>
      </c>
      <c r="IO36" s="109"/>
      <c r="IP36" s="109"/>
      <c r="IQ36" s="109"/>
      <c r="IR36" s="109"/>
      <c r="IS36" s="110"/>
      <c r="IT36" s="109"/>
      <c r="IU36" s="109"/>
      <c r="IV36" s="124"/>
      <c r="IW36" s="109"/>
      <c r="IX36" s="129" t="str">
        <f t="shared" si="24"/>
        <v/>
      </c>
      <c r="IY36" s="109"/>
      <c r="IZ36" s="109"/>
      <c r="JA36" s="109"/>
      <c r="JB36" s="109"/>
      <c r="JC36" s="110"/>
      <c r="JD36" s="109"/>
      <c r="JE36" s="109"/>
      <c r="JF36" s="124"/>
      <c r="JG36" s="109"/>
      <c r="JH36" s="129" t="str">
        <f t="shared" si="25"/>
        <v/>
      </c>
      <c r="JI36" s="109"/>
      <c r="JJ36" s="109"/>
      <c r="JK36" s="109"/>
      <c r="JL36" s="109"/>
      <c r="JM36" s="110"/>
      <c r="JN36" s="109"/>
      <c r="JO36" s="109"/>
      <c r="JP36" s="124"/>
      <c r="JQ36" s="109"/>
      <c r="JR36" s="129" t="str">
        <f t="shared" si="26"/>
        <v/>
      </c>
      <c r="JS36" s="109"/>
      <c r="JT36" s="109"/>
      <c r="JU36" s="109"/>
      <c r="JV36" s="109"/>
      <c r="JW36" s="110"/>
      <c r="JX36" s="109"/>
      <c r="JY36" s="109"/>
      <c r="JZ36" s="124"/>
      <c r="KA36" s="109"/>
      <c r="KB36" s="129" t="str">
        <f t="shared" si="27"/>
        <v/>
      </c>
      <c r="KC36" s="109"/>
      <c r="KD36" s="109"/>
      <c r="KE36" s="109"/>
      <c r="KF36" s="109"/>
      <c r="KG36" s="110"/>
      <c r="KH36" s="109"/>
      <c r="KI36" s="109"/>
      <c r="KJ36" s="124"/>
      <c r="KK36" s="109"/>
      <c r="KL36" s="129" t="str">
        <f t="shared" si="28"/>
        <v/>
      </c>
      <c r="KM36" s="109"/>
      <c r="KN36" s="109"/>
      <c r="KO36" s="109"/>
      <c r="KP36" s="109"/>
      <c r="KQ36" s="110"/>
      <c r="KR36" s="109"/>
      <c r="KS36" s="109"/>
      <c r="KT36" s="124"/>
      <c r="KU36" s="109"/>
      <c r="KV36" s="129" t="str">
        <f t="shared" si="29"/>
        <v/>
      </c>
      <c r="KW36" s="109"/>
      <c r="KX36" s="109"/>
      <c r="KY36" s="109"/>
      <c r="KZ36" s="109"/>
      <c r="LA36" s="110"/>
      <c r="LB36" s="109"/>
      <c r="LC36" s="109"/>
      <c r="LD36" s="124"/>
      <c r="LE36" s="109"/>
      <c r="LF36" s="129" t="str">
        <f t="shared" si="30"/>
        <v/>
      </c>
      <c r="LG36" s="109"/>
      <c r="LH36" s="109"/>
      <c r="LI36" s="109"/>
      <c r="LJ36" s="109"/>
      <c r="LK36" s="110"/>
      <c r="LL36" s="109"/>
      <c r="LM36" s="109"/>
      <c r="LN36" s="124"/>
      <c r="LO36" s="109"/>
      <c r="LP36" s="129" t="str">
        <f t="shared" si="31"/>
        <v/>
      </c>
      <c r="LQ36" s="109"/>
      <c r="LR36" s="109"/>
      <c r="LS36" s="109"/>
      <c r="LT36" s="109"/>
      <c r="LU36" s="110"/>
      <c r="LV36" s="109"/>
      <c r="LW36" s="109"/>
      <c r="LX36" s="124"/>
      <c r="LY36" s="109"/>
      <c r="LZ36" s="129" t="str">
        <f t="shared" si="32"/>
        <v/>
      </c>
      <c r="MA36" s="109"/>
      <c r="MB36" s="109"/>
      <c r="MC36" s="109"/>
      <c r="MD36" s="109"/>
      <c r="ME36" s="110"/>
    </row>
    <row r="37" spans="2:343" ht="27.95" customHeight="1">
      <c r="B37" s="138">
        <f ca="1">INDIRECT("'BDD - Joueurs'!B29")</f>
        <v>0</v>
      </c>
      <c r="C37" s="140">
        <f>COUNTIF(X37:ME37,C9)</f>
        <v>0</v>
      </c>
      <c r="D37" s="141">
        <f>COUNTIF(X37:ME37,D9)</f>
        <v>0</v>
      </c>
      <c r="E37" s="141">
        <f>COUNTIF(X37:ME37,E9)</f>
        <v>0</v>
      </c>
      <c r="F37" s="142">
        <f>COUNTIF(X37:ME37,F9)</f>
        <v>0</v>
      </c>
      <c r="G37" s="140">
        <f>COUNTIF(X37:ME37,G9)</f>
        <v>0</v>
      </c>
      <c r="H37" s="141">
        <f>COUNTIF(X37:ME37,H9)</f>
        <v>0</v>
      </c>
      <c r="I37" s="141">
        <f>COUNTIF(X37:ME37,I9)</f>
        <v>0</v>
      </c>
      <c r="J37" s="141">
        <f>COUNTIF(X37:ME37,J9)</f>
        <v>0</v>
      </c>
      <c r="K37" s="141">
        <f t="shared" si="37"/>
        <v>0</v>
      </c>
      <c r="L37" s="141">
        <f>COUNTIF(X37:ME37,L9)</f>
        <v>0</v>
      </c>
      <c r="M37" s="141">
        <f t="shared" si="33"/>
        <v>0</v>
      </c>
      <c r="N37" s="141">
        <f>COUNTIF(X37:ME37,N9)</f>
        <v>0</v>
      </c>
      <c r="O37" s="142">
        <f>COUNTIF(X37:ME37,O9)</f>
        <v>0</v>
      </c>
      <c r="P37" s="143">
        <f t="shared" si="0"/>
        <v>0</v>
      </c>
      <c r="Q37" s="144" t="str">
        <f t="shared" si="35"/>
        <v/>
      </c>
      <c r="R37" s="165" t="str">
        <f t="shared" si="36"/>
        <v/>
      </c>
      <c r="S37" s="143">
        <f t="shared" si="43"/>
        <v>0</v>
      </c>
      <c r="T37" s="143">
        <f t="shared" si="38"/>
        <v>0</v>
      </c>
      <c r="U37" s="143">
        <f t="shared" si="39"/>
        <v>0</v>
      </c>
      <c r="V37" s="143">
        <f t="shared" si="40"/>
        <v>0</v>
      </c>
      <c r="W37" s="142">
        <f t="shared" si="41"/>
        <v>0</v>
      </c>
      <c r="X37" s="107"/>
      <c r="Y37" s="107"/>
      <c r="Z37" s="123"/>
      <c r="AA37" s="107"/>
      <c r="AB37" s="130" t="str">
        <f t="shared" si="34"/>
        <v/>
      </c>
      <c r="AC37" s="107"/>
      <c r="AD37" s="107"/>
      <c r="AE37" s="107"/>
      <c r="AF37" s="107"/>
      <c r="AG37" s="108"/>
      <c r="AH37" s="107"/>
      <c r="AI37" s="107"/>
      <c r="AJ37" s="123"/>
      <c r="AK37" s="107"/>
      <c r="AL37" s="130" t="str">
        <f t="shared" si="2"/>
        <v/>
      </c>
      <c r="AM37" s="107"/>
      <c r="AN37" s="107"/>
      <c r="AO37" s="107"/>
      <c r="AP37" s="107"/>
      <c r="AQ37" s="108"/>
      <c r="AR37" s="107"/>
      <c r="AS37" s="107"/>
      <c r="AT37" s="123"/>
      <c r="AU37" s="107"/>
      <c r="AV37" s="130" t="str">
        <f t="shared" si="3"/>
        <v/>
      </c>
      <c r="AW37" s="107"/>
      <c r="AX37" s="107"/>
      <c r="AY37" s="107"/>
      <c r="AZ37" s="107"/>
      <c r="BA37" s="108"/>
      <c r="BB37" s="107"/>
      <c r="BC37" s="107"/>
      <c r="BD37" s="123"/>
      <c r="BE37" s="107"/>
      <c r="BF37" s="130" t="str">
        <f t="shared" si="4"/>
        <v/>
      </c>
      <c r="BG37" s="107"/>
      <c r="BH37" s="107"/>
      <c r="BI37" s="107"/>
      <c r="BJ37" s="107"/>
      <c r="BK37" s="108"/>
      <c r="BL37" s="107"/>
      <c r="BM37" s="107"/>
      <c r="BN37" s="123"/>
      <c r="BO37" s="107"/>
      <c r="BP37" s="130" t="str">
        <f t="shared" si="5"/>
        <v/>
      </c>
      <c r="BQ37" s="107"/>
      <c r="BR37" s="107"/>
      <c r="BS37" s="107"/>
      <c r="BT37" s="107"/>
      <c r="BU37" s="108"/>
      <c r="BV37" s="107"/>
      <c r="BW37" s="107"/>
      <c r="BX37" s="123"/>
      <c r="BY37" s="107"/>
      <c r="BZ37" s="130" t="str">
        <f t="shared" si="6"/>
        <v/>
      </c>
      <c r="CA37" s="107"/>
      <c r="CB37" s="107"/>
      <c r="CC37" s="107"/>
      <c r="CD37" s="107"/>
      <c r="CE37" s="108"/>
      <c r="CF37" s="107"/>
      <c r="CG37" s="107"/>
      <c r="CH37" s="123"/>
      <c r="CI37" s="107"/>
      <c r="CJ37" s="130" t="str">
        <f t="shared" si="7"/>
        <v/>
      </c>
      <c r="CK37" s="107"/>
      <c r="CL37" s="107"/>
      <c r="CM37" s="107"/>
      <c r="CN37" s="107"/>
      <c r="CO37" s="108"/>
      <c r="CP37" s="107"/>
      <c r="CQ37" s="107"/>
      <c r="CR37" s="123"/>
      <c r="CS37" s="107"/>
      <c r="CT37" s="130" t="str">
        <f t="shared" si="8"/>
        <v/>
      </c>
      <c r="CU37" s="107"/>
      <c r="CV37" s="107"/>
      <c r="CW37" s="107"/>
      <c r="CX37" s="107"/>
      <c r="CY37" s="108"/>
      <c r="CZ37" s="107"/>
      <c r="DA37" s="107"/>
      <c r="DB37" s="123"/>
      <c r="DC37" s="107"/>
      <c r="DD37" s="130" t="str">
        <f t="shared" si="9"/>
        <v/>
      </c>
      <c r="DE37" s="107"/>
      <c r="DF37" s="107"/>
      <c r="DG37" s="107"/>
      <c r="DH37" s="107"/>
      <c r="DI37" s="108"/>
      <c r="DJ37" s="107"/>
      <c r="DK37" s="107"/>
      <c r="DL37" s="123"/>
      <c r="DM37" s="107"/>
      <c r="DN37" s="130" t="str">
        <f t="shared" si="10"/>
        <v/>
      </c>
      <c r="DO37" s="107"/>
      <c r="DP37" s="107"/>
      <c r="DQ37" s="107"/>
      <c r="DR37" s="107"/>
      <c r="DS37" s="108"/>
      <c r="DT37" s="107"/>
      <c r="DU37" s="107"/>
      <c r="DV37" s="123"/>
      <c r="DW37" s="107"/>
      <c r="DX37" s="130" t="str">
        <f t="shared" si="11"/>
        <v/>
      </c>
      <c r="DY37" s="107"/>
      <c r="DZ37" s="107"/>
      <c r="EA37" s="107"/>
      <c r="EB37" s="107"/>
      <c r="EC37" s="108"/>
      <c r="ED37" s="107"/>
      <c r="EE37" s="107"/>
      <c r="EF37" s="123"/>
      <c r="EG37" s="107"/>
      <c r="EH37" s="130" t="str">
        <f t="shared" si="12"/>
        <v/>
      </c>
      <c r="EI37" s="107"/>
      <c r="EJ37" s="107"/>
      <c r="EK37" s="107"/>
      <c r="EL37" s="107"/>
      <c r="EM37" s="108"/>
      <c r="EN37" s="107"/>
      <c r="EO37" s="107"/>
      <c r="EP37" s="123"/>
      <c r="EQ37" s="107"/>
      <c r="ER37" s="130" t="str">
        <f t="shared" si="13"/>
        <v/>
      </c>
      <c r="ES37" s="107"/>
      <c r="ET37" s="107"/>
      <c r="EU37" s="107"/>
      <c r="EV37" s="107"/>
      <c r="EW37" s="108"/>
      <c r="EX37" s="107"/>
      <c r="EY37" s="107"/>
      <c r="EZ37" s="123"/>
      <c r="FA37" s="107"/>
      <c r="FB37" s="130" t="str">
        <f t="shared" si="14"/>
        <v/>
      </c>
      <c r="FC37" s="107"/>
      <c r="FD37" s="107"/>
      <c r="FE37" s="107"/>
      <c r="FF37" s="107"/>
      <c r="FG37" s="108"/>
      <c r="FH37" s="107"/>
      <c r="FI37" s="107"/>
      <c r="FJ37" s="123"/>
      <c r="FK37" s="107"/>
      <c r="FL37" s="130" t="str">
        <f t="shared" si="15"/>
        <v/>
      </c>
      <c r="FM37" s="107"/>
      <c r="FN37" s="107"/>
      <c r="FO37" s="107"/>
      <c r="FP37" s="107"/>
      <c r="FQ37" s="108"/>
      <c r="FR37" s="107"/>
      <c r="FS37" s="107"/>
      <c r="FT37" s="123"/>
      <c r="FU37" s="107"/>
      <c r="FV37" s="130" t="str">
        <f t="shared" si="16"/>
        <v/>
      </c>
      <c r="FW37" s="107"/>
      <c r="FX37" s="107"/>
      <c r="FY37" s="107"/>
      <c r="FZ37" s="107"/>
      <c r="GA37" s="108"/>
      <c r="GB37" s="107"/>
      <c r="GC37" s="107"/>
      <c r="GD37" s="123"/>
      <c r="GE37" s="107"/>
      <c r="GF37" s="130" t="str">
        <f t="shared" si="17"/>
        <v/>
      </c>
      <c r="GG37" s="107"/>
      <c r="GH37" s="107"/>
      <c r="GI37" s="107"/>
      <c r="GJ37" s="107"/>
      <c r="GK37" s="108"/>
      <c r="GL37" s="107"/>
      <c r="GM37" s="107"/>
      <c r="GN37" s="123"/>
      <c r="GO37" s="107"/>
      <c r="GP37" s="130" t="str">
        <f t="shared" si="18"/>
        <v/>
      </c>
      <c r="GQ37" s="107"/>
      <c r="GR37" s="107"/>
      <c r="GS37" s="107"/>
      <c r="GT37" s="107"/>
      <c r="GU37" s="108"/>
      <c r="GV37" s="107"/>
      <c r="GW37" s="107"/>
      <c r="GX37" s="123"/>
      <c r="GY37" s="107"/>
      <c r="GZ37" s="130" t="str">
        <f t="shared" si="19"/>
        <v/>
      </c>
      <c r="HA37" s="107"/>
      <c r="HB37" s="107"/>
      <c r="HC37" s="107"/>
      <c r="HD37" s="107"/>
      <c r="HE37" s="108"/>
      <c r="HF37" s="107"/>
      <c r="HG37" s="107"/>
      <c r="HH37" s="123"/>
      <c r="HI37" s="107"/>
      <c r="HJ37" s="130" t="str">
        <f t="shared" si="20"/>
        <v/>
      </c>
      <c r="HK37" s="107"/>
      <c r="HL37" s="107"/>
      <c r="HM37" s="107"/>
      <c r="HN37" s="107"/>
      <c r="HO37" s="108"/>
      <c r="HP37" s="107"/>
      <c r="HQ37" s="107"/>
      <c r="HR37" s="123"/>
      <c r="HS37" s="107"/>
      <c r="HT37" s="130" t="str">
        <f t="shared" si="21"/>
        <v/>
      </c>
      <c r="HU37" s="107"/>
      <c r="HV37" s="107"/>
      <c r="HW37" s="107"/>
      <c r="HX37" s="107"/>
      <c r="HY37" s="108"/>
      <c r="HZ37" s="107"/>
      <c r="IA37" s="107"/>
      <c r="IB37" s="123"/>
      <c r="IC37" s="107"/>
      <c r="ID37" s="130" t="str">
        <f t="shared" si="22"/>
        <v/>
      </c>
      <c r="IE37" s="107"/>
      <c r="IF37" s="107"/>
      <c r="IG37" s="107"/>
      <c r="IH37" s="107"/>
      <c r="II37" s="108"/>
      <c r="IJ37" s="107"/>
      <c r="IK37" s="107"/>
      <c r="IL37" s="123"/>
      <c r="IM37" s="107"/>
      <c r="IN37" s="130" t="str">
        <f t="shared" si="23"/>
        <v/>
      </c>
      <c r="IO37" s="107"/>
      <c r="IP37" s="107"/>
      <c r="IQ37" s="107"/>
      <c r="IR37" s="107"/>
      <c r="IS37" s="108"/>
      <c r="IT37" s="107"/>
      <c r="IU37" s="107"/>
      <c r="IV37" s="123"/>
      <c r="IW37" s="107"/>
      <c r="IX37" s="130" t="str">
        <f t="shared" si="24"/>
        <v/>
      </c>
      <c r="IY37" s="107"/>
      <c r="IZ37" s="107"/>
      <c r="JA37" s="107"/>
      <c r="JB37" s="107"/>
      <c r="JC37" s="108"/>
      <c r="JD37" s="107"/>
      <c r="JE37" s="107"/>
      <c r="JF37" s="123"/>
      <c r="JG37" s="107"/>
      <c r="JH37" s="130" t="str">
        <f t="shared" si="25"/>
        <v/>
      </c>
      <c r="JI37" s="107"/>
      <c r="JJ37" s="107"/>
      <c r="JK37" s="107"/>
      <c r="JL37" s="107"/>
      <c r="JM37" s="108"/>
      <c r="JN37" s="107"/>
      <c r="JO37" s="107"/>
      <c r="JP37" s="123"/>
      <c r="JQ37" s="107"/>
      <c r="JR37" s="130" t="str">
        <f t="shared" si="26"/>
        <v/>
      </c>
      <c r="JS37" s="107"/>
      <c r="JT37" s="107"/>
      <c r="JU37" s="107"/>
      <c r="JV37" s="107"/>
      <c r="JW37" s="108"/>
      <c r="JX37" s="107"/>
      <c r="JY37" s="107"/>
      <c r="JZ37" s="123"/>
      <c r="KA37" s="107"/>
      <c r="KB37" s="130" t="str">
        <f t="shared" si="27"/>
        <v/>
      </c>
      <c r="KC37" s="107"/>
      <c r="KD37" s="107"/>
      <c r="KE37" s="107"/>
      <c r="KF37" s="107"/>
      <c r="KG37" s="108"/>
      <c r="KH37" s="107"/>
      <c r="KI37" s="107"/>
      <c r="KJ37" s="123"/>
      <c r="KK37" s="107"/>
      <c r="KL37" s="130" t="str">
        <f t="shared" si="28"/>
        <v/>
      </c>
      <c r="KM37" s="107"/>
      <c r="KN37" s="107"/>
      <c r="KO37" s="107"/>
      <c r="KP37" s="107"/>
      <c r="KQ37" s="108"/>
      <c r="KR37" s="107"/>
      <c r="KS37" s="107"/>
      <c r="KT37" s="123"/>
      <c r="KU37" s="107"/>
      <c r="KV37" s="130" t="str">
        <f t="shared" si="29"/>
        <v/>
      </c>
      <c r="KW37" s="107"/>
      <c r="KX37" s="107"/>
      <c r="KY37" s="107"/>
      <c r="KZ37" s="107"/>
      <c r="LA37" s="108"/>
      <c r="LB37" s="107"/>
      <c r="LC37" s="107"/>
      <c r="LD37" s="123"/>
      <c r="LE37" s="107"/>
      <c r="LF37" s="130" t="str">
        <f t="shared" si="30"/>
        <v/>
      </c>
      <c r="LG37" s="107"/>
      <c r="LH37" s="107"/>
      <c r="LI37" s="107"/>
      <c r="LJ37" s="107"/>
      <c r="LK37" s="108"/>
      <c r="LL37" s="107"/>
      <c r="LM37" s="107"/>
      <c r="LN37" s="123"/>
      <c r="LO37" s="107"/>
      <c r="LP37" s="130" t="str">
        <f t="shared" si="31"/>
        <v/>
      </c>
      <c r="LQ37" s="107"/>
      <c r="LR37" s="107"/>
      <c r="LS37" s="107"/>
      <c r="LT37" s="107"/>
      <c r="LU37" s="108"/>
      <c r="LV37" s="107"/>
      <c r="LW37" s="107"/>
      <c r="LX37" s="123"/>
      <c r="LY37" s="107"/>
      <c r="LZ37" s="130" t="str">
        <f t="shared" si="32"/>
        <v/>
      </c>
      <c r="MA37" s="107"/>
      <c r="MB37" s="107"/>
      <c r="MC37" s="107"/>
      <c r="MD37" s="107"/>
      <c r="ME37" s="108"/>
    </row>
    <row r="38" spans="2:343" ht="27.95" customHeight="1">
      <c r="B38" s="96">
        <f ca="1">INDIRECT("'BDD - Joueurs'!B30")</f>
        <v>0</v>
      </c>
      <c r="C38" s="145">
        <f>COUNTIF(X38:ME38,C9)</f>
        <v>0</v>
      </c>
      <c r="D38" s="146">
        <f>COUNTIF(X38:ME38,D9)</f>
        <v>0</v>
      </c>
      <c r="E38" s="146">
        <f>COUNTIF(X38:ME38,E9)</f>
        <v>0</v>
      </c>
      <c r="F38" s="147">
        <f>COUNTIF(X38:ME38,F9)</f>
        <v>0</v>
      </c>
      <c r="G38" s="145">
        <f>COUNTIF(X38:ME38,G9)</f>
        <v>0</v>
      </c>
      <c r="H38" s="146">
        <f>COUNTIF(X38:ME38,H9)</f>
        <v>0</v>
      </c>
      <c r="I38" s="146">
        <f>COUNTIF(X38:ME38,I9)</f>
        <v>0</v>
      </c>
      <c r="J38" s="146">
        <f>COUNTIF(X38:ME38,J9)</f>
        <v>0</v>
      </c>
      <c r="K38" s="146">
        <f t="shared" si="37"/>
        <v>0</v>
      </c>
      <c r="L38" s="146">
        <f>COUNTIF(X38:ME38,L9)</f>
        <v>0</v>
      </c>
      <c r="M38" s="146">
        <f t="shared" si="33"/>
        <v>0</v>
      </c>
      <c r="N38" s="146">
        <f>COUNTIF(X38:ME38,N9)</f>
        <v>0</v>
      </c>
      <c r="O38" s="147">
        <f>COUNTIF(X38:ME38,O9)</f>
        <v>0</v>
      </c>
      <c r="P38" s="148">
        <f t="shared" si="0"/>
        <v>0</v>
      </c>
      <c r="Q38" s="149" t="str">
        <f t="shared" si="35"/>
        <v/>
      </c>
      <c r="R38" s="166" t="str">
        <f t="shared" si="36"/>
        <v/>
      </c>
      <c r="S38" s="148">
        <f t="shared" si="43"/>
        <v>0</v>
      </c>
      <c r="T38" s="148">
        <f t="shared" si="38"/>
        <v>0</v>
      </c>
      <c r="U38" s="148">
        <f t="shared" si="39"/>
        <v>0</v>
      </c>
      <c r="V38" s="148">
        <f t="shared" si="40"/>
        <v>0</v>
      </c>
      <c r="W38" s="147">
        <f t="shared" si="41"/>
        <v>0</v>
      </c>
      <c r="X38" s="109"/>
      <c r="Y38" s="109"/>
      <c r="Z38" s="124"/>
      <c r="AA38" s="109"/>
      <c r="AB38" s="129" t="str">
        <f t="shared" si="34"/>
        <v/>
      </c>
      <c r="AC38" s="109"/>
      <c r="AD38" s="109"/>
      <c r="AE38" s="109"/>
      <c r="AF38" s="109"/>
      <c r="AG38" s="110"/>
      <c r="AH38" s="109"/>
      <c r="AI38" s="109"/>
      <c r="AJ38" s="124"/>
      <c r="AK38" s="109"/>
      <c r="AL38" s="129" t="str">
        <f t="shared" si="2"/>
        <v/>
      </c>
      <c r="AM38" s="109"/>
      <c r="AN38" s="109"/>
      <c r="AO38" s="109"/>
      <c r="AP38" s="109"/>
      <c r="AQ38" s="110"/>
      <c r="AR38" s="109"/>
      <c r="AS38" s="109"/>
      <c r="AT38" s="124"/>
      <c r="AU38" s="109"/>
      <c r="AV38" s="129" t="str">
        <f t="shared" si="3"/>
        <v/>
      </c>
      <c r="AW38" s="109"/>
      <c r="AX38" s="109"/>
      <c r="AY38" s="109"/>
      <c r="AZ38" s="109"/>
      <c r="BA38" s="110"/>
      <c r="BB38" s="109"/>
      <c r="BC38" s="109"/>
      <c r="BD38" s="124"/>
      <c r="BE38" s="109"/>
      <c r="BF38" s="129" t="str">
        <f t="shared" si="4"/>
        <v/>
      </c>
      <c r="BG38" s="109"/>
      <c r="BH38" s="109"/>
      <c r="BI38" s="109"/>
      <c r="BJ38" s="109"/>
      <c r="BK38" s="110"/>
      <c r="BL38" s="109"/>
      <c r="BM38" s="109"/>
      <c r="BN38" s="124"/>
      <c r="BO38" s="109"/>
      <c r="BP38" s="129" t="str">
        <f t="shared" si="5"/>
        <v/>
      </c>
      <c r="BQ38" s="109"/>
      <c r="BR38" s="109"/>
      <c r="BS38" s="109"/>
      <c r="BT38" s="109"/>
      <c r="BU38" s="110"/>
      <c r="BV38" s="109"/>
      <c r="BW38" s="109"/>
      <c r="BX38" s="124"/>
      <c r="BY38" s="109"/>
      <c r="BZ38" s="129" t="str">
        <f t="shared" si="6"/>
        <v/>
      </c>
      <c r="CA38" s="109"/>
      <c r="CB38" s="109"/>
      <c r="CC38" s="109"/>
      <c r="CD38" s="109"/>
      <c r="CE38" s="110"/>
      <c r="CF38" s="109"/>
      <c r="CG38" s="109"/>
      <c r="CH38" s="124"/>
      <c r="CI38" s="109"/>
      <c r="CJ38" s="129" t="str">
        <f t="shared" si="7"/>
        <v/>
      </c>
      <c r="CK38" s="109"/>
      <c r="CL38" s="109"/>
      <c r="CM38" s="109"/>
      <c r="CN38" s="109"/>
      <c r="CO38" s="110"/>
      <c r="CP38" s="109"/>
      <c r="CQ38" s="109"/>
      <c r="CR38" s="124"/>
      <c r="CS38" s="109"/>
      <c r="CT38" s="129" t="str">
        <f t="shared" si="8"/>
        <v/>
      </c>
      <c r="CU38" s="109"/>
      <c r="CV38" s="109"/>
      <c r="CW38" s="109"/>
      <c r="CX38" s="109"/>
      <c r="CY38" s="110"/>
      <c r="CZ38" s="109"/>
      <c r="DA38" s="109"/>
      <c r="DB38" s="124"/>
      <c r="DC38" s="109"/>
      <c r="DD38" s="129" t="str">
        <f t="shared" si="9"/>
        <v/>
      </c>
      <c r="DE38" s="109"/>
      <c r="DF38" s="109"/>
      <c r="DG38" s="109"/>
      <c r="DH38" s="109"/>
      <c r="DI38" s="110"/>
      <c r="DJ38" s="109"/>
      <c r="DK38" s="109"/>
      <c r="DL38" s="124"/>
      <c r="DM38" s="109"/>
      <c r="DN38" s="129" t="str">
        <f t="shared" si="10"/>
        <v/>
      </c>
      <c r="DO38" s="109"/>
      <c r="DP38" s="109"/>
      <c r="DQ38" s="109"/>
      <c r="DR38" s="109"/>
      <c r="DS38" s="110"/>
      <c r="DT38" s="109"/>
      <c r="DU38" s="109"/>
      <c r="DV38" s="124"/>
      <c r="DW38" s="109"/>
      <c r="DX38" s="129" t="str">
        <f t="shared" si="11"/>
        <v/>
      </c>
      <c r="DY38" s="109"/>
      <c r="DZ38" s="109"/>
      <c r="EA38" s="109"/>
      <c r="EB38" s="109"/>
      <c r="EC38" s="110"/>
      <c r="ED38" s="109"/>
      <c r="EE38" s="109"/>
      <c r="EF38" s="124"/>
      <c r="EG38" s="109"/>
      <c r="EH38" s="129" t="str">
        <f t="shared" si="12"/>
        <v/>
      </c>
      <c r="EI38" s="109"/>
      <c r="EJ38" s="109"/>
      <c r="EK38" s="109"/>
      <c r="EL38" s="109"/>
      <c r="EM38" s="110"/>
      <c r="EN38" s="109"/>
      <c r="EO38" s="109"/>
      <c r="EP38" s="124"/>
      <c r="EQ38" s="109"/>
      <c r="ER38" s="129" t="str">
        <f t="shared" si="13"/>
        <v/>
      </c>
      <c r="ES38" s="109"/>
      <c r="ET38" s="109"/>
      <c r="EU38" s="109"/>
      <c r="EV38" s="109"/>
      <c r="EW38" s="110"/>
      <c r="EX38" s="109"/>
      <c r="EY38" s="109"/>
      <c r="EZ38" s="124"/>
      <c r="FA38" s="109"/>
      <c r="FB38" s="129" t="str">
        <f t="shared" si="14"/>
        <v/>
      </c>
      <c r="FC38" s="109"/>
      <c r="FD38" s="109"/>
      <c r="FE38" s="109"/>
      <c r="FF38" s="109"/>
      <c r="FG38" s="110"/>
      <c r="FH38" s="109"/>
      <c r="FI38" s="109"/>
      <c r="FJ38" s="124"/>
      <c r="FK38" s="109"/>
      <c r="FL38" s="129" t="str">
        <f t="shared" si="15"/>
        <v/>
      </c>
      <c r="FM38" s="109"/>
      <c r="FN38" s="109"/>
      <c r="FO38" s="109"/>
      <c r="FP38" s="109"/>
      <c r="FQ38" s="110"/>
      <c r="FR38" s="109"/>
      <c r="FS38" s="109"/>
      <c r="FT38" s="124"/>
      <c r="FU38" s="109"/>
      <c r="FV38" s="129" t="str">
        <f t="shared" si="16"/>
        <v/>
      </c>
      <c r="FW38" s="109"/>
      <c r="FX38" s="109"/>
      <c r="FY38" s="109"/>
      <c r="FZ38" s="109"/>
      <c r="GA38" s="110"/>
      <c r="GB38" s="109"/>
      <c r="GC38" s="109"/>
      <c r="GD38" s="124"/>
      <c r="GE38" s="109"/>
      <c r="GF38" s="129" t="str">
        <f t="shared" si="17"/>
        <v/>
      </c>
      <c r="GG38" s="109"/>
      <c r="GH38" s="109"/>
      <c r="GI38" s="109"/>
      <c r="GJ38" s="109"/>
      <c r="GK38" s="110"/>
      <c r="GL38" s="109"/>
      <c r="GM38" s="109"/>
      <c r="GN38" s="124"/>
      <c r="GO38" s="109"/>
      <c r="GP38" s="129" t="str">
        <f t="shared" si="18"/>
        <v/>
      </c>
      <c r="GQ38" s="109"/>
      <c r="GR38" s="109"/>
      <c r="GS38" s="109"/>
      <c r="GT38" s="109"/>
      <c r="GU38" s="110"/>
      <c r="GV38" s="109"/>
      <c r="GW38" s="109"/>
      <c r="GX38" s="124"/>
      <c r="GY38" s="109"/>
      <c r="GZ38" s="129" t="str">
        <f t="shared" si="19"/>
        <v/>
      </c>
      <c r="HA38" s="109"/>
      <c r="HB38" s="109"/>
      <c r="HC38" s="109"/>
      <c r="HD38" s="109"/>
      <c r="HE38" s="110"/>
      <c r="HF38" s="109"/>
      <c r="HG38" s="109"/>
      <c r="HH38" s="124"/>
      <c r="HI38" s="109"/>
      <c r="HJ38" s="129" t="str">
        <f t="shared" si="20"/>
        <v/>
      </c>
      <c r="HK38" s="109"/>
      <c r="HL38" s="109"/>
      <c r="HM38" s="109"/>
      <c r="HN38" s="109"/>
      <c r="HO38" s="110"/>
      <c r="HP38" s="109"/>
      <c r="HQ38" s="109"/>
      <c r="HR38" s="124"/>
      <c r="HS38" s="109"/>
      <c r="HT38" s="129" t="str">
        <f t="shared" si="21"/>
        <v/>
      </c>
      <c r="HU38" s="109"/>
      <c r="HV38" s="109"/>
      <c r="HW38" s="109"/>
      <c r="HX38" s="109"/>
      <c r="HY38" s="110"/>
      <c r="HZ38" s="109"/>
      <c r="IA38" s="109"/>
      <c r="IB38" s="124"/>
      <c r="IC38" s="109"/>
      <c r="ID38" s="129" t="str">
        <f t="shared" si="22"/>
        <v/>
      </c>
      <c r="IE38" s="109"/>
      <c r="IF38" s="109"/>
      <c r="IG38" s="109"/>
      <c r="IH38" s="109"/>
      <c r="II38" s="110"/>
      <c r="IJ38" s="109"/>
      <c r="IK38" s="109"/>
      <c r="IL38" s="124"/>
      <c r="IM38" s="109"/>
      <c r="IN38" s="129" t="str">
        <f t="shared" si="23"/>
        <v/>
      </c>
      <c r="IO38" s="109"/>
      <c r="IP38" s="109"/>
      <c r="IQ38" s="109"/>
      <c r="IR38" s="109"/>
      <c r="IS38" s="110"/>
      <c r="IT38" s="109"/>
      <c r="IU38" s="109"/>
      <c r="IV38" s="124"/>
      <c r="IW38" s="109"/>
      <c r="IX38" s="129" t="str">
        <f t="shared" si="24"/>
        <v/>
      </c>
      <c r="IY38" s="109"/>
      <c r="IZ38" s="109"/>
      <c r="JA38" s="109"/>
      <c r="JB38" s="109"/>
      <c r="JC38" s="110"/>
      <c r="JD38" s="109"/>
      <c r="JE38" s="109"/>
      <c r="JF38" s="124"/>
      <c r="JG38" s="109"/>
      <c r="JH38" s="129" t="str">
        <f t="shared" si="25"/>
        <v/>
      </c>
      <c r="JI38" s="109"/>
      <c r="JJ38" s="109"/>
      <c r="JK38" s="109"/>
      <c r="JL38" s="109"/>
      <c r="JM38" s="110"/>
      <c r="JN38" s="109"/>
      <c r="JO38" s="109"/>
      <c r="JP38" s="124"/>
      <c r="JQ38" s="109"/>
      <c r="JR38" s="129" t="str">
        <f t="shared" si="26"/>
        <v/>
      </c>
      <c r="JS38" s="109"/>
      <c r="JT38" s="109"/>
      <c r="JU38" s="109"/>
      <c r="JV38" s="109"/>
      <c r="JW38" s="110"/>
      <c r="JX38" s="109"/>
      <c r="JY38" s="109"/>
      <c r="JZ38" s="124"/>
      <c r="KA38" s="109"/>
      <c r="KB38" s="129" t="str">
        <f t="shared" si="27"/>
        <v/>
      </c>
      <c r="KC38" s="109"/>
      <c r="KD38" s="109"/>
      <c r="KE38" s="109"/>
      <c r="KF38" s="109"/>
      <c r="KG38" s="110"/>
      <c r="KH38" s="109"/>
      <c r="KI38" s="109"/>
      <c r="KJ38" s="124"/>
      <c r="KK38" s="109"/>
      <c r="KL38" s="129" t="str">
        <f t="shared" si="28"/>
        <v/>
      </c>
      <c r="KM38" s="109"/>
      <c r="KN38" s="109"/>
      <c r="KO38" s="109"/>
      <c r="KP38" s="109"/>
      <c r="KQ38" s="110"/>
      <c r="KR38" s="109"/>
      <c r="KS38" s="109"/>
      <c r="KT38" s="124"/>
      <c r="KU38" s="109"/>
      <c r="KV38" s="129" t="str">
        <f t="shared" si="29"/>
        <v/>
      </c>
      <c r="KW38" s="109"/>
      <c r="KX38" s="109"/>
      <c r="KY38" s="109"/>
      <c r="KZ38" s="109"/>
      <c r="LA38" s="110"/>
      <c r="LB38" s="109"/>
      <c r="LC38" s="109"/>
      <c r="LD38" s="124"/>
      <c r="LE38" s="109"/>
      <c r="LF38" s="129" t="str">
        <f t="shared" si="30"/>
        <v/>
      </c>
      <c r="LG38" s="109"/>
      <c r="LH38" s="109"/>
      <c r="LI38" s="109"/>
      <c r="LJ38" s="109"/>
      <c r="LK38" s="110"/>
      <c r="LL38" s="109"/>
      <c r="LM38" s="109"/>
      <c r="LN38" s="124"/>
      <c r="LO38" s="109"/>
      <c r="LP38" s="129" t="str">
        <f t="shared" si="31"/>
        <v/>
      </c>
      <c r="LQ38" s="109"/>
      <c r="LR38" s="109"/>
      <c r="LS38" s="109"/>
      <c r="LT38" s="109"/>
      <c r="LU38" s="110"/>
      <c r="LV38" s="109"/>
      <c r="LW38" s="109"/>
      <c r="LX38" s="124"/>
      <c r="LY38" s="109"/>
      <c r="LZ38" s="129" t="str">
        <f t="shared" si="32"/>
        <v/>
      </c>
      <c r="MA38" s="109"/>
      <c r="MB38" s="109"/>
      <c r="MC38" s="109"/>
      <c r="MD38" s="109"/>
      <c r="ME38" s="110"/>
    </row>
    <row r="39" spans="2:343" ht="27.95" customHeight="1" thickBot="1">
      <c r="B39" s="150">
        <f ca="1">INDIRECT("'BDD - Joueurs'!B31")</f>
        <v>0</v>
      </c>
      <c r="C39" s="151">
        <f>COUNTIF(X39:ME39,C9)</f>
        <v>0</v>
      </c>
      <c r="D39" s="152">
        <f>COUNTIF(X39:ME39,D9)</f>
        <v>0</v>
      </c>
      <c r="E39" s="152">
        <f>COUNTIF(X39:ME39,E9)</f>
        <v>0</v>
      </c>
      <c r="F39" s="153">
        <f>COUNTIF(X39:ME39,F9)</f>
        <v>0</v>
      </c>
      <c r="G39" s="151">
        <f>COUNTIF(X39:ME39,G9)</f>
        <v>0</v>
      </c>
      <c r="H39" s="152">
        <f>COUNTIF(X39:ME39,H9)</f>
        <v>0</v>
      </c>
      <c r="I39" s="152">
        <f>COUNTIF(X39:ME39,I9)</f>
        <v>0</v>
      </c>
      <c r="J39" s="152">
        <f>COUNTIF(X39:ME39,J9)</f>
        <v>0</v>
      </c>
      <c r="K39" s="152">
        <f t="shared" si="37"/>
        <v>0</v>
      </c>
      <c r="L39" s="152">
        <f>COUNTIF(X39:ME39,L9)</f>
        <v>0</v>
      </c>
      <c r="M39" s="152">
        <f t="shared" si="33"/>
        <v>0</v>
      </c>
      <c r="N39" s="152">
        <f>COUNTIF(X39:ME39,N9)</f>
        <v>0</v>
      </c>
      <c r="O39" s="153">
        <f>COUNTIF(X39:ME39,O9)</f>
        <v>0</v>
      </c>
      <c r="P39" s="154">
        <f t="shared" si="0"/>
        <v>0</v>
      </c>
      <c r="Q39" s="155" t="str">
        <f>IF(ISERROR(AVERAGE(AA39,AK39,AU39,BE39,BO39,BY39,CI39,CS39,DC39,DM39,DW39,EG39,EQ39,FA39,FK39,FU39,GE39,GO39,GY39,HI39,HS39,IC39,IM39,IW39,JG39,JQ39,KA39,KK39,KU39,LE39,LO39,LY39)),"",AVERAGE(AA39,AK39,AU39,BE39,BO39,BY39,CI39,CS39,DC39,DM39,DW39,EG39,EQ39,FA39,FK39,FU39,GE39,GO39,GY39,HI39,HS39,IC39,IM39,IW39,JG39,JQ39,KA39,KK39,KU39,LE39,LO39,LY39))</f>
        <v/>
      </c>
      <c r="R39" s="167" t="str">
        <f t="shared" si="36"/>
        <v/>
      </c>
      <c r="S39" s="154">
        <f t="shared" si="43"/>
        <v>0</v>
      </c>
      <c r="T39" s="154">
        <f t="shared" si="38"/>
        <v>0</v>
      </c>
      <c r="U39" s="154">
        <f t="shared" si="39"/>
        <v>0</v>
      </c>
      <c r="V39" s="154">
        <f t="shared" si="40"/>
        <v>0</v>
      </c>
      <c r="W39" s="153">
        <f t="shared" si="41"/>
        <v>0</v>
      </c>
      <c r="X39" s="111"/>
      <c r="Y39" s="111"/>
      <c r="Z39" s="125"/>
      <c r="AA39" s="111"/>
      <c r="AB39" s="131" t="str">
        <f t="shared" si="34"/>
        <v/>
      </c>
      <c r="AC39" s="111"/>
      <c r="AD39" s="111"/>
      <c r="AE39" s="111"/>
      <c r="AF39" s="111"/>
      <c r="AG39" s="112"/>
      <c r="AH39" s="111"/>
      <c r="AI39" s="111"/>
      <c r="AJ39" s="125"/>
      <c r="AK39" s="111"/>
      <c r="AL39" s="131" t="str">
        <f t="shared" si="2"/>
        <v/>
      </c>
      <c r="AM39" s="111"/>
      <c r="AN39" s="111"/>
      <c r="AO39" s="111"/>
      <c r="AP39" s="111"/>
      <c r="AQ39" s="112"/>
      <c r="AR39" s="111"/>
      <c r="AS39" s="111"/>
      <c r="AT39" s="125"/>
      <c r="AU39" s="111"/>
      <c r="AV39" s="131" t="str">
        <f t="shared" si="3"/>
        <v/>
      </c>
      <c r="AW39" s="111"/>
      <c r="AX39" s="111"/>
      <c r="AY39" s="111"/>
      <c r="AZ39" s="111"/>
      <c r="BA39" s="112"/>
      <c r="BB39" s="111"/>
      <c r="BC39" s="111"/>
      <c r="BD39" s="125"/>
      <c r="BE39" s="111"/>
      <c r="BF39" s="131" t="str">
        <f t="shared" si="4"/>
        <v/>
      </c>
      <c r="BG39" s="111"/>
      <c r="BH39" s="111"/>
      <c r="BI39" s="111"/>
      <c r="BJ39" s="111"/>
      <c r="BK39" s="112"/>
      <c r="BL39" s="111"/>
      <c r="BM39" s="111"/>
      <c r="BN39" s="125"/>
      <c r="BO39" s="111"/>
      <c r="BP39" s="131" t="str">
        <f t="shared" si="5"/>
        <v/>
      </c>
      <c r="BQ39" s="111"/>
      <c r="BR39" s="111"/>
      <c r="BS39" s="111"/>
      <c r="BT39" s="111"/>
      <c r="BU39" s="112"/>
      <c r="BV39" s="111"/>
      <c r="BW39" s="111"/>
      <c r="BX39" s="125"/>
      <c r="BY39" s="111"/>
      <c r="BZ39" s="131" t="str">
        <f t="shared" si="6"/>
        <v/>
      </c>
      <c r="CA39" s="111"/>
      <c r="CB39" s="111"/>
      <c r="CC39" s="111"/>
      <c r="CD39" s="111"/>
      <c r="CE39" s="112"/>
      <c r="CF39" s="111"/>
      <c r="CG39" s="111"/>
      <c r="CH39" s="125"/>
      <c r="CI39" s="111"/>
      <c r="CJ39" s="131" t="str">
        <f t="shared" si="7"/>
        <v/>
      </c>
      <c r="CK39" s="111"/>
      <c r="CL39" s="111"/>
      <c r="CM39" s="111"/>
      <c r="CN39" s="111"/>
      <c r="CO39" s="112"/>
      <c r="CP39" s="111"/>
      <c r="CQ39" s="111"/>
      <c r="CR39" s="125"/>
      <c r="CS39" s="111"/>
      <c r="CT39" s="131" t="str">
        <f t="shared" si="8"/>
        <v/>
      </c>
      <c r="CU39" s="111"/>
      <c r="CV39" s="111"/>
      <c r="CW39" s="111"/>
      <c r="CX39" s="111"/>
      <c r="CY39" s="112"/>
      <c r="CZ39" s="111"/>
      <c r="DA39" s="111"/>
      <c r="DB39" s="125"/>
      <c r="DC39" s="111"/>
      <c r="DD39" s="131" t="str">
        <f t="shared" si="9"/>
        <v/>
      </c>
      <c r="DE39" s="111"/>
      <c r="DF39" s="111"/>
      <c r="DG39" s="111"/>
      <c r="DH39" s="111"/>
      <c r="DI39" s="112"/>
      <c r="DJ39" s="111"/>
      <c r="DK39" s="111"/>
      <c r="DL39" s="125"/>
      <c r="DM39" s="111"/>
      <c r="DN39" s="131" t="str">
        <f t="shared" si="10"/>
        <v/>
      </c>
      <c r="DO39" s="111"/>
      <c r="DP39" s="111"/>
      <c r="DQ39" s="111"/>
      <c r="DR39" s="111"/>
      <c r="DS39" s="112"/>
      <c r="DT39" s="111"/>
      <c r="DU39" s="111"/>
      <c r="DV39" s="125"/>
      <c r="DW39" s="111"/>
      <c r="DX39" s="131" t="str">
        <f t="shared" si="11"/>
        <v/>
      </c>
      <c r="DY39" s="111"/>
      <c r="DZ39" s="111"/>
      <c r="EA39" s="111"/>
      <c r="EB39" s="111"/>
      <c r="EC39" s="112"/>
      <c r="ED39" s="111"/>
      <c r="EE39" s="111"/>
      <c r="EF39" s="125"/>
      <c r="EG39" s="111"/>
      <c r="EH39" s="131" t="str">
        <f t="shared" si="12"/>
        <v/>
      </c>
      <c r="EI39" s="111"/>
      <c r="EJ39" s="111"/>
      <c r="EK39" s="111"/>
      <c r="EL39" s="111"/>
      <c r="EM39" s="112"/>
      <c r="EN39" s="111"/>
      <c r="EO39" s="111"/>
      <c r="EP39" s="125"/>
      <c r="EQ39" s="111"/>
      <c r="ER39" s="131" t="str">
        <f t="shared" si="13"/>
        <v/>
      </c>
      <c r="ES39" s="111"/>
      <c r="ET39" s="111"/>
      <c r="EU39" s="111"/>
      <c r="EV39" s="111"/>
      <c r="EW39" s="112"/>
      <c r="EX39" s="111"/>
      <c r="EY39" s="111"/>
      <c r="EZ39" s="125"/>
      <c r="FA39" s="111"/>
      <c r="FB39" s="131" t="str">
        <f t="shared" si="14"/>
        <v/>
      </c>
      <c r="FC39" s="111"/>
      <c r="FD39" s="111"/>
      <c r="FE39" s="111"/>
      <c r="FF39" s="111"/>
      <c r="FG39" s="112"/>
      <c r="FH39" s="111"/>
      <c r="FI39" s="111"/>
      <c r="FJ39" s="125"/>
      <c r="FK39" s="111"/>
      <c r="FL39" s="131" t="str">
        <f t="shared" si="15"/>
        <v/>
      </c>
      <c r="FM39" s="111"/>
      <c r="FN39" s="111"/>
      <c r="FO39" s="111"/>
      <c r="FP39" s="111"/>
      <c r="FQ39" s="112"/>
      <c r="FR39" s="111"/>
      <c r="FS39" s="111"/>
      <c r="FT39" s="125"/>
      <c r="FU39" s="111"/>
      <c r="FV39" s="131" t="str">
        <f t="shared" si="16"/>
        <v/>
      </c>
      <c r="FW39" s="111"/>
      <c r="FX39" s="111"/>
      <c r="FY39" s="111"/>
      <c r="FZ39" s="111"/>
      <c r="GA39" s="112"/>
      <c r="GB39" s="111"/>
      <c r="GC39" s="111"/>
      <c r="GD39" s="125"/>
      <c r="GE39" s="111"/>
      <c r="GF39" s="131" t="str">
        <f t="shared" si="17"/>
        <v/>
      </c>
      <c r="GG39" s="111"/>
      <c r="GH39" s="111"/>
      <c r="GI39" s="111"/>
      <c r="GJ39" s="111"/>
      <c r="GK39" s="112"/>
      <c r="GL39" s="111"/>
      <c r="GM39" s="111"/>
      <c r="GN39" s="125"/>
      <c r="GO39" s="111"/>
      <c r="GP39" s="131" t="str">
        <f t="shared" si="18"/>
        <v/>
      </c>
      <c r="GQ39" s="111"/>
      <c r="GR39" s="111"/>
      <c r="GS39" s="111"/>
      <c r="GT39" s="111"/>
      <c r="GU39" s="112"/>
      <c r="GV39" s="111"/>
      <c r="GW39" s="111"/>
      <c r="GX39" s="125"/>
      <c r="GY39" s="111"/>
      <c r="GZ39" s="131" t="str">
        <f t="shared" si="19"/>
        <v/>
      </c>
      <c r="HA39" s="111"/>
      <c r="HB39" s="111"/>
      <c r="HC39" s="111"/>
      <c r="HD39" s="111"/>
      <c r="HE39" s="112"/>
      <c r="HF39" s="111"/>
      <c r="HG39" s="111"/>
      <c r="HH39" s="125"/>
      <c r="HI39" s="111"/>
      <c r="HJ39" s="131" t="str">
        <f t="shared" si="20"/>
        <v/>
      </c>
      <c r="HK39" s="111"/>
      <c r="HL39" s="111"/>
      <c r="HM39" s="111"/>
      <c r="HN39" s="111"/>
      <c r="HO39" s="112"/>
      <c r="HP39" s="111"/>
      <c r="HQ39" s="111"/>
      <c r="HR39" s="125"/>
      <c r="HS39" s="111"/>
      <c r="HT39" s="131" t="str">
        <f t="shared" si="21"/>
        <v/>
      </c>
      <c r="HU39" s="111"/>
      <c r="HV39" s="111"/>
      <c r="HW39" s="111"/>
      <c r="HX39" s="111"/>
      <c r="HY39" s="112"/>
      <c r="HZ39" s="111"/>
      <c r="IA39" s="111"/>
      <c r="IB39" s="125"/>
      <c r="IC39" s="111"/>
      <c r="ID39" s="131" t="str">
        <f t="shared" si="22"/>
        <v/>
      </c>
      <c r="IE39" s="111"/>
      <c r="IF39" s="111"/>
      <c r="IG39" s="111"/>
      <c r="IH39" s="111"/>
      <c r="II39" s="112"/>
      <c r="IJ39" s="111"/>
      <c r="IK39" s="111"/>
      <c r="IL39" s="125"/>
      <c r="IM39" s="111"/>
      <c r="IN39" s="131" t="str">
        <f t="shared" si="23"/>
        <v/>
      </c>
      <c r="IO39" s="111"/>
      <c r="IP39" s="111"/>
      <c r="IQ39" s="111"/>
      <c r="IR39" s="111"/>
      <c r="IS39" s="112"/>
      <c r="IT39" s="111"/>
      <c r="IU39" s="111"/>
      <c r="IV39" s="125"/>
      <c r="IW39" s="111"/>
      <c r="IX39" s="131" t="str">
        <f t="shared" si="24"/>
        <v/>
      </c>
      <c r="IY39" s="111"/>
      <c r="IZ39" s="111"/>
      <c r="JA39" s="111"/>
      <c r="JB39" s="111"/>
      <c r="JC39" s="112"/>
      <c r="JD39" s="111"/>
      <c r="JE39" s="111"/>
      <c r="JF39" s="125"/>
      <c r="JG39" s="111"/>
      <c r="JH39" s="131" t="str">
        <f t="shared" si="25"/>
        <v/>
      </c>
      <c r="JI39" s="111"/>
      <c r="JJ39" s="111"/>
      <c r="JK39" s="111"/>
      <c r="JL39" s="111"/>
      <c r="JM39" s="112"/>
      <c r="JN39" s="111"/>
      <c r="JO39" s="111"/>
      <c r="JP39" s="125"/>
      <c r="JQ39" s="111"/>
      <c r="JR39" s="131" t="str">
        <f t="shared" si="26"/>
        <v/>
      </c>
      <c r="JS39" s="111"/>
      <c r="JT39" s="111"/>
      <c r="JU39" s="111"/>
      <c r="JV39" s="111"/>
      <c r="JW39" s="112"/>
      <c r="JX39" s="111"/>
      <c r="JY39" s="111"/>
      <c r="JZ39" s="125"/>
      <c r="KA39" s="111"/>
      <c r="KB39" s="131" t="str">
        <f t="shared" si="27"/>
        <v/>
      </c>
      <c r="KC39" s="111"/>
      <c r="KD39" s="111"/>
      <c r="KE39" s="111"/>
      <c r="KF39" s="111"/>
      <c r="KG39" s="112"/>
      <c r="KH39" s="111"/>
      <c r="KI39" s="111"/>
      <c r="KJ39" s="125"/>
      <c r="KK39" s="111"/>
      <c r="KL39" s="131" t="str">
        <f t="shared" si="28"/>
        <v/>
      </c>
      <c r="KM39" s="111"/>
      <c r="KN39" s="111"/>
      <c r="KO39" s="111"/>
      <c r="KP39" s="111"/>
      <c r="KQ39" s="112"/>
      <c r="KR39" s="111"/>
      <c r="KS39" s="111"/>
      <c r="KT39" s="125"/>
      <c r="KU39" s="111"/>
      <c r="KV39" s="131" t="str">
        <f t="shared" si="29"/>
        <v/>
      </c>
      <c r="KW39" s="111"/>
      <c r="KX39" s="111"/>
      <c r="KY39" s="111"/>
      <c r="KZ39" s="111"/>
      <c r="LA39" s="112"/>
      <c r="LB39" s="111"/>
      <c r="LC39" s="111"/>
      <c r="LD39" s="125"/>
      <c r="LE39" s="111"/>
      <c r="LF39" s="131" t="str">
        <f t="shared" si="30"/>
        <v/>
      </c>
      <c r="LG39" s="111"/>
      <c r="LH39" s="111"/>
      <c r="LI39" s="111"/>
      <c r="LJ39" s="111"/>
      <c r="LK39" s="112"/>
      <c r="LL39" s="111"/>
      <c r="LM39" s="111"/>
      <c r="LN39" s="125"/>
      <c r="LO39" s="111"/>
      <c r="LP39" s="131" t="str">
        <f t="shared" si="31"/>
        <v/>
      </c>
      <c r="LQ39" s="111"/>
      <c r="LR39" s="111"/>
      <c r="LS39" s="111"/>
      <c r="LT39" s="111"/>
      <c r="LU39" s="112"/>
      <c r="LV39" s="111"/>
      <c r="LW39" s="111"/>
      <c r="LX39" s="125"/>
      <c r="LY39" s="111"/>
      <c r="LZ39" s="131" t="str">
        <f t="shared" si="32"/>
        <v/>
      </c>
      <c r="MA39" s="111"/>
      <c r="MB39" s="111"/>
      <c r="MC39" s="111"/>
      <c r="MD39" s="111"/>
      <c r="ME39" s="112"/>
    </row>
    <row r="40" spans="2:343" s="73" customFormat="1" ht="27.95" customHeight="1">
      <c r="B40" s="79" t="s">
        <v>63</v>
      </c>
      <c r="C40" s="76">
        <f>SUM(C10:C39)</f>
        <v>49</v>
      </c>
      <c r="D40" s="77">
        <f t="shared" ref="D40:O40" si="44">SUM(D10:D39)</f>
        <v>0</v>
      </c>
      <c r="E40" s="77">
        <f t="shared" si="44"/>
        <v>14</v>
      </c>
      <c r="F40" s="78">
        <f t="shared" si="44"/>
        <v>14</v>
      </c>
      <c r="G40" s="76">
        <f t="shared" si="44"/>
        <v>77</v>
      </c>
      <c r="H40" s="77">
        <f t="shared" si="44"/>
        <v>0</v>
      </c>
      <c r="I40" s="77">
        <f t="shared" si="44"/>
        <v>0</v>
      </c>
      <c r="J40" s="77">
        <f t="shared" si="44"/>
        <v>0</v>
      </c>
      <c r="K40" s="77">
        <f t="shared" si="44"/>
        <v>5</v>
      </c>
      <c r="L40" s="77">
        <f t="shared" si="44"/>
        <v>1</v>
      </c>
      <c r="M40" s="77">
        <f t="shared" si="44"/>
        <v>7</v>
      </c>
      <c r="N40" s="77">
        <f t="shared" si="44"/>
        <v>6</v>
      </c>
      <c r="O40" s="78">
        <f t="shared" si="44"/>
        <v>9</v>
      </c>
      <c r="P40" s="76">
        <f>SUM(P10:P39)</f>
        <v>5025</v>
      </c>
      <c r="Q40" s="161">
        <f>IF(ISERROR(AVERAGE(Q10:Q39)),"",AVERAGE(Q10:Q39))</f>
        <v>6.0055555555555555</v>
      </c>
      <c r="R40" s="168">
        <f>IF(ISERROR(AVERAGE(R10:R39)),"",AVERAGE(R10:R39))</f>
        <v>1426.1936507936507</v>
      </c>
      <c r="S40" s="77">
        <f t="shared" ref="S40" si="45">SUM(S10:S39)</f>
        <v>13</v>
      </c>
      <c r="T40" s="77">
        <f t="shared" ref="T40" si="46">SUM(T10:T39)</f>
        <v>3</v>
      </c>
      <c r="U40" s="77">
        <f t="shared" ref="U40" si="47">SUM(U10:U39)</f>
        <v>2</v>
      </c>
      <c r="V40" s="163">
        <f t="shared" ref="V40" si="48">SUM(V10:V39)</f>
        <v>0</v>
      </c>
      <c r="W40" s="162">
        <f t="shared" ref="W40" si="49">SUM(W10:W39)</f>
        <v>1</v>
      </c>
      <c r="X40" s="76">
        <f t="shared" ref="X40" si="50">SUM(X10:X39)</f>
        <v>0</v>
      </c>
      <c r="Y40" s="77">
        <f t="shared" ref="Y40" si="51">SUM(Y10:Y39)</f>
        <v>0</v>
      </c>
      <c r="Z40" s="161">
        <f t="shared" ref="Z40" si="52">IF(ISERROR(AVERAGE(Z10:Z39)),"",AVERAGE(Z10:Z39))</f>
        <v>63.75</v>
      </c>
      <c r="AA40" s="161">
        <f>IF(ISERROR(AVERAGE(AA10:AA39)),"",AVERAGE(AA10:AA39))</f>
        <v>5</v>
      </c>
      <c r="AB40" s="161">
        <f>IF(ISERROR(AVERAGE(AB10:AB39)),"",AVERAGE(AB10:AB39))</f>
        <v>318.75</v>
      </c>
      <c r="AC40" s="77">
        <f t="shared" ref="AC40" si="53">SUM(AC10:AC39)</f>
        <v>6</v>
      </c>
      <c r="AD40" s="77">
        <f t="shared" ref="AD40" si="54">SUM(AD10:AD39)</f>
        <v>0</v>
      </c>
      <c r="AE40" s="77">
        <f t="shared" ref="AE40" si="55">SUM(AE10:AE39)</f>
        <v>0</v>
      </c>
      <c r="AF40" s="77">
        <f t="shared" ref="AF40" si="56">SUM(AF10:AF39)</f>
        <v>0</v>
      </c>
      <c r="AG40" s="78">
        <f t="shared" ref="AG40:CQ40" si="57">SUM(AG10:AG39)</f>
        <v>0</v>
      </c>
      <c r="AH40" s="76">
        <f t="shared" si="57"/>
        <v>0</v>
      </c>
      <c r="AI40" s="77">
        <f t="shared" si="57"/>
        <v>0</v>
      </c>
      <c r="AJ40" s="161">
        <f t="shared" ref="AJ40:CT40" si="58">IF(ISERROR(AVERAGE(AJ10:AJ39)),"",AVERAGE(AJ10:AJ39))</f>
        <v>63.375</v>
      </c>
      <c r="AK40" s="161">
        <f t="shared" si="58"/>
        <v>4.7058823529411766</v>
      </c>
      <c r="AL40" s="161">
        <f t="shared" si="58"/>
        <v>300.1875</v>
      </c>
      <c r="AM40" s="77">
        <f t="shared" ref="AM40:CX40" si="59">SUM(AM10:AM39)</f>
        <v>3</v>
      </c>
      <c r="AN40" s="77">
        <f t="shared" si="59"/>
        <v>0</v>
      </c>
      <c r="AO40" s="77">
        <f t="shared" si="59"/>
        <v>0</v>
      </c>
      <c r="AP40" s="77">
        <f t="shared" si="59"/>
        <v>0</v>
      </c>
      <c r="AQ40" s="78">
        <f t="shared" si="57"/>
        <v>0</v>
      </c>
      <c r="AR40" s="76">
        <f t="shared" si="57"/>
        <v>0</v>
      </c>
      <c r="AS40" s="77">
        <f t="shared" si="57"/>
        <v>0</v>
      </c>
      <c r="AT40" s="161">
        <f t="shared" si="58"/>
        <v>61.9375</v>
      </c>
      <c r="AU40" s="161">
        <f t="shared" si="58"/>
        <v>6.6875</v>
      </c>
      <c r="AV40" s="161">
        <f t="shared" si="58"/>
        <v>411.625</v>
      </c>
      <c r="AW40" s="77">
        <f t="shared" si="59"/>
        <v>2</v>
      </c>
      <c r="AX40" s="77">
        <f t="shared" si="59"/>
        <v>1</v>
      </c>
      <c r="AY40" s="77">
        <f t="shared" si="59"/>
        <v>0</v>
      </c>
      <c r="AZ40" s="77">
        <f t="shared" si="59"/>
        <v>0</v>
      </c>
      <c r="BA40" s="78">
        <f t="shared" si="57"/>
        <v>0</v>
      </c>
      <c r="BB40" s="76">
        <f>SUM(BB10:BB39)</f>
        <v>0</v>
      </c>
      <c r="BC40" s="77">
        <f t="shared" si="57"/>
        <v>0</v>
      </c>
      <c r="BD40" s="161">
        <f t="shared" si="58"/>
        <v>72.142857142857139</v>
      </c>
      <c r="BE40" s="161">
        <f t="shared" si="58"/>
        <v>5.8571428571428568</v>
      </c>
      <c r="BF40" s="161">
        <f t="shared" si="58"/>
        <v>415.5</v>
      </c>
      <c r="BG40" s="77">
        <f t="shared" si="59"/>
        <v>1</v>
      </c>
      <c r="BH40" s="77">
        <f t="shared" si="59"/>
        <v>1</v>
      </c>
      <c r="BI40" s="77">
        <f t="shared" si="59"/>
        <v>2</v>
      </c>
      <c r="BJ40" s="77">
        <f t="shared" si="59"/>
        <v>0</v>
      </c>
      <c r="BK40" s="78">
        <f t="shared" si="57"/>
        <v>1</v>
      </c>
      <c r="BL40" s="76">
        <f t="shared" si="57"/>
        <v>0</v>
      </c>
      <c r="BM40" s="77">
        <f t="shared" si="57"/>
        <v>0</v>
      </c>
      <c r="BN40" s="161">
        <f t="shared" si="58"/>
        <v>70.714285714285708</v>
      </c>
      <c r="BO40" s="161">
        <f t="shared" si="58"/>
        <v>7.9285714285714288</v>
      </c>
      <c r="BP40" s="161">
        <f t="shared" si="58"/>
        <v>558.5</v>
      </c>
      <c r="BQ40" s="77">
        <f t="shared" si="59"/>
        <v>1</v>
      </c>
      <c r="BR40" s="77">
        <f t="shared" si="59"/>
        <v>1</v>
      </c>
      <c r="BS40" s="77">
        <f t="shared" si="59"/>
        <v>0</v>
      </c>
      <c r="BT40" s="77">
        <f t="shared" si="59"/>
        <v>0</v>
      </c>
      <c r="BU40" s="78">
        <f t="shared" si="57"/>
        <v>0</v>
      </c>
      <c r="BV40" s="76">
        <f t="shared" si="57"/>
        <v>0</v>
      </c>
      <c r="BW40" s="77">
        <f t="shared" si="57"/>
        <v>0</v>
      </c>
      <c r="BX40" s="161" t="str">
        <f t="shared" si="58"/>
        <v/>
      </c>
      <c r="BY40" s="161" t="str">
        <f t="shared" si="58"/>
        <v/>
      </c>
      <c r="BZ40" s="161" t="str">
        <f t="shared" si="58"/>
        <v/>
      </c>
      <c r="CA40" s="77">
        <f t="shared" si="59"/>
        <v>0</v>
      </c>
      <c r="CB40" s="77">
        <f t="shared" si="59"/>
        <v>0</v>
      </c>
      <c r="CC40" s="77">
        <f t="shared" si="59"/>
        <v>0</v>
      </c>
      <c r="CD40" s="77">
        <f t="shared" si="59"/>
        <v>0</v>
      </c>
      <c r="CE40" s="78">
        <f t="shared" si="57"/>
        <v>0</v>
      </c>
      <c r="CF40" s="76">
        <f t="shared" si="57"/>
        <v>0</v>
      </c>
      <c r="CG40" s="77">
        <f t="shared" si="57"/>
        <v>0</v>
      </c>
      <c r="CH40" s="161" t="str">
        <f t="shared" si="58"/>
        <v/>
      </c>
      <c r="CI40" s="161" t="str">
        <f t="shared" si="58"/>
        <v/>
      </c>
      <c r="CJ40" s="161" t="str">
        <f t="shared" si="58"/>
        <v/>
      </c>
      <c r="CK40" s="77">
        <f t="shared" si="59"/>
        <v>0</v>
      </c>
      <c r="CL40" s="77">
        <f t="shared" si="59"/>
        <v>0</v>
      </c>
      <c r="CM40" s="77">
        <f t="shared" si="59"/>
        <v>0</v>
      </c>
      <c r="CN40" s="77">
        <f t="shared" si="59"/>
        <v>0</v>
      </c>
      <c r="CO40" s="78">
        <f t="shared" si="57"/>
        <v>0</v>
      </c>
      <c r="CP40" s="76">
        <f t="shared" si="57"/>
        <v>0</v>
      </c>
      <c r="CQ40" s="77">
        <f t="shared" si="57"/>
        <v>0</v>
      </c>
      <c r="CR40" s="161" t="str">
        <f t="shared" si="58"/>
        <v/>
      </c>
      <c r="CS40" s="161" t="str">
        <f t="shared" si="58"/>
        <v/>
      </c>
      <c r="CT40" s="161" t="str">
        <f t="shared" si="58"/>
        <v/>
      </c>
      <c r="CU40" s="77">
        <f t="shared" si="59"/>
        <v>0</v>
      </c>
      <c r="CV40" s="77">
        <f t="shared" si="59"/>
        <v>0</v>
      </c>
      <c r="CW40" s="77">
        <f t="shared" si="59"/>
        <v>0</v>
      </c>
      <c r="CX40" s="77">
        <f t="shared" si="59"/>
        <v>0</v>
      </c>
      <c r="CY40" s="78">
        <f t="shared" ref="CY40:FI40" si="60">SUM(CY10:CY39)</f>
        <v>0</v>
      </c>
      <c r="CZ40" s="76">
        <f t="shared" si="60"/>
        <v>0</v>
      </c>
      <c r="DA40" s="77">
        <f t="shared" si="60"/>
        <v>0</v>
      </c>
      <c r="DB40" s="161" t="str">
        <f t="shared" ref="DB40:FL40" si="61">IF(ISERROR(AVERAGE(DB10:DB39)),"",AVERAGE(DB10:DB39))</f>
        <v/>
      </c>
      <c r="DC40" s="161" t="str">
        <f t="shared" si="61"/>
        <v/>
      </c>
      <c r="DD40" s="161" t="str">
        <f t="shared" si="61"/>
        <v/>
      </c>
      <c r="DE40" s="77">
        <f t="shared" ref="DE40:FP40" si="62">SUM(DE10:DE39)</f>
        <v>0</v>
      </c>
      <c r="DF40" s="77">
        <f t="shared" si="62"/>
        <v>0</v>
      </c>
      <c r="DG40" s="77">
        <f t="shared" si="62"/>
        <v>0</v>
      </c>
      <c r="DH40" s="77">
        <f t="shared" si="62"/>
        <v>0</v>
      </c>
      <c r="DI40" s="78">
        <f t="shared" si="60"/>
        <v>0</v>
      </c>
      <c r="DJ40" s="76">
        <f t="shared" si="60"/>
        <v>0</v>
      </c>
      <c r="DK40" s="77">
        <f t="shared" si="60"/>
        <v>0</v>
      </c>
      <c r="DL40" s="161" t="str">
        <f t="shared" si="61"/>
        <v/>
      </c>
      <c r="DM40" s="161" t="str">
        <f t="shared" si="61"/>
        <v/>
      </c>
      <c r="DN40" s="161" t="str">
        <f t="shared" si="61"/>
        <v/>
      </c>
      <c r="DO40" s="77">
        <f t="shared" si="62"/>
        <v>0</v>
      </c>
      <c r="DP40" s="77">
        <f t="shared" si="62"/>
        <v>0</v>
      </c>
      <c r="DQ40" s="77">
        <f t="shared" si="62"/>
        <v>0</v>
      </c>
      <c r="DR40" s="77">
        <f t="shared" si="62"/>
        <v>0</v>
      </c>
      <c r="DS40" s="78">
        <f t="shared" si="60"/>
        <v>0</v>
      </c>
      <c r="DT40" s="76">
        <f t="shared" si="60"/>
        <v>0</v>
      </c>
      <c r="DU40" s="77">
        <f t="shared" si="60"/>
        <v>0</v>
      </c>
      <c r="DV40" s="161" t="str">
        <f t="shared" si="61"/>
        <v/>
      </c>
      <c r="DW40" s="161" t="str">
        <f t="shared" si="61"/>
        <v/>
      </c>
      <c r="DX40" s="161" t="str">
        <f t="shared" si="61"/>
        <v/>
      </c>
      <c r="DY40" s="77">
        <f t="shared" si="62"/>
        <v>0</v>
      </c>
      <c r="DZ40" s="77">
        <f t="shared" si="62"/>
        <v>0</v>
      </c>
      <c r="EA40" s="77">
        <f t="shared" si="62"/>
        <v>0</v>
      </c>
      <c r="EB40" s="77">
        <f t="shared" si="62"/>
        <v>0</v>
      </c>
      <c r="EC40" s="78">
        <f t="shared" si="60"/>
        <v>0</v>
      </c>
      <c r="ED40" s="76">
        <f t="shared" si="60"/>
        <v>0</v>
      </c>
      <c r="EE40" s="77">
        <f t="shared" si="60"/>
        <v>0</v>
      </c>
      <c r="EF40" s="161" t="str">
        <f t="shared" si="61"/>
        <v/>
      </c>
      <c r="EG40" s="161" t="str">
        <f t="shared" si="61"/>
        <v/>
      </c>
      <c r="EH40" s="161" t="str">
        <f t="shared" si="61"/>
        <v/>
      </c>
      <c r="EI40" s="77">
        <f t="shared" si="62"/>
        <v>0</v>
      </c>
      <c r="EJ40" s="77">
        <f t="shared" si="62"/>
        <v>0</v>
      </c>
      <c r="EK40" s="77">
        <f t="shared" si="62"/>
        <v>0</v>
      </c>
      <c r="EL40" s="77">
        <f t="shared" si="62"/>
        <v>0</v>
      </c>
      <c r="EM40" s="78">
        <f t="shared" si="60"/>
        <v>0</v>
      </c>
      <c r="EN40" s="76">
        <f t="shared" si="60"/>
        <v>0</v>
      </c>
      <c r="EO40" s="77">
        <f t="shared" si="60"/>
        <v>0</v>
      </c>
      <c r="EP40" s="161" t="str">
        <f t="shared" si="61"/>
        <v/>
      </c>
      <c r="EQ40" s="161" t="str">
        <f t="shared" si="61"/>
        <v/>
      </c>
      <c r="ER40" s="161" t="str">
        <f t="shared" si="61"/>
        <v/>
      </c>
      <c r="ES40" s="77">
        <f t="shared" si="62"/>
        <v>0</v>
      </c>
      <c r="ET40" s="77">
        <f t="shared" si="62"/>
        <v>0</v>
      </c>
      <c r="EU40" s="77">
        <f t="shared" si="62"/>
        <v>0</v>
      </c>
      <c r="EV40" s="77">
        <f t="shared" si="62"/>
        <v>0</v>
      </c>
      <c r="EW40" s="78">
        <f t="shared" si="60"/>
        <v>0</v>
      </c>
      <c r="EX40" s="76">
        <f t="shared" si="60"/>
        <v>0</v>
      </c>
      <c r="EY40" s="77">
        <f t="shared" si="60"/>
        <v>0</v>
      </c>
      <c r="EZ40" s="161" t="str">
        <f t="shared" si="61"/>
        <v/>
      </c>
      <c r="FA40" s="161" t="str">
        <f t="shared" si="61"/>
        <v/>
      </c>
      <c r="FB40" s="161" t="str">
        <f t="shared" si="61"/>
        <v/>
      </c>
      <c r="FC40" s="77">
        <f t="shared" si="62"/>
        <v>0</v>
      </c>
      <c r="FD40" s="77">
        <f t="shared" si="62"/>
        <v>0</v>
      </c>
      <c r="FE40" s="77">
        <f t="shared" si="62"/>
        <v>0</v>
      </c>
      <c r="FF40" s="77">
        <f t="shared" si="62"/>
        <v>0</v>
      </c>
      <c r="FG40" s="78">
        <f t="shared" si="60"/>
        <v>0</v>
      </c>
      <c r="FH40" s="76">
        <f t="shared" si="60"/>
        <v>0</v>
      </c>
      <c r="FI40" s="77">
        <f t="shared" si="60"/>
        <v>0</v>
      </c>
      <c r="FJ40" s="161" t="str">
        <f t="shared" si="61"/>
        <v/>
      </c>
      <c r="FK40" s="161" t="str">
        <f t="shared" si="61"/>
        <v/>
      </c>
      <c r="FL40" s="161" t="str">
        <f t="shared" si="61"/>
        <v/>
      </c>
      <c r="FM40" s="77">
        <f t="shared" si="62"/>
        <v>0</v>
      </c>
      <c r="FN40" s="77">
        <f t="shared" si="62"/>
        <v>0</v>
      </c>
      <c r="FO40" s="77">
        <f t="shared" si="62"/>
        <v>0</v>
      </c>
      <c r="FP40" s="77">
        <f t="shared" si="62"/>
        <v>0</v>
      </c>
      <c r="FQ40" s="78">
        <f t="shared" ref="FQ40:IA40" si="63">SUM(FQ10:FQ39)</f>
        <v>0</v>
      </c>
      <c r="FR40" s="76">
        <f t="shared" si="63"/>
        <v>0</v>
      </c>
      <c r="FS40" s="77">
        <f t="shared" si="63"/>
        <v>0</v>
      </c>
      <c r="FT40" s="161" t="str">
        <f t="shared" ref="FT40:ID40" si="64">IF(ISERROR(AVERAGE(FT10:FT39)),"",AVERAGE(FT10:FT39))</f>
        <v/>
      </c>
      <c r="FU40" s="161" t="str">
        <f t="shared" si="64"/>
        <v/>
      </c>
      <c r="FV40" s="161" t="str">
        <f t="shared" si="64"/>
        <v/>
      </c>
      <c r="FW40" s="77">
        <f t="shared" ref="FW40:IH40" si="65">SUM(FW10:FW39)</f>
        <v>0</v>
      </c>
      <c r="FX40" s="77">
        <f t="shared" si="65"/>
        <v>0</v>
      </c>
      <c r="FY40" s="77">
        <f t="shared" si="65"/>
        <v>0</v>
      </c>
      <c r="FZ40" s="77">
        <f t="shared" si="65"/>
        <v>0</v>
      </c>
      <c r="GA40" s="78">
        <f t="shared" si="63"/>
        <v>0</v>
      </c>
      <c r="GB40" s="76">
        <f t="shared" si="63"/>
        <v>0</v>
      </c>
      <c r="GC40" s="77">
        <f t="shared" si="63"/>
        <v>0</v>
      </c>
      <c r="GD40" s="161" t="str">
        <f t="shared" si="64"/>
        <v/>
      </c>
      <c r="GE40" s="161" t="str">
        <f t="shared" si="64"/>
        <v/>
      </c>
      <c r="GF40" s="161" t="str">
        <f t="shared" si="64"/>
        <v/>
      </c>
      <c r="GG40" s="77">
        <f t="shared" si="65"/>
        <v>0</v>
      </c>
      <c r="GH40" s="77">
        <f t="shared" si="65"/>
        <v>0</v>
      </c>
      <c r="GI40" s="77">
        <f t="shared" si="65"/>
        <v>0</v>
      </c>
      <c r="GJ40" s="77">
        <f t="shared" si="65"/>
        <v>0</v>
      </c>
      <c r="GK40" s="78">
        <f t="shared" si="63"/>
        <v>0</v>
      </c>
      <c r="GL40" s="76">
        <f>SUM(GL10:GL39)</f>
        <v>0</v>
      </c>
      <c r="GM40" s="77">
        <f>SUM(GM10:GM39)</f>
        <v>0</v>
      </c>
      <c r="GN40" s="161" t="str">
        <f t="shared" si="64"/>
        <v/>
      </c>
      <c r="GO40" s="161" t="str">
        <f t="shared" si="64"/>
        <v/>
      </c>
      <c r="GP40" s="161" t="str">
        <f t="shared" si="64"/>
        <v/>
      </c>
      <c r="GQ40" s="77">
        <f t="shared" si="65"/>
        <v>0</v>
      </c>
      <c r="GR40" s="77">
        <f t="shared" si="65"/>
        <v>0</v>
      </c>
      <c r="GS40" s="77">
        <f t="shared" si="65"/>
        <v>0</v>
      </c>
      <c r="GT40" s="77">
        <f t="shared" si="65"/>
        <v>0</v>
      </c>
      <c r="GU40" s="78">
        <f t="shared" si="63"/>
        <v>0</v>
      </c>
      <c r="GV40" s="76">
        <f t="shared" si="63"/>
        <v>0</v>
      </c>
      <c r="GW40" s="77">
        <f t="shared" si="63"/>
        <v>0</v>
      </c>
      <c r="GX40" s="161" t="str">
        <f t="shared" si="64"/>
        <v/>
      </c>
      <c r="GY40" s="161" t="str">
        <f t="shared" si="64"/>
        <v/>
      </c>
      <c r="GZ40" s="161" t="str">
        <f t="shared" si="64"/>
        <v/>
      </c>
      <c r="HA40" s="77">
        <f t="shared" si="65"/>
        <v>0</v>
      </c>
      <c r="HB40" s="77">
        <f t="shared" si="65"/>
        <v>0</v>
      </c>
      <c r="HC40" s="77">
        <f t="shared" si="65"/>
        <v>0</v>
      </c>
      <c r="HD40" s="77">
        <f t="shared" si="65"/>
        <v>0</v>
      </c>
      <c r="HE40" s="78">
        <f t="shared" si="63"/>
        <v>0</v>
      </c>
      <c r="HF40" s="76">
        <f t="shared" si="63"/>
        <v>0</v>
      </c>
      <c r="HG40" s="77">
        <f t="shared" si="63"/>
        <v>0</v>
      </c>
      <c r="HH40" s="161" t="str">
        <f t="shared" si="64"/>
        <v/>
      </c>
      <c r="HI40" s="161" t="str">
        <f t="shared" si="64"/>
        <v/>
      </c>
      <c r="HJ40" s="161" t="str">
        <f t="shared" si="64"/>
        <v/>
      </c>
      <c r="HK40" s="77">
        <f t="shared" si="65"/>
        <v>0</v>
      </c>
      <c r="HL40" s="77">
        <f t="shared" si="65"/>
        <v>0</v>
      </c>
      <c r="HM40" s="77">
        <f t="shared" si="65"/>
        <v>0</v>
      </c>
      <c r="HN40" s="77">
        <f t="shared" si="65"/>
        <v>0</v>
      </c>
      <c r="HO40" s="78">
        <f t="shared" si="63"/>
        <v>0</v>
      </c>
      <c r="HP40" s="76">
        <f t="shared" si="63"/>
        <v>0</v>
      </c>
      <c r="HQ40" s="77">
        <f t="shared" si="63"/>
        <v>0</v>
      </c>
      <c r="HR40" s="161" t="str">
        <f t="shared" si="64"/>
        <v/>
      </c>
      <c r="HS40" s="161" t="str">
        <f t="shared" si="64"/>
        <v/>
      </c>
      <c r="HT40" s="161" t="str">
        <f t="shared" si="64"/>
        <v/>
      </c>
      <c r="HU40" s="77">
        <f t="shared" si="65"/>
        <v>0</v>
      </c>
      <c r="HV40" s="77">
        <f t="shared" si="65"/>
        <v>0</v>
      </c>
      <c r="HW40" s="77">
        <f t="shared" si="65"/>
        <v>0</v>
      </c>
      <c r="HX40" s="77">
        <f t="shared" si="65"/>
        <v>0</v>
      </c>
      <c r="HY40" s="78">
        <f t="shared" si="63"/>
        <v>0</v>
      </c>
      <c r="HZ40" s="76">
        <f t="shared" si="63"/>
        <v>0</v>
      </c>
      <c r="IA40" s="77">
        <f t="shared" si="63"/>
        <v>0</v>
      </c>
      <c r="IB40" s="161" t="str">
        <f t="shared" si="64"/>
        <v/>
      </c>
      <c r="IC40" s="161" t="str">
        <f t="shared" si="64"/>
        <v/>
      </c>
      <c r="ID40" s="161" t="str">
        <f t="shared" si="64"/>
        <v/>
      </c>
      <c r="IE40" s="77">
        <f t="shared" si="65"/>
        <v>0</v>
      </c>
      <c r="IF40" s="77">
        <f t="shared" si="65"/>
        <v>0</v>
      </c>
      <c r="IG40" s="77">
        <f t="shared" si="65"/>
        <v>0</v>
      </c>
      <c r="IH40" s="77">
        <f t="shared" si="65"/>
        <v>0</v>
      </c>
      <c r="II40" s="78">
        <f t="shared" ref="II40:KS40" si="66">SUM(II10:II39)</f>
        <v>0</v>
      </c>
      <c r="IJ40" s="76">
        <f t="shared" si="66"/>
        <v>0</v>
      </c>
      <c r="IK40" s="77">
        <f t="shared" si="66"/>
        <v>0</v>
      </c>
      <c r="IL40" s="161" t="str">
        <f t="shared" ref="IL40:KV40" si="67">IF(ISERROR(AVERAGE(IL10:IL39)),"",AVERAGE(IL10:IL39))</f>
        <v/>
      </c>
      <c r="IM40" s="161" t="str">
        <f t="shared" si="67"/>
        <v/>
      </c>
      <c r="IN40" s="161" t="str">
        <f t="shared" si="67"/>
        <v/>
      </c>
      <c r="IO40" s="77">
        <f t="shared" ref="IO40:KZ40" si="68">SUM(IO10:IO39)</f>
        <v>0</v>
      </c>
      <c r="IP40" s="77">
        <f t="shared" si="68"/>
        <v>0</v>
      </c>
      <c r="IQ40" s="77">
        <f t="shared" si="68"/>
        <v>0</v>
      </c>
      <c r="IR40" s="77">
        <f t="shared" si="68"/>
        <v>0</v>
      </c>
      <c r="IS40" s="78">
        <f t="shared" si="66"/>
        <v>0</v>
      </c>
      <c r="IT40" s="76">
        <f t="shared" si="66"/>
        <v>0</v>
      </c>
      <c r="IU40" s="77">
        <f t="shared" si="66"/>
        <v>0</v>
      </c>
      <c r="IV40" s="161" t="str">
        <f t="shared" si="67"/>
        <v/>
      </c>
      <c r="IW40" s="161" t="str">
        <f t="shared" si="67"/>
        <v/>
      </c>
      <c r="IX40" s="161" t="str">
        <f t="shared" si="67"/>
        <v/>
      </c>
      <c r="IY40" s="77">
        <f t="shared" si="68"/>
        <v>0</v>
      </c>
      <c r="IZ40" s="77">
        <f t="shared" si="68"/>
        <v>0</v>
      </c>
      <c r="JA40" s="77">
        <f t="shared" si="68"/>
        <v>0</v>
      </c>
      <c r="JB40" s="77">
        <f t="shared" si="68"/>
        <v>0</v>
      </c>
      <c r="JC40" s="78">
        <f t="shared" si="66"/>
        <v>0</v>
      </c>
      <c r="JD40" s="76">
        <f t="shared" si="66"/>
        <v>0</v>
      </c>
      <c r="JE40" s="77">
        <f t="shared" si="66"/>
        <v>0</v>
      </c>
      <c r="JF40" s="161" t="str">
        <f t="shared" si="67"/>
        <v/>
      </c>
      <c r="JG40" s="161" t="str">
        <f t="shared" si="67"/>
        <v/>
      </c>
      <c r="JH40" s="161" t="str">
        <f t="shared" si="67"/>
        <v/>
      </c>
      <c r="JI40" s="77">
        <f t="shared" si="68"/>
        <v>0</v>
      </c>
      <c r="JJ40" s="77">
        <f t="shared" si="68"/>
        <v>0</v>
      </c>
      <c r="JK40" s="77">
        <f t="shared" si="68"/>
        <v>0</v>
      </c>
      <c r="JL40" s="77">
        <f t="shared" si="68"/>
        <v>0</v>
      </c>
      <c r="JM40" s="78">
        <f t="shared" si="66"/>
        <v>0</v>
      </c>
      <c r="JN40" s="76">
        <f t="shared" si="66"/>
        <v>0</v>
      </c>
      <c r="JO40" s="77">
        <f t="shared" si="66"/>
        <v>0</v>
      </c>
      <c r="JP40" s="161" t="str">
        <f t="shared" si="67"/>
        <v/>
      </c>
      <c r="JQ40" s="161" t="str">
        <f t="shared" si="67"/>
        <v/>
      </c>
      <c r="JR40" s="161" t="str">
        <f t="shared" si="67"/>
        <v/>
      </c>
      <c r="JS40" s="77">
        <f t="shared" si="68"/>
        <v>0</v>
      </c>
      <c r="JT40" s="77">
        <f t="shared" si="68"/>
        <v>0</v>
      </c>
      <c r="JU40" s="77">
        <f t="shared" si="68"/>
        <v>0</v>
      </c>
      <c r="JV40" s="77">
        <f t="shared" si="68"/>
        <v>0</v>
      </c>
      <c r="JW40" s="78">
        <f t="shared" si="66"/>
        <v>0</v>
      </c>
      <c r="JX40" s="76">
        <f t="shared" si="66"/>
        <v>0</v>
      </c>
      <c r="JY40" s="77">
        <f t="shared" si="66"/>
        <v>0</v>
      </c>
      <c r="JZ40" s="161" t="str">
        <f t="shared" si="67"/>
        <v/>
      </c>
      <c r="KA40" s="161" t="str">
        <f t="shared" si="67"/>
        <v/>
      </c>
      <c r="KB40" s="161" t="str">
        <f t="shared" si="67"/>
        <v/>
      </c>
      <c r="KC40" s="77">
        <f t="shared" si="68"/>
        <v>0</v>
      </c>
      <c r="KD40" s="77">
        <f t="shared" si="68"/>
        <v>0</v>
      </c>
      <c r="KE40" s="77">
        <f t="shared" si="68"/>
        <v>0</v>
      </c>
      <c r="KF40" s="77">
        <f t="shared" si="68"/>
        <v>0</v>
      </c>
      <c r="KG40" s="78">
        <f t="shared" si="66"/>
        <v>0</v>
      </c>
      <c r="KH40" s="76">
        <f t="shared" si="66"/>
        <v>0</v>
      </c>
      <c r="KI40" s="77">
        <f t="shared" si="66"/>
        <v>0</v>
      </c>
      <c r="KJ40" s="161" t="str">
        <f t="shared" si="67"/>
        <v/>
      </c>
      <c r="KK40" s="161" t="str">
        <f t="shared" si="67"/>
        <v/>
      </c>
      <c r="KL40" s="161" t="str">
        <f t="shared" si="67"/>
        <v/>
      </c>
      <c r="KM40" s="77">
        <f t="shared" si="68"/>
        <v>0</v>
      </c>
      <c r="KN40" s="77">
        <f t="shared" si="68"/>
        <v>0</v>
      </c>
      <c r="KO40" s="77">
        <f t="shared" si="68"/>
        <v>0</v>
      </c>
      <c r="KP40" s="77">
        <f t="shared" si="68"/>
        <v>0</v>
      </c>
      <c r="KQ40" s="78">
        <f t="shared" si="66"/>
        <v>0</v>
      </c>
      <c r="KR40" s="76">
        <f t="shared" si="66"/>
        <v>0</v>
      </c>
      <c r="KS40" s="77">
        <f t="shared" si="66"/>
        <v>0</v>
      </c>
      <c r="KT40" s="161" t="str">
        <f t="shared" si="67"/>
        <v/>
      </c>
      <c r="KU40" s="161" t="str">
        <f t="shared" si="67"/>
        <v/>
      </c>
      <c r="KV40" s="161" t="str">
        <f t="shared" si="67"/>
        <v/>
      </c>
      <c r="KW40" s="77">
        <f t="shared" si="68"/>
        <v>0</v>
      </c>
      <c r="KX40" s="77">
        <f t="shared" si="68"/>
        <v>0</v>
      </c>
      <c r="KY40" s="77">
        <f t="shared" si="68"/>
        <v>0</v>
      </c>
      <c r="KZ40" s="77">
        <f t="shared" si="68"/>
        <v>0</v>
      </c>
      <c r="LA40" s="78">
        <f t="shared" ref="LA40:ME40" si="69">SUM(LA10:LA39)</f>
        <v>0</v>
      </c>
      <c r="LB40" s="76">
        <f t="shared" si="69"/>
        <v>0</v>
      </c>
      <c r="LC40" s="77">
        <f t="shared" si="69"/>
        <v>0</v>
      </c>
      <c r="LD40" s="161" t="str">
        <f t="shared" ref="LD40:LZ40" si="70">IF(ISERROR(AVERAGE(LD10:LD39)),"",AVERAGE(LD10:LD39))</f>
        <v/>
      </c>
      <c r="LE40" s="161" t="str">
        <f t="shared" si="70"/>
        <v/>
      </c>
      <c r="LF40" s="161" t="str">
        <f t="shared" si="70"/>
        <v/>
      </c>
      <c r="LG40" s="77">
        <f t="shared" ref="LG40:MD40" si="71">SUM(LG10:LG39)</f>
        <v>0</v>
      </c>
      <c r="LH40" s="77">
        <f t="shared" si="71"/>
        <v>0</v>
      </c>
      <c r="LI40" s="77">
        <f t="shared" si="71"/>
        <v>0</v>
      </c>
      <c r="LJ40" s="77">
        <f t="shared" si="71"/>
        <v>0</v>
      </c>
      <c r="LK40" s="78">
        <f t="shared" si="69"/>
        <v>0</v>
      </c>
      <c r="LL40" s="76">
        <f t="shared" si="69"/>
        <v>0</v>
      </c>
      <c r="LM40" s="77">
        <f t="shared" si="69"/>
        <v>0</v>
      </c>
      <c r="LN40" s="161" t="str">
        <f t="shared" si="70"/>
        <v/>
      </c>
      <c r="LO40" s="161" t="str">
        <f t="shared" si="70"/>
        <v/>
      </c>
      <c r="LP40" s="161" t="str">
        <f t="shared" si="70"/>
        <v/>
      </c>
      <c r="LQ40" s="77">
        <f t="shared" si="71"/>
        <v>0</v>
      </c>
      <c r="LR40" s="77">
        <f t="shared" si="71"/>
        <v>0</v>
      </c>
      <c r="LS40" s="77">
        <f t="shared" si="71"/>
        <v>0</v>
      </c>
      <c r="LT40" s="77">
        <f t="shared" si="71"/>
        <v>0</v>
      </c>
      <c r="LU40" s="78">
        <f t="shared" si="69"/>
        <v>0</v>
      </c>
      <c r="LV40" s="76">
        <f t="shared" si="69"/>
        <v>0</v>
      </c>
      <c r="LW40" s="77">
        <f t="shared" si="69"/>
        <v>0</v>
      </c>
      <c r="LX40" s="161" t="str">
        <f t="shared" si="70"/>
        <v/>
      </c>
      <c r="LY40" s="161" t="str">
        <f t="shared" si="70"/>
        <v/>
      </c>
      <c r="LZ40" s="161" t="str">
        <f t="shared" si="70"/>
        <v/>
      </c>
      <c r="MA40" s="77">
        <f t="shared" si="71"/>
        <v>0</v>
      </c>
      <c r="MB40" s="77">
        <f t="shared" si="71"/>
        <v>0</v>
      </c>
      <c r="MC40" s="77">
        <f t="shared" si="71"/>
        <v>0</v>
      </c>
      <c r="MD40" s="77">
        <f t="shared" si="71"/>
        <v>0</v>
      </c>
      <c r="ME40" s="78">
        <f t="shared" si="69"/>
        <v>0</v>
      </c>
    </row>
  </sheetData>
  <sheetProtection sort="0" autoFilter="0"/>
  <mergeCells count="503">
    <mergeCell ref="BD6:BI6"/>
    <mergeCell ref="Z8:Z9"/>
    <mergeCell ref="AA8:AA9"/>
    <mergeCell ref="AC8:AC9"/>
    <mergeCell ref="AD8:AD9"/>
    <mergeCell ref="AE8:AE9"/>
    <mergeCell ref="AF8:AF9"/>
    <mergeCell ref="AG8:AG9"/>
    <mergeCell ref="P8:P9"/>
    <mergeCell ref="Q8:Q9"/>
    <mergeCell ref="S8:S9"/>
    <mergeCell ref="U8:U9"/>
    <mergeCell ref="R8:R9"/>
    <mergeCell ref="AQ8:AQ9"/>
    <mergeCell ref="BD8:BD9"/>
    <mergeCell ref="BF8:BF9"/>
    <mergeCell ref="AL8:AL9"/>
    <mergeCell ref="AV8:AV9"/>
    <mergeCell ref="Z6:AE6"/>
    <mergeCell ref="AJ6:AO6"/>
    <mergeCell ref="C8:F8"/>
    <mergeCell ref="X5:AG5"/>
    <mergeCell ref="AH4:AQ4"/>
    <mergeCell ref="AH5:AQ5"/>
    <mergeCell ref="AH7:AK7"/>
    <mergeCell ref="AN7:AQ7"/>
    <mergeCell ref="AH8:AH9"/>
    <mergeCell ref="AI8:AI9"/>
    <mergeCell ref="AJ8:AJ9"/>
    <mergeCell ref="AK8:AK9"/>
    <mergeCell ref="AM8:AM9"/>
    <mergeCell ref="AN8:AN9"/>
    <mergeCell ref="AO8:AO9"/>
    <mergeCell ref="AP8:AP9"/>
    <mergeCell ref="T8:T9"/>
    <mergeCell ref="V8:V9"/>
    <mergeCell ref="W8:W9"/>
    <mergeCell ref="X7:AA7"/>
    <mergeCell ref="AD7:AG7"/>
    <mergeCell ref="AB8:AB9"/>
    <mergeCell ref="X4:AG4"/>
    <mergeCell ref="G8:O8"/>
    <mergeCell ref="X8:X9"/>
    <mergeCell ref="Y8:Y9"/>
    <mergeCell ref="AR4:BA4"/>
    <mergeCell ref="BB4:BK4"/>
    <mergeCell ref="AR5:BA5"/>
    <mergeCell ref="BB5:BK5"/>
    <mergeCell ref="AR7:AU7"/>
    <mergeCell ref="AX7:BA7"/>
    <mergeCell ref="BB7:BE7"/>
    <mergeCell ref="BH7:BK7"/>
    <mergeCell ref="AR8:AR9"/>
    <mergeCell ref="AS8:AS9"/>
    <mergeCell ref="AT8:AT9"/>
    <mergeCell ref="AU8:AU9"/>
    <mergeCell ref="AW8:AW9"/>
    <mergeCell ref="AX8:AX9"/>
    <mergeCell ref="AY8:AY9"/>
    <mergeCell ref="BE8:BE9"/>
    <mergeCell ref="BG8:BG9"/>
    <mergeCell ref="BH8:BH9"/>
    <mergeCell ref="BI8:BI9"/>
    <mergeCell ref="BJ8:BJ9"/>
    <mergeCell ref="AZ8:AZ9"/>
    <mergeCell ref="BA8:BA9"/>
    <mergeCell ref="BB8:BB9"/>
    <mergeCell ref="BC8:BC9"/>
    <mergeCell ref="CF4:CO4"/>
    <mergeCell ref="CP4:CY4"/>
    <mergeCell ref="BL5:BU5"/>
    <mergeCell ref="BV5:CE5"/>
    <mergeCell ref="CF5:CO5"/>
    <mergeCell ref="CP5:CY5"/>
    <mergeCell ref="BL7:BO7"/>
    <mergeCell ref="BR7:BU7"/>
    <mergeCell ref="BV7:BY7"/>
    <mergeCell ref="CB7:CE7"/>
    <mergeCell ref="CF7:CI7"/>
    <mergeCell ref="CL7:CO7"/>
    <mergeCell ref="CP7:CS7"/>
    <mergeCell ref="BN6:BS6"/>
    <mergeCell ref="CH6:CM6"/>
    <mergeCell ref="CR6:CW6"/>
    <mergeCell ref="BV8:BV9"/>
    <mergeCell ref="BW8:BW9"/>
    <mergeCell ref="BX8:BX9"/>
    <mergeCell ref="BY8:BY9"/>
    <mergeCell ref="CA8:CA9"/>
    <mergeCell ref="CB8:CB9"/>
    <mergeCell ref="BK8:BK9"/>
    <mergeCell ref="BL4:BU4"/>
    <mergeCell ref="BV4:CE4"/>
    <mergeCell ref="BL8:BL9"/>
    <mergeCell ref="BM8:BM9"/>
    <mergeCell ref="BN8:BN9"/>
    <mergeCell ref="BO8:BO9"/>
    <mergeCell ref="BP8:BP9"/>
    <mergeCell ref="BR8:BR9"/>
    <mergeCell ref="BS8:BS9"/>
    <mergeCell ref="BT8:BT9"/>
    <mergeCell ref="BU8:BU9"/>
    <mergeCell ref="BQ8:BQ9"/>
    <mergeCell ref="BZ8:BZ9"/>
    <mergeCell ref="BX6:CC6"/>
    <mergeCell ref="CH8:CH9"/>
    <mergeCell ref="CI8:CI9"/>
    <mergeCell ref="CK8:CK9"/>
    <mergeCell ref="CL8:CL9"/>
    <mergeCell ref="CM8:CM9"/>
    <mergeCell ref="CJ8:CJ9"/>
    <mergeCell ref="CC8:CC9"/>
    <mergeCell ref="CD8:CD9"/>
    <mergeCell ref="CE8:CE9"/>
    <mergeCell ref="CF8:CF9"/>
    <mergeCell ref="CG8:CG9"/>
    <mergeCell ref="CS8:CS9"/>
    <mergeCell ref="CU8:CU9"/>
    <mergeCell ref="CV8:CV9"/>
    <mergeCell ref="CW8:CW9"/>
    <mergeCell ref="CX8:CX9"/>
    <mergeCell ref="CT8:CT9"/>
    <mergeCell ref="CN8:CN9"/>
    <mergeCell ref="CO8:CO9"/>
    <mergeCell ref="CP8:CP9"/>
    <mergeCell ref="CQ8:CQ9"/>
    <mergeCell ref="CR8:CR9"/>
    <mergeCell ref="CY8:CY9"/>
    <mergeCell ref="CZ4:DI4"/>
    <mergeCell ref="DJ4:DS4"/>
    <mergeCell ref="DT4:EC4"/>
    <mergeCell ref="ED4:EM4"/>
    <mergeCell ref="CZ7:DC7"/>
    <mergeCell ref="DF7:DI7"/>
    <mergeCell ref="DJ7:DM7"/>
    <mergeCell ref="DP7:DS7"/>
    <mergeCell ref="DT7:DW7"/>
    <mergeCell ref="DZ7:EC7"/>
    <mergeCell ref="ED7:EG7"/>
    <mergeCell ref="EJ7:EM7"/>
    <mergeCell ref="DO8:DO9"/>
    <mergeCell ref="DP8:DP9"/>
    <mergeCell ref="DQ8:DQ9"/>
    <mergeCell ref="CV7:CY7"/>
    <mergeCell ref="DR8:DR9"/>
    <mergeCell ref="DS8:DS9"/>
    <mergeCell ref="DT8:DT9"/>
    <mergeCell ref="DU8:DU9"/>
    <mergeCell ref="DV8:DV9"/>
    <mergeCell ref="CZ8:CZ9"/>
    <mergeCell ref="DA8:DA9"/>
    <mergeCell ref="FD7:FG7"/>
    <mergeCell ref="FH7:FK7"/>
    <mergeCell ref="EN4:EW4"/>
    <mergeCell ref="EX4:FG4"/>
    <mergeCell ref="FH4:FQ4"/>
    <mergeCell ref="FR4:GA4"/>
    <mergeCell ref="CZ5:DI5"/>
    <mergeCell ref="DJ5:DS5"/>
    <mergeCell ref="DT5:EC5"/>
    <mergeCell ref="ED5:EM5"/>
    <mergeCell ref="EN5:EW5"/>
    <mergeCell ref="EX5:FG5"/>
    <mergeCell ref="FH5:FQ5"/>
    <mergeCell ref="FR5:GA5"/>
    <mergeCell ref="FN7:FQ7"/>
    <mergeCell ref="FR7:FU7"/>
    <mergeCell ref="FX7:GA7"/>
    <mergeCell ref="DL6:DQ6"/>
    <mergeCell ref="DV6:EA6"/>
    <mergeCell ref="EF6:EK6"/>
    <mergeCell ref="EP6:EU6"/>
    <mergeCell ref="EZ6:FE6"/>
    <mergeCell ref="FJ6:FO6"/>
    <mergeCell ref="FT6:FY6"/>
    <mergeCell ref="DB8:DB9"/>
    <mergeCell ref="DC8:DC9"/>
    <mergeCell ref="DE8:DE9"/>
    <mergeCell ref="DF8:DF9"/>
    <mergeCell ref="DG8:DG9"/>
    <mergeCell ref="DH8:DH9"/>
    <mergeCell ref="DI8:DI9"/>
    <mergeCell ref="DJ8:DJ9"/>
    <mergeCell ref="DK8:DK9"/>
    <mergeCell ref="DD8:DD9"/>
    <mergeCell ref="DL8:DL9"/>
    <mergeCell ref="DM8:DM9"/>
    <mergeCell ref="EN7:EQ7"/>
    <mergeCell ref="ET7:EW7"/>
    <mergeCell ref="EX7:FA7"/>
    <mergeCell ref="EC8:EC9"/>
    <mergeCell ref="ED8:ED9"/>
    <mergeCell ref="EE8:EE9"/>
    <mergeCell ref="EF8:EF9"/>
    <mergeCell ref="EG8:EG9"/>
    <mergeCell ref="DW8:DW9"/>
    <mergeCell ref="DY8:DY9"/>
    <mergeCell ref="DZ8:DZ9"/>
    <mergeCell ref="EA8:EA9"/>
    <mergeCell ref="EB8:EB9"/>
    <mergeCell ref="EN8:EN9"/>
    <mergeCell ref="EO8:EO9"/>
    <mergeCell ref="EP8:EP9"/>
    <mergeCell ref="EQ8:EQ9"/>
    <mergeCell ref="ES8:ES9"/>
    <mergeCell ref="EI8:EI9"/>
    <mergeCell ref="EJ8:EJ9"/>
    <mergeCell ref="EK8:EK9"/>
    <mergeCell ref="EL8:EL9"/>
    <mergeCell ref="EM8:EM9"/>
    <mergeCell ref="EY8:EY9"/>
    <mergeCell ref="EZ8:EZ9"/>
    <mergeCell ref="FA8:FA9"/>
    <mergeCell ref="FC8:FC9"/>
    <mergeCell ref="FD8:FD9"/>
    <mergeCell ref="FB8:FB9"/>
    <mergeCell ref="ET8:ET9"/>
    <mergeCell ref="EU8:EU9"/>
    <mergeCell ref="EV8:EV9"/>
    <mergeCell ref="EW8:EW9"/>
    <mergeCell ref="EX8:EX9"/>
    <mergeCell ref="FJ8:FJ9"/>
    <mergeCell ref="FK8:FK9"/>
    <mergeCell ref="FM8:FM9"/>
    <mergeCell ref="FN8:FN9"/>
    <mergeCell ref="FO8:FO9"/>
    <mergeCell ref="FL8:FL9"/>
    <mergeCell ref="FE8:FE9"/>
    <mergeCell ref="FF8:FF9"/>
    <mergeCell ref="FG8:FG9"/>
    <mergeCell ref="FH8:FH9"/>
    <mergeCell ref="FI8:FI9"/>
    <mergeCell ref="FW8:FW9"/>
    <mergeCell ref="FX8:FX9"/>
    <mergeCell ref="FY8:FY9"/>
    <mergeCell ref="FZ8:FZ9"/>
    <mergeCell ref="FV8:FV9"/>
    <mergeCell ref="FP8:FP9"/>
    <mergeCell ref="FQ8:FQ9"/>
    <mergeCell ref="FR8:FR9"/>
    <mergeCell ref="FS8:FS9"/>
    <mergeCell ref="FT8:FT9"/>
    <mergeCell ref="FU8:FU9"/>
    <mergeCell ref="IT4:JC4"/>
    <mergeCell ref="JD4:JM4"/>
    <mergeCell ref="GA8:GA9"/>
    <mergeCell ref="GB4:GK4"/>
    <mergeCell ref="GL4:GU4"/>
    <mergeCell ref="GV4:HE4"/>
    <mergeCell ref="HF4:HO4"/>
    <mergeCell ref="GQ8:GQ9"/>
    <mergeCell ref="GR8:GR9"/>
    <mergeCell ref="GS8:GS9"/>
    <mergeCell ref="GT8:GT9"/>
    <mergeCell ref="GU8:GU9"/>
    <mergeCell ref="GV8:GV9"/>
    <mergeCell ref="GW8:GW9"/>
    <mergeCell ref="GX8:GX9"/>
    <mergeCell ref="GY8:GY9"/>
    <mergeCell ref="HA8:HA9"/>
    <mergeCell ref="HB8:HB9"/>
    <mergeCell ref="HG8:HG9"/>
    <mergeCell ref="HZ8:HZ9"/>
    <mergeCell ref="IA8:IA9"/>
    <mergeCell ref="IB8:IB9"/>
    <mergeCell ref="IC8:IC9"/>
    <mergeCell ref="HS8:HS9"/>
    <mergeCell ref="LL4:LU4"/>
    <mergeCell ref="LV4:ME4"/>
    <mergeCell ref="GB5:GK5"/>
    <mergeCell ref="GL5:GU5"/>
    <mergeCell ref="GV5:HE5"/>
    <mergeCell ref="HF5:HO5"/>
    <mergeCell ref="HP5:HY5"/>
    <mergeCell ref="HZ5:II5"/>
    <mergeCell ref="IJ5:IS5"/>
    <mergeCell ref="IT5:JC5"/>
    <mergeCell ref="JD5:JM5"/>
    <mergeCell ref="JN5:JW5"/>
    <mergeCell ref="JX5:KG5"/>
    <mergeCell ref="KH5:KQ5"/>
    <mergeCell ref="KR5:LA5"/>
    <mergeCell ref="LB5:LK5"/>
    <mergeCell ref="JN4:JW4"/>
    <mergeCell ref="JX4:KG4"/>
    <mergeCell ref="KH4:KQ4"/>
    <mergeCell ref="KR4:LA4"/>
    <mergeCell ref="LB4:LK4"/>
    <mergeCell ref="HP4:HY4"/>
    <mergeCell ref="HZ4:II4"/>
    <mergeCell ref="IJ4:IS4"/>
    <mergeCell ref="LV5:ME5"/>
    <mergeCell ref="GB7:GE7"/>
    <mergeCell ref="GH7:GK7"/>
    <mergeCell ref="GL7:GO7"/>
    <mergeCell ref="GR7:GU7"/>
    <mergeCell ref="GV7:GY7"/>
    <mergeCell ref="HB7:HE7"/>
    <mergeCell ref="HF7:HI7"/>
    <mergeCell ref="HL7:HO7"/>
    <mergeCell ref="HP7:HS7"/>
    <mergeCell ref="HV7:HY7"/>
    <mergeCell ref="HZ7:IC7"/>
    <mergeCell ref="IF7:II7"/>
    <mergeCell ref="IJ7:IM7"/>
    <mergeCell ref="IP7:IS7"/>
    <mergeCell ref="KD7:KG7"/>
    <mergeCell ref="KH7:KK7"/>
    <mergeCell ref="KN7:KQ7"/>
    <mergeCell ref="IT7:IW7"/>
    <mergeCell ref="IZ7:JC7"/>
    <mergeCell ref="JD7:JG7"/>
    <mergeCell ref="JJ7:JM7"/>
    <mergeCell ref="JN7:JQ7"/>
    <mergeCell ref="LL5:LU5"/>
    <mergeCell ref="LR7:LU7"/>
    <mergeCell ref="LV7:LY7"/>
    <mergeCell ref="MB7:ME7"/>
    <mergeCell ref="GB8:GB9"/>
    <mergeCell ref="GC8:GC9"/>
    <mergeCell ref="GD8:GD9"/>
    <mergeCell ref="GE8:GE9"/>
    <mergeCell ref="GG8:GG9"/>
    <mergeCell ref="GH8:GH9"/>
    <mergeCell ref="GI8:GI9"/>
    <mergeCell ref="GJ8:GJ9"/>
    <mergeCell ref="GK8:GK9"/>
    <mergeCell ref="GL8:GL9"/>
    <mergeCell ref="GM8:GM9"/>
    <mergeCell ref="GN8:GN9"/>
    <mergeCell ref="GO8:GO9"/>
    <mergeCell ref="KR7:KU7"/>
    <mergeCell ref="KX7:LA7"/>
    <mergeCell ref="LB7:LE7"/>
    <mergeCell ref="LH7:LK7"/>
    <mergeCell ref="LL7:LO7"/>
    <mergeCell ref="JT7:JW7"/>
    <mergeCell ref="JX7:KA7"/>
    <mergeCell ref="HY8:HY9"/>
    <mergeCell ref="IP8:IP9"/>
    <mergeCell ref="IQ8:IQ9"/>
    <mergeCell ref="IR8:IR9"/>
    <mergeCell ref="IS8:IS9"/>
    <mergeCell ref="IT8:IT9"/>
    <mergeCell ref="HU8:HU9"/>
    <mergeCell ref="HV8:HV9"/>
    <mergeCell ref="HW8:HW9"/>
    <mergeCell ref="HX8:HX9"/>
    <mergeCell ref="IJ8:IJ9"/>
    <mergeCell ref="IK8:IK9"/>
    <mergeCell ref="IL8:IL9"/>
    <mergeCell ref="IM8:IM9"/>
    <mergeCell ref="IO8:IO9"/>
    <mergeCell ref="IE8:IE9"/>
    <mergeCell ref="IF8:IF9"/>
    <mergeCell ref="IG8:IG9"/>
    <mergeCell ref="IH8:IH9"/>
    <mergeCell ref="II8:II9"/>
    <mergeCell ref="JA8:JA9"/>
    <mergeCell ref="JB8:JB9"/>
    <mergeCell ref="JC8:JC9"/>
    <mergeCell ref="JD8:JD9"/>
    <mergeCell ref="JE8:JE9"/>
    <mergeCell ref="IU8:IU9"/>
    <mergeCell ref="IV8:IV9"/>
    <mergeCell ref="IW8:IW9"/>
    <mergeCell ref="IY8:IY9"/>
    <mergeCell ref="IZ8:IZ9"/>
    <mergeCell ref="JL8:JL9"/>
    <mergeCell ref="JM8:JM9"/>
    <mergeCell ref="JN8:JN9"/>
    <mergeCell ref="JO8:JO9"/>
    <mergeCell ref="JP8:JP9"/>
    <mergeCell ref="JF8:JF9"/>
    <mergeCell ref="JG8:JG9"/>
    <mergeCell ref="JI8:JI9"/>
    <mergeCell ref="JJ8:JJ9"/>
    <mergeCell ref="JK8:JK9"/>
    <mergeCell ref="JH8:JH9"/>
    <mergeCell ref="KF8:KF9"/>
    <mergeCell ref="KG8:KG9"/>
    <mergeCell ref="JW8:JW9"/>
    <mergeCell ref="JX8:JX9"/>
    <mergeCell ref="JY8:JY9"/>
    <mergeCell ref="JZ8:JZ9"/>
    <mergeCell ref="KA8:KA9"/>
    <mergeCell ref="KB8:KB9"/>
    <mergeCell ref="JQ8:JQ9"/>
    <mergeCell ref="JS8:JS9"/>
    <mergeCell ref="JT8:JT9"/>
    <mergeCell ref="JU8:JU9"/>
    <mergeCell ref="JV8:JV9"/>
    <mergeCell ref="JR8:JR9"/>
    <mergeCell ref="ME8:ME9"/>
    <mergeCell ref="LU8:LU9"/>
    <mergeCell ref="LV8:LV9"/>
    <mergeCell ref="LW8:LW9"/>
    <mergeCell ref="LX8:LX9"/>
    <mergeCell ref="LY8:LY9"/>
    <mergeCell ref="LO8:LO9"/>
    <mergeCell ref="LQ8:LQ9"/>
    <mergeCell ref="LR8:LR9"/>
    <mergeCell ref="LS8:LS9"/>
    <mergeCell ref="LT8:LT9"/>
    <mergeCell ref="LZ8:LZ9"/>
    <mergeCell ref="MA8:MA9"/>
    <mergeCell ref="MB8:MB9"/>
    <mergeCell ref="MC8:MC9"/>
    <mergeCell ref="MD8:MD9"/>
    <mergeCell ref="LP8:LP9"/>
    <mergeCell ref="KO8:KO9"/>
    <mergeCell ref="KP8:KP9"/>
    <mergeCell ref="KQ8:KQ9"/>
    <mergeCell ref="LJ8:LJ9"/>
    <mergeCell ref="LK8:LK9"/>
    <mergeCell ref="LL8:LL9"/>
    <mergeCell ref="LM8:LM9"/>
    <mergeCell ref="LN8:LN9"/>
    <mergeCell ref="LD8:LD9"/>
    <mergeCell ref="LE8:LE9"/>
    <mergeCell ref="LG8:LG9"/>
    <mergeCell ref="LH8:LH9"/>
    <mergeCell ref="LI8:LI9"/>
    <mergeCell ref="LF8:LF9"/>
    <mergeCell ref="KR8:KR9"/>
    <mergeCell ref="HE8:HE9"/>
    <mergeCell ref="HF8:HF9"/>
    <mergeCell ref="GF8:GF9"/>
    <mergeCell ref="KY8:KY9"/>
    <mergeCell ref="KZ8:KZ9"/>
    <mergeCell ref="LA8:LA9"/>
    <mergeCell ref="LB8:LB9"/>
    <mergeCell ref="LC8:LC9"/>
    <mergeCell ref="KD8:KD9"/>
    <mergeCell ref="GP8:GP9"/>
    <mergeCell ref="GZ8:GZ9"/>
    <mergeCell ref="HJ8:HJ9"/>
    <mergeCell ref="HT8:HT9"/>
    <mergeCell ref="KL8:KL9"/>
    <mergeCell ref="KV8:KV9"/>
    <mergeCell ref="ID8:ID9"/>
    <mergeCell ref="IN8:IN9"/>
    <mergeCell ref="IX8:IX9"/>
    <mergeCell ref="KS8:KS9"/>
    <mergeCell ref="KT8:KT9"/>
    <mergeCell ref="KU8:KU9"/>
    <mergeCell ref="KW8:KW9"/>
    <mergeCell ref="KX8:KX9"/>
    <mergeCell ref="KN8:KN9"/>
    <mergeCell ref="KH8:KH9"/>
    <mergeCell ref="KI8:KI9"/>
    <mergeCell ref="KJ8:KJ9"/>
    <mergeCell ref="KK8:KK9"/>
    <mergeCell ref="KM8:KM9"/>
    <mergeCell ref="KC8:KC9"/>
    <mergeCell ref="KE8:KE9"/>
    <mergeCell ref="AT6:AY6"/>
    <mergeCell ref="DN8:DN9"/>
    <mergeCell ref="DX8:DX9"/>
    <mergeCell ref="EH8:EH9"/>
    <mergeCell ref="ER8:ER9"/>
    <mergeCell ref="HN8:HN9"/>
    <mergeCell ref="HO8:HO9"/>
    <mergeCell ref="HP8:HP9"/>
    <mergeCell ref="HQ8:HQ9"/>
    <mergeCell ref="HR8:HR9"/>
    <mergeCell ref="HH8:HH9"/>
    <mergeCell ref="HI8:HI9"/>
    <mergeCell ref="HK8:HK9"/>
    <mergeCell ref="HL8:HL9"/>
    <mergeCell ref="HM8:HM9"/>
    <mergeCell ref="HC8:HC9"/>
    <mergeCell ref="HD8:HD9"/>
    <mergeCell ref="C4:W5"/>
    <mergeCell ref="H6:J6"/>
    <mergeCell ref="D6:F6"/>
    <mergeCell ref="D7:F7"/>
    <mergeCell ref="H7:J7"/>
    <mergeCell ref="N7:P7"/>
    <mergeCell ref="N6:P6"/>
    <mergeCell ref="R6:S6"/>
    <mergeCell ref="R7:S7"/>
    <mergeCell ref="T6:U6"/>
    <mergeCell ref="T7:U7"/>
    <mergeCell ref="V6:W6"/>
    <mergeCell ref="V7:W7"/>
    <mergeCell ref="DB6:DG6"/>
    <mergeCell ref="JZ6:KE6"/>
    <mergeCell ref="KJ6:KO6"/>
    <mergeCell ref="KT6:KY6"/>
    <mergeCell ref="LD6:LI6"/>
    <mergeCell ref="LN6:LS6"/>
    <mergeCell ref="LX6:MC6"/>
    <mergeCell ref="GD6:GI6"/>
    <mergeCell ref="GN6:GS6"/>
    <mergeCell ref="GX6:HC6"/>
    <mergeCell ref="HH6:HM6"/>
    <mergeCell ref="HR6:HW6"/>
    <mergeCell ref="IB6:IG6"/>
    <mergeCell ref="IL6:IQ6"/>
    <mergeCell ref="JF6:JK6"/>
    <mergeCell ref="JP6:JU6"/>
    <mergeCell ref="IV6:JA6"/>
  </mergeCells>
  <dataValidations count="3">
    <dataValidation type="list" allowBlank="1" showInputMessage="1" showErrorMessage="1" sqref="AJ6:AO6 IV6 LD6 KT6 KJ6 JZ6 JP6 JF6 IL6 DB6 IB6 HR6 HH6 GX6 GN6 GD6 FT6 FJ6 EZ6 EP6 EF6 DV6 DL6 CR6 LX6 CH6 BX6 LN6 BD6 AT6" xr:uid="{31C9E24E-B117-4EFD-AF67-0BCD6275CE57}">
      <formula1>$S$4:$S$6</formula1>
    </dataValidation>
    <dataValidation type="list" allowBlank="1" showInputMessage="1" showErrorMessage="1" sqref="LV10:LV39 BB10:BB39 AR10:AR39 AH10:AH39 X10:X39 BV10:BV39 CF10:CF39 CP10:CP39 CZ10:CZ39 DJ10:DJ39 DT10:DT39 ED10:ED39 EN10:EN39 EX10:EX39 FH10:FH39 FR10:FR39 GB10:GB39 GL10:GL39 GV10:GV39 HF10:HF39 HP10:HP39 HZ10:HZ39 IJ10:IJ39 IT10:IT39 JD10:JD39 JN10:JN39 JX10:JX39 KH10:KH39 KR10:KR39 LB10:LB39 LL10:LL39 BL10:BL39" xr:uid="{ACC23C8E-284B-4008-B177-B60801387B52}">
      <formula1>$C$9:$F$9</formula1>
    </dataValidation>
    <dataValidation type="list" allowBlank="1" showInputMessage="1" showErrorMessage="1" sqref="KS10:KS39 LC10:LC39 LM10:LM39 KI10:KI39 LW10:LW39 BW10:BW39 CG10:CG39 CQ10:CQ39 DA10:DA39 DK10:DK39 DU10:DU39 EE10:EE39 EO10:EO39 EY10:EY39 FI10:FI39 FS10:FS39 GC10:GC39 GM10:GM39 GW10:GW39 HG10:HG39 HQ10:HQ39 IA10:IA39 IK10:IK39 IU10:IU39 JE10:JE39 JO10:JO39 JY10:JY39" xr:uid="{3F277D17-4EAD-4A48-8A98-BDE32AA65EB5}">
      <formula1>$G$9:$O$9</formula1>
    </dataValidation>
  </dataValidations>
  <pageMargins left="0.7" right="0.7" top="0.75" bottom="0.75" header="0.3" footer="0.3"/>
  <pageSetup paperSize="9" orientation="portrait" verticalDpi="0" r:id="rId1"/>
  <ignoredErrors>
    <ignoredError sqref="C9:J9 L9" unlockedFormula="1"/>
  </ignoredErrors>
  <drawing r:id="rId2"/>
  <legacyDrawing r:id="rId3"/>
  <mc:AlternateContent xmlns:mc="http://schemas.openxmlformats.org/markup-compatibility/2006">
    <mc:Choice Requires="x14">
      <controls>
        <mc:AlternateContent xmlns:mc="http://schemas.openxmlformats.org/markup-compatibility/2006">
          <mc:Choice Requires="x14">
            <control shapeId="15361" r:id="rId4" name="Button 1">
              <controlPr defaultSize="0" print="0" autoFill="0" autoPict="0" macro="[0]!CloseOnglet">
                <anchor moveWithCells="1" sizeWithCells="1">
                  <from>
                    <xdr:col>0</xdr:col>
                    <xdr:colOff>114300</xdr:colOff>
                    <xdr:row>2</xdr:row>
                    <xdr:rowOff>180975</xdr:rowOff>
                  </from>
                  <to>
                    <xdr:col>1</xdr:col>
                    <xdr:colOff>1438275</xdr:colOff>
                    <xdr:row>4</xdr:row>
                    <xdr:rowOff>47625</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3">
        <x14:dataValidation type="list" allowBlank="1" showInputMessage="1" showErrorMessage="1" xr:uid="{19BAAA65-EEBC-42AE-AB14-ED2CD90ED5C7}">
          <x14:formula1>
            <xm:f>Paramétres!$T$5:$T$7</xm:f>
          </x14:formula1>
          <xm:sqref>Z6:AE6 BN6:BS6</xm:sqref>
        </x14:dataValidation>
        <x14:dataValidation type="list" allowBlank="1" showInputMessage="1" showErrorMessage="1" xr:uid="{DEF81F2D-F22A-481E-A720-4773C65FF637}">
          <x14:formula1>
            <xm:f>Paramétres!$P$5:$P$15</xm:f>
          </x14:formula1>
          <xm:sqref>Y10:Y39 AI10:AI39 AS10:AS39 BC10:BC39 BM10:BM39</xm:sqref>
        </x14:dataValidation>
        <x14:dataValidation type="whole" allowBlank="1" showInputMessage="1" showErrorMessage="1" xr:uid="{4418F5DC-1D82-46FB-A81E-78CC8F8C9D48}">
          <x14:formula1>
            <xm:f>0</xm:f>
          </x14:formula1>
          <x14:formula2>
            <xm:f>Paramétres!XBT1048564</xm:f>
          </x14:formula2>
          <xm:sqref>LX10:LX39 Z10:Z39 AJ10:AJ39 AT10:AT39 BD10:BD39 BN10:BN39 BX10:BX39 CH10:CH39 CR10:CR39 DB10:DB39 DL10:DL39 DV10:DV39 EF10:EF39 EP10:EP39 EZ10:EZ39 FJ10:FJ39 FT10:FT39 GD10:GD39 GN10:GN39 GX10:GX39 HH10:HH39 HR10:HR39 IB10:IB39 IL10:IL39 IV10:IV39 JF10:JF39 JP10:JP39 JZ10:JZ39 KJ10:KJ39 KT10:KT39 LD10:LD39 LN10:LN39</xm:sqref>
        </x14:dataValidation>
      </x14:dataValidations>
    </ext>
  </extLst>
</worksheet>
</file>

<file path=xl/worksheets/sheet2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Sheet4">
    <tabColor theme="1" tint="0.249977111117893"/>
    <pageSetUpPr autoPageBreaks="0" fitToPage="1"/>
  </sheetPr>
  <dimension ref="B1:T297"/>
  <sheetViews>
    <sheetView showGridLines="0" workbookViewId="0">
      <selection activeCell="G33" sqref="G33"/>
    </sheetView>
  </sheetViews>
  <sheetFormatPr baseColWidth="10" defaultColWidth="9.140625" defaultRowHeight="16.5" customHeight="1"/>
  <cols>
    <col min="1" max="1" width="3.140625" customWidth="1"/>
    <col min="2" max="2" width="12.140625" customWidth="1"/>
    <col min="3" max="3" width="26.5703125" customWidth="1"/>
    <col min="4" max="4" width="12.85546875" bestFit="1" customWidth="1"/>
    <col min="5" max="7" width="10.85546875" customWidth="1"/>
    <col min="9" max="9" width="23.85546875" customWidth="1"/>
  </cols>
  <sheetData>
    <row r="1" spans="2:17" ht="14.1" customHeight="1">
      <c r="B1" s="1"/>
      <c r="G1" t="s">
        <v>3</v>
      </c>
    </row>
    <row r="2" spans="2:17" ht="31.5" customHeight="1">
      <c r="B2" s="647" t="s">
        <v>395</v>
      </c>
      <c r="C2" s="647"/>
      <c r="D2" s="647"/>
      <c r="E2" s="647"/>
      <c r="F2" s="91" t="s">
        <v>43</v>
      </c>
      <c r="G2" s="27">
        <f xml:space="preserve"> MATCH(B2,Tableau6[Nom Prénom],0)</f>
        <v>12</v>
      </c>
      <c r="J2" s="640" t="str">
        <f>INDEX('BDD - Joueurs'!G2:G31,G2)</f>
        <v>1 RUE G BIZET APT 192</v>
      </c>
      <c r="K2" s="640"/>
      <c r="L2" s="640"/>
      <c r="M2" s="640"/>
      <c r="N2" s="640"/>
      <c r="O2" s="640"/>
      <c r="P2" s="640"/>
      <c r="Q2" s="640"/>
    </row>
    <row r="3" spans="2:17" ht="31.5" customHeight="1">
      <c r="B3" s="648">
        <f>INDEX('BDD - Joueurs'!C2:C31,G2)</f>
        <v>37945</v>
      </c>
      <c r="C3" s="648"/>
      <c r="D3" s="26"/>
      <c r="E3" s="649" t="str">
        <f>INDEX('BDD - Joueurs'!E2:E31,G2)</f>
        <v>Droitier</v>
      </c>
      <c r="F3" s="649"/>
      <c r="G3" s="649"/>
      <c r="J3" s="641">
        <f>INDEX('BDD - Joueurs'!H2:H31,G2)</f>
        <v>60200</v>
      </c>
      <c r="K3" s="641"/>
      <c r="L3" s="641" t="str">
        <f>INDEX('BDD - Joueurs'!I2:I31,G2)</f>
        <v>COMPIEGNE</v>
      </c>
      <c r="M3" s="641"/>
      <c r="N3" s="641"/>
      <c r="O3" s="641"/>
      <c r="P3" s="87"/>
      <c r="Q3" s="87"/>
    </row>
    <row r="4" spans="2:17" s="173" customFormat="1" ht="30" customHeight="1">
      <c r="B4" s="650" t="str">
        <f>INDEX('BDD - Joueurs'!F2:F31,G2)</f>
        <v>Attaquant</v>
      </c>
      <c r="C4" s="650"/>
      <c r="D4" s="650"/>
      <c r="E4" s="650"/>
      <c r="F4" s="650"/>
      <c r="G4" s="650"/>
      <c r="J4" s="88"/>
      <c r="K4" s="88"/>
      <c r="L4" s="88"/>
      <c r="M4" s="88"/>
      <c r="N4" s="88"/>
      <c r="O4" s="88"/>
      <c r="P4" s="88"/>
      <c r="Q4" s="88"/>
    </row>
    <row r="5" spans="2:17" ht="31.5" customHeight="1">
      <c r="B5" s="175" t="s">
        <v>217</v>
      </c>
      <c r="C5" s="175" t="s">
        <v>245</v>
      </c>
      <c r="D5" s="175" t="s">
        <v>225</v>
      </c>
      <c r="E5" s="176"/>
      <c r="F5" s="176"/>
      <c r="G5" s="175"/>
      <c r="J5" s="88" t="s">
        <v>442</v>
      </c>
      <c r="K5" s="87"/>
      <c r="L5" s="89"/>
      <c r="M5" s="89" t="s">
        <v>443</v>
      </c>
      <c r="N5" s="87"/>
      <c r="O5" s="87"/>
      <c r="P5" s="87"/>
      <c r="Q5" s="87"/>
    </row>
    <row r="6" spans="2:17" s="173" customFormat="1" ht="30" customHeight="1">
      <c r="B6" s="158">
        <f>INDEX(Tableau6[VMA],G2)</f>
        <v>0</v>
      </c>
      <c r="C6" s="177">
        <f>INDEX(Tableau6[VIFT],G2)</f>
        <v>16</v>
      </c>
      <c r="D6" s="364">
        <f>INDEX(VAK!F5:F34,'Fiche joueur'!G2)</f>
        <v>0</v>
      </c>
      <c r="E6" s="364"/>
      <c r="F6" s="364"/>
      <c r="G6" s="364"/>
      <c r="J6" s="642" t="str">
        <f>INDEX('BDD - Joueurs'!J2:J31,G2)</f>
        <v>06 68 13 04 67</v>
      </c>
      <c r="K6" s="642"/>
      <c r="L6" s="88"/>
      <c r="M6" s="642" t="str">
        <f>INDEX('BDD - Joueurs'!K2:K31,G2)</f>
        <v>06 13 76 38 37</v>
      </c>
      <c r="N6" s="642"/>
      <c r="O6" s="88"/>
      <c r="P6" s="88"/>
      <c r="Q6" s="88"/>
    </row>
    <row r="7" spans="2:17" s="173" customFormat="1" ht="30" customHeight="1">
      <c r="B7" s="158"/>
      <c r="C7" s="307"/>
      <c r="D7" s="307"/>
      <c r="E7" s="307"/>
      <c r="F7" s="159"/>
      <c r="G7" s="158"/>
      <c r="J7" s="308"/>
      <c r="K7" s="308"/>
      <c r="L7" s="88"/>
      <c r="M7" s="308"/>
      <c r="N7" s="308"/>
      <c r="O7" s="88"/>
      <c r="P7" s="88"/>
      <c r="Q7" s="88"/>
    </row>
    <row r="8" spans="2:17" ht="14.1" customHeight="1">
      <c r="B8" s="41"/>
      <c r="C8" s="42"/>
      <c r="D8" s="43"/>
      <c r="E8" s="43"/>
      <c r="F8" s="43"/>
      <c r="G8" s="43"/>
    </row>
    <row r="9" spans="2:17" ht="31.5" customHeight="1">
      <c r="B9" s="574" t="s">
        <v>67</v>
      </c>
      <c r="C9" s="574"/>
      <c r="D9" s="574"/>
      <c r="E9" s="574"/>
      <c r="F9" s="574"/>
      <c r="G9" s="574"/>
      <c r="H9" s="574"/>
      <c r="I9" s="574"/>
      <c r="J9" s="574"/>
      <c r="K9" s="574"/>
      <c r="L9" s="574"/>
      <c r="M9" s="574"/>
      <c r="N9" s="574"/>
      <c r="O9" s="574"/>
      <c r="P9" s="574"/>
      <c r="Q9" s="574"/>
    </row>
    <row r="10" spans="2:17" ht="14.1" customHeight="1"/>
    <row r="11" spans="2:17" ht="15.95" customHeight="1">
      <c r="B11" s="7" t="s">
        <v>5</v>
      </c>
      <c r="C11" s="5" t="s">
        <v>11</v>
      </c>
      <c r="D11" s="7" t="s">
        <v>68</v>
      </c>
      <c r="E11" s="5" t="s">
        <v>7</v>
      </c>
      <c r="F11" s="7" t="s">
        <v>108</v>
      </c>
      <c r="G11" s="315" t="s">
        <v>253</v>
      </c>
      <c r="I11" s="36" t="s">
        <v>17</v>
      </c>
      <c r="J11" s="15"/>
      <c r="K11" s="15"/>
      <c r="M11" s="637" t="s">
        <v>74</v>
      </c>
      <c r="N11" s="637"/>
      <c r="O11" s="637"/>
      <c r="P11" s="52"/>
      <c r="Q11" s="52"/>
    </row>
    <row r="12" spans="2:17" ht="15.95" customHeight="1">
      <c r="B12" s="29">
        <f>IF(INDEX(TabEntrainement[Seance],ROW()-11)&lt;&gt;0,INDEX(TabEntrainement[Seance],ROW()-11),"")</f>
        <v>43318</v>
      </c>
      <c r="C12" s="6" t="str">
        <f>IF((INDEX(TabEntrainement[[J1]:[J30]],ROW()-11,$G$2))=0,"",INDEX(TabEntrainement[[J1]:[J30]],ROW()-11,$G$2))</f>
        <v>Vacances</v>
      </c>
      <c r="D12" s="22" t="str">
        <f>IF(INDEX(TabForme[[J1]:[J30]],ROW()-11,$G$2)=0,"",INDEX(TabForme[[J1]:[J30]],ROW()-11,$G$2))</f>
        <v/>
      </c>
      <c r="E12" s="318" t="str">
        <f>IF(INDEX(TabREP[[J1]:[J30]],ROW()-11,$G$2)=0,"",INDEX(TabREP[[J1]:[J30]],ROW()-11,$G$2))</f>
        <v/>
      </c>
      <c r="F12" s="22" t="str">
        <f>IF(INDEX(TabREP39[[J1]:[J30]],ROW()-11,$G$2)=0,"",INDEX(TabREP39[[J1]:[J30]],ROW()-11,$G$2))</f>
        <v/>
      </c>
      <c r="G12" s="318">
        <f>INDEX(TabBilanMental15[],ROW()-11,4)</f>
        <v>357.33333333333331</v>
      </c>
      <c r="I12" s="381" t="str">
        <f>INDEX(ParamPresence[#Data],1)</f>
        <v>Présent</v>
      </c>
      <c r="J12" s="19">
        <f>INDEX(TabBilanEntrainement[#Data],1,$G$2+1)</f>
        <v>17</v>
      </c>
      <c r="K12" s="392">
        <f>J12/J21</f>
        <v>0.70833333333333337</v>
      </c>
      <c r="M12" s="638" t="s">
        <v>68</v>
      </c>
      <c r="N12" s="638"/>
      <c r="O12" s="639"/>
      <c r="P12" s="53">
        <f>BilanIndivSeance[[#Totals],[Forme]]</f>
        <v>3.7058823529411766</v>
      </c>
      <c r="Q12" s="391">
        <f>BilanIndivSeance[[#Totals],[Forme]]</f>
        <v>3.7058823529411766</v>
      </c>
    </row>
    <row r="13" spans="2:17" ht="15.95" customHeight="1">
      <c r="B13" s="29">
        <f>IF(INDEX(TabEntrainement[Seance],ROW()-11)&lt;&gt;0,INDEX(TabEntrainement[Seance],ROW()-11),"")</f>
        <v>43319</v>
      </c>
      <c r="C13" s="6" t="str">
        <f>IF((INDEX(TabEntrainement[[J1]:[J30]],ROW()-11,$G$2))=0,"",INDEX(TabEntrainement[[J1]:[J30]],ROW()-11,$G$2))</f>
        <v>Vacances</v>
      </c>
      <c r="D13" s="22" t="str">
        <f>IF(INDEX(TabForme[[J1]:[J30]],ROW()-11,$G$2)=0,"",INDEX(TabForme[[J1]:[J30]],ROW()-11,$G$2))</f>
        <v/>
      </c>
      <c r="E13" s="318" t="str">
        <f>IF(INDEX(TabREP[[J1]:[J30]],ROW()-11,$G$2)=0,"",INDEX(TabREP[[J1]:[J30]],ROW()-11,$G$2))</f>
        <v/>
      </c>
      <c r="F13" s="22" t="str">
        <f>IF(INDEX(TabREP39[[J1]:[J30]],ROW()-11,$G$2)=0,"",INDEX(TabREP39[[J1]:[J30]],ROW()-11,$G$2))</f>
        <v/>
      </c>
      <c r="G13" s="318">
        <f>INDEX(TabBilanMental15[],ROW()-11,4)</f>
        <v>296.22222222222223</v>
      </c>
      <c r="I13" s="381" t="str">
        <f>INDEX(ParamPresence[#Data],2)</f>
        <v>Absent</v>
      </c>
      <c r="J13" s="19">
        <f>INDEX(TabBilanEntrainement[#Data],2,$G$2+1)</f>
        <v>1</v>
      </c>
      <c r="K13" s="393">
        <f>J13/J21</f>
        <v>4.1666666666666664E-2</v>
      </c>
      <c r="M13" s="643" t="s">
        <v>7</v>
      </c>
      <c r="N13" s="643"/>
      <c r="O13" s="644"/>
      <c r="P13" s="51">
        <f>BilanIndivSeance[[#Totals],[RPE]]</f>
        <v>5.4705882352941178</v>
      </c>
      <c r="Q13" s="390">
        <f>BilanIndivSeance[[#Totals],[RPE]]</f>
        <v>5.4705882352941178</v>
      </c>
    </row>
    <row r="14" spans="2:17" ht="15.95" customHeight="1">
      <c r="B14" s="29">
        <f>IF(INDEX(TabEntrainement[Seance],ROW()-11)&lt;&gt;0,INDEX(TabEntrainement[Seance],ROW()-11),"")</f>
        <v>43321</v>
      </c>
      <c r="C14" s="6" t="str">
        <f>IF((INDEX(TabEntrainement[[J1]:[J30]],ROW()-11,$G$2))=0,"",INDEX(TabEntrainement[[J1]:[J30]],ROW()-11,$G$2))</f>
        <v>Vacances</v>
      </c>
      <c r="D14" s="22" t="str">
        <f>IF(INDEX(TabForme[[J1]:[J30]],ROW()-11,$G$2)=0,"",INDEX(TabForme[[J1]:[J30]],ROW()-11,$G$2))</f>
        <v/>
      </c>
      <c r="E14" s="318" t="str">
        <f>IF(INDEX(TabREP[[J1]:[J30]],ROW()-11,$G$2)=0,"",INDEX(TabREP[[J1]:[J30]],ROW()-11,$G$2))</f>
        <v/>
      </c>
      <c r="F14" s="22" t="str">
        <f>IF(INDEX(TabREP39[[J1]:[J30]],ROW()-11,$G$2)=0,"",INDEX(TabREP39[[J1]:[J30]],ROW()-11,$G$2))</f>
        <v/>
      </c>
      <c r="G14" s="318">
        <f>INDEX(TabBilanMental15[],ROW()-11,4)</f>
        <v>240</v>
      </c>
      <c r="I14" s="381" t="str">
        <f>INDEX(ParamPresence[#Data],3)</f>
        <v>Blessé</v>
      </c>
      <c r="J14" s="19">
        <f>INDEX(TabBilanEntrainement[#Data],3,$G$2+1)</f>
        <v>0</v>
      </c>
      <c r="K14" s="393">
        <f>J14/J21</f>
        <v>0</v>
      </c>
      <c r="M14" s="643" t="s">
        <v>275</v>
      </c>
      <c r="N14" s="643"/>
      <c r="O14" s="644"/>
      <c r="P14" s="81" t="e">
        <f>BilanIndivSeance[[#Totals],[Charge]]</f>
        <v>#VALUE!</v>
      </c>
      <c r="Q14" s="390" t="e">
        <f>BilanIndivSeance[[#Totals],[Charge]]</f>
        <v>#VALUE!</v>
      </c>
    </row>
    <row r="15" spans="2:17" ht="15.95" customHeight="1">
      <c r="B15" s="29">
        <f>IF(INDEX(TabEntrainement[Seance],ROW()-11)&lt;&gt;0,INDEX(TabEntrainement[Seance],ROW()-11),"")</f>
        <v>43322</v>
      </c>
      <c r="C15" s="6" t="str">
        <f>IF((INDEX(TabEntrainement[[J1]:[J30]],ROW()-11,$G$2))=0,"",INDEX(TabEntrainement[[J1]:[J30]],ROW()-11,$G$2))</f>
        <v>Vacances</v>
      </c>
      <c r="D15" s="22" t="str">
        <f>IF(INDEX(TabForme[[J1]:[J30]],ROW()-11,$G$2)=0,"",INDEX(TabForme[[J1]:[J30]],ROW()-11,$G$2))</f>
        <v/>
      </c>
      <c r="E15" s="318" t="str">
        <f>IF(INDEX(TabREP[[J1]:[J30]],ROW()-11,$G$2)=0,"",INDEX(TabREP[[J1]:[J30]],ROW()-11,$G$2))</f>
        <v/>
      </c>
      <c r="F15" s="22" t="str">
        <f>IF(INDEX(TabREP39[[J1]:[J30]],ROW()-11,$G$2)=0,"",INDEX(TabREP39[[J1]:[J30]],ROW()-11,$G$2))</f>
        <v/>
      </c>
      <c r="G15" s="318">
        <f>INDEX(TabBilanMental15[],ROW()-11,4)</f>
        <v>387.5</v>
      </c>
      <c r="I15" s="381" t="str">
        <f>INDEX(ParamPresence[#Data],4)</f>
        <v>Eq. Sup.</v>
      </c>
      <c r="J15" s="19">
        <f>INDEX(TabBilanEntrainement[#Data],4,$G$2+1)</f>
        <v>0</v>
      </c>
      <c r="K15" s="393">
        <f>J15/J21</f>
        <v>0</v>
      </c>
      <c r="M15" s="645" t="s">
        <v>276</v>
      </c>
      <c r="N15" s="645"/>
      <c r="O15" s="646"/>
      <c r="P15" s="282">
        <f>BilanIndivSeance[[#Totals],[Groupe]]</f>
        <v>280.02282781896747</v>
      </c>
      <c r="Q15" s="389">
        <f>BilanIndivSeance[[#Totals],[Groupe]]</f>
        <v>280.02282781896747</v>
      </c>
    </row>
    <row r="16" spans="2:17" ht="15.95" customHeight="1">
      <c r="B16" s="29">
        <f>IF(INDEX(TabEntrainement[Seance],ROW()-11)&lt;&gt;0,INDEX(TabEntrainement[Seance],ROW()-11),"")</f>
        <v>43325</v>
      </c>
      <c r="C16" s="6" t="str">
        <f>IF((INDEX(TabEntrainement[[J1]:[J30]],ROW()-11,$G$2))=0,"",INDEX(TabEntrainement[[J1]:[J30]],ROW()-11,$G$2))</f>
        <v>Vacances</v>
      </c>
      <c r="D16" s="22" t="str">
        <f>IF(INDEX(TabForme[[J1]:[J30]],ROW()-11,$G$2)=0,"",INDEX(TabForme[[J1]:[J30]],ROW()-11,$G$2))</f>
        <v/>
      </c>
      <c r="E16" s="318" t="str">
        <f>IF(INDEX(TabREP[[J1]:[J30]],ROW()-11,$G$2)=0,"",INDEX(TabREP[[J1]:[J30]],ROW()-11,$G$2))</f>
        <v/>
      </c>
      <c r="F16" s="22" t="str">
        <f>IF(INDEX(TabREP39[[J1]:[J30]],ROW()-11,$G$2)=0,"",INDEX(TabREP39[[J1]:[J30]],ROW()-11,$G$2))</f>
        <v/>
      </c>
      <c r="G16" s="318">
        <f>INDEX(TabBilanMental15[],ROW()-11,4)</f>
        <v>349.36363636363637</v>
      </c>
      <c r="I16" s="381" t="str">
        <f>INDEX(ParamPresence[#Data],5)</f>
        <v>Excusé</v>
      </c>
      <c r="J16" s="19">
        <f>INDEX(TabBilanEntrainement[#Data],5,$G$2+1)</f>
        <v>1</v>
      </c>
      <c r="K16" s="393">
        <f>J16/J21</f>
        <v>4.1666666666666664E-2</v>
      </c>
    </row>
    <row r="17" spans="2:20" ht="15.95" customHeight="1">
      <c r="B17" s="29">
        <f>IF(INDEX(TabEntrainement[Seance],ROW()-11)&lt;&gt;0,INDEX(TabEntrainement[Seance],ROW()-11),"")</f>
        <v>43326</v>
      </c>
      <c r="C17" s="6" t="str">
        <f>IF((INDEX(TabEntrainement[[J1]:[J30]],ROW()-11,$G$2))=0,"",INDEX(TabEntrainement[[J1]:[J30]],ROW()-11,$G$2))</f>
        <v>Présent</v>
      </c>
      <c r="D17" s="22">
        <f>IF(INDEX(TabForme[[J1]:[J30]],ROW()-11,$G$2)=0,"",INDEX(TabForme[[J1]:[J30]],ROW()-11,$G$2))</f>
        <v>2</v>
      </c>
      <c r="E17" s="318">
        <f>IF(INDEX(TabREP[[J1]:[J30]],ROW()-11,$G$2)=0,"",INDEX(TabREP[[J1]:[J30]],ROW()-11,$G$2))</f>
        <v>7</v>
      </c>
      <c r="F17" s="22">
        <f>IF(INDEX(TabREP39[[J1]:[J30]],ROW()-11,$G$2)=0,"",INDEX(TabREP39[[J1]:[J30]],ROW()-11,$G$2))</f>
        <v>497</v>
      </c>
      <c r="G17" s="318">
        <f>INDEX(TabBilanMental15[],ROW()-11,4)</f>
        <v>331.33333333333337</v>
      </c>
      <c r="I17" s="381" t="str">
        <f>INDEX(ParamPresence[#Data],6)</f>
        <v>Malade</v>
      </c>
      <c r="J17" s="19">
        <f>INDEX(TabBilanEntrainement[#Data],6,$G$2+1)</f>
        <v>0</v>
      </c>
      <c r="K17" s="393">
        <f>J17/J21</f>
        <v>0</v>
      </c>
      <c r="M17" s="637" t="s">
        <v>471</v>
      </c>
      <c r="N17" s="637"/>
      <c r="O17" s="637"/>
      <c r="P17" s="52"/>
      <c r="Q17" s="52"/>
    </row>
    <row r="18" spans="2:20" ht="15.95" customHeight="1">
      <c r="B18" s="29">
        <f>IF(INDEX(TabEntrainement[Seance],ROW()-11)&lt;&gt;0,INDEX(TabEntrainement[Seance],ROW()-11),"")</f>
        <v>43327</v>
      </c>
      <c r="C18" s="6" t="str">
        <f>IF((INDEX(TabEntrainement[[J1]:[J30]],ROW()-11,$G$2))=0,"",INDEX(TabEntrainement[[J1]:[J30]],ROW()-11,$G$2))</f>
        <v>Présent</v>
      </c>
      <c r="D18" s="22">
        <f>IF(INDEX(TabForme[[J1]:[J30]],ROW()-11,$G$2)=0,"",INDEX(TabForme[[J1]:[J30]],ROW()-11,$G$2))</f>
        <v>4</v>
      </c>
      <c r="E18" s="318">
        <f>IF(INDEX(TabREP[[J1]:[J30]],ROW()-11,$G$2)=0,"",INDEX(TabREP[[J1]:[J30]],ROW()-11,$G$2))</f>
        <v>5</v>
      </c>
      <c r="F18" s="22">
        <f>IF(INDEX(TabREP39[[J1]:[J30]],ROW()-11,$G$2)=0,"",INDEX(TabREP39[[J1]:[J30]],ROW()-11,$G$2))</f>
        <v>275</v>
      </c>
      <c r="G18" s="318">
        <f>INDEX(TabBilanMental15[],ROW()-11,4)</f>
        <v>188.57142857142856</v>
      </c>
      <c r="H18" s="20"/>
      <c r="I18" s="381" t="str">
        <f>INDEX(ParamPresence[#Data],7)</f>
        <v>Repos</v>
      </c>
      <c r="J18" s="19">
        <f>INDEX(TabBilanEntrainement[#Data],7,$G$2+1)</f>
        <v>0</v>
      </c>
      <c r="K18" s="393">
        <f>J18/J21</f>
        <v>0</v>
      </c>
      <c r="M18" s="638" t="s">
        <v>475</v>
      </c>
      <c r="N18" s="638"/>
      <c r="O18" s="639"/>
      <c r="P18" s="384">
        <f>J12/J21</f>
        <v>0.70833333333333337</v>
      </c>
      <c r="Q18" s="388">
        <f>P18/1</f>
        <v>0.70833333333333337</v>
      </c>
      <c r="T18" s="387"/>
    </row>
    <row r="19" spans="2:20" ht="15.95" customHeight="1">
      <c r="B19" s="29">
        <f>IF(INDEX(TabEntrainement[Seance],ROW()-11)&lt;&gt;0,INDEX(TabEntrainement[Seance],ROW()-11),"")</f>
        <v>43328</v>
      </c>
      <c r="C19" s="6" t="str">
        <f>IF((INDEX(TabEntrainement[[J1]:[J30]],ROW()-11,$G$2))=0,"",INDEX(TabEntrainement[[J1]:[J30]],ROW()-11,$G$2))</f>
        <v>Présent</v>
      </c>
      <c r="D19" s="22">
        <f>IF(INDEX(TabForme[[J1]:[J30]],ROW()-11,$G$2)=0,"",INDEX(TabForme[[J1]:[J30]],ROW()-11,$G$2))</f>
        <v>4</v>
      </c>
      <c r="E19" s="318">
        <f>IF(INDEX(TabREP[[J1]:[J30]],ROW()-11,$G$2)=0,"",INDEX(TabREP[[J1]:[J30]],ROW()-11,$G$2))</f>
        <v>5</v>
      </c>
      <c r="F19" s="22">
        <f>IF(INDEX(TabREP39[[J1]:[J30]],ROW()-11,$G$2)=0,"",INDEX(TabREP39[[J1]:[J30]],ROW()-11,$G$2))</f>
        <v>335</v>
      </c>
      <c r="G19" s="318">
        <f>INDEX(TabBilanMental15[],ROW()-11,4)</f>
        <v>278.30769230769232</v>
      </c>
      <c r="I19" s="381" t="str">
        <f>INDEX(ParamPresence[#Data],8)</f>
        <v>Section S.</v>
      </c>
      <c r="J19" s="19">
        <f>INDEX(TabBilanEntrainement[#Data],8,$G$2+1)</f>
        <v>0</v>
      </c>
      <c r="K19" s="393">
        <f>J19/J21</f>
        <v>0</v>
      </c>
      <c r="M19" s="643" t="s">
        <v>476</v>
      </c>
      <c r="N19" s="643"/>
      <c r="O19" s="644"/>
      <c r="P19" s="385">
        <f>J13/J21</f>
        <v>4.1666666666666664E-2</v>
      </c>
      <c r="Q19" s="388">
        <f>P19/1</f>
        <v>4.1666666666666664E-2</v>
      </c>
    </row>
    <row r="20" spans="2:20" ht="15.95" customHeight="1">
      <c r="B20" s="29">
        <f>IF(INDEX(TabEntrainement[Seance],ROW()-11)&lt;&gt;0,INDEX(TabEntrainement[Seance],ROW()-11),"")</f>
        <v>43329</v>
      </c>
      <c r="C20" s="6" t="str">
        <f>IF((INDEX(TabEntrainement[[J1]:[J30]],ROW()-11,$G$2))=0,"",INDEX(TabEntrainement[[J1]:[J30]],ROW()-11,$G$2))</f>
        <v>Présent</v>
      </c>
      <c r="D20" s="22">
        <f>IF(INDEX(TabForme[[J1]:[J30]],ROW()-11,$G$2)=0,"",INDEX(TabForme[[J1]:[J30]],ROW()-11,$G$2))</f>
        <v>3</v>
      </c>
      <c r="E20" s="318">
        <f>IF(INDEX(TabREP[[J1]:[J30]],ROW()-11,$G$2)=0,"",INDEX(TabREP[[J1]:[J30]],ROW()-11,$G$2))</f>
        <v>8</v>
      </c>
      <c r="F20" s="22">
        <f>IF(INDEX(TabREP39[[J1]:[J30]],ROW()-11,$G$2)=0,"",INDEX(TabREP39[[J1]:[J30]],ROW()-11,$G$2))</f>
        <v>488</v>
      </c>
      <c r="G20" s="318">
        <f>INDEX(TabBilanMental15[],ROW()-11,4)</f>
        <v>341.59999999999997</v>
      </c>
      <c r="I20" s="381" t="str">
        <f>INDEX(ParamPresence[#Data],9)</f>
        <v>Vacances</v>
      </c>
      <c r="J20" s="19">
        <f>INDEX(TabBilanEntrainement[#Data],9,$G$2+1)</f>
        <v>5</v>
      </c>
      <c r="K20" s="393">
        <f>J20/J21</f>
        <v>0.20833333333333334</v>
      </c>
      <c r="M20" s="643" t="s">
        <v>477</v>
      </c>
      <c r="N20" s="643"/>
      <c r="O20" s="644"/>
      <c r="P20" s="386">
        <f>SUM(J14:J20)/J21</f>
        <v>0.25</v>
      </c>
      <c r="Q20" s="388">
        <f>P20/1</f>
        <v>0.25</v>
      </c>
    </row>
    <row r="21" spans="2:20" ht="15.95" customHeight="1">
      <c r="B21" s="29">
        <f>IF(INDEX(TabEntrainement[Seance],ROW()-11)&lt;&gt;0,INDEX(TabEntrainement[Seance],ROW()-11),"")</f>
        <v>43330</v>
      </c>
      <c r="C21" s="6" t="str">
        <f>IF((INDEX(TabEntrainement[[J1]:[J30]],ROW()-11,$G$2))=0,"",INDEX(TabEntrainement[[J1]:[J30]],ROW()-11,$G$2))</f>
        <v>Présent</v>
      </c>
      <c r="D21" s="22">
        <f>IF(INDEX(TabForme[[J1]:[J30]],ROW()-11,$G$2)=0,"",INDEX(TabForme[[J1]:[J30]],ROW()-11,$G$2))</f>
        <v>2</v>
      </c>
      <c r="E21" s="318">
        <f>IF(INDEX(TabREP[[J1]:[J30]],ROW()-11,$G$2)=0,"",INDEX(TabREP[[J1]:[J30]],ROW()-11,$G$2))</f>
        <v>5</v>
      </c>
      <c r="F21" s="22">
        <f>IF(INDEX(TabREP39[[J1]:[J30]],ROW()-11,$G$2)=0,"",INDEX(TabREP39[[J1]:[J30]],ROW()-11,$G$2))</f>
        <v>350</v>
      </c>
      <c r="G21" s="318">
        <f>INDEX(TabBilanMental15[],ROW()-11,4)</f>
        <v>274.16666666666663</v>
      </c>
      <c r="I21" s="40" t="s">
        <v>0</v>
      </c>
      <c r="J21" s="45">
        <f>SUM(J12:J20)</f>
        <v>24</v>
      </c>
      <c r="K21" s="319"/>
    </row>
    <row r="22" spans="2:20" ht="15.95" customHeight="1">
      <c r="B22" s="29">
        <f>IF(INDEX(TabEntrainement[Seance],ROW()-11)&lt;&gt;0,INDEX(TabEntrainement[Seance],ROW()-11),"")</f>
        <v>43332</v>
      </c>
      <c r="C22" s="6" t="str">
        <f>IF((INDEX(TabEntrainement[[J1]:[J30]],ROW()-11,$G$2))=0,"",INDEX(TabEntrainement[[J1]:[J30]],ROW()-11,$G$2))</f>
        <v>Présent</v>
      </c>
      <c r="D22" s="22">
        <f>IF(INDEX(TabForme[[J1]:[J30]],ROW()-11,$G$2)=0,"",INDEX(TabForme[[J1]:[J30]],ROW()-11,$G$2))</f>
        <v>2</v>
      </c>
      <c r="E22" s="318">
        <f>IF(INDEX(TabREP[[J1]:[J30]],ROW()-11,$G$2)=0,"",INDEX(TabREP[[J1]:[J30]],ROW()-11,$G$2))</f>
        <v>9</v>
      </c>
      <c r="F22" s="22">
        <f>IF(INDEX(TabREP39[[J1]:[J30]],ROW()-11,$G$2)=0,"",INDEX(TabREP39[[J1]:[J30]],ROW()-11,$G$2))</f>
        <v>621</v>
      </c>
      <c r="G22" s="318">
        <f>INDEX(TabBilanMental15[],ROW()-11,4)</f>
        <v>507.64285714285711</v>
      </c>
    </row>
    <row r="23" spans="2:20" ht="15.95" customHeight="1">
      <c r="B23" s="29">
        <f>IF(INDEX(TabEntrainement[Seance],ROW()-11)&lt;&gt;0,INDEX(TabEntrainement[Seance],ROW()-11),"")</f>
        <v>43333</v>
      </c>
      <c r="C23" s="6" t="str">
        <f>IF((INDEX(TabEntrainement[[J1]:[J30]],ROW()-11,$G$2))=0,"",INDEX(TabEntrainement[[J1]:[J30]],ROW()-11,$G$2))</f>
        <v>Absent</v>
      </c>
      <c r="D23" s="22" t="str">
        <f>IF(INDEX(TabForme[[J1]:[J30]],ROW()-11,$G$2)=0,"",INDEX(TabForme[[J1]:[J30]],ROW()-11,$G$2))</f>
        <v/>
      </c>
      <c r="E23" s="318" t="str">
        <f>IF(INDEX(TabREP[[J1]:[J30]],ROW()-11,$G$2)=0,"",INDEX(TabREP[[J1]:[J30]],ROW()-11,$G$2))</f>
        <v/>
      </c>
      <c r="F23" s="22" t="str">
        <f>IF(INDEX(TabREP39[[J1]:[J30]],ROW()-11,$G$2)=0,"",INDEX(TabREP39[[J1]:[J30]],ROW()-11,$G$2))</f>
        <v/>
      </c>
      <c r="G23" s="318">
        <f>INDEX(TabBilanMental15[],ROW()-11,4)</f>
        <v>273.07692307692309</v>
      </c>
    </row>
    <row r="24" spans="2:20" ht="15.95" customHeight="1">
      <c r="B24" s="29">
        <f>IF(INDEX(TabEntrainement[Seance],ROW()-11)&lt;&gt;0,INDEX(TabEntrainement[Seance],ROW()-11),"")</f>
        <v>43335</v>
      </c>
      <c r="C24" s="6" t="str">
        <f>IF((INDEX(TabEntrainement[[J1]:[J30]],ROW()-11,$G$2))=0,"",INDEX(TabEntrainement[[J1]:[J30]],ROW()-11,$G$2))</f>
        <v>Présent</v>
      </c>
      <c r="D24" s="22">
        <f>IF(INDEX(TabForme[[J1]:[J30]],ROW()-11,$G$2)=0,"",INDEX(TabForme[[J1]:[J30]],ROW()-11,$G$2))</f>
        <v>5</v>
      </c>
      <c r="E24" s="318">
        <f>IF(INDEX(TabREP[[J1]:[J30]],ROW()-11,$G$2)=0,"",INDEX(TabREP[[J1]:[J30]],ROW()-11,$G$2))</f>
        <v>2</v>
      </c>
      <c r="F24" s="22">
        <f>IF(INDEX(TabREP39[[J1]:[J30]],ROW()-11,$G$2)=0,"",INDEX(TabREP39[[J1]:[J30]],ROW()-11,$G$2))</f>
        <v>110</v>
      </c>
      <c r="G24" s="318">
        <f>INDEX(TabBilanMental15[],ROW()-11,4)</f>
        <v>145.35714285714286</v>
      </c>
    </row>
    <row r="25" spans="2:20" ht="15.95" customHeight="1">
      <c r="B25" s="29">
        <f>IF(INDEX(TabEntrainement[Seance],ROW()-11)&lt;&gt;0,INDEX(TabEntrainement[Seance],ROW()-11),"")</f>
        <v>43336</v>
      </c>
      <c r="C25" s="6" t="str">
        <f>IF((INDEX(TabEntrainement[[J1]:[J30]],ROW()-11,$G$2))=0,"",INDEX(TabEntrainement[[J1]:[J30]],ROW()-11,$G$2))</f>
        <v>Présent</v>
      </c>
      <c r="D25" s="22">
        <f>IF(INDEX(TabForme[[J1]:[J30]],ROW()-11,$G$2)=0,"",INDEX(TabForme[[J1]:[J30]],ROW()-11,$G$2))</f>
        <v>4</v>
      </c>
      <c r="E25" s="318">
        <f>IF(INDEX(TabREP[[J1]:[J30]],ROW()-11,$G$2)=0,"",INDEX(TabREP[[J1]:[J30]],ROW()-11,$G$2))</f>
        <v>5</v>
      </c>
      <c r="F25" s="22">
        <f>IF(INDEX(TabREP39[[J1]:[J30]],ROW()-11,$G$2)=0,"",INDEX(TabREP39[[J1]:[J30]],ROW()-11,$G$2))</f>
        <v>350</v>
      </c>
      <c r="G25" s="318">
        <f>INDEX(TabBilanMental15[],ROW()-11,4)</f>
        <v>242.94117647058823</v>
      </c>
    </row>
    <row r="26" spans="2:20" ht="15.95" customHeight="1">
      <c r="B26" s="29">
        <f>IF(INDEX(TabEntrainement[Seance],ROW()-11)&lt;&gt;0,INDEX(TabEntrainement[Seance],ROW()-11),"")</f>
        <v>43339</v>
      </c>
      <c r="C26" s="6" t="str">
        <f>IF((INDEX(TabEntrainement[[J1]:[J30]],ROW()-11,$G$2))=0,"",INDEX(TabEntrainement[[J1]:[J30]],ROW()-11,$G$2))</f>
        <v>Présent</v>
      </c>
      <c r="D26" s="22">
        <f>IF(INDEX(TabForme[[J1]:[J30]],ROW()-11,$G$2)=0,"",INDEX(TabForme[[J1]:[J30]],ROW()-11,$G$2))</f>
        <v>4</v>
      </c>
      <c r="E26" s="318">
        <f>IF(INDEX(TabREP[[J1]:[J30]],ROW()-11,$G$2)=0,"",INDEX(TabREP[[J1]:[J30]],ROW()-11,$G$2))</f>
        <v>6</v>
      </c>
      <c r="F26" s="22">
        <f>IF(INDEX(TabREP39[[J1]:[J30]],ROW()-11,$G$2)=0,"",INDEX(TabREP39[[J1]:[J30]],ROW()-11,$G$2))</f>
        <v>384</v>
      </c>
      <c r="G26" s="318">
        <f>INDEX(TabBilanMental15[],ROW()-11,4)</f>
        <v>328.53333333333336</v>
      </c>
    </row>
    <row r="27" spans="2:20" ht="15.95" customHeight="1">
      <c r="B27" s="29">
        <f>IF(INDEX(TabEntrainement[Seance],ROW()-11)&lt;&gt;0,INDEX(TabEntrainement[Seance],ROW()-11),"")</f>
        <v>43340</v>
      </c>
      <c r="C27" s="6" t="str">
        <f>IF((INDEX(TabEntrainement[[J1]:[J30]],ROW()-11,$G$2))=0,"",INDEX(TabEntrainement[[J1]:[J30]],ROW()-11,$G$2))</f>
        <v>Présent</v>
      </c>
      <c r="D27" s="22">
        <f>IF(INDEX(TabForme[[J1]:[J30]],ROW()-11,$G$2)=0,"",INDEX(TabForme[[J1]:[J30]],ROW()-11,$G$2))</f>
        <v>3</v>
      </c>
      <c r="E27" s="318">
        <f>IF(INDEX(TabREP[[J1]:[J30]],ROW()-11,$G$2)=0,"",INDEX(TabREP[[J1]:[J30]],ROW()-11,$G$2))</f>
        <v>5</v>
      </c>
      <c r="F27" s="22">
        <f>IF(INDEX(TabREP39[[J1]:[J30]],ROW()-11,$G$2)=0,"",INDEX(TabREP39[[J1]:[J30]],ROW()-11,$G$2))</f>
        <v>300</v>
      </c>
      <c r="G27" s="318">
        <f>INDEX(TabBilanMental15[],ROW()-11,4)</f>
        <v>275.29411764705878</v>
      </c>
    </row>
    <row r="28" spans="2:20" ht="15.95" customHeight="1">
      <c r="B28" s="29">
        <f>IF(INDEX(TabEntrainement[Seance],ROW()-11)&lt;&gt;0,INDEX(TabEntrainement[Seance],ROW()-11),"")</f>
        <v>43342</v>
      </c>
      <c r="C28" s="6" t="str">
        <f>IF((INDEX(TabEntrainement[[J1]:[J30]],ROW()-11,$G$2))=0,"",INDEX(TabEntrainement[[J1]:[J30]],ROW()-11,$G$2))</f>
        <v>Présent</v>
      </c>
      <c r="D28" s="22">
        <f>IF(INDEX(TabForme[[J1]:[J30]],ROW()-11,$G$2)=0,"",INDEX(TabForme[[J1]:[J30]],ROW()-11,$G$2))</f>
        <v>4</v>
      </c>
      <c r="E28" s="318">
        <f>IF(INDEX(TabREP[[J1]:[J30]],ROW()-11,$G$2)=0,"",INDEX(TabREP[[J1]:[J30]],ROW()-11,$G$2))</f>
        <v>6</v>
      </c>
      <c r="F28" s="22">
        <f>IF(INDEX(TabREP39[[J1]:[J30]],ROW()-11,$G$2)=0,"",INDEX(TabREP39[[J1]:[J30]],ROW()-11,$G$2))</f>
        <v>342</v>
      </c>
      <c r="G28" s="318">
        <f>INDEX(TabBilanMental15[],ROW()-11,4)</f>
        <v>262.2</v>
      </c>
    </row>
    <row r="29" spans="2:20" ht="15.95" customHeight="1">
      <c r="B29" s="29">
        <f>IF(INDEX(TabEntrainement[Seance],ROW()-11)&lt;&gt;0,INDEX(TabEntrainement[Seance],ROW()-11),"")</f>
        <v>43343</v>
      </c>
      <c r="C29" s="6" t="str">
        <f>IF((INDEX(TabEntrainement[[J1]:[J30]],ROW()-11,$G$2))=0,"",INDEX(TabEntrainement[[J1]:[J30]],ROW()-11,$G$2))</f>
        <v>Présent</v>
      </c>
      <c r="D29" s="22">
        <f>IF(INDEX(TabForme[[J1]:[J30]],ROW()-11,$G$2)=0,"",INDEX(TabForme[[J1]:[J30]],ROW()-11,$G$2))</f>
        <v>4</v>
      </c>
      <c r="E29" s="318">
        <f>IF(INDEX(TabREP[[J1]:[J30]],ROW()-11,$G$2)=0,"",INDEX(TabREP[[J1]:[J30]],ROW()-11,$G$2))</f>
        <v>5</v>
      </c>
      <c r="F29" s="22">
        <f>IF(INDEX(TabREP39[[J1]:[J30]],ROW()-11,$G$2)=0,"",INDEX(TabREP39[[J1]:[J30]],ROW()-11,$G$2))</f>
        <v>250</v>
      </c>
      <c r="G29" s="318">
        <f>INDEX(TabBilanMental15[],ROW()-11,4)</f>
        <v>184.375</v>
      </c>
    </row>
    <row r="30" spans="2:20" ht="15.95" customHeight="1">
      <c r="B30" s="29">
        <f>IF(INDEX(TabEntrainement[Seance],ROW()-11)&lt;&gt;0,INDEX(TabEntrainement[Seance],ROW()-11),"")</f>
        <v>43347</v>
      </c>
      <c r="C30" s="6" t="str">
        <f>IF((INDEX(TabEntrainement[[J1]:[J30]],ROW()-11,$G$2))=0,"",INDEX(TabEntrainement[[J1]:[J30]],ROW()-11,$G$2))</f>
        <v>Présent</v>
      </c>
      <c r="D30" s="22">
        <f>IF(INDEX(TabForme[[J1]:[J30]],ROW()-11,$G$2)=0,"",INDEX(TabForme[[J1]:[J30]],ROW()-11,$G$2))</f>
        <v>4</v>
      </c>
      <c r="E30" s="318">
        <f>IF(INDEX(TabREP[[J1]:[J30]],ROW()-11,$G$2)=0,"",INDEX(TabREP[[J1]:[J30]],ROW()-11,$G$2))</f>
        <v>5</v>
      </c>
      <c r="F30" s="22">
        <f>IF(INDEX(TabREP39[[J1]:[J30]],ROW()-11,$G$2)=0,"",INDEX(TabREP39[[J1]:[J30]],ROW()-11,$G$2))</f>
        <v>325</v>
      </c>
      <c r="G30" s="318">
        <f>INDEX(TabBilanMental15[],ROW()-11,4)</f>
        <v>278.57142857142856</v>
      </c>
    </row>
    <row r="31" spans="2:20" ht="15.95" customHeight="1">
      <c r="B31" s="29">
        <f>IF(INDEX(TabEntrainement[Seance],ROW()-11)&lt;&gt;0,INDEX(TabEntrainement[Seance],ROW()-11),"")</f>
        <v>43349</v>
      </c>
      <c r="C31" s="6" t="str">
        <f>IF((INDEX(TabEntrainement[[J1]:[J30]],ROW()-11,$G$2))=0,"",INDEX(TabEntrainement[[J1]:[J30]],ROW()-11,$G$2))</f>
        <v>Présent</v>
      </c>
      <c r="D31" s="22">
        <f>IF(INDEX(TabForme[[J1]:[J30]],ROW()-11,$G$2)=0,"",INDEX(TabForme[[J1]:[J30]],ROW()-11,$G$2))</f>
        <v>4</v>
      </c>
      <c r="E31" s="318">
        <f>IF(INDEX(TabREP[[J1]:[J30]],ROW()-11,$G$2)=0,"",INDEX(TabREP[[J1]:[J30]],ROW()-11,$G$2))</f>
        <v>5</v>
      </c>
      <c r="F31" s="22">
        <f>IF(INDEX(TabREP39[[J1]:[J30]],ROW()-11,$G$2)=0,"",INDEX(TabREP39[[J1]:[J30]],ROW()-11,$G$2))</f>
        <v>350</v>
      </c>
      <c r="G31" s="318">
        <f>INDEX(TabBilanMental15[],ROW()-11,4)</f>
        <v>291.66666666666669</v>
      </c>
    </row>
    <row r="32" spans="2:20" ht="15.95" customHeight="1">
      <c r="B32" s="29">
        <f>IF(INDEX(TabEntrainement[Seance],ROW()-11)&lt;&gt;0,INDEX(TabEntrainement[Seance],ROW()-11),"")</f>
        <v>43350</v>
      </c>
      <c r="C32" s="6" t="str">
        <f>IF((INDEX(TabEntrainement[[J1]:[J30]],ROW()-11,$G$2))=0,"",INDEX(TabEntrainement[[J1]:[J30]],ROW()-11,$G$2))</f>
        <v>Excusé</v>
      </c>
      <c r="D32" s="22" t="str">
        <f>IF(INDEX(TabForme[[J1]:[J30]],ROW()-11,$G$2)=0,"",INDEX(TabForme[[J1]:[J30]],ROW()-11,$G$2))</f>
        <v/>
      </c>
      <c r="E32" s="318" t="str">
        <f>IF(INDEX(TabREP[[J1]:[J30]],ROW()-11,$G$2)=0,"",INDEX(TabREP[[J1]:[J30]],ROW()-11,$G$2))</f>
        <v/>
      </c>
      <c r="F32" s="22" t="str">
        <f>IF(INDEX(TabREP39[[J1]:[J30]],ROW()-11,$G$2)=0,"",INDEX(TabREP39[[J1]:[J30]],ROW()-11,$G$2))</f>
        <v/>
      </c>
      <c r="G32" s="318">
        <f>INDEX(TabBilanMental15[],ROW()-11,4)</f>
        <v>150</v>
      </c>
    </row>
    <row r="33" spans="2:7" ht="15.95" customHeight="1">
      <c r="B33" s="29">
        <f>IF(INDEX(TabEntrainement[Seance],ROW()-11)&lt;&gt;0,INDEX(TabEntrainement[Seance],ROW()-11),"")</f>
        <v>43354</v>
      </c>
      <c r="C33" s="6" t="str">
        <f>IF((INDEX(TabEntrainement[[J1]:[J30]],ROW()-11,$G$2))=0,"",INDEX(TabEntrainement[[J1]:[J30]],ROW()-11,$G$2))</f>
        <v>Présent</v>
      </c>
      <c r="D33" s="22">
        <f>IF(INDEX(TabForme[[J1]:[J30]],ROW()-11,$G$2)=0,"",INDEX(TabForme[[J1]:[J30]],ROW()-11,$G$2))</f>
        <v>5</v>
      </c>
      <c r="E33" s="318">
        <f>IF(INDEX(TabREP[[J1]:[J30]],ROW()-11,$G$2)=0,"",INDEX(TabREP[[J1]:[J30]],ROW()-11,$G$2))</f>
        <v>5</v>
      </c>
      <c r="F33" s="22">
        <f>IF(INDEX(TabREP39[[J1]:[J30]],ROW()-11,$G$2)=0,"",INDEX(TabREP39[[J1]:[J30]],ROW()-11,$G$2))</f>
        <v>300</v>
      </c>
      <c r="G33" s="318">
        <f>INDEX(TabBilanMental15[],ROW()-11,4)</f>
        <v>275</v>
      </c>
    </row>
    <row r="34" spans="2:7" ht="15.95" customHeight="1">
      <c r="B34" s="29">
        <f>IF(INDEX(TabEntrainement[Seance],ROW()-11)&lt;&gt;0,INDEX(TabEntrainement[Seance],ROW()-11),"")</f>
        <v>43357</v>
      </c>
      <c r="C34" s="6" t="str">
        <f>IF((INDEX(TabEntrainement[[J1]:[J30]],ROW()-11,$G$2))=0,"",INDEX(TabEntrainement[[J1]:[J30]],ROW()-11,$G$2))</f>
        <v>Présent</v>
      </c>
      <c r="D34" s="22">
        <f>IF(INDEX(TabForme[[J1]:[J30]],ROW()-11,$G$2)=0,"",INDEX(TabForme[[J1]:[J30]],ROW()-11,$G$2))</f>
        <v>5</v>
      </c>
      <c r="E34" s="318">
        <f>IF(INDEX(TabREP[[J1]:[J30]],ROW()-11,$G$2)=0,"",INDEX(TabREP[[J1]:[J30]],ROW()-11,$G$2))</f>
        <v>6</v>
      </c>
      <c r="F34" s="22">
        <f>IF(INDEX(TabREP39[[J1]:[J30]],ROW()-11,$G$2)=0,"",INDEX(TabREP39[[J1]:[J30]],ROW()-11,$G$2))</f>
        <v>444</v>
      </c>
      <c r="G34" s="318">
        <f>INDEX(TabBilanMental15[],ROW()-11,4)</f>
        <v>340.4</v>
      </c>
    </row>
    <row r="35" spans="2:7" ht="15.95" customHeight="1">
      <c r="B35" s="29">
        <f>IF(INDEX(TabEntrainement[Seance],ROW()-11)&lt;&gt;0,INDEX(TabEntrainement[Seance],ROW()-11),"")</f>
        <v>43358</v>
      </c>
      <c r="C35" s="6" t="str">
        <f>IF((INDEX(TabEntrainement[[J1]:[J30]],ROW()-11,$G$2))=0,"",INDEX(TabEntrainement[[J1]:[J30]],ROW()-11,$G$2))</f>
        <v>Présent</v>
      </c>
      <c r="D35" s="22">
        <f>IF(INDEX(TabForme[[J1]:[J30]],ROW()-11,$G$2)=0,"",INDEX(TabForme[[J1]:[J30]],ROW()-11,$G$2))</f>
        <v>4</v>
      </c>
      <c r="E35" s="318">
        <f>IF(INDEX(TabREP[[J1]:[J30]],ROW()-11,$G$2)=0,"",INDEX(TabREP[[J1]:[J30]],ROW()-11,$G$2))</f>
        <v>4</v>
      </c>
      <c r="F35" s="22">
        <f>IF(INDEX(TabREP39[[J1]:[J30]],ROW()-11,$G$2)=0,"",INDEX(TabREP39[[J1]:[J30]],ROW()-11,$G$2))</f>
        <v>144</v>
      </c>
      <c r="G35" s="318">
        <f>INDEX(TabBilanMental15[],ROW()-11,4)</f>
        <v>121.09090909090909</v>
      </c>
    </row>
    <row r="36" spans="2:7" ht="15.95" customHeight="1">
      <c r="B36" s="29" t="str">
        <f>IF(INDEX(TabEntrainement[Seance],ROW()-11)&lt;&gt;0,INDEX(TabEntrainement[Seance],ROW()-11),"")</f>
        <v/>
      </c>
      <c r="C36" s="6" t="str">
        <f>IF((INDEX(TabEntrainement[[J1]:[J30]],ROW()-11,$G$2))=0,"",INDEX(TabEntrainement[[J1]:[J30]],ROW()-11,$G$2))</f>
        <v/>
      </c>
      <c r="D36" s="22" t="str">
        <f>IF(INDEX(TabForme[[J1]:[J30]],ROW()-11,$G$2)=0,"",INDEX(TabForme[[J1]:[J30]],ROW()-11,$G$2))</f>
        <v/>
      </c>
      <c r="E36" s="318" t="str">
        <f>IF(INDEX(TabREP[[J1]:[J30]],ROW()-11,$G$2)=0,"",INDEX(TabREP[[J1]:[J30]],ROW()-11,$G$2))</f>
        <v/>
      </c>
      <c r="F36" s="22" t="e">
        <f>IF(INDEX(TabREP39[[J1]:[J30]],ROW()-11,$G$2)=0,"",INDEX(TabREP39[[J1]:[J30]],ROW()-11,$G$2))</f>
        <v>#VALUE!</v>
      </c>
      <c r="G36" s="318" t="str">
        <f>INDEX(TabBilanMental15[],ROW()-11,4)</f>
        <v/>
      </c>
    </row>
    <row r="37" spans="2:7" ht="15.95" customHeight="1">
      <c r="B37" s="29" t="str">
        <f>IF(INDEX(TabEntrainement[Seance],ROW()-11)&lt;&gt;0,INDEX(TabEntrainement[Seance],ROW()-11),"")</f>
        <v/>
      </c>
      <c r="C37" s="6" t="str">
        <f>IF((INDEX(TabEntrainement[[J1]:[J30]],ROW()-11,$G$2))=0,"",INDEX(TabEntrainement[[J1]:[J30]],ROW()-11,$G$2))</f>
        <v/>
      </c>
      <c r="D37" s="22" t="str">
        <f>IF(INDEX(TabForme[[J1]:[J30]],ROW()-11,$G$2)=0,"",INDEX(TabForme[[J1]:[J30]],ROW()-11,$G$2))</f>
        <v/>
      </c>
      <c r="E37" s="318" t="str">
        <f>IF(INDEX(TabREP[[J1]:[J30]],ROW()-11,$G$2)=0,"",INDEX(TabREP[[J1]:[J30]],ROW()-11,$G$2))</f>
        <v/>
      </c>
      <c r="F37" s="22" t="e">
        <f>IF(INDEX(TabREP39[[J1]:[J30]],ROW()-11,$G$2)=0,"",INDEX(TabREP39[[J1]:[J30]],ROW()-11,$G$2))</f>
        <v>#VALUE!</v>
      </c>
      <c r="G37" s="318" t="str">
        <f>INDEX(TabBilanMental15[],ROW()-11,4)</f>
        <v/>
      </c>
    </row>
    <row r="38" spans="2:7" ht="15.95" customHeight="1">
      <c r="B38" s="29" t="str">
        <f>IF(INDEX(TabEntrainement[Seance],ROW()-11)&lt;&gt;0,INDEX(TabEntrainement[Seance],ROW()-11),"")</f>
        <v/>
      </c>
      <c r="C38" s="6" t="str">
        <f>IF((INDEX(TabEntrainement[[J1]:[J30]],ROW()-11,$G$2))=0,"",INDEX(TabEntrainement[[J1]:[J30]],ROW()-11,$G$2))</f>
        <v/>
      </c>
      <c r="D38" s="22" t="str">
        <f>IF(INDEX(TabForme[[J1]:[J30]],ROW()-11,$G$2)=0,"",INDEX(TabForme[[J1]:[J30]],ROW()-11,$G$2))</f>
        <v/>
      </c>
      <c r="E38" s="318" t="str">
        <f>IF(INDEX(TabREP[[J1]:[J30]],ROW()-11,$G$2)=0,"",INDEX(TabREP[[J1]:[J30]],ROW()-11,$G$2))</f>
        <v/>
      </c>
      <c r="F38" s="22" t="e">
        <f>IF(INDEX(TabREP39[[J1]:[J30]],ROW()-11,$G$2)=0,"",INDEX(TabREP39[[J1]:[J30]],ROW()-11,$G$2))</f>
        <v>#VALUE!</v>
      </c>
      <c r="G38" s="318" t="str">
        <f>INDEX(TabBilanMental15[],ROW()-11,4)</f>
        <v/>
      </c>
    </row>
    <row r="39" spans="2:7" ht="15.95" customHeight="1">
      <c r="B39" s="29" t="str">
        <f>IF(INDEX(TabEntrainement[Seance],ROW()-11)&lt;&gt;0,INDEX(TabEntrainement[Seance],ROW()-11),"")</f>
        <v/>
      </c>
      <c r="C39" s="6" t="str">
        <f>IF((INDEX(TabEntrainement[[J1]:[J30]],ROW()-11,$G$2))=0,"",INDEX(TabEntrainement[[J1]:[J30]],ROW()-11,$G$2))</f>
        <v/>
      </c>
      <c r="D39" s="22" t="str">
        <f>IF(INDEX(TabForme[[J1]:[J30]],ROW()-11,$G$2)=0,"",INDEX(TabForme[[J1]:[J30]],ROW()-11,$G$2))</f>
        <v/>
      </c>
      <c r="E39" s="318" t="str">
        <f>IF(INDEX(TabREP[[J1]:[J30]],ROW()-11,$G$2)=0,"",INDEX(TabREP[[J1]:[J30]],ROW()-11,$G$2))</f>
        <v/>
      </c>
      <c r="F39" s="22" t="e">
        <f>IF(INDEX(TabREP39[[J1]:[J30]],ROW()-11,$G$2)=0,"",INDEX(TabREP39[[J1]:[J30]],ROW()-11,$G$2))</f>
        <v>#VALUE!</v>
      </c>
      <c r="G39" s="318" t="str">
        <f>INDEX(TabBilanMental15[],ROW()-11,4)</f>
        <v/>
      </c>
    </row>
    <row r="40" spans="2:7" ht="15.95" customHeight="1">
      <c r="B40" s="29" t="str">
        <f>IF(INDEX(TabEntrainement[Seance],ROW()-11)&lt;&gt;0,INDEX(TabEntrainement[Seance],ROW()-11),"")</f>
        <v/>
      </c>
      <c r="C40" s="6" t="str">
        <f>IF((INDEX(TabEntrainement[[J1]:[J30]],ROW()-11,$G$2))=0,"",INDEX(TabEntrainement[[J1]:[J30]],ROW()-11,$G$2))</f>
        <v/>
      </c>
      <c r="D40" s="22" t="str">
        <f>IF(INDEX(TabForme[[J1]:[J30]],ROW()-11,$G$2)=0,"",INDEX(TabForme[[J1]:[J30]],ROW()-11,$G$2))</f>
        <v/>
      </c>
      <c r="E40" s="318" t="str">
        <f>IF(INDEX(TabREP[[J1]:[J30]],ROW()-11,$G$2)=0,"",INDEX(TabREP[[J1]:[J30]],ROW()-11,$G$2))</f>
        <v/>
      </c>
      <c r="F40" s="22" t="e">
        <f>IF(INDEX(TabREP39[[J1]:[J30]],ROW()-11,$G$2)=0,"",INDEX(TabREP39[[J1]:[J30]],ROW()-11,$G$2))</f>
        <v>#VALUE!</v>
      </c>
      <c r="G40" s="318" t="str">
        <f>INDEX(TabBilanMental15[],ROW()-11,4)</f>
        <v/>
      </c>
    </row>
    <row r="41" spans="2:7" ht="15.95" customHeight="1">
      <c r="B41" s="29" t="str">
        <f>IF(INDEX(TabEntrainement[Seance],ROW()-11)&lt;&gt;0,INDEX(TabEntrainement[Seance],ROW()-11),"")</f>
        <v/>
      </c>
      <c r="C41" s="6" t="str">
        <f>IF((INDEX(TabEntrainement[[J1]:[J30]],ROW()-11,$G$2))=0,"",INDEX(TabEntrainement[[J1]:[J30]],ROW()-11,$G$2))</f>
        <v/>
      </c>
      <c r="D41" s="22" t="str">
        <f>IF(INDEX(TabForme[[J1]:[J30]],ROW()-11,$G$2)=0,"",INDEX(TabForme[[J1]:[J30]],ROW()-11,$G$2))</f>
        <v/>
      </c>
      <c r="E41" s="318" t="str">
        <f>IF(INDEX(TabREP[[J1]:[J30]],ROW()-11,$G$2)=0,"",INDEX(TabREP[[J1]:[J30]],ROW()-11,$G$2))</f>
        <v/>
      </c>
      <c r="F41" s="22" t="e">
        <f>IF(INDEX(TabREP39[[J1]:[J30]],ROW()-11,$G$2)=0,"",INDEX(TabREP39[[J1]:[J30]],ROW()-11,$G$2))</f>
        <v>#VALUE!</v>
      </c>
      <c r="G41" s="318" t="str">
        <f>INDEX(TabBilanMental15[],ROW()-11,4)</f>
        <v/>
      </c>
    </row>
    <row r="42" spans="2:7" ht="15.95" customHeight="1">
      <c r="B42" s="29" t="str">
        <f>IF(INDEX(TabEntrainement[Seance],ROW()-11)&lt;&gt;0,INDEX(TabEntrainement[Seance],ROW()-11),"")</f>
        <v/>
      </c>
      <c r="C42" s="6" t="str">
        <f>IF((INDEX(TabEntrainement[[J1]:[J30]],ROW()-11,$G$2))=0,"",INDEX(TabEntrainement[[J1]:[J30]],ROW()-11,$G$2))</f>
        <v/>
      </c>
      <c r="D42" s="22" t="str">
        <f>IF(INDEX(TabForme[[J1]:[J30]],ROW()-11,$G$2)=0,"",INDEX(TabForme[[J1]:[J30]],ROW()-11,$G$2))</f>
        <v/>
      </c>
      <c r="E42" s="318" t="str">
        <f>IF(INDEX(TabREP[[J1]:[J30]],ROW()-11,$G$2)=0,"",INDEX(TabREP[[J1]:[J30]],ROW()-11,$G$2))</f>
        <v/>
      </c>
      <c r="F42" s="22" t="e">
        <f>IF(INDEX(TabREP39[[J1]:[J30]],ROW()-11,$G$2)=0,"",INDEX(TabREP39[[J1]:[J30]],ROW()-11,$G$2))</f>
        <v>#VALUE!</v>
      </c>
      <c r="G42" s="318" t="str">
        <f>INDEX(TabBilanMental15[],ROW()-11,4)</f>
        <v/>
      </c>
    </row>
    <row r="43" spans="2:7" ht="15.95" customHeight="1">
      <c r="B43" s="29" t="str">
        <f>IF(INDEX(TabEntrainement[Seance],ROW()-11)&lt;&gt;0,INDEX(TabEntrainement[Seance],ROW()-11),"")</f>
        <v/>
      </c>
      <c r="C43" s="6" t="str">
        <f>IF((INDEX(TabEntrainement[[J1]:[J30]],ROW()-11,$G$2))=0,"",INDEX(TabEntrainement[[J1]:[J30]],ROW()-11,$G$2))</f>
        <v/>
      </c>
      <c r="D43" s="22" t="str">
        <f>IF(INDEX(TabForme[[J1]:[J30]],ROW()-11,$G$2)=0,"",INDEX(TabForme[[J1]:[J30]],ROW()-11,$G$2))</f>
        <v/>
      </c>
      <c r="E43" s="318" t="str">
        <f>IF(INDEX(TabREP[[J1]:[J30]],ROW()-11,$G$2)=0,"",INDEX(TabREP[[J1]:[J30]],ROW()-11,$G$2))</f>
        <v/>
      </c>
      <c r="F43" s="22" t="e">
        <f>IF(INDEX(TabREP39[[J1]:[J30]],ROW()-11,$G$2)=0,"",INDEX(TabREP39[[J1]:[J30]],ROW()-11,$G$2))</f>
        <v>#VALUE!</v>
      </c>
      <c r="G43" s="318" t="str">
        <f>INDEX(TabBilanMental15[],ROW()-11,4)</f>
        <v/>
      </c>
    </row>
    <row r="44" spans="2:7" ht="15.95" customHeight="1">
      <c r="B44" s="29" t="str">
        <f>IF(INDEX(TabEntrainement[Seance],ROW()-11)&lt;&gt;0,INDEX(TabEntrainement[Seance],ROW()-11),"")</f>
        <v/>
      </c>
      <c r="C44" s="6" t="str">
        <f>IF((INDEX(TabEntrainement[[J1]:[J30]],ROW()-11,$G$2))=0,"",INDEX(TabEntrainement[[J1]:[J30]],ROW()-11,$G$2))</f>
        <v/>
      </c>
      <c r="D44" s="22" t="str">
        <f>IF(INDEX(TabForme[[J1]:[J30]],ROW()-11,$G$2)=0,"",INDEX(TabForme[[J1]:[J30]],ROW()-11,$G$2))</f>
        <v/>
      </c>
      <c r="E44" s="318" t="str">
        <f>IF(INDEX(TabREP[[J1]:[J30]],ROW()-11,$G$2)=0,"",INDEX(TabREP[[J1]:[J30]],ROW()-11,$G$2))</f>
        <v/>
      </c>
      <c r="F44" s="22" t="e">
        <f>IF(INDEX(TabREP39[[J1]:[J30]],ROW()-11,$G$2)=0,"",INDEX(TabREP39[[J1]:[J30]],ROW()-11,$G$2))</f>
        <v>#VALUE!</v>
      </c>
      <c r="G44" s="318" t="str">
        <f>INDEX(TabBilanMental15[],ROW()-11,4)</f>
        <v/>
      </c>
    </row>
    <row r="45" spans="2:7" ht="15.95" customHeight="1">
      <c r="B45" s="29" t="str">
        <f>IF(INDEX(TabEntrainement[Seance],ROW()-11)&lt;&gt;0,INDEX(TabEntrainement[Seance],ROW()-11),"")</f>
        <v/>
      </c>
      <c r="C45" s="6" t="str">
        <f>IF((INDEX(TabEntrainement[[J1]:[J30]],ROW()-11,$G$2))=0,"",INDEX(TabEntrainement[[J1]:[J30]],ROW()-11,$G$2))</f>
        <v/>
      </c>
      <c r="D45" s="22" t="str">
        <f>IF(INDEX(TabForme[[J1]:[J30]],ROW()-11,$G$2)=0,"",INDEX(TabForme[[J1]:[J30]],ROW()-11,$G$2))</f>
        <v/>
      </c>
      <c r="E45" s="318" t="str">
        <f>IF(INDEX(TabREP[[J1]:[J30]],ROW()-11,$G$2)=0,"",INDEX(TabREP[[J1]:[J30]],ROW()-11,$G$2))</f>
        <v/>
      </c>
      <c r="F45" s="22" t="e">
        <f>IF(INDEX(TabREP39[[J1]:[J30]],ROW()-11,$G$2)=0,"",INDEX(TabREP39[[J1]:[J30]],ROW()-11,$G$2))</f>
        <v>#VALUE!</v>
      </c>
      <c r="G45" s="318" t="str">
        <f>INDEX(TabBilanMental15[],ROW()-11,4)</f>
        <v/>
      </c>
    </row>
    <row r="46" spans="2:7" ht="15.95" customHeight="1">
      <c r="B46" s="29" t="str">
        <f>IF(INDEX(TabEntrainement[Seance],ROW()-11)&lt;&gt;0,INDEX(TabEntrainement[Seance],ROW()-11),"")</f>
        <v/>
      </c>
      <c r="C46" s="6" t="str">
        <f>IF((INDEX(TabEntrainement[[J1]:[J30]],ROW()-11,$G$2))=0,"",INDEX(TabEntrainement[[J1]:[J30]],ROW()-11,$G$2))</f>
        <v/>
      </c>
      <c r="D46" s="22" t="str">
        <f>IF(INDEX(TabForme[[J1]:[J30]],ROW()-11,$G$2)=0,"",INDEX(TabForme[[J1]:[J30]],ROW()-11,$G$2))</f>
        <v/>
      </c>
      <c r="E46" s="318" t="str">
        <f>IF(INDEX(TabREP[[J1]:[J30]],ROW()-11,$G$2)=0,"",INDEX(TabREP[[J1]:[J30]],ROW()-11,$G$2))</f>
        <v/>
      </c>
      <c r="F46" s="22" t="e">
        <f>IF(INDEX(TabREP39[[J1]:[J30]],ROW()-11,$G$2)=0,"",INDEX(TabREP39[[J1]:[J30]],ROW()-11,$G$2))</f>
        <v>#VALUE!</v>
      </c>
      <c r="G46" s="318" t="str">
        <f>INDEX(TabBilanMental15[],ROW()-11,4)</f>
        <v/>
      </c>
    </row>
    <row r="47" spans="2:7" ht="15.95" customHeight="1">
      <c r="B47" s="29" t="str">
        <f>IF(INDEX(TabEntrainement[Seance],ROW()-11)&lt;&gt;0,INDEX(TabEntrainement[Seance],ROW()-11),"")</f>
        <v/>
      </c>
      <c r="C47" s="6" t="str">
        <f>IF((INDEX(TabEntrainement[[J1]:[J30]],ROW()-11,$G$2))=0,"",INDEX(TabEntrainement[[J1]:[J30]],ROW()-11,$G$2))</f>
        <v/>
      </c>
      <c r="D47" s="22" t="str">
        <f>IF(INDEX(TabForme[[J1]:[J30]],ROW()-11,$G$2)=0,"",INDEX(TabForme[[J1]:[J30]],ROW()-11,$G$2))</f>
        <v/>
      </c>
      <c r="E47" s="318" t="str">
        <f>IF(INDEX(TabREP[[J1]:[J30]],ROW()-11,$G$2)=0,"",INDEX(TabREP[[J1]:[J30]],ROW()-11,$G$2))</f>
        <v/>
      </c>
      <c r="F47" s="22" t="e">
        <f>IF(INDEX(TabREP39[[J1]:[J30]],ROW()-11,$G$2)=0,"",INDEX(TabREP39[[J1]:[J30]],ROW()-11,$G$2))</f>
        <v>#VALUE!</v>
      </c>
      <c r="G47" s="318" t="str">
        <f>INDEX(TabBilanMental15[],ROW()-11,4)</f>
        <v/>
      </c>
    </row>
    <row r="48" spans="2:7" ht="15.95" customHeight="1">
      <c r="B48" s="29" t="str">
        <f>IF(INDEX(TabEntrainement[Seance],ROW()-11)&lt;&gt;0,INDEX(TabEntrainement[Seance],ROW()-11),"")</f>
        <v/>
      </c>
      <c r="C48" s="6" t="str">
        <f>IF((INDEX(TabEntrainement[[J1]:[J30]],ROW()-11,$G$2))=0,"",INDEX(TabEntrainement[[J1]:[J30]],ROW()-11,$G$2))</f>
        <v/>
      </c>
      <c r="D48" s="22" t="str">
        <f>IF(INDEX(TabForme[[J1]:[J30]],ROW()-11,$G$2)=0,"",INDEX(TabForme[[J1]:[J30]],ROW()-11,$G$2))</f>
        <v/>
      </c>
      <c r="E48" s="318" t="str">
        <f>IF(INDEX(TabREP[[J1]:[J30]],ROW()-11,$G$2)=0,"",INDEX(TabREP[[J1]:[J30]],ROW()-11,$G$2))</f>
        <v/>
      </c>
      <c r="F48" s="22" t="e">
        <f>IF(INDEX(TabREP39[[J1]:[J30]],ROW()-11,$G$2)=0,"",INDEX(TabREP39[[J1]:[J30]],ROW()-11,$G$2))</f>
        <v>#VALUE!</v>
      </c>
      <c r="G48" s="318" t="str">
        <f>INDEX(TabBilanMental15[],ROW()-11,4)</f>
        <v/>
      </c>
    </row>
    <row r="49" spans="2:7" ht="15.95" customHeight="1">
      <c r="B49" s="29" t="str">
        <f>IF(INDEX(TabEntrainement[Seance],ROW()-11)&lt;&gt;0,INDEX(TabEntrainement[Seance],ROW()-11),"")</f>
        <v/>
      </c>
      <c r="C49" s="6" t="str">
        <f>IF((INDEX(TabEntrainement[[J1]:[J30]],ROW()-11,$G$2))=0,"",INDEX(TabEntrainement[[J1]:[J30]],ROW()-11,$G$2))</f>
        <v/>
      </c>
      <c r="D49" s="22" t="str">
        <f>IF(INDEX(TabForme[[J1]:[J30]],ROW()-11,$G$2)=0,"",INDEX(TabForme[[J1]:[J30]],ROW()-11,$G$2))</f>
        <v/>
      </c>
      <c r="E49" s="318" t="str">
        <f>IF(INDEX(TabREP[[J1]:[J30]],ROW()-11,$G$2)=0,"",INDEX(TabREP[[J1]:[J30]],ROW()-11,$G$2))</f>
        <v/>
      </c>
      <c r="F49" s="22" t="e">
        <f>IF(INDEX(TabREP39[[J1]:[J30]],ROW()-11,$G$2)=0,"",INDEX(TabREP39[[J1]:[J30]],ROW()-11,$G$2))</f>
        <v>#VALUE!</v>
      </c>
      <c r="G49" s="318" t="str">
        <f>INDEX(TabBilanMental15[],ROW()-11,4)</f>
        <v/>
      </c>
    </row>
    <row r="50" spans="2:7" ht="15.95" customHeight="1">
      <c r="B50" s="29" t="str">
        <f>IF(INDEX(TabEntrainement[Seance],ROW()-11)&lt;&gt;0,INDEX(TabEntrainement[Seance],ROW()-11),"")</f>
        <v/>
      </c>
      <c r="C50" s="6" t="str">
        <f>IF((INDEX(TabEntrainement[[J1]:[J30]],ROW()-11,$G$2))=0,"",INDEX(TabEntrainement[[J1]:[J30]],ROW()-11,$G$2))</f>
        <v/>
      </c>
      <c r="D50" s="22" t="str">
        <f>IF(INDEX(TabForme[[J1]:[J30]],ROW()-11,$G$2)=0,"",INDEX(TabForme[[J1]:[J30]],ROW()-11,$G$2))</f>
        <v/>
      </c>
      <c r="E50" s="318" t="str">
        <f>IF(INDEX(TabREP[[J1]:[J30]],ROW()-11,$G$2)=0,"",INDEX(TabREP[[J1]:[J30]],ROW()-11,$G$2))</f>
        <v/>
      </c>
      <c r="F50" s="22" t="e">
        <f>IF(INDEX(TabREP39[[J1]:[J30]],ROW()-11,$G$2)=0,"",INDEX(TabREP39[[J1]:[J30]],ROW()-11,$G$2))</f>
        <v>#VALUE!</v>
      </c>
      <c r="G50" s="318" t="str">
        <f>INDEX(TabBilanMental15[],ROW()-11,4)</f>
        <v/>
      </c>
    </row>
    <row r="51" spans="2:7" ht="15.95" customHeight="1">
      <c r="B51" s="29" t="str">
        <f>IF(INDEX(TabEntrainement[Seance],ROW()-11)&lt;&gt;0,INDEX(TabEntrainement[Seance],ROW()-11),"")</f>
        <v/>
      </c>
      <c r="C51" s="6" t="str">
        <f>IF((INDEX(TabEntrainement[[J1]:[J30]],ROW()-11,$G$2))=0,"",INDEX(TabEntrainement[[J1]:[J30]],ROW()-11,$G$2))</f>
        <v/>
      </c>
      <c r="D51" s="22" t="str">
        <f>IF(INDEX(TabForme[[J1]:[J30]],ROW()-11,$G$2)=0,"",INDEX(TabForme[[J1]:[J30]],ROW()-11,$G$2))</f>
        <v/>
      </c>
      <c r="E51" s="318" t="str">
        <f>IF(INDEX(TabREP[[J1]:[J30]],ROW()-11,$G$2)=0,"",INDEX(TabREP[[J1]:[J30]],ROW()-11,$G$2))</f>
        <v/>
      </c>
      <c r="F51" s="22" t="e">
        <f>IF(INDEX(TabREP39[[J1]:[J30]],ROW()-11,$G$2)=0,"",INDEX(TabREP39[[J1]:[J30]],ROW()-11,$G$2))</f>
        <v>#VALUE!</v>
      </c>
      <c r="G51" s="318" t="str">
        <f>INDEX(TabBilanMental15[],ROW()-11,4)</f>
        <v/>
      </c>
    </row>
    <row r="52" spans="2:7" ht="15.95" customHeight="1">
      <c r="B52" s="29" t="str">
        <f>IF(INDEX(TabEntrainement[Seance],ROW()-11)&lt;&gt;0,INDEX(TabEntrainement[Seance],ROW()-11),"")</f>
        <v/>
      </c>
      <c r="C52" s="6" t="str">
        <f>IF((INDEX(TabEntrainement[[J1]:[J30]],ROW()-11,$G$2))=0,"",INDEX(TabEntrainement[[J1]:[J30]],ROW()-11,$G$2))</f>
        <v/>
      </c>
      <c r="D52" s="22" t="str">
        <f>IF(INDEX(TabForme[[J1]:[J30]],ROW()-11,$G$2)=0,"",INDEX(TabForme[[J1]:[J30]],ROW()-11,$G$2))</f>
        <v/>
      </c>
      <c r="E52" s="318" t="str">
        <f>IF(INDEX(TabREP[[J1]:[J30]],ROW()-11,$G$2)=0,"",INDEX(TabREP[[J1]:[J30]],ROW()-11,$G$2))</f>
        <v/>
      </c>
      <c r="F52" s="22" t="e">
        <f>IF(INDEX(TabREP39[[J1]:[J30]],ROW()-11,$G$2)=0,"",INDEX(TabREP39[[J1]:[J30]],ROW()-11,$G$2))</f>
        <v>#VALUE!</v>
      </c>
      <c r="G52" s="318" t="str">
        <f>INDEX(TabBilanMental15[],ROW()-11,4)</f>
        <v/>
      </c>
    </row>
    <row r="53" spans="2:7" ht="15.95" customHeight="1">
      <c r="B53" s="29" t="str">
        <f>IF(INDEX(TabEntrainement[Seance],ROW()-11)&lt;&gt;0,INDEX(TabEntrainement[Seance],ROW()-11),"")</f>
        <v/>
      </c>
      <c r="C53" s="6" t="str">
        <f>IF((INDEX(TabEntrainement[[J1]:[J30]],ROW()-11,$G$2))=0,"",INDEX(TabEntrainement[[J1]:[J30]],ROW()-11,$G$2))</f>
        <v/>
      </c>
      <c r="D53" s="22" t="str">
        <f>IF(INDEX(TabForme[[J1]:[J30]],ROW()-11,$G$2)=0,"",INDEX(TabForme[[J1]:[J30]],ROW()-11,$G$2))</f>
        <v/>
      </c>
      <c r="E53" s="318" t="str">
        <f>IF(INDEX(TabREP[[J1]:[J30]],ROW()-11,$G$2)=0,"",INDEX(TabREP[[J1]:[J30]],ROW()-11,$G$2))</f>
        <v/>
      </c>
      <c r="F53" s="22" t="e">
        <f>IF(INDEX(TabREP39[[J1]:[J30]],ROW()-11,$G$2)=0,"",INDEX(TabREP39[[J1]:[J30]],ROW()-11,$G$2))</f>
        <v>#VALUE!</v>
      </c>
      <c r="G53" s="318" t="str">
        <f>INDEX(TabBilanMental15[],ROW()-11,4)</f>
        <v/>
      </c>
    </row>
    <row r="54" spans="2:7" ht="15.95" customHeight="1">
      <c r="B54" s="29" t="str">
        <f>IF(INDEX(TabEntrainement[Seance],ROW()-11)&lt;&gt;0,INDEX(TabEntrainement[Seance],ROW()-11),"")</f>
        <v/>
      </c>
      <c r="C54" s="6" t="str">
        <f>IF((INDEX(TabEntrainement[[J1]:[J30]],ROW()-11,$G$2))=0,"",INDEX(TabEntrainement[[J1]:[J30]],ROW()-11,$G$2))</f>
        <v/>
      </c>
      <c r="D54" s="22" t="str">
        <f>IF(INDEX(TabForme[[J1]:[J30]],ROW()-11,$G$2)=0,"",INDEX(TabForme[[J1]:[J30]],ROW()-11,$G$2))</f>
        <v/>
      </c>
      <c r="E54" s="318" t="str">
        <f>IF(INDEX(TabREP[[J1]:[J30]],ROW()-11,$G$2)=0,"",INDEX(TabREP[[J1]:[J30]],ROW()-11,$G$2))</f>
        <v/>
      </c>
      <c r="F54" s="22" t="e">
        <f>IF(INDEX(TabREP39[[J1]:[J30]],ROW()-11,$G$2)=0,"",INDEX(TabREP39[[J1]:[J30]],ROW()-11,$G$2))</f>
        <v>#VALUE!</v>
      </c>
      <c r="G54" s="318" t="str">
        <f>INDEX(TabBilanMental15[],ROW()-11,4)</f>
        <v/>
      </c>
    </row>
    <row r="55" spans="2:7" ht="15.95" customHeight="1">
      <c r="B55" s="29" t="str">
        <f>IF(INDEX(TabEntrainement[Seance],ROW()-11)&lt;&gt;0,INDEX(TabEntrainement[Seance],ROW()-11),"")</f>
        <v/>
      </c>
      <c r="C55" s="6" t="str">
        <f>IF((INDEX(TabEntrainement[[J1]:[J30]],ROW()-11,$G$2))=0,"",INDEX(TabEntrainement[[J1]:[J30]],ROW()-11,$G$2))</f>
        <v/>
      </c>
      <c r="D55" s="22" t="str">
        <f>IF(INDEX(TabForme[[J1]:[J30]],ROW()-11,$G$2)=0,"",INDEX(TabForme[[J1]:[J30]],ROW()-11,$G$2))</f>
        <v/>
      </c>
      <c r="E55" s="318" t="str">
        <f>IF(INDEX(TabREP[[J1]:[J30]],ROW()-11,$G$2)=0,"",INDEX(TabREP[[J1]:[J30]],ROW()-11,$G$2))</f>
        <v/>
      </c>
      <c r="F55" s="22" t="e">
        <f>IF(INDEX(TabREP39[[J1]:[J30]],ROW()-11,$G$2)=0,"",INDEX(TabREP39[[J1]:[J30]],ROW()-11,$G$2))</f>
        <v>#VALUE!</v>
      </c>
      <c r="G55" s="318" t="str">
        <f>INDEX(TabBilanMental15[],ROW()-11,4)</f>
        <v/>
      </c>
    </row>
    <row r="56" spans="2:7" ht="15.95" customHeight="1">
      <c r="B56" s="29" t="str">
        <f>IF(INDEX(TabEntrainement[Seance],ROW()-11)&lt;&gt;0,INDEX(TabEntrainement[Seance],ROW()-11),"")</f>
        <v/>
      </c>
      <c r="C56" s="6" t="str">
        <f>IF((INDEX(TabEntrainement[[J1]:[J30]],ROW()-11,$G$2))=0,"",INDEX(TabEntrainement[[J1]:[J30]],ROW()-11,$G$2))</f>
        <v/>
      </c>
      <c r="D56" s="22" t="str">
        <f>IF(INDEX(TabForme[[J1]:[J30]],ROW()-11,$G$2)=0,"",INDEX(TabForme[[J1]:[J30]],ROW()-11,$G$2))</f>
        <v/>
      </c>
      <c r="E56" s="318" t="str">
        <f>IF(INDEX(TabREP[[J1]:[J30]],ROW()-11,$G$2)=0,"",INDEX(TabREP[[J1]:[J30]],ROW()-11,$G$2))</f>
        <v/>
      </c>
      <c r="F56" s="22" t="e">
        <f>IF(INDEX(TabREP39[[J1]:[J30]],ROW()-11,$G$2)=0,"",INDEX(TabREP39[[J1]:[J30]],ROW()-11,$G$2))</f>
        <v>#VALUE!</v>
      </c>
      <c r="G56" s="318" t="str">
        <f>INDEX(TabBilanMental15[],ROW()-11,4)</f>
        <v/>
      </c>
    </row>
    <row r="57" spans="2:7" ht="15.95" customHeight="1">
      <c r="B57" s="29" t="str">
        <f>IF(INDEX(TabEntrainement[Seance],ROW()-11)&lt;&gt;0,INDEX(TabEntrainement[Seance],ROW()-11),"")</f>
        <v/>
      </c>
      <c r="C57" s="6" t="str">
        <f>IF((INDEX(TabEntrainement[[J1]:[J30]],ROW()-11,$G$2))=0,"",INDEX(TabEntrainement[[J1]:[J30]],ROW()-11,$G$2))</f>
        <v/>
      </c>
      <c r="D57" s="22" t="str">
        <f>IF(INDEX(TabForme[[J1]:[J30]],ROW()-11,$G$2)=0,"",INDEX(TabForme[[J1]:[J30]],ROW()-11,$G$2))</f>
        <v/>
      </c>
      <c r="E57" s="318" t="str">
        <f>IF(INDEX(TabREP[[J1]:[J30]],ROW()-11,$G$2)=0,"",INDEX(TabREP[[J1]:[J30]],ROW()-11,$G$2))</f>
        <v/>
      </c>
      <c r="F57" s="22" t="e">
        <f>IF(INDEX(TabREP39[[J1]:[J30]],ROW()-11,$G$2)=0,"",INDEX(TabREP39[[J1]:[J30]],ROW()-11,$G$2))</f>
        <v>#VALUE!</v>
      </c>
      <c r="G57" s="318" t="str">
        <f>INDEX(TabBilanMental15[],ROW()-11,4)</f>
        <v/>
      </c>
    </row>
    <row r="58" spans="2:7" ht="15.95" customHeight="1">
      <c r="B58" s="29" t="str">
        <f>IF(INDEX(TabEntrainement[Seance],ROW()-11)&lt;&gt;0,INDEX(TabEntrainement[Seance],ROW()-11),"")</f>
        <v/>
      </c>
      <c r="C58" s="6" t="str">
        <f>IF((INDEX(TabEntrainement[[J1]:[J30]],ROW()-11,$G$2))=0,"",INDEX(TabEntrainement[[J1]:[J30]],ROW()-11,$G$2))</f>
        <v/>
      </c>
      <c r="D58" s="22" t="str">
        <f>IF(INDEX(TabForme[[J1]:[J30]],ROW()-11,$G$2)=0,"",INDEX(TabForme[[J1]:[J30]],ROW()-11,$G$2))</f>
        <v/>
      </c>
      <c r="E58" s="318" t="str">
        <f>IF(INDEX(TabREP[[J1]:[J30]],ROW()-11,$G$2)=0,"",INDEX(TabREP[[J1]:[J30]],ROW()-11,$G$2))</f>
        <v/>
      </c>
      <c r="F58" s="22" t="e">
        <f>IF(INDEX(TabREP39[[J1]:[J30]],ROW()-11,$G$2)=0,"",INDEX(TabREP39[[J1]:[J30]],ROW()-11,$G$2))</f>
        <v>#VALUE!</v>
      </c>
      <c r="G58" s="318" t="str">
        <f>INDEX(TabBilanMental15[],ROW()-11,4)</f>
        <v/>
      </c>
    </row>
    <row r="59" spans="2:7" ht="15.95" customHeight="1">
      <c r="B59" s="29" t="str">
        <f>IF(INDEX(TabEntrainement[Seance],ROW()-11)&lt;&gt;0,INDEX(TabEntrainement[Seance],ROW()-11),"")</f>
        <v/>
      </c>
      <c r="C59" s="6" t="str">
        <f>IF((INDEX(TabEntrainement[[J1]:[J30]],ROW()-11,$G$2))=0,"",INDEX(TabEntrainement[[J1]:[J30]],ROW()-11,$G$2))</f>
        <v/>
      </c>
      <c r="D59" s="22" t="str">
        <f>IF(INDEX(TabForme[[J1]:[J30]],ROW()-11,$G$2)=0,"",INDEX(TabForme[[J1]:[J30]],ROW()-11,$G$2))</f>
        <v/>
      </c>
      <c r="E59" s="318" t="str">
        <f>IF(INDEX(TabREP[[J1]:[J30]],ROW()-11,$G$2)=0,"",INDEX(TabREP[[J1]:[J30]],ROW()-11,$G$2))</f>
        <v/>
      </c>
      <c r="F59" s="22" t="e">
        <f>IF(INDEX(TabREP39[[J1]:[J30]],ROW()-11,$G$2)=0,"",INDEX(TabREP39[[J1]:[J30]],ROW()-11,$G$2))</f>
        <v>#VALUE!</v>
      </c>
      <c r="G59" s="318" t="str">
        <f>INDEX(TabBilanMental15[],ROW()-11,4)</f>
        <v/>
      </c>
    </row>
    <row r="60" spans="2:7" ht="15.95" customHeight="1">
      <c r="B60" s="29" t="str">
        <f>IF(INDEX(TabEntrainement[Seance],ROW()-11)&lt;&gt;0,INDEX(TabEntrainement[Seance],ROW()-11),"")</f>
        <v/>
      </c>
      <c r="C60" s="6" t="str">
        <f>IF((INDEX(TabEntrainement[[J1]:[J30]],ROW()-11,$G$2))=0,"",INDEX(TabEntrainement[[J1]:[J30]],ROW()-11,$G$2))</f>
        <v/>
      </c>
      <c r="D60" s="22" t="str">
        <f>IF(INDEX(TabForme[[J1]:[J30]],ROW()-11,$G$2)=0,"",INDEX(TabForme[[J1]:[J30]],ROW()-11,$G$2))</f>
        <v/>
      </c>
      <c r="E60" s="318" t="str">
        <f>IF(INDEX(TabREP[[J1]:[J30]],ROW()-11,$G$2)=0,"",INDEX(TabREP[[J1]:[J30]],ROW()-11,$G$2))</f>
        <v/>
      </c>
      <c r="F60" s="22" t="e">
        <f>IF(INDEX(TabREP39[[J1]:[J30]],ROW()-11,$G$2)=0,"",INDEX(TabREP39[[J1]:[J30]],ROW()-11,$G$2))</f>
        <v>#VALUE!</v>
      </c>
      <c r="G60" s="318" t="str">
        <f>INDEX(TabBilanMental15[],ROW()-11,4)</f>
        <v/>
      </c>
    </row>
    <row r="61" spans="2:7" ht="15.95" customHeight="1">
      <c r="B61" s="29" t="str">
        <f>IF(INDEX(TabEntrainement[Seance],ROW()-11)&lt;&gt;0,INDEX(TabEntrainement[Seance],ROW()-11),"")</f>
        <v/>
      </c>
      <c r="C61" s="6" t="str">
        <f>IF((INDEX(TabEntrainement[[J1]:[J30]],ROW()-11,$G$2))=0,"",INDEX(TabEntrainement[[J1]:[J30]],ROW()-11,$G$2))</f>
        <v/>
      </c>
      <c r="D61" s="22" t="str">
        <f>IF(INDEX(TabForme[[J1]:[J30]],ROW()-11,$G$2)=0,"",INDEX(TabForme[[J1]:[J30]],ROW()-11,$G$2))</f>
        <v/>
      </c>
      <c r="E61" s="318" t="str">
        <f>IF(INDEX(TabREP[[J1]:[J30]],ROW()-11,$G$2)=0,"",INDEX(TabREP[[J1]:[J30]],ROW()-11,$G$2))</f>
        <v/>
      </c>
      <c r="F61" s="22" t="e">
        <f>IF(INDEX(TabREP39[[J1]:[J30]],ROW()-11,$G$2)=0,"",INDEX(TabREP39[[J1]:[J30]],ROW()-11,$G$2))</f>
        <v>#VALUE!</v>
      </c>
      <c r="G61" s="318" t="str">
        <f>INDEX(TabBilanMental15[],ROW()-11,4)</f>
        <v/>
      </c>
    </row>
    <row r="62" spans="2:7" ht="15.95" customHeight="1">
      <c r="B62" s="29" t="str">
        <f>IF(INDEX(TabEntrainement[Seance],ROW()-11)&lt;&gt;0,INDEX(TabEntrainement[Seance],ROW()-11),"")</f>
        <v/>
      </c>
      <c r="C62" s="6" t="str">
        <f>IF((INDEX(TabEntrainement[[J1]:[J30]],ROW()-11,$G$2))=0,"",INDEX(TabEntrainement[[J1]:[J30]],ROW()-11,$G$2))</f>
        <v/>
      </c>
      <c r="D62" s="22" t="str">
        <f>IF(INDEX(TabForme[[J1]:[J30]],ROW()-11,$G$2)=0,"",INDEX(TabForme[[J1]:[J30]],ROW()-11,$G$2))</f>
        <v/>
      </c>
      <c r="E62" s="318" t="str">
        <f>IF(INDEX(TabREP[[J1]:[J30]],ROW()-11,$G$2)=0,"",INDEX(TabREP[[J1]:[J30]],ROW()-11,$G$2))</f>
        <v/>
      </c>
      <c r="F62" s="22" t="e">
        <f>IF(INDEX(TabREP39[[J1]:[J30]],ROW()-11,$G$2)=0,"",INDEX(TabREP39[[J1]:[J30]],ROW()-11,$G$2))</f>
        <v>#VALUE!</v>
      </c>
      <c r="G62" s="318" t="str">
        <f>INDEX(TabBilanMental15[],ROW()-11,4)</f>
        <v/>
      </c>
    </row>
    <row r="63" spans="2:7" ht="15.95" customHeight="1">
      <c r="B63" s="29" t="str">
        <f>IF(INDEX(TabEntrainement[Seance],ROW()-11)&lt;&gt;0,INDEX(TabEntrainement[Seance],ROW()-11),"")</f>
        <v/>
      </c>
      <c r="C63" s="6" t="str">
        <f>IF((INDEX(TabEntrainement[[J1]:[J30]],ROW()-11,$G$2))=0,"",INDEX(TabEntrainement[[J1]:[J30]],ROW()-11,$G$2))</f>
        <v/>
      </c>
      <c r="D63" s="22" t="str">
        <f>IF(INDEX(TabForme[[J1]:[J30]],ROW()-11,$G$2)=0,"",INDEX(TabForme[[J1]:[J30]],ROW()-11,$G$2))</f>
        <v/>
      </c>
      <c r="E63" s="318" t="str">
        <f>IF(INDEX(TabREP[[J1]:[J30]],ROW()-11,$G$2)=0,"",INDEX(TabREP[[J1]:[J30]],ROW()-11,$G$2))</f>
        <v/>
      </c>
      <c r="F63" s="22" t="e">
        <f>IF(INDEX(TabREP39[[J1]:[J30]],ROW()-11,$G$2)=0,"",INDEX(TabREP39[[J1]:[J30]],ROW()-11,$G$2))</f>
        <v>#VALUE!</v>
      </c>
      <c r="G63" s="318" t="str">
        <f>INDEX(TabBilanMental15[],ROW()-11,4)</f>
        <v/>
      </c>
    </row>
    <row r="64" spans="2:7" ht="15.95" customHeight="1">
      <c r="B64" s="29" t="str">
        <f>IF(INDEX(TabEntrainement[Seance],ROW()-11)&lt;&gt;0,INDEX(TabEntrainement[Seance],ROW()-11),"")</f>
        <v/>
      </c>
      <c r="C64" s="6" t="str">
        <f>IF((INDEX(TabEntrainement[[J1]:[J30]],ROW()-11,$G$2))=0,"",INDEX(TabEntrainement[[J1]:[J30]],ROW()-11,$G$2))</f>
        <v/>
      </c>
      <c r="D64" s="22" t="str">
        <f>IF(INDEX(TabForme[[J1]:[J30]],ROW()-11,$G$2)=0,"",INDEX(TabForme[[J1]:[J30]],ROW()-11,$G$2))</f>
        <v/>
      </c>
      <c r="E64" s="318" t="str">
        <f>IF(INDEX(TabREP[[J1]:[J30]],ROW()-11,$G$2)=0,"",INDEX(TabREP[[J1]:[J30]],ROW()-11,$G$2))</f>
        <v/>
      </c>
      <c r="F64" s="22" t="e">
        <f>IF(INDEX(TabREP39[[J1]:[J30]],ROW()-11,$G$2)=0,"",INDEX(TabREP39[[J1]:[J30]],ROW()-11,$G$2))</f>
        <v>#VALUE!</v>
      </c>
      <c r="G64" s="318" t="str">
        <f>INDEX(TabBilanMental15[],ROW()-11,4)</f>
        <v/>
      </c>
    </row>
    <row r="65" spans="2:17" ht="15.95" customHeight="1">
      <c r="B65" s="29" t="str">
        <f>IF(INDEX(TabEntrainement[Seance],ROW()-11)&lt;&gt;0,INDEX(TabEntrainement[Seance],ROW()-11),"")</f>
        <v/>
      </c>
      <c r="C65" s="6" t="str">
        <f>IF((INDEX(TabEntrainement[[J1]:[J30]],ROW()-11,$G$2))=0,"",INDEX(TabEntrainement[[J1]:[J30]],ROW()-11,$G$2))</f>
        <v/>
      </c>
      <c r="D65" s="22" t="str">
        <f>IF(INDEX(TabForme[[J1]:[J30]],ROW()-11,$G$2)=0,"",INDEX(TabForme[[J1]:[J30]],ROW()-11,$G$2))</f>
        <v/>
      </c>
      <c r="E65" s="318" t="str">
        <f>IF(INDEX(TabREP[[J1]:[J30]],ROW()-11,$G$2)=0,"",INDEX(TabREP[[J1]:[J30]],ROW()-11,$G$2))</f>
        <v/>
      </c>
      <c r="F65" s="22" t="e">
        <f>IF(INDEX(TabREP39[[J1]:[J30]],ROW()-11,$G$2)=0,"",INDEX(TabREP39[[J1]:[J30]],ROW()-11,$G$2))</f>
        <v>#VALUE!</v>
      </c>
      <c r="G65" s="318" t="str">
        <f>INDEX(TabBilanMental15[],ROW()-11,4)</f>
        <v/>
      </c>
    </row>
    <row r="66" spans="2:17" ht="15.95" customHeight="1">
      <c r="B66" s="29" t="str">
        <f>IF(INDEX(TabEntrainement[Seance],ROW()-11)&lt;&gt;0,INDEX(TabEntrainement[Seance],ROW()-11),"")</f>
        <v/>
      </c>
      <c r="C66" s="6" t="str">
        <f>IF((INDEX(TabEntrainement[[J1]:[J30]],ROW()-11,$G$2))=0,"",INDEX(TabEntrainement[[J1]:[J30]],ROW()-11,$G$2))</f>
        <v/>
      </c>
      <c r="D66" s="22" t="str">
        <f>IF(INDEX(TabForme[[J1]:[J30]],ROW()-11,$G$2)=0,"",INDEX(TabForme[[J1]:[J30]],ROW()-11,$G$2))</f>
        <v/>
      </c>
      <c r="E66" s="318" t="str">
        <f>IF(INDEX(TabREP[[J1]:[J30]],ROW()-11,$G$2)=0,"",INDEX(TabREP[[J1]:[J30]],ROW()-11,$G$2))</f>
        <v/>
      </c>
      <c r="F66" s="22" t="e">
        <f>IF(INDEX(TabREP39[[J1]:[J30]],ROW()-11,$G$2)=0,"",INDEX(TabREP39[[J1]:[J30]],ROW()-11,$G$2))</f>
        <v>#VALUE!</v>
      </c>
      <c r="G66" s="318" t="str">
        <f>INDEX(TabBilanMental15[],ROW()-11,4)</f>
        <v/>
      </c>
    </row>
    <row r="67" spans="2:17" ht="15.95" customHeight="1">
      <c r="B67" s="29" t="str">
        <f>IF(INDEX(TabEntrainement[Seance],ROW()-11)&lt;&gt;0,INDEX(TabEntrainement[Seance],ROW()-11),"")</f>
        <v/>
      </c>
      <c r="C67" s="6" t="str">
        <f>IF((INDEX(TabEntrainement[[J1]:[J30]],ROW()-11,$G$2))=0,"",INDEX(TabEntrainement[[J1]:[J30]],ROW()-11,$G$2))</f>
        <v/>
      </c>
      <c r="D67" s="22" t="str">
        <f>IF(INDEX(TabForme[[J1]:[J30]],ROW()-11,$G$2)=0,"",INDEX(TabForme[[J1]:[J30]],ROW()-11,$G$2))</f>
        <v/>
      </c>
      <c r="E67" s="318" t="str">
        <f>IF(INDEX(TabREP[[J1]:[J30]],ROW()-11,$G$2)=0,"",INDEX(TabREP[[J1]:[J30]],ROW()-11,$G$2))</f>
        <v/>
      </c>
      <c r="F67" s="22" t="e">
        <f>IF(INDEX(TabREP39[[J1]:[J30]],ROW()-11,$G$2)=0,"",INDEX(TabREP39[[J1]:[J30]],ROW()-11,$G$2))</f>
        <v>#VALUE!</v>
      </c>
      <c r="G67" s="318" t="str">
        <f>INDEX(TabBilanMental15[],ROW()-11,4)</f>
        <v/>
      </c>
    </row>
    <row r="68" spans="2:17" ht="15.95" customHeight="1">
      <c r="B68" s="29" t="str">
        <f>IF(INDEX(TabEntrainement[Seance],ROW()-11)&lt;&gt;0,INDEX(TabEntrainement[Seance],ROW()-11),"")</f>
        <v/>
      </c>
      <c r="C68" s="6" t="str">
        <f>IF((INDEX(TabEntrainement[[J1]:[J30]],ROW()-11,$G$2))=0,"",INDEX(TabEntrainement[[J1]:[J30]],ROW()-11,$G$2))</f>
        <v/>
      </c>
      <c r="D68" s="22" t="str">
        <f>IF(INDEX(TabForme[[J1]:[J30]],ROW()-11,$G$2)=0,"",INDEX(TabForme[[J1]:[J30]],ROW()-11,$G$2))</f>
        <v/>
      </c>
      <c r="E68" s="318" t="str">
        <f>IF(INDEX(TabREP[[J1]:[J30]],ROW()-11,$G$2)=0,"",INDEX(TabREP[[J1]:[J30]],ROW()-11,$G$2))</f>
        <v/>
      </c>
      <c r="F68" s="22" t="e">
        <f>IF(INDEX(TabREP39[[J1]:[J30]],ROW()-11,$G$2)=0,"",INDEX(TabREP39[[J1]:[J30]],ROW()-11,$G$2))</f>
        <v>#VALUE!</v>
      </c>
      <c r="G68" s="318" t="str">
        <f>INDEX(TabBilanMental15[],ROW()-11,4)</f>
        <v/>
      </c>
    </row>
    <row r="69" spans="2:17" ht="15.95" customHeight="1">
      <c r="B69" s="29" t="str">
        <f>IF(INDEX(TabEntrainement[Seance],ROW()-11)&lt;&gt;0,INDEX(TabEntrainement[Seance],ROW()-11),"")</f>
        <v/>
      </c>
      <c r="C69" s="6" t="str">
        <f>IF((INDEX(TabEntrainement[[J1]:[J30]],ROW()-11,$G$2))=0,"",INDEX(TabEntrainement[[J1]:[J30]],ROW()-11,$G$2))</f>
        <v/>
      </c>
      <c r="D69" s="22" t="str">
        <f>IF(INDEX(TabForme[[J1]:[J30]],ROW()-11,$G$2)=0,"",INDEX(TabForme[[J1]:[J30]],ROW()-11,$G$2))</f>
        <v/>
      </c>
      <c r="E69" s="318" t="str">
        <f>IF(INDEX(TabREP[[J1]:[J30]],ROW()-11,$G$2)=0,"",INDEX(TabREP[[J1]:[J30]],ROW()-11,$G$2))</f>
        <v/>
      </c>
      <c r="F69" s="22" t="e">
        <f>IF(INDEX(TabREP39[[J1]:[J30]],ROW()-11,$G$2)=0,"",INDEX(TabREP39[[J1]:[J30]],ROW()-11,$G$2))</f>
        <v>#VALUE!</v>
      </c>
      <c r="G69" s="318" t="str">
        <f>INDEX(TabBilanMental15[],ROW()-11,4)</f>
        <v/>
      </c>
    </row>
    <row r="70" spans="2:17" ht="15.95" customHeight="1">
      <c r="B70" s="29" t="str">
        <f>IF(INDEX(TabEntrainement[Seance],ROW()-11)&lt;&gt;0,INDEX(TabEntrainement[Seance],ROW()-11),"")</f>
        <v/>
      </c>
      <c r="C70" s="6" t="str">
        <f>IF((INDEX(TabEntrainement[[J1]:[J30]],ROW()-11,$G$2))=0,"",INDEX(TabEntrainement[[J1]:[J30]],ROW()-11,$G$2))</f>
        <v/>
      </c>
      <c r="D70" s="22" t="str">
        <f>IF(INDEX(TabForme[[J1]:[J30]],ROW()-11,$G$2)=0,"",INDEX(TabForme[[J1]:[J30]],ROW()-11,$G$2))</f>
        <v/>
      </c>
      <c r="E70" s="318" t="str">
        <f>IF(INDEX(TabREP[[J1]:[J30]],ROW()-11,$G$2)=0,"",INDEX(TabREP[[J1]:[J30]],ROW()-11,$G$2))</f>
        <v/>
      </c>
      <c r="F70" s="22" t="e">
        <f>IF(INDEX(TabREP39[[J1]:[J30]],ROW()-11,$G$2)=0,"",INDEX(TabREP39[[J1]:[J30]],ROW()-11,$G$2))</f>
        <v>#VALUE!</v>
      </c>
      <c r="G70" s="318" t="str">
        <f>INDEX(TabBilanMental15[],ROW()-11,4)</f>
        <v/>
      </c>
      <c r="I70" s="224"/>
      <c r="J70" s="44"/>
      <c r="K70" s="44"/>
      <c r="L70" s="225"/>
    </row>
    <row r="71" spans="2:17" ht="15.95" customHeight="1">
      <c r="B71" s="29" t="str">
        <f>IF(INDEX(TabEntrainement[Seance],ROW()-11)&lt;&gt;0,INDEX(TabEntrainement[Seance],ROW()-11),"")</f>
        <v/>
      </c>
      <c r="C71" s="6" t="str">
        <f>IF((INDEX(TabEntrainement[[J1]:[J30]],ROW()-11,$G$2))=0,"",INDEX(TabEntrainement[[J1]:[J30]],ROW()-11,$G$2))</f>
        <v/>
      </c>
      <c r="D71" s="22" t="str">
        <f>IF(INDEX(TabForme[[J1]:[J30]],ROW()-11,$G$2)=0,"",INDEX(TabForme[[J1]:[J30]],ROW()-11,$G$2))</f>
        <v/>
      </c>
      <c r="E71" s="318" t="str">
        <f>IF(INDEX(TabREP[[J1]:[J30]],ROW()-11,$G$2)=0,"",INDEX(TabREP[[J1]:[J30]],ROW()-11,$G$2))</f>
        <v/>
      </c>
      <c r="F71" s="22" t="e">
        <f>IF(INDEX(TabREP39[[J1]:[J30]],ROW()-11,$G$2)=0,"",INDEX(TabREP39[[J1]:[J30]],ROW()-11,$G$2))</f>
        <v>#VALUE!</v>
      </c>
      <c r="G71" s="318" t="str">
        <f>INDEX(TabBilanMental15[],ROW()-11,4)</f>
        <v/>
      </c>
      <c r="I71" s="224"/>
      <c r="J71" s="44"/>
      <c r="K71" s="44"/>
      <c r="L71" s="225"/>
    </row>
    <row r="72" spans="2:17" ht="15.95" customHeight="1">
      <c r="B72" s="29" t="str">
        <f>IF(INDEX(TabEntrainement[Seance],ROW()-11)&lt;&gt;0,INDEX(TabEntrainement[Seance],ROW()-11),"")</f>
        <v/>
      </c>
      <c r="C72" s="6" t="str">
        <f>IF((INDEX(TabEntrainement[[J1]:[J30]],ROW()-11,$G$2))=0,"",INDEX(TabEntrainement[[J1]:[J30]],ROW()-11,$G$2))</f>
        <v/>
      </c>
      <c r="D72" s="22" t="str">
        <f>IF(INDEX(TabForme[[J1]:[J30]],ROW()-11,$G$2)=0,"",INDEX(TabForme[[J1]:[J30]],ROW()-11,$G$2))</f>
        <v/>
      </c>
      <c r="E72" s="318" t="str">
        <f>IF(INDEX(TabREP[[J1]:[J30]],ROW()-11,$G$2)=0,"",INDEX(TabREP[[J1]:[J30]],ROW()-11,$G$2))</f>
        <v/>
      </c>
      <c r="F72" s="22" t="e">
        <f>IF(INDEX(TabREP39[[J1]:[J30]],ROW()-11,$G$2)=0,"",INDEX(TabREP39[[J1]:[J30]],ROW()-11,$G$2))</f>
        <v>#VALUE!</v>
      </c>
      <c r="G72" s="318" t="str">
        <f>INDEX(TabBilanMental15[],ROW()-11,4)</f>
        <v/>
      </c>
    </row>
    <row r="73" spans="2:17" ht="15.95" customHeight="1">
      <c r="B73" s="29" t="str">
        <f>IF(INDEX(TabEntrainement[Seance],ROW()-11)&lt;&gt;0,INDEX(TabEntrainement[Seance],ROW()-11),"")</f>
        <v/>
      </c>
      <c r="C73" s="6" t="str">
        <f>IF((INDEX(TabEntrainement[[J1]:[J30]],ROW()-11,$G$2))=0,"",INDEX(TabEntrainement[[J1]:[J30]],ROW()-11,$G$2))</f>
        <v/>
      </c>
      <c r="D73" s="22" t="str">
        <f>IF(INDEX(TabForme[[J1]:[J30]],ROW()-11,$G$2)=0,"",INDEX(TabForme[[J1]:[J30]],ROW()-11,$G$2))</f>
        <v/>
      </c>
      <c r="E73" s="318" t="str">
        <f>IF(INDEX(TabREP[[J1]:[J30]],ROW()-11,$G$2)=0,"",INDEX(TabREP[[J1]:[J30]],ROW()-11,$G$2))</f>
        <v/>
      </c>
      <c r="F73" s="22" t="e">
        <f>IF(INDEX(TabREP39[[J1]:[J30]],ROW()-11,$G$2)=0,"",INDEX(TabREP39[[J1]:[J30]],ROW()-11,$G$2))</f>
        <v>#VALUE!</v>
      </c>
      <c r="G73" s="318" t="str">
        <f>INDEX(TabBilanMental15[],ROW()-11,4)</f>
        <v/>
      </c>
    </row>
    <row r="74" spans="2:17" ht="15.95" customHeight="1">
      <c r="B74" s="29" t="str">
        <f>IF(INDEX(TabEntrainement[Seance],ROW()-11)&lt;&gt;0,INDEX(TabEntrainement[Seance],ROW()-11),"")</f>
        <v/>
      </c>
      <c r="C74" s="6" t="str">
        <f>IF((INDEX(TabEntrainement[[J1]:[J30]],ROW()-11,$G$2))=0,"",INDEX(TabEntrainement[[J1]:[J30]],ROW()-11,$G$2))</f>
        <v/>
      </c>
      <c r="D74" s="22" t="str">
        <f>IF(INDEX(TabForme[[J1]:[J30]],ROW()-11,$G$2)=0,"",INDEX(TabForme[[J1]:[J30]],ROW()-11,$G$2))</f>
        <v/>
      </c>
      <c r="E74" s="318" t="str">
        <f>IF(INDEX(TabREP[[J1]:[J30]],ROW()-11,$G$2)=0,"",INDEX(TabREP[[J1]:[J30]],ROW()-11,$G$2))</f>
        <v/>
      </c>
      <c r="F74" s="22" t="e">
        <f>IF(INDEX(TabREP39[[J1]:[J30]],ROW()-11,$G$2)=0,"",INDEX(TabREP39[[J1]:[J30]],ROW()-11,$G$2))</f>
        <v>#VALUE!</v>
      </c>
      <c r="G74" s="318" t="str">
        <f>INDEX(TabBilanMental15[],ROW()-11,4)</f>
        <v/>
      </c>
    </row>
    <row r="75" spans="2:17" ht="15.95" customHeight="1">
      <c r="B75" s="29" t="str">
        <f>IF(INDEX(TabEntrainement[Seance],ROW()-11)&lt;&gt;0,INDEX(TabEntrainement[Seance],ROW()-11),"")</f>
        <v/>
      </c>
      <c r="C75" s="6" t="str">
        <f>IF((INDEX(TabEntrainement[[J1]:[J30]],ROW()-11,$G$2))=0,"",INDEX(TabEntrainement[[J1]:[J30]],ROW()-11,$G$2))</f>
        <v/>
      </c>
      <c r="D75" s="22" t="str">
        <f>IF(INDEX(TabForme[[J1]:[J30]],ROW()-11,$G$2)=0,"",INDEX(TabForme[[J1]:[J30]],ROW()-11,$G$2))</f>
        <v/>
      </c>
      <c r="E75" s="318" t="str">
        <f>IF(INDEX(TabREP[[J1]:[J30]],ROW()-11,$G$2)=0,"",INDEX(TabREP[[J1]:[J30]],ROW()-11,$G$2))</f>
        <v/>
      </c>
      <c r="F75" s="22" t="e">
        <f>IF(INDEX(TabREP39[[J1]:[J30]],ROW()-11,$G$2)=0,"",INDEX(TabREP39[[J1]:[J30]],ROW()-11,$G$2))</f>
        <v>#VALUE!</v>
      </c>
      <c r="G75" s="318" t="str">
        <f>INDEX(TabBilanMental15[],ROW()-11,4)</f>
        <v/>
      </c>
    </row>
    <row r="76" spans="2:17" ht="15.95" customHeight="1">
      <c r="B76" s="29" t="str">
        <f>IF(INDEX(TabEntrainement[Seance],ROW()-11)&lt;&gt;0,INDEX(TabEntrainement[Seance],ROW()-11),"")</f>
        <v/>
      </c>
      <c r="C76" s="6" t="str">
        <f>IF((INDEX(TabEntrainement[[J1]:[J30]],ROW()-11,$G$2))=0,"",INDEX(TabEntrainement[[J1]:[J30]],ROW()-11,$G$2))</f>
        <v/>
      </c>
      <c r="D76" s="22" t="str">
        <f>IF(INDEX(TabForme[[J1]:[J30]],ROW()-11,$G$2)=0,"",INDEX(TabForme[[J1]:[J30]],ROW()-11,$G$2))</f>
        <v/>
      </c>
      <c r="E76" s="318" t="str">
        <f>IF(INDEX(TabREP[[J1]:[J30]],ROW()-11,$G$2)=0,"",INDEX(TabREP[[J1]:[J30]],ROW()-11,$G$2))</f>
        <v/>
      </c>
      <c r="F76" s="22" t="e">
        <f>IF(INDEX(TabREP39[[J1]:[J30]],ROW()-11,$G$2)=0,"",INDEX(TabREP39[[J1]:[J30]],ROW()-11,$G$2))</f>
        <v>#VALUE!</v>
      </c>
      <c r="G76" s="318" t="str">
        <f>INDEX(TabBilanMental15[],ROW()-11,4)</f>
        <v/>
      </c>
    </row>
    <row r="77" spans="2:17" ht="15.95" customHeight="1">
      <c r="B77" s="29" t="str">
        <f>IF(INDEX(TabEntrainement[Seance],ROW()-11)&lt;&gt;0,INDEX(TabEntrainement[Seance],ROW()-11),"")</f>
        <v/>
      </c>
      <c r="C77" s="6" t="str">
        <f>IF((INDEX(TabEntrainement[[J1]:[J30]],ROW()-11,$G$2))=0,"",INDEX(TabEntrainement[[J1]:[J30]],ROW()-11,$G$2))</f>
        <v/>
      </c>
      <c r="D77" s="22" t="str">
        <f>IF(INDEX(TabForme[[J1]:[J30]],ROW()-11,$G$2)=0,"",INDEX(TabForme[[J1]:[J30]],ROW()-11,$G$2))</f>
        <v/>
      </c>
      <c r="E77" s="318" t="str">
        <f>IF(INDEX(TabREP[[J1]:[J30]],ROW()-11,$G$2)=0,"",INDEX(TabREP[[J1]:[J30]],ROW()-11,$G$2))</f>
        <v/>
      </c>
      <c r="F77" s="22" t="e">
        <f>IF(INDEX(TabREP39[[J1]:[J30]],ROW()-11,$G$2)=0,"",INDEX(TabREP39[[J1]:[J30]],ROW()-11,$G$2))</f>
        <v>#VALUE!</v>
      </c>
      <c r="G77" s="318" t="str">
        <f>INDEX(TabBilanMental15[],ROW()-11,4)</f>
        <v/>
      </c>
    </row>
    <row r="78" spans="2:17" ht="15.95" customHeight="1">
      <c r="B78" s="29" t="str">
        <f>IF(INDEX(TabEntrainement[Seance],ROW()-11)&lt;&gt;0,INDEX(TabEntrainement[Seance],ROW()-11),"")</f>
        <v/>
      </c>
      <c r="C78" s="6" t="str">
        <f>IF((INDEX(TabEntrainement[[J1]:[J30]],ROW()-11,$G$2))=0,"",INDEX(TabEntrainement[[J1]:[J30]],ROW()-11,$G$2))</f>
        <v/>
      </c>
      <c r="D78" s="22" t="str">
        <f>IF(INDEX(TabForme[[J1]:[J30]],ROW()-11,$G$2)=0,"",INDEX(TabForme[[J1]:[J30]],ROW()-11,$G$2))</f>
        <v/>
      </c>
      <c r="E78" s="318" t="str">
        <f>IF(INDEX(TabREP[[J1]:[J30]],ROW()-11,$G$2)=0,"",INDEX(TabREP[[J1]:[J30]],ROW()-11,$G$2))</f>
        <v/>
      </c>
      <c r="F78" s="22" t="e">
        <f>IF(INDEX(TabREP39[[J1]:[J30]],ROW()-11,$G$2)=0,"",INDEX(TabREP39[[J1]:[J30]],ROW()-11,$G$2))</f>
        <v>#VALUE!</v>
      </c>
      <c r="G78" s="318" t="str">
        <f>INDEX(TabBilanMental15[],ROW()-11,4)</f>
        <v/>
      </c>
      <c r="I78" s="651" t="s">
        <v>240</v>
      </c>
      <c r="J78" s="651"/>
      <c r="K78" s="651"/>
      <c r="L78" s="651"/>
      <c r="M78" s="651"/>
      <c r="N78" s="651"/>
      <c r="O78" s="651"/>
      <c r="P78" s="651"/>
      <c r="Q78" s="651"/>
    </row>
    <row r="79" spans="2:17" ht="15.95" customHeight="1">
      <c r="B79" s="29" t="str">
        <f>IF(INDEX(TabEntrainement[Seance],ROW()-11)&lt;&gt;0,INDEX(TabEntrainement[Seance],ROW()-11),"")</f>
        <v/>
      </c>
      <c r="C79" s="6" t="str">
        <f>IF((INDEX(TabEntrainement[[J1]:[J30]],ROW()-11,$G$2))=0,"",INDEX(TabEntrainement[[J1]:[J30]],ROW()-11,$G$2))</f>
        <v/>
      </c>
      <c r="D79" s="22" t="str">
        <f>IF(INDEX(TabForme[[J1]:[J30]],ROW()-11,$G$2)=0,"",INDEX(TabForme[[J1]:[J30]],ROW()-11,$G$2))</f>
        <v/>
      </c>
      <c r="E79" s="318" t="str">
        <f>IF(INDEX(TabREP[[J1]:[J30]],ROW()-11,$G$2)=0,"",INDEX(TabREP[[J1]:[J30]],ROW()-11,$G$2))</f>
        <v/>
      </c>
      <c r="F79" s="22" t="e">
        <f>IF(INDEX(TabREP39[[J1]:[J30]],ROW()-11,$G$2)=0,"",INDEX(TabREP39[[J1]:[J30]],ROW()-11,$G$2))</f>
        <v>#VALUE!</v>
      </c>
      <c r="G79" s="318" t="str">
        <f>INDEX(TabBilanMental15[],ROW()-11,4)</f>
        <v/>
      </c>
    </row>
    <row r="80" spans="2:17" ht="15.95" customHeight="1">
      <c r="B80" s="29" t="str">
        <f>IF(INDEX(TabEntrainement[Seance],ROW()-11)&lt;&gt;0,INDEX(TabEntrainement[Seance],ROW()-11),"")</f>
        <v/>
      </c>
      <c r="C80" s="6" t="str">
        <f>IF((INDEX(TabEntrainement[[J1]:[J30]],ROW()-11,$G$2))=0,"",INDEX(TabEntrainement[[J1]:[J30]],ROW()-11,$G$2))</f>
        <v/>
      </c>
      <c r="D80" s="22" t="str">
        <f>IF(INDEX(TabForme[[J1]:[J30]],ROW()-11,$G$2)=0,"",INDEX(TabForme[[J1]:[J30]],ROW()-11,$G$2))</f>
        <v/>
      </c>
      <c r="E80" s="318" t="str">
        <f>IF(INDEX(TabREP[[J1]:[J30]],ROW()-11,$G$2)=0,"",INDEX(TabREP[[J1]:[J30]],ROW()-11,$G$2))</f>
        <v/>
      </c>
      <c r="F80" s="22" t="e">
        <f>IF(INDEX(TabREP39[[J1]:[J30]],ROW()-11,$G$2)=0,"",INDEX(TabREP39[[J1]:[J30]],ROW()-11,$G$2))</f>
        <v>#VALUE!</v>
      </c>
      <c r="G80" s="318" t="str">
        <f>INDEX(TabBilanMental15[],ROW()-11,4)</f>
        <v/>
      </c>
      <c r="I80" s="223" t="s">
        <v>75</v>
      </c>
      <c r="J80" t="s">
        <v>33</v>
      </c>
      <c r="K80" t="s">
        <v>34</v>
      </c>
      <c r="L80" t="s">
        <v>35</v>
      </c>
    </row>
    <row r="81" spans="2:12" ht="15.95" customHeight="1">
      <c r="B81" s="29" t="str">
        <f>IF(INDEX(TabEntrainement[Seance],ROW()-11)&lt;&gt;0,INDEX(TabEntrainement[Seance],ROW()-11),"")</f>
        <v/>
      </c>
      <c r="C81" s="6" t="str">
        <f>IF((INDEX(TabEntrainement[[J1]:[J30]],ROW()-11,$G$2))=0,"",INDEX(TabEntrainement[[J1]:[J30]],ROW()-11,$G$2))</f>
        <v/>
      </c>
      <c r="D81" s="22" t="str">
        <f>IF(INDEX(TabForme[[J1]:[J30]],ROW()-11,$G$2)=0,"",INDEX(TabForme[[J1]:[J30]],ROW()-11,$G$2))</f>
        <v/>
      </c>
      <c r="E81" s="318" t="str">
        <f>IF(INDEX(TabREP[[J1]:[J30]],ROW()-11,$G$2)=0,"",INDEX(TabREP[[J1]:[J30]],ROW()-11,$G$2))</f>
        <v/>
      </c>
      <c r="F81" s="22" t="e">
        <f>IF(INDEX(TabREP39[[J1]:[J30]],ROW()-11,$G$2)=0,"",INDEX(TabREP39[[J1]:[J30]],ROW()-11,$G$2))</f>
        <v>#VALUE!</v>
      </c>
      <c r="G81" s="318" t="str">
        <f>INDEX(TabBilanMental15[],ROW()-11,4)</f>
        <v/>
      </c>
      <c r="I81" s="371" t="s">
        <v>452</v>
      </c>
      <c r="J81" s="44">
        <f>INDEX('Poid - Taille'!$C$6:$AF$35,'Fiche joueur'!$G$2,1)</f>
        <v>1.75</v>
      </c>
      <c r="K81" s="44">
        <f>INDEX('Poid - Taille'!$C$6:$AF$35,'Fiche joueur'!$G$2,2)</f>
        <v>53</v>
      </c>
      <c r="L81" s="225">
        <f>INDEX('Poid - Taille'!$C$6:$AF$35,'Fiche joueur'!$G$2,3)</f>
        <v>17.306122448979593</v>
      </c>
    </row>
    <row r="82" spans="2:12" ht="15.95" customHeight="1">
      <c r="B82" s="29" t="str">
        <f>IF(INDEX(TabEntrainement[Seance],ROW()-11)&lt;&gt;0,INDEX(TabEntrainement[Seance],ROW()-11),"")</f>
        <v/>
      </c>
      <c r="C82" s="6" t="str">
        <f>IF((INDEX(TabEntrainement[[J1]:[J30]],ROW()-11,$G$2))=0,"",INDEX(TabEntrainement[[J1]:[J30]],ROW()-11,$G$2))</f>
        <v/>
      </c>
      <c r="D82" s="22" t="str">
        <f>IF(INDEX(TabForme[[J1]:[J30]],ROW()-11,$G$2)=0,"",INDEX(TabForme[[J1]:[J30]],ROW()-11,$G$2))</f>
        <v/>
      </c>
      <c r="E82" s="318" t="str">
        <f>IF(INDEX(TabREP[[J1]:[J30]],ROW()-11,$G$2)=0,"",INDEX(TabREP[[J1]:[J30]],ROW()-11,$G$2))</f>
        <v/>
      </c>
      <c r="F82" s="22" t="e">
        <f>IF(INDEX(TabREP39[[J1]:[J30]],ROW()-11,$G$2)=0,"",INDEX(TabREP39[[J1]:[J30]],ROW()-11,$G$2))</f>
        <v>#VALUE!</v>
      </c>
      <c r="G82" s="318" t="str">
        <f>INDEX(TabBilanMental15[],ROW()-11,4)</f>
        <v/>
      </c>
      <c r="I82" s="371" t="s">
        <v>453</v>
      </c>
      <c r="J82" s="44">
        <f>INDEX('Poid - Taille'!$C$6:$AF$35,'Fiche joueur'!$G$2,4)</f>
        <v>1.77</v>
      </c>
      <c r="K82" s="44">
        <f>INDEX('Poid - Taille'!$C$6:$AF$35,'Fiche joueur'!$G$2,5)</f>
        <v>54</v>
      </c>
      <c r="L82" s="225">
        <f>INDEX('Poid - Taille'!$C$6:$AF$35,'Fiche joueur'!$G$2,6)</f>
        <v>17.236426314277505</v>
      </c>
    </row>
    <row r="83" spans="2:12" ht="15.95" customHeight="1">
      <c r="B83" s="29" t="str">
        <f>IF(INDEX(TabEntrainement[Seance],ROW()-11)&lt;&gt;0,INDEX(TabEntrainement[Seance],ROW()-11),"")</f>
        <v/>
      </c>
      <c r="C83" s="6" t="str">
        <f>IF((INDEX(TabEntrainement[[J1]:[J30]],ROW()-11,$G$2))=0,"",INDEX(TabEntrainement[[J1]:[J30]],ROW()-11,$G$2))</f>
        <v/>
      </c>
      <c r="D83" s="22" t="str">
        <f>IF(INDEX(TabForme[[J1]:[J30]],ROW()-11,$G$2)=0,"",INDEX(TabForme[[J1]:[J30]],ROW()-11,$G$2))</f>
        <v/>
      </c>
      <c r="E83" s="318" t="str">
        <f>IF(INDEX(TabREP[[J1]:[J30]],ROW()-11,$G$2)=0,"",INDEX(TabREP[[J1]:[J30]],ROW()-11,$G$2))</f>
        <v/>
      </c>
      <c r="F83" s="22" t="e">
        <f>IF(INDEX(TabREP39[[J1]:[J30]],ROW()-11,$G$2)=0,"",INDEX(TabREP39[[J1]:[J30]],ROW()-11,$G$2))</f>
        <v>#VALUE!</v>
      </c>
      <c r="G83" s="318" t="str">
        <f>INDEX(TabBilanMental15[],ROW()-11,4)</f>
        <v/>
      </c>
      <c r="I83" s="371" t="s">
        <v>454</v>
      </c>
      <c r="J83" s="44">
        <f>INDEX('Poid - Taille'!$C$6:$AF$35,'Fiche joueur'!$G$2,7)</f>
        <v>0</v>
      </c>
      <c r="K83" s="44">
        <f>INDEX('Poid - Taille'!$C$6:$AF$35,'Fiche joueur'!$G$2,8)</f>
        <v>0</v>
      </c>
      <c r="L83" s="225" t="str">
        <f>INDEX('Poid - Taille'!$C$6:$AF$35,'Fiche joueur'!$G$2,9)</f>
        <v xml:space="preserve"> </v>
      </c>
    </row>
    <row r="84" spans="2:12" ht="15.95" customHeight="1">
      <c r="B84" s="29" t="str">
        <f>IF(INDEX(TabEntrainement[Seance],ROW()-11)&lt;&gt;0,INDEX(TabEntrainement[Seance],ROW()-11),"")</f>
        <v/>
      </c>
      <c r="C84" s="6" t="str">
        <f>IF((INDEX(TabEntrainement[[J1]:[J30]],ROW()-11,$G$2))=0,"",INDEX(TabEntrainement[[J1]:[J30]],ROW()-11,$G$2))</f>
        <v/>
      </c>
      <c r="D84" s="22" t="str">
        <f>IF(INDEX(TabForme[[J1]:[J30]],ROW()-11,$G$2)=0,"",INDEX(TabForme[[J1]:[J30]],ROW()-11,$G$2))</f>
        <v/>
      </c>
      <c r="E84" s="318" t="str">
        <f>IF(INDEX(TabREP[[J1]:[J30]],ROW()-11,$G$2)=0,"",INDEX(TabREP[[J1]:[J30]],ROW()-11,$G$2))</f>
        <v/>
      </c>
      <c r="F84" s="22" t="e">
        <f>IF(INDEX(TabREP39[[J1]:[J30]],ROW()-11,$G$2)=0,"",INDEX(TabREP39[[J1]:[J30]],ROW()-11,$G$2))</f>
        <v>#VALUE!</v>
      </c>
      <c r="G84" s="318" t="str">
        <f>INDEX(TabBilanMental15[],ROW()-11,4)</f>
        <v/>
      </c>
      <c r="I84" s="371" t="s">
        <v>455</v>
      </c>
      <c r="J84" s="44">
        <f>INDEX('Poid - Taille'!$C$6:$AF$35,'Fiche joueur'!$G$2,10)</f>
        <v>0</v>
      </c>
      <c r="K84" s="44">
        <f>INDEX('Poid - Taille'!$C$6:$AF$35,'Fiche joueur'!$G$2,11)</f>
        <v>0</v>
      </c>
      <c r="L84" s="225" t="str">
        <f>INDEX('Poid - Taille'!$C$6:$AF$35,'Fiche joueur'!$G$2,12)</f>
        <v xml:space="preserve"> </v>
      </c>
    </row>
    <row r="85" spans="2:12" ht="15.95" customHeight="1">
      <c r="B85" s="29" t="str">
        <f>IF(INDEX(TabEntrainement[Seance],ROW()-11)&lt;&gt;0,INDEX(TabEntrainement[Seance],ROW()-11),"")</f>
        <v/>
      </c>
      <c r="C85" s="6" t="str">
        <f>IF((INDEX(TabEntrainement[[J1]:[J30]],ROW()-11,$G$2))=0,"",INDEX(TabEntrainement[[J1]:[J30]],ROW()-11,$G$2))</f>
        <v/>
      </c>
      <c r="D85" s="22" t="str">
        <f>IF(INDEX(TabForme[[J1]:[J30]],ROW()-11,$G$2)=0,"",INDEX(TabForme[[J1]:[J30]],ROW()-11,$G$2))</f>
        <v/>
      </c>
      <c r="E85" s="318" t="str">
        <f>IF(INDEX(TabREP[[J1]:[J30]],ROW()-11,$G$2)=0,"",INDEX(TabREP[[J1]:[J30]],ROW()-11,$G$2))</f>
        <v/>
      </c>
      <c r="F85" s="22" t="e">
        <f>IF(INDEX(TabREP39[[J1]:[J30]],ROW()-11,$G$2)=0,"",INDEX(TabREP39[[J1]:[J30]],ROW()-11,$G$2))</f>
        <v>#VALUE!</v>
      </c>
      <c r="G85" s="318" t="str">
        <f>INDEX(TabBilanMental15[],ROW()-11,4)</f>
        <v/>
      </c>
      <c r="I85" s="371" t="s">
        <v>456</v>
      </c>
      <c r="J85" s="44">
        <f>INDEX('Poid - Taille'!$C$6:$AF$35,'Fiche joueur'!$G$2,13)</f>
        <v>0</v>
      </c>
      <c r="K85" s="44">
        <f>INDEX('Poid - Taille'!$C$6:$AF$35,'Fiche joueur'!$G$2,14)</f>
        <v>0</v>
      </c>
      <c r="L85" s="225" t="str">
        <f>INDEX('Poid - Taille'!$C$6:$AF$35,'Fiche joueur'!$G$2,15)</f>
        <v xml:space="preserve"> </v>
      </c>
    </row>
    <row r="86" spans="2:12" ht="15.95" customHeight="1">
      <c r="B86" s="29" t="str">
        <f>IF(INDEX(TabEntrainement[Seance],ROW()-11)&lt;&gt;0,INDEX(TabEntrainement[Seance],ROW()-11),"")</f>
        <v/>
      </c>
      <c r="C86" s="6" t="str">
        <f>IF((INDEX(TabEntrainement[[J1]:[J30]],ROW()-11,$G$2))=0,"",INDEX(TabEntrainement[[J1]:[J30]],ROW()-11,$G$2))</f>
        <v/>
      </c>
      <c r="D86" s="22" t="str">
        <f>IF(INDEX(TabForme[[J1]:[J30]],ROW()-11,$G$2)=0,"",INDEX(TabForme[[J1]:[J30]],ROW()-11,$G$2))</f>
        <v/>
      </c>
      <c r="E86" s="318" t="str">
        <f>IF(INDEX(TabREP[[J1]:[J30]],ROW()-11,$G$2)=0,"",INDEX(TabREP[[J1]:[J30]],ROW()-11,$G$2))</f>
        <v/>
      </c>
      <c r="F86" s="22" t="e">
        <f>IF(INDEX(TabREP39[[J1]:[J30]],ROW()-11,$G$2)=0,"",INDEX(TabREP39[[J1]:[J30]],ROW()-11,$G$2))</f>
        <v>#VALUE!</v>
      </c>
      <c r="G86" s="318" t="str">
        <f>INDEX(TabBilanMental15[],ROW()-11,4)</f>
        <v/>
      </c>
      <c r="I86" s="371" t="s">
        <v>457</v>
      </c>
      <c r="J86" s="44">
        <f>INDEX('Poid - Taille'!$C$6:$AF$35,'Fiche joueur'!$G$2,16)</f>
        <v>0</v>
      </c>
      <c r="K86" s="44">
        <f>INDEX('Poid - Taille'!$C$6:$AF$35,'Fiche joueur'!$G$2,17)</f>
        <v>0</v>
      </c>
      <c r="L86" s="225" t="str">
        <f>INDEX('Poid - Taille'!$C$6:$AF$35,'Fiche joueur'!$G$2,18)</f>
        <v xml:space="preserve"> </v>
      </c>
    </row>
    <row r="87" spans="2:12" ht="15.95" customHeight="1">
      <c r="B87" s="29" t="str">
        <f>IF(INDEX(TabEntrainement[Seance],ROW()-11)&lt;&gt;0,INDEX(TabEntrainement[Seance],ROW()-11),"")</f>
        <v/>
      </c>
      <c r="C87" s="6" t="str">
        <f>IF((INDEX(TabEntrainement[[J1]:[J30]],ROW()-11,$G$2))=0,"",INDEX(TabEntrainement[[J1]:[J30]],ROW()-11,$G$2))</f>
        <v/>
      </c>
      <c r="D87" s="22" t="str">
        <f>IF(INDEX(TabForme[[J1]:[J30]],ROW()-11,$G$2)=0,"",INDEX(TabForme[[J1]:[J30]],ROW()-11,$G$2))</f>
        <v/>
      </c>
      <c r="E87" s="318" t="str">
        <f>IF(INDEX(TabREP[[J1]:[J30]],ROW()-11,$G$2)=0,"",INDEX(TabREP[[J1]:[J30]],ROW()-11,$G$2))</f>
        <v/>
      </c>
      <c r="F87" s="22" t="e">
        <f>IF(INDEX(TabREP39[[J1]:[J30]],ROW()-11,$G$2)=0,"",INDEX(TabREP39[[J1]:[J30]],ROW()-11,$G$2))</f>
        <v>#VALUE!</v>
      </c>
      <c r="G87" s="318" t="str">
        <f>INDEX(TabBilanMental15[],ROW()-11,4)</f>
        <v/>
      </c>
      <c r="I87" s="371" t="s">
        <v>458</v>
      </c>
      <c r="J87" s="44">
        <f>INDEX('Poid - Taille'!$C$6:$AF$35,'Fiche joueur'!$G$2,19)</f>
        <v>0</v>
      </c>
      <c r="K87" s="44">
        <f>INDEX('Poid - Taille'!$C$6:$AF$35,'Fiche joueur'!$G$2,20)</f>
        <v>0</v>
      </c>
      <c r="L87" s="225" t="str">
        <f>INDEX('Poid - Taille'!$C$6:$AF$35,'Fiche joueur'!$G$2,21)</f>
        <v xml:space="preserve"> </v>
      </c>
    </row>
    <row r="88" spans="2:12" ht="15.95" customHeight="1">
      <c r="B88" s="29" t="str">
        <f>IF(INDEX(TabEntrainement[Seance],ROW()-11)&lt;&gt;0,INDEX(TabEntrainement[Seance],ROW()-11),"")</f>
        <v/>
      </c>
      <c r="C88" s="6" t="str">
        <f>IF((INDEX(TabEntrainement[[J1]:[J30]],ROW()-11,$G$2))=0,"",INDEX(TabEntrainement[[J1]:[J30]],ROW()-11,$G$2))</f>
        <v/>
      </c>
      <c r="D88" s="22" t="str">
        <f>IF(INDEX(TabForme[[J1]:[J30]],ROW()-11,$G$2)=0,"",INDEX(TabForme[[J1]:[J30]],ROW()-11,$G$2))</f>
        <v/>
      </c>
      <c r="E88" s="318" t="str">
        <f>IF(INDEX(TabREP[[J1]:[J30]],ROW()-11,$G$2)=0,"",INDEX(TabREP[[J1]:[J30]],ROW()-11,$G$2))</f>
        <v/>
      </c>
      <c r="F88" s="22" t="e">
        <f>IF(INDEX(TabREP39[[J1]:[J30]],ROW()-11,$G$2)=0,"",INDEX(TabREP39[[J1]:[J30]],ROW()-11,$G$2))</f>
        <v>#VALUE!</v>
      </c>
      <c r="G88" s="318" t="str">
        <f>INDEX(TabBilanMental15[],ROW()-11,4)</f>
        <v/>
      </c>
      <c r="I88" s="371" t="s">
        <v>459</v>
      </c>
      <c r="J88" s="44">
        <f>INDEX('Poid - Taille'!$C$6:$AF$35,'Fiche joueur'!$G$2,22)</f>
        <v>0</v>
      </c>
      <c r="K88" s="44">
        <f>INDEX('Poid - Taille'!$C$6:$AF$35,'Fiche joueur'!$G$2,23)</f>
        <v>0</v>
      </c>
      <c r="L88" s="225" t="str">
        <f>INDEX('Poid - Taille'!$C$6:$AF$35,'Fiche joueur'!$G$2,24)</f>
        <v xml:space="preserve"> </v>
      </c>
    </row>
    <row r="89" spans="2:12" ht="15.95" customHeight="1">
      <c r="B89" s="29" t="str">
        <f>IF(INDEX(TabEntrainement[Seance],ROW()-11)&lt;&gt;0,INDEX(TabEntrainement[Seance],ROW()-11),"")</f>
        <v/>
      </c>
      <c r="C89" s="6" t="str">
        <f>IF((INDEX(TabEntrainement[[J1]:[J30]],ROW()-11,$G$2))=0,"",INDEX(TabEntrainement[[J1]:[J30]],ROW()-11,$G$2))</f>
        <v/>
      </c>
      <c r="D89" s="22" t="str">
        <f>IF(INDEX(TabForme[[J1]:[J30]],ROW()-11,$G$2)=0,"",INDEX(TabForme[[J1]:[J30]],ROW()-11,$G$2))</f>
        <v/>
      </c>
      <c r="E89" s="318" t="str">
        <f>IF(INDEX(TabREP[[J1]:[J30]],ROW()-11,$G$2)=0,"",INDEX(TabREP[[J1]:[J30]],ROW()-11,$G$2))</f>
        <v/>
      </c>
      <c r="F89" s="22" t="e">
        <f>IF(INDEX(TabREP39[[J1]:[J30]],ROW()-11,$G$2)=0,"",INDEX(TabREP39[[J1]:[J30]],ROW()-11,$G$2))</f>
        <v>#VALUE!</v>
      </c>
      <c r="G89" s="318" t="str">
        <f>INDEX(TabBilanMental15[],ROW()-11,4)</f>
        <v/>
      </c>
      <c r="I89" s="371" t="s">
        <v>460</v>
      </c>
      <c r="J89" s="44">
        <f>INDEX('Poid - Taille'!$C$6:$AF$35,'Fiche joueur'!$G$2,25)</f>
        <v>0</v>
      </c>
      <c r="K89" s="44">
        <f>INDEX('Poid - Taille'!$C$6:$AF$35,'Fiche joueur'!$G$2,26)</f>
        <v>0</v>
      </c>
      <c r="L89" s="225" t="str">
        <f>INDEX('Poid - Taille'!$C$6:$AF$35,'Fiche joueur'!$G$2,27)</f>
        <v xml:space="preserve"> </v>
      </c>
    </row>
    <row r="90" spans="2:12" ht="15.95" customHeight="1">
      <c r="B90" s="29" t="str">
        <f>IF(INDEX(TabEntrainement[Seance],ROW()-11)&lt;&gt;0,INDEX(TabEntrainement[Seance],ROW()-11),"")</f>
        <v/>
      </c>
      <c r="C90" s="6" t="str">
        <f>IF((INDEX(TabEntrainement[[J1]:[J30]],ROW()-11,$G$2))=0,"",INDEX(TabEntrainement[[J1]:[J30]],ROW()-11,$G$2))</f>
        <v/>
      </c>
      <c r="D90" s="22" t="str">
        <f>IF(INDEX(TabForme[[J1]:[J30]],ROW()-11,$G$2)=0,"",INDEX(TabForme[[J1]:[J30]],ROW()-11,$G$2))</f>
        <v/>
      </c>
      <c r="E90" s="318" t="str">
        <f>IF(INDEX(TabREP[[J1]:[J30]],ROW()-11,$G$2)=0,"",INDEX(TabREP[[J1]:[J30]],ROW()-11,$G$2))</f>
        <v/>
      </c>
      <c r="F90" s="22" t="e">
        <f>IF(INDEX(TabREP39[[J1]:[J30]],ROW()-11,$G$2)=0,"",INDEX(TabREP39[[J1]:[J30]],ROW()-11,$G$2))</f>
        <v>#VALUE!</v>
      </c>
      <c r="G90" s="318" t="str">
        <f>INDEX(TabBilanMental15[],ROW()-11,4)</f>
        <v/>
      </c>
      <c r="I90" s="371" t="s">
        <v>461</v>
      </c>
      <c r="J90" s="44">
        <f>INDEX('Poid - Taille'!$C$6:$AF$35,'Fiche joueur'!$G$2,28)</f>
        <v>0</v>
      </c>
      <c r="K90" s="44">
        <f>INDEX('Poid - Taille'!$C$6:$AF$35,'Fiche joueur'!$G$2,29)</f>
        <v>0</v>
      </c>
      <c r="L90" s="225" t="str">
        <f>INDEX('Poid - Taille'!$C$6:$AF$35,'Fiche joueur'!$G$2,30)</f>
        <v xml:space="preserve"> </v>
      </c>
    </row>
    <row r="91" spans="2:12" ht="15.95" customHeight="1">
      <c r="B91" s="29" t="str">
        <f>IF(INDEX(TabEntrainement[Seance],ROW()-11)&lt;&gt;0,INDEX(TabEntrainement[Seance],ROW()-11),"")</f>
        <v/>
      </c>
      <c r="C91" s="6" t="str">
        <f>IF((INDEX(TabEntrainement[[J1]:[J30]],ROW()-11,$G$2))=0,"",INDEX(TabEntrainement[[J1]:[J30]],ROW()-11,$G$2))</f>
        <v/>
      </c>
      <c r="D91" s="22" t="str">
        <f>IF(INDEX(TabForme[[J1]:[J30]],ROW()-11,$G$2)=0,"",INDEX(TabForme[[J1]:[J30]],ROW()-11,$G$2))</f>
        <v/>
      </c>
      <c r="E91" s="318" t="str">
        <f>IF(INDEX(TabREP[[J1]:[J30]],ROW()-11,$G$2)=0,"",INDEX(TabREP[[J1]:[J30]],ROW()-11,$G$2))</f>
        <v/>
      </c>
      <c r="F91" s="22" t="e">
        <f>IF(INDEX(TabREP39[[J1]:[J30]],ROW()-11,$G$2)=0,"",INDEX(TabREP39[[J1]:[J30]],ROW()-11,$G$2))</f>
        <v>#VALUE!</v>
      </c>
      <c r="G91" s="318" t="str">
        <f>INDEX(TabBilanMental15[],ROW()-11,4)</f>
        <v/>
      </c>
    </row>
    <row r="92" spans="2:12" ht="15.95" customHeight="1">
      <c r="B92" s="29" t="str">
        <f>IF(INDEX(TabEntrainement[Seance],ROW()-11)&lt;&gt;0,INDEX(TabEntrainement[Seance],ROW()-11),"")</f>
        <v/>
      </c>
      <c r="C92" s="6" t="str">
        <f>IF((INDEX(TabEntrainement[[J1]:[J30]],ROW()-11,$G$2))=0,"",INDEX(TabEntrainement[[J1]:[J30]],ROW()-11,$G$2))</f>
        <v/>
      </c>
      <c r="D92" s="22" t="str">
        <f>IF(INDEX(TabForme[[J1]:[J30]],ROW()-11,$G$2)=0,"",INDEX(TabForme[[J1]:[J30]],ROW()-11,$G$2))</f>
        <v/>
      </c>
      <c r="E92" s="318" t="str">
        <f>IF(INDEX(TabREP[[J1]:[J30]],ROW()-11,$G$2)=0,"",INDEX(TabREP[[J1]:[J30]],ROW()-11,$G$2))</f>
        <v/>
      </c>
      <c r="F92" s="22" t="e">
        <f>IF(INDEX(TabREP39[[J1]:[J30]],ROW()-11,$G$2)=0,"",INDEX(TabREP39[[J1]:[J30]],ROW()-11,$G$2))</f>
        <v>#VALUE!</v>
      </c>
      <c r="G92" s="318" t="str">
        <f>INDEX(TabBilanMental15[],ROW()-11,4)</f>
        <v/>
      </c>
    </row>
    <row r="93" spans="2:12" ht="15.95" customHeight="1">
      <c r="B93" s="29" t="str">
        <f>IF(INDEX(TabEntrainement[Seance],ROW()-11)&lt;&gt;0,INDEX(TabEntrainement[Seance],ROW()-11),"")</f>
        <v/>
      </c>
      <c r="C93" s="6" t="str">
        <f>IF((INDEX(TabEntrainement[[J1]:[J30]],ROW()-11,$G$2))=0,"",INDEX(TabEntrainement[[J1]:[J30]],ROW()-11,$G$2))</f>
        <v/>
      </c>
      <c r="D93" s="22" t="str">
        <f>IF(INDEX(TabForme[[J1]:[J30]],ROW()-11,$G$2)=0,"",INDEX(TabForme[[J1]:[J30]],ROW()-11,$G$2))</f>
        <v/>
      </c>
      <c r="E93" s="318" t="str">
        <f>IF(INDEX(TabREP[[J1]:[J30]],ROW()-11,$G$2)=0,"",INDEX(TabREP[[J1]:[J30]],ROW()-11,$G$2))</f>
        <v/>
      </c>
      <c r="F93" s="22" t="e">
        <f>IF(INDEX(TabREP39[[J1]:[J30]],ROW()-11,$G$2)=0,"",INDEX(TabREP39[[J1]:[J30]],ROW()-11,$G$2))</f>
        <v>#VALUE!</v>
      </c>
      <c r="G93" s="318" t="str">
        <f>INDEX(TabBilanMental15[],ROW()-11,4)</f>
        <v/>
      </c>
    </row>
    <row r="94" spans="2:12" ht="15.95" customHeight="1">
      <c r="B94" s="29" t="str">
        <f>IF(INDEX(TabEntrainement[Seance],ROW()-11)&lt;&gt;0,INDEX(TabEntrainement[Seance],ROW()-11),"")</f>
        <v/>
      </c>
      <c r="C94" s="6" t="str">
        <f>IF((INDEX(TabEntrainement[[J1]:[J30]],ROW()-11,$G$2))=0,"",INDEX(TabEntrainement[[J1]:[J30]],ROW()-11,$G$2))</f>
        <v/>
      </c>
      <c r="D94" s="22" t="str">
        <f>IF(INDEX(TabForme[[J1]:[J30]],ROW()-11,$G$2)=0,"",INDEX(TabForme[[J1]:[J30]],ROW()-11,$G$2))</f>
        <v/>
      </c>
      <c r="E94" s="318" t="str">
        <f>IF(INDEX(TabREP[[J1]:[J30]],ROW()-11,$G$2)=0,"",INDEX(TabREP[[J1]:[J30]],ROW()-11,$G$2))</f>
        <v/>
      </c>
      <c r="F94" s="22" t="e">
        <f>IF(INDEX(TabREP39[[J1]:[J30]],ROW()-11,$G$2)=0,"",INDEX(TabREP39[[J1]:[J30]],ROW()-11,$G$2))</f>
        <v>#VALUE!</v>
      </c>
      <c r="G94" s="318" t="str">
        <f>INDEX(TabBilanMental15[],ROW()-11,4)</f>
        <v/>
      </c>
    </row>
    <row r="95" spans="2:12" ht="15.95" customHeight="1">
      <c r="B95" s="29" t="str">
        <f>IF(INDEX(TabEntrainement[Seance],ROW()-11)&lt;&gt;0,INDEX(TabEntrainement[Seance],ROW()-11),"")</f>
        <v/>
      </c>
      <c r="C95" s="6" t="str">
        <f>IF((INDEX(TabEntrainement[[J1]:[J30]],ROW()-11,$G$2))=0,"",INDEX(TabEntrainement[[J1]:[J30]],ROW()-11,$G$2))</f>
        <v/>
      </c>
      <c r="D95" s="22" t="str">
        <f>IF(INDEX(TabForme[[J1]:[J30]],ROW()-11,$G$2)=0,"",INDEX(TabForme[[J1]:[J30]],ROW()-11,$G$2))</f>
        <v/>
      </c>
      <c r="E95" s="318" t="str">
        <f>IF(INDEX(TabREP[[J1]:[J30]],ROW()-11,$G$2)=0,"",INDEX(TabREP[[J1]:[J30]],ROW()-11,$G$2))</f>
        <v/>
      </c>
      <c r="F95" s="22" t="e">
        <f>IF(INDEX(TabREP39[[J1]:[J30]],ROW()-11,$G$2)=0,"",INDEX(TabREP39[[J1]:[J30]],ROW()-11,$G$2))</f>
        <v>#VALUE!</v>
      </c>
      <c r="G95" s="318" t="str">
        <f>INDEX(TabBilanMental15[],ROW()-11,4)</f>
        <v/>
      </c>
    </row>
    <row r="96" spans="2:12" ht="15.95" customHeight="1">
      <c r="B96" s="29" t="str">
        <f>IF(INDEX(TabEntrainement[Seance],ROW()-11)&lt;&gt;0,INDEX(TabEntrainement[Seance],ROW()-11),"")</f>
        <v/>
      </c>
      <c r="C96" s="6" t="str">
        <f>IF((INDEX(TabEntrainement[[J1]:[J30]],ROW()-11,$G$2))=0,"",INDEX(TabEntrainement[[J1]:[J30]],ROW()-11,$G$2))</f>
        <v/>
      </c>
      <c r="D96" s="22" t="str">
        <f>IF(INDEX(TabForme[[J1]:[J30]],ROW()-11,$G$2)=0,"",INDEX(TabForme[[J1]:[J30]],ROW()-11,$G$2))</f>
        <v/>
      </c>
      <c r="E96" s="318" t="str">
        <f>IF(INDEX(TabREP[[J1]:[J30]],ROW()-11,$G$2)=0,"",INDEX(TabREP[[J1]:[J30]],ROW()-11,$G$2))</f>
        <v/>
      </c>
      <c r="F96" s="22" t="e">
        <f>IF(INDEX(TabREP39[[J1]:[J30]],ROW()-11,$G$2)=0,"",INDEX(TabREP39[[J1]:[J30]],ROW()-11,$G$2))</f>
        <v>#VALUE!</v>
      </c>
      <c r="G96" s="318" t="str">
        <f>INDEX(TabBilanMental15[],ROW()-11,4)</f>
        <v/>
      </c>
    </row>
    <row r="97" spans="2:12" ht="15.95" customHeight="1">
      <c r="B97" s="29" t="str">
        <f>IF(INDEX(TabEntrainement[Seance],ROW()-11)&lt;&gt;0,INDEX(TabEntrainement[Seance],ROW()-11),"")</f>
        <v/>
      </c>
      <c r="C97" s="6" t="str">
        <f>IF((INDEX(TabEntrainement[[J1]:[J30]],ROW()-11,$G$2))=0,"",INDEX(TabEntrainement[[J1]:[J30]],ROW()-11,$G$2))</f>
        <v/>
      </c>
      <c r="D97" s="22" t="str">
        <f>IF(INDEX(TabForme[[J1]:[J30]],ROW()-11,$G$2)=0,"",INDEX(TabForme[[J1]:[J30]],ROW()-11,$G$2))</f>
        <v/>
      </c>
      <c r="E97" s="318" t="str">
        <f>IF(INDEX(TabREP[[J1]:[J30]],ROW()-11,$G$2)=0,"",INDEX(TabREP[[J1]:[J30]],ROW()-11,$G$2))</f>
        <v/>
      </c>
      <c r="F97" s="22" t="e">
        <f>IF(INDEX(TabREP39[[J1]:[J30]],ROW()-11,$G$2)=0,"",INDEX(TabREP39[[J1]:[J30]],ROW()-11,$G$2))</f>
        <v>#VALUE!</v>
      </c>
      <c r="G97" s="318" t="str">
        <f>INDEX(TabBilanMental15[],ROW()-11,4)</f>
        <v/>
      </c>
    </row>
    <row r="98" spans="2:12" ht="15.95" customHeight="1">
      <c r="B98" s="29" t="str">
        <f>IF(INDEX(TabEntrainement[Seance],ROW()-11)&lt;&gt;0,INDEX(TabEntrainement[Seance],ROW()-11),"")</f>
        <v/>
      </c>
      <c r="C98" s="6" t="str">
        <f>IF((INDEX(TabEntrainement[[J1]:[J30]],ROW()-11,$G$2))=0,"",INDEX(TabEntrainement[[J1]:[J30]],ROW()-11,$G$2))</f>
        <v/>
      </c>
      <c r="D98" s="22" t="str">
        <f>IF(INDEX(TabForme[[J1]:[J30]],ROW()-11,$G$2)=0,"",INDEX(TabForme[[J1]:[J30]],ROW()-11,$G$2))</f>
        <v/>
      </c>
      <c r="E98" s="318" t="str">
        <f>IF(INDEX(TabREP[[J1]:[J30]],ROW()-11,$G$2)=0,"",INDEX(TabREP[[J1]:[J30]],ROW()-11,$G$2))</f>
        <v/>
      </c>
      <c r="F98" s="22" t="e">
        <f>IF(INDEX(TabREP39[[J1]:[J30]],ROW()-11,$G$2)=0,"",INDEX(TabREP39[[J1]:[J30]],ROW()-11,$G$2))</f>
        <v>#VALUE!</v>
      </c>
      <c r="G98" s="318" t="str">
        <f>INDEX(TabBilanMental15[],ROW()-11,4)</f>
        <v/>
      </c>
    </row>
    <row r="99" spans="2:12" ht="15.95" customHeight="1">
      <c r="B99" s="29" t="str">
        <f>IF(INDEX(TabEntrainement[Seance],ROW()-11)&lt;&gt;0,INDEX(TabEntrainement[Seance],ROW()-11),"")</f>
        <v/>
      </c>
      <c r="C99" s="6" t="str">
        <f>IF((INDEX(TabEntrainement[[J1]:[J30]],ROW()-11,$G$2))=0,"",INDEX(TabEntrainement[[J1]:[J30]],ROW()-11,$G$2))</f>
        <v/>
      </c>
      <c r="D99" s="22" t="str">
        <f>IF(INDEX(TabForme[[J1]:[J30]],ROW()-11,$G$2)=0,"",INDEX(TabForme[[J1]:[J30]],ROW()-11,$G$2))</f>
        <v/>
      </c>
      <c r="E99" s="318" t="str">
        <f>IF(INDEX(TabREP[[J1]:[J30]],ROW()-11,$G$2)=0,"",INDEX(TabREP[[J1]:[J30]],ROW()-11,$G$2))</f>
        <v/>
      </c>
      <c r="F99" s="22" t="e">
        <f>IF(INDEX(TabREP39[[J1]:[J30]],ROW()-11,$G$2)=0,"",INDEX(TabREP39[[J1]:[J30]],ROW()-11,$G$2))</f>
        <v>#VALUE!</v>
      </c>
      <c r="G99" s="318" t="str">
        <f>INDEX(TabBilanMental15[],ROW()-11,4)</f>
        <v/>
      </c>
    </row>
    <row r="100" spans="2:12" ht="15.95" customHeight="1">
      <c r="B100" s="29" t="str">
        <f>IF(INDEX(TabEntrainement[Seance],ROW()-11)&lt;&gt;0,INDEX(TabEntrainement[Seance],ROW()-11),"")</f>
        <v/>
      </c>
      <c r="C100" s="6" t="str">
        <f>IF((INDEX(TabEntrainement[[J1]:[J30]],ROW()-11,$G$2))=0,"",INDEX(TabEntrainement[[J1]:[J30]],ROW()-11,$G$2))</f>
        <v/>
      </c>
      <c r="D100" s="22" t="str">
        <f>IF(INDEX(TabForme[[J1]:[J30]],ROW()-11,$G$2)=0,"",INDEX(TabForme[[J1]:[J30]],ROW()-11,$G$2))</f>
        <v/>
      </c>
      <c r="E100" s="318" t="str">
        <f>IF(INDEX(TabREP[[J1]:[J30]],ROW()-11,$G$2)=0,"",INDEX(TabREP[[J1]:[J30]],ROW()-11,$G$2))</f>
        <v/>
      </c>
      <c r="F100" s="22" t="e">
        <f>IF(INDEX(TabREP39[[J1]:[J30]],ROW()-11,$G$2)=0,"",INDEX(TabREP39[[J1]:[J30]],ROW()-11,$G$2))</f>
        <v>#VALUE!</v>
      </c>
      <c r="G100" s="318" t="str">
        <f>INDEX(TabBilanMental15[],ROW()-11,4)</f>
        <v/>
      </c>
    </row>
    <row r="101" spans="2:12" ht="15.95" customHeight="1">
      <c r="B101" s="29" t="str">
        <f>IF(INDEX(TabEntrainement[Seance],ROW()-11)&lt;&gt;0,INDEX(TabEntrainement[Seance],ROW()-11),"")</f>
        <v/>
      </c>
      <c r="C101" s="6" t="str">
        <f>IF((INDEX(TabEntrainement[[J1]:[J30]],ROW()-11,$G$2))=0,"",INDEX(TabEntrainement[[J1]:[J30]],ROW()-11,$G$2))</f>
        <v/>
      </c>
      <c r="D101" s="22" t="str">
        <f>IF(INDEX(TabForme[[J1]:[J30]],ROW()-11,$G$2)=0,"",INDEX(TabForme[[J1]:[J30]],ROW()-11,$G$2))</f>
        <v/>
      </c>
      <c r="E101" s="318" t="str">
        <f>IF(INDEX(TabREP[[J1]:[J30]],ROW()-11,$G$2)=0,"",INDEX(TabREP[[J1]:[J30]],ROW()-11,$G$2))</f>
        <v/>
      </c>
      <c r="F101" s="22" t="e">
        <f>IF(INDEX(TabREP39[[J1]:[J30]],ROW()-11,$G$2)=0,"",INDEX(TabREP39[[J1]:[J30]],ROW()-11,$G$2))</f>
        <v>#VALUE!</v>
      </c>
      <c r="G101" s="318" t="str">
        <f>INDEX(TabBilanMental15[],ROW()-11,4)</f>
        <v/>
      </c>
    </row>
    <row r="102" spans="2:12" ht="15.95" customHeight="1">
      <c r="B102" s="29" t="str">
        <f>IF(INDEX(TabEntrainement[Seance],ROW()-11)&lt;&gt;0,INDEX(TabEntrainement[Seance],ROW()-11),"")</f>
        <v/>
      </c>
      <c r="C102" s="6" t="str">
        <f>IF((INDEX(TabEntrainement[[J1]:[J30]],ROW()-11,$G$2))=0,"",INDEX(TabEntrainement[[J1]:[J30]],ROW()-11,$G$2))</f>
        <v/>
      </c>
      <c r="D102" s="22" t="str">
        <f>IF(INDEX(TabForme[[J1]:[J30]],ROW()-11,$G$2)=0,"",INDEX(TabForme[[J1]:[J30]],ROW()-11,$G$2))</f>
        <v/>
      </c>
      <c r="E102" s="318" t="str">
        <f>IF(INDEX(TabREP[[J1]:[J30]],ROW()-11,$G$2)=0,"",INDEX(TabREP[[J1]:[J30]],ROW()-11,$G$2))</f>
        <v/>
      </c>
      <c r="F102" s="22" t="e">
        <f>IF(INDEX(TabREP39[[J1]:[J30]],ROW()-11,$G$2)=0,"",INDEX(TabREP39[[J1]:[J30]],ROW()-11,$G$2))</f>
        <v>#VALUE!</v>
      </c>
      <c r="G102" s="318" t="str">
        <f>INDEX(TabBilanMental15[],ROW()-11,4)</f>
        <v/>
      </c>
    </row>
    <row r="103" spans="2:12" ht="15.95" customHeight="1">
      <c r="B103" s="29" t="str">
        <f>IF(INDEX(TabEntrainement[Seance],ROW()-11)&lt;&gt;0,INDEX(TabEntrainement[Seance],ROW()-11),"")</f>
        <v/>
      </c>
      <c r="C103" s="6" t="str">
        <f>IF((INDEX(TabEntrainement[[J1]:[J30]],ROW()-11,$G$2))=0,"",INDEX(TabEntrainement[[J1]:[J30]],ROW()-11,$G$2))</f>
        <v/>
      </c>
      <c r="D103" s="22" t="str">
        <f>IF(INDEX(TabForme[[J1]:[J30]],ROW()-11,$G$2)=0,"",INDEX(TabForme[[J1]:[J30]],ROW()-11,$G$2))</f>
        <v/>
      </c>
      <c r="E103" s="318" t="str">
        <f>IF(INDEX(TabREP[[J1]:[J30]],ROW()-11,$G$2)=0,"",INDEX(TabREP[[J1]:[J30]],ROW()-11,$G$2))</f>
        <v/>
      </c>
      <c r="F103" s="22" t="e">
        <f>IF(INDEX(TabREP39[[J1]:[J30]],ROW()-11,$G$2)=0,"",INDEX(TabREP39[[J1]:[J30]],ROW()-11,$G$2))</f>
        <v>#VALUE!</v>
      </c>
      <c r="G103" s="318" t="str">
        <f>INDEX(TabBilanMental15[],ROW()-11,4)</f>
        <v/>
      </c>
    </row>
    <row r="104" spans="2:12" ht="15.95" customHeight="1">
      <c r="B104" s="29" t="str">
        <f>IF(INDEX(TabEntrainement[Seance],ROW()-11)&lt;&gt;0,INDEX(TabEntrainement[Seance],ROW()-11),"")</f>
        <v/>
      </c>
      <c r="C104" s="6" t="str">
        <f>IF((INDEX(TabEntrainement[[J1]:[J30]],ROW()-11,$G$2))=0,"",INDEX(TabEntrainement[[J1]:[J30]],ROW()-11,$G$2))</f>
        <v/>
      </c>
      <c r="D104" s="22" t="str">
        <f>IF(INDEX(TabForme[[J1]:[J30]],ROW()-11,$G$2)=0,"",INDEX(TabForme[[J1]:[J30]],ROW()-11,$G$2))</f>
        <v/>
      </c>
      <c r="E104" s="318" t="str">
        <f>IF(INDEX(TabREP[[J1]:[J30]],ROW()-11,$G$2)=0,"",INDEX(TabREP[[J1]:[J30]],ROW()-11,$G$2))</f>
        <v/>
      </c>
      <c r="F104" s="22" t="e">
        <f>IF(INDEX(TabREP39[[J1]:[J30]],ROW()-11,$G$2)=0,"",INDEX(TabREP39[[J1]:[J30]],ROW()-11,$G$2))</f>
        <v>#VALUE!</v>
      </c>
      <c r="G104" s="318" t="str">
        <f>INDEX(TabBilanMental15[],ROW()-11,4)</f>
        <v/>
      </c>
      <c r="I104" s="224"/>
      <c r="J104" s="44"/>
      <c r="K104" s="44"/>
      <c r="L104" s="225"/>
    </row>
    <row r="105" spans="2:12" ht="15.95" customHeight="1">
      <c r="B105" s="29" t="str">
        <f>IF(INDEX(TabEntrainement[Seance],ROW()-11)&lt;&gt;0,INDEX(TabEntrainement[Seance],ROW()-11),"")</f>
        <v/>
      </c>
      <c r="C105" s="6" t="str">
        <f>IF((INDEX(TabEntrainement[[J1]:[J30]],ROW()-11,$G$2))=0,"",INDEX(TabEntrainement[[J1]:[J30]],ROW()-11,$G$2))</f>
        <v/>
      </c>
      <c r="D105" s="22" t="str">
        <f>IF(INDEX(TabForme[[J1]:[J30]],ROW()-11,$G$2)=0,"",INDEX(TabForme[[J1]:[J30]],ROW()-11,$G$2))</f>
        <v/>
      </c>
      <c r="E105" s="318" t="str">
        <f>IF(INDEX(TabREP[[J1]:[J30]],ROW()-11,$G$2)=0,"",INDEX(TabREP[[J1]:[J30]],ROW()-11,$G$2))</f>
        <v/>
      </c>
      <c r="F105" s="22" t="e">
        <f>IF(INDEX(TabREP39[[J1]:[J30]],ROW()-11,$G$2)=0,"",INDEX(TabREP39[[J1]:[J30]],ROW()-11,$G$2))</f>
        <v>#VALUE!</v>
      </c>
      <c r="G105" s="318" t="str">
        <f>INDEX(TabBilanMental15[],ROW()-11,4)</f>
        <v/>
      </c>
      <c r="I105" s="224"/>
      <c r="J105" s="44"/>
      <c r="K105" s="44"/>
      <c r="L105" s="225"/>
    </row>
    <row r="106" spans="2:12" ht="15.95" customHeight="1">
      <c r="B106" s="29" t="str">
        <f>IF(INDEX(TabEntrainement[Seance],ROW()-11)&lt;&gt;0,INDEX(TabEntrainement[Seance],ROW()-11),"")</f>
        <v/>
      </c>
      <c r="C106" s="6" t="str">
        <f>IF((INDEX(TabEntrainement[[J1]:[J30]],ROW()-11,$G$2))=0,"",INDEX(TabEntrainement[[J1]:[J30]],ROW()-11,$G$2))</f>
        <v/>
      </c>
      <c r="D106" s="22" t="str">
        <f>IF(INDEX(TabForme[[J1]:[J30]],ROW()-11,$G$2)=0,"",INDEX(TabForme[[J1]:[J30]],ROW()-11,$G$2))</f>
        <v/>
      </c>
      <c r="E106" s="318" t="str">
        <f>IF(INDEX(TabREP[[J1]:[J30]],ROW()-11,$G$2)=0,"",INDEX(TabREP[[J1]:[J30]],ROW()-11,$G$2))</f>
        <v/>
      </c>
      <c r="F106" s="22" t="e">
        <f>IF(INDEX(TabREP39[[J1]:[J30]],ROW()-11,$G$2)=0,"",INDEX(TabREP39[[J1]:[J30]],ROW()-11,$G$2))</f>
        <v>#VALUE!</v>
      </c>
      <c r="G106" s="318" t="str">
        <f>INDEX(TabBilanMental15[],ROW()-11,4)</f>
        <v/>
      </c>
      <c r="I106" s="224"/>
      <c r="J106" s="44"/>
      <c r="K106" s="44"/>
      <c r="L106" s="225"/>
    </row>
    <row r="107" spans="2:12" ht="15.95" customHeight="1">
      <c r="B107" s="29" t="str">
        <f>IF(INDEX(TabEntrainement[Seance],ROW()-11)&lt;&gt;0,INDEX(TabEntrainement[Seance],ROW()-11),"")</f>
        <v/>
      </c>
      <c r="C107" s="6" t="str">
        <f>IF((INDEX(TabEntrainement[[J1]:[J30]],ROW()-11,$G$2))=0,"",INDEX(TabEntrainement[[J1]:[J30]],ROW()-11,$G$2))</f>
        <v/>
      </c>
      <c r="D107" s="22" t="str">
        <f>IF(INDEX(TabForme[[J1]:[J30]],ROW()-11,$G$2)=0,"",INDEX(TabForme[[J1]:[J30]],ROW()-11,$G$2))</f>
        <v/>
      </c>
      <c r="E107" s="318" t="str">
        <f>IF(INDEX(TabREP[[J1]:[J30]],ROW()-11,$G$2)=0,"",INDEX(TabREP[[J1]:[J30]],ROW()-11,$G$2))</f>
        <v/>
      </c>
      <c r="F107" s="22" t="e">
        <f>IF(INDEX(TabREP39[[J1]:[J30]],ROW()-11,$G$2)=0,"",INDEX(TabREP39[[J1]:[J30]],ROW()-11,$G$2))</f>
        <v>#VALUE!</v>
      </c>
      <c r="G107" s="318" t="str">
        <f>INDEX(TabBilanMental15[],ROW()-11,4)</f>
        <v/>
      </c>
      <c r="I107" s="224"/>
      <c r="J107" s="44"/>
      <c r="K107" s="44"/>
      <c r="L107" s="225"/>
    </row>
    <row r="108" spans="2:12" ht="15.95" customHeight="1">
      <c r="B108" s="29" t="str">
        <f>IF(INDEX(TabEntrainement[Seance],ROW()-11)&lt;&gt;0,INDEX(TabEntrainement[Seance],ROW()-11),"")</f>
        <v/>
      </c>
      <c r="C108" s="6" t="str">
        <f>IF((INDEX(TabEntrainement[[J1]:[J30]],ROW()-11,$G$2))=0,"",INDEX(TabEntrainement[[J1]:[J30]],ROW()-11,$G$2))</f>
        <v/>
      </c>
      <c r="D108" s="22" t="str">
        <f>IF(INDEX(TabForme[[J1]:[J30]],ROW()-11,$G$2)=0,"",INDEX(TabForme[[J1]:[J30]],ROW()-11,$G$2))</f>
        <v/>
      </c>
      <c r="E108" s="318" t="str">
        <f>IF(INDEX(TabREP[[J1]:[J30]],ROW()-11,$G$2)=0,"",INDEX(TabREP[[J1]:[J30]],ROW()-11,$G$2))</f>
        <v/>
      </c>
      <c r="F108" s="22" t="e">
        <f>IF(INDEX(TabREP39[[J1]:[J30]],ROW()-11,$G$2)=0,"",INDEX(TabREP39[[J1]:[J30]],ROW()-11,$G$2))</f>
        <v>#VALUE!</v>
      </c>
      <c r="G108" s="318" t="str">
        <f>INDEX(TabBilanMental15[],ROW()-11,4)</f>
        <v/>
      </c>
      <c r="I108" s="224"/>
      <c r="J108" s="44"/>
      <c r="K108" s="44"/>
      <c r="L108" s="225"/>
    </row>
    <row r="109" spans="2:12" ht="15.95" customHeight="1">
      <c r="B109" s="29" t="str">
        <f>IF(INDEX(TabEntrainement[Seance],ROW()-11)&lt;&gt;0,INDEX(TabEntrainement[Seance],ROW()-11),"")</f>
        <v/>
      </c>
      <c r="C109" s="6" t="str">
        <f>IF((INDEX(TabEntrainement[[J1]:[J30]],ROW()-11,$G$2))=0,"",INDEX(TabEntrainement[[J1]:[J30]],ROW()-11,$G$2))</f>
        <v/>
      </c>
      <c r="D109" s="22" t="str">
        <f>IF(INDEX(TabForme[[J1]:[J30]],ROW()-11,$G$2)=0,"",INDEX(TabForme[[J1]:[J30]],ROW()-11,$G$2))</f>
        <v/>
      </c>
      <c r="E109" s="318" t="str">
        <f>IF(INDEX(TabREP[[J1]:[J30]],ROW()-11,$G$2)=0,"",INDEX(TabREP[[J1]:[J30]],ROW()-11,$G$2))</f>
        <v/>
      </c>
      <c r="F109" s="22" t="e">
        <f>IF(INDEX(TabREP39[[J1]:[J30]],ROW()-11,$G$2)=0,"",INDEX(TabREP39[[J1]:[J30]],ROW()-11,$G$2))</f>
        <v>#VALUE!</v>
      </c>
      <c r="G109" s="318" t="str">
        <f>INDEX(TabBilanMental15[],ROW()-11,4)</f>
        <v/>
      </c>
      <c r="I109" s="224"/>
      <c r="J109" s="44"/>
      <c r="K109" s="44"/>
      <c r="L109" s="225"/>
    </row>
    <row r="110" spans="2:12" ht="15.95" customHeight="1">
      <c r="B110" s="29" t="str">
        <f>IF(INDEX(TabEntrainement[Seance],ROW()-11)&lt;&gt;0,INDEX(TabEntrainement[Seance],ROW()-11),"")</f>
        <v/>
      </c>
      <c r="C110" s="6" t="str">
        <f>IF((INDEX(TabEntrainement[[J1]:[J30]],ROW()-11,$G$2))=0,"",INDEX(TabEntrainement[[J1]:[J30]],ROW()-11,$G$2))</f>
        <v/>
      </c>
      <c r="D110" s="22" t="str">
        <f>IF(INDEX(TabForme[[J1]:[J30]],ROW()-11,$G$2)=0,"",INDEX(TabForme[[J1]:[J30]],ROW()-11,$G$2))</f>
        <v/>
      </c>
      <c r="E110" s="318" t="str">
        <f>IF(INDEX(TabREP[[J1]:[J30]],ROW()-11,$G$2)=0,"",INDEX(TabREP[[J1]:[J30]],ROW()-11,$G$2))</f>
        <v/>
      </c>
      <c r="F110" s="22" t="e">
        <f>IF(INDEX(TabREP39[[J1]:[J30]],ROW()-11,$G$2)=0,"",INDEX(TabREP39[[J1]:[J30]],ROW()-11,$G$2))</f>
        <v>#VALUE!</v>
      </c>
      <c r="G110" s="318" t="str">
        <f>INDEX(TabBilanMental15[],ROW()-11,4)</f>
        <v/>
      </c>
      <c r="I110" s="224"/>
      <c r="J110" s="44"/>
      <c r="K110" s="44"/>
      <c r="L110" s="225"/>
    </row>
    <row r="111" spans="2:12" ht="15.95" customHeight="1">
      <c r="B111" s="29" t="str">
        <f>IF(INDEX(TabEntrainement[Seance],ROW()-11)&lt;&gt;0,INDEX(TabEntrainement[Seance],ROW()-11),"")</f>
        <v/>
      </c>
      <c r="C111" s="6" t="str">
        <f>IF((INDEX(TabEntrainement[[J1]:[J30]],ROW()-11,$G$2))=0,"",INDEX(TabEntrainement[[J1]:[J30]],ROW()-11,$G$2))</f>
        <v/>
      </c>
      <c r="D111" s="22" t="str">
        <f>IF(INDEX(TabForme[[J1]:[J30]],ROW()-11,$G$2)=0,"",INDEX(TabForme[[J1]:[J30]],ROW()-11,$G$2))</f>
        <v/>
      </c>
      <c r="E111" s="318" t="str">
        <f>IF(INDEX(TabREP[[J1]:[J30]],ROW()-11,$G$2)=0,"",INDEX(TabREP[[J1]:[J30]],ROW()-11,$G$2))</f>
        <v/>
      </c>
      <c r="F111" s="22" t="e">
        <f>IF(INDEX(TabREP39[[J1]:[J30]],ROW()-11,$G$2)=0,"",INDEX(TabREP39[[J1]:[J30]],ROW()-11,$G$2))</f>
        <v>#VALUE!</v>
      </c>
      <c r="G111" s="318" t="str">
        <f>INDEX(TabBilanMental15[],ROW()-11,4)</f>
        <v/>
      </c>
      <c r="I111" s="224"/>
      <c r="J111" s="44"/>
      <c r="K111" s="44"/>
      <c r="L111" s="225"/>
    </row>
    <row r="112" spans="2:12" ht="15.95" customHeight="1">
      <c r="B112" s="29" t="str">
        <f>IF(INDEX(TabEntrainement[Seance],ROW()-11)&lt;&gt;0,INDEX(TabEntrainement[Seance],ROW()-11),"")</f>
        <v/>
      </c>
      <c r="C112" s="6" t="str">
        <f>IF((INDEX(TabEntrainement[[J1]:[J30]],ROW()-11,$G$2))=0,"",INDEX(TabEntrainement[[J1]:[J30]],ROW()-11,$G$2))</f>
        <v/>
      </c>
      <c r="D112" s="22" t="str">
        <f>IF(INDEX(TabForme[[J1]:[J30]],ROW()-11,$G$2)=0,"",INDEX(TabForme[[J1]:[J30]],ROW()-11,$G$2))</f>
        <v/>
      </c>
      <c r="E112" s="318" t="str">
        <f>IF(INDEX(TabREP[[J1]:[J30]],ROW()-11,$G$2)=0,"",INDEX(TabREP[[J1]:[J30]],ROW()-11,$G$2))</f>
        <v/>
      </c>
      <c r="F112" s="22" t="e">
        <f>IF(INDEX(TabREP39[[J1]:[J30]],ROW()-11,$G$2)=0,"",INDEX(TabREP39[[J1]:[J30]],ROW()-11,$G$2))</f>
        <v>#VALUE!</v>
      </c>
      <c r="G112" s="318" t="str">
        <f>INDEX(TabBilanMental15[],ROW()-11,4)</f>
        <v/>
      </c>
      <c r="I112" s="224"/>
      <c r="J112" s="44"/>
      <c r="K112" s="44"/>
      <c r="L112" s="225"/>
    </row>
    <row r="113" spans="2:17" ht="15.95" customHeight="1">
      <c r="B113" s="29" t="str">
        <f>IF(INDEX(TabEntrainement[Seance],ROW()-11)&lt;&gt;0,INDEX(TabEntrainement[Seance],ROW()-11),"")</f>
        <v/>
      </c>
      <c r="C113" s="6" t="str">
        <f>IF((INDEX(TabEntrainement[[J1]:[J30]],ROW()-11,$G$2))=0,"",INDEX(TabEntrainement[[J1]:[J30]],ROW()-11,$G$2))</f>
        <v/>
      </c>
      <c r="D113" s="22" t="str">
        <f>IF(INDEX(TabForme[[J1]:[J30]],ROW()-11,$G$2)=0,"",INDEX(TabForme[[J1]:[J30]],ROW()-11,$G$2))</f>
        <v/>
      </c>
      <c r="E113" s="318" t="str">
        <f>IF(INDEX(TabREP[[J1]:[J30]],ROW()-11,$G$2)=0,"",INDEX(TabREP[[J1]:[J30]],ROW()-11,$G$2))</f>
        <v/>
      </c>
      <c r="F113" s="22" t="e">
        <f>IF(INDEX(TabREP39[[J1]:[J30]],ROW()-11,$G$2)=0,"",INDEX(TabREP39[[J1]:[J30]],ROW()-11,$G$2))</f>
        <v>#VALUE!</v>
      </c>
      <c r="G113" s="318" t="str">
        <f>INDEX(TabBilanMental15[],ROW()-11,4)</f>
        <v/>
      </c>
    </row>
    <row r="114" spans="2:17" ht="15.95" customHeight="1">
      <c r="B114" s="29" t="str">
        <f>IF(INDEX(TabEntrainement[Seance],ROW()-11)&lt;&gt;0,INDEX(TabEntrainement[Seance],ROW()-11),"")</f>
        <v/>
      </c>
      <c r="C114" s="6" t="str">
        <f>IF((INDEX(TabEntrainement[[J1]:[J30]],ROW()-11,$G$2))=0,"",INDEX(TabEntrainement[[J1]:[J30]],ROW()-11,$G$2))</f>
        <v/>
      </c>
      <c r="D114" s="22" t="str">
        <f>IF(INDEX(TabForme[[J1]:[J30]],ROW()-11,$G$2)=0,"",INDEX(TabForme[[J1]:[J30]],ROW()-11,$G$2))</f>
        <v/>
      </c>
      <c r="E114" s="318" t="str">
        <f>IF(INDEX(TabREP[[J1]:[J30]],ROW()-11,$G$2)=0,"",INDEX(TabREP[[J1]:[J30]],ROW()-11,$G$2))</f>
        <v/>
      </c>
      <c r="F114" s="22" t="e">
        <f>IF(INDEX(TabREP39[[J1]:[J30]],ROW()-11,$G$2)=0,"",INDEX(TabREP39[[J1]:[J30]],ROW()-11,$G$2))</f>
        <v>#VALUE!</v>
      </c>
      <c r="G114" s="318" t="str">
        <f>INDEX(TabBilanMental15[],ROW()-11,4)</f>
        <v/>
      </c>
    </row>
    <row r="115" spans="2:17" ht="15.95" customHeight="1">
      <c r="B115" s="29" t="str">
        <f>IF(INDEX(TabEntrainement[Seance],ROW()-11)&lt;&gt;0,INDEX(TabEntrainement[Seance],ROW()-11),"")</f>
        <v/>
      </c>
      <c r="C115" s="6" t="str">
        <f>IF((INDEX(TabEntrainement[[J1]:[J30]],ROW()-11,$G$2))=0,"",INDEX(TabEntrainement[[J1]:[J30]],ROW()-11,$G$2))</f>
        <v/>
      </c>
      <c r="D115" s="22" t="str">
        <f>IF(INDEX(TabForme[[J1]:[J30]],ROW()-11,$G$2)=0,"",INDEX(TabForme[[J1]:[J30]],ROW()-11,$G$2))</f>
        <v/>
      </c>
      <c r="E115" s="318" t="str">
        <f>IF(INDEX(TabREP[[J1]:[J30]],ROW()-11,$G$2)=0,"",INDEX(TabREP[[J1]:[J30]],ROW()-11,$G$2))</f>
        <v/>
      </c>
      <c r="F115" s="22" t="e">
        <f>IF(INDEX(TabREP39[[J1]:[J30]],ROW()-11,$G$2)=0,"",INDEX(TabREP39[[J1]:[J30]],ROW()-11,$G$2))</f>
        <v>#VALUE!</v>
      </c>
      <c r="G115" s="318" t="str">
        <f>INDEX(TabBilanMental15[],ROW()-11,4)</f>
        <v/>
      </c>
    </row>
    <row r="116" spans="2:17" ht="15.95" customHeight="1">
      <c r="B116" s="29" t="str">
        <f>IF(INDEX(TabEntrainement[Seance],ROW()-11)&lt;&gt;0,INDEX(TabEntrainement[Seance],ROW()-11),"")</f>
        <v/>
      </c>
      <c r="C116" s="6" t="str">
        <f>IF((INDEX(TabEntrainement[[J1]:[J30]],ROW()-11,$G$2))=0,"",INDEX(TabEntrainement[[J1]:[J30]],ROW()-11,$G$2))</f>
        <v/>
      </c>
      <c r="D116" s="22" t="str">
        <f>IF(INDEX(TabForme[[J1]:[J30]],ROW()-11,$G$2)=0,"",INDEX(TabForme[[J1]:[J30]],ROW()-11,$G$2))</f>
        <v/>
      </c>
      <c r="E116" s="318" t="str">
        <f>IF(INDEX(TabREP[[J1]:[J30]],ROW()-11,$G$2)=0,"",INDEX(TabREP[[J1]:[J30]],ROW()-11,$G$2))</f>
        <v/>
      </c>
      <c r="F116" s="22" t="e">
        <f>IF(INDEX(TabREP39[[J1]:[J30]],ROW()-11,$G$2)=0,"",INDEX(TabREP39[[J1]:[J30]],ROW()-11,$G$2))</f>
        <v>#VALUE!</v>
      </c>
      <c r="G116" s="318" t="str">
        <f>INDEX(TabBilanMental15[],ROW()-11,4)</f>
        <v/>
      </c>
    </row>
    <row r="117" spans="2:17" ht="15.95" customHeight="1">
      <c r="B117" s="29" t="str">
        <f>IF(INDEX(TabEntrainement[Seance],ROW()-11)&lt;&gt;0,INDEX(TabEntrainement[Seance],ROW()-11),"")</f>
        <v/>
      </c>
      <c r="C117" s="6" t="str">
        <f>IF((INDEX(TabEntrainement[[J1]:[J30]],ROW()-11,$G$2))=0,"",INDEX(TabEntrainement[[J1]:[J30]],ROW()-11,$G$2))</f>
        <v/>
      </c>
      <c r="D117" s="22" t="str">
        <f>IF(INDEX(TabForme[[J1]:[J30]],ROW()-11,$G$2)=0,"",INDEX(TabForme[[J1]:[J30]],ROW()-11,$G$2))</f>
        <v/>
      </c>
      <c r="E117" s="318" t="str">
        <f>IF(INDEX(TabREP[[J1]:[J30]],ROW()-11,$G$2)=0,"",INDEX(TabREP[[J1]:[J30]],ROW()-11,$G$2))</f>
        <v/>
      </c>
      <c r="F117" s="22" t="e">
        <f>IF(INDEX(TabREP39[[J1]:[J30]],ROW()-11,$G$2)=0,"",INDEX(TabREP39[[J1]:[J30]],ROW()-11,$G$2))</f>
        <v>#VALUE!</v>
      </c>
      <c r="G117" s="318" t="str">
        <f>INDEX(TabBilanMental15[],ROW()-11,4)</f>
        <v/>
      </c>
    </row>
    <row r="118" spans="2:17" ht="15.95" customHeight="1">
      <c r="B118" s="29" t="str">
        <f>IF(INDEX(TabEntrainement[Seance],ROW()-11)&lt;&gt;0,INDEX(TabEntrainement[Seance],ROW()-11),"")</f>
        <v/>
      </c>
      <c r="C118" s="6" t="str">
        <f>IF((INDEX(TabEntrainement[[J1]:[J30]],ROW()-11,$G$2))=0,"",INDEX(TabEntrainement[[J1]:[J30]],ROW()-11,$G$2))</f>
        <v/>
      </c>
      <c r="D118" s="22" t="str">
        <f>IF(INDEX(TabForme[[J1]:[J30]],ROW()-11,$G$2)=0,"",INDEX(TabForme[[J1]:[J30]],ROW()-11,$G$2))</f>
        <v/>
      </c>
      <c r="E118" s="318" t="str">
        <f>IF(INDEX(TabREP[[J1]:[J30]],ROW()-11,$G$2)=0,"",INDEX(TabREP[[J1]:[J30]],ROW()-11,$G$2))</f>
        <v/>
      </c>
      <c r="F118" s="22" t="e">
        <f>IF(INDEX(TabREP39[[J1]:[J30]],ROW()-11,$G$2)=0,"",INDEX(TabREP39[[J1]:[J30]],ROW()-11,$G$2))</f>
        <v>#VALUE!</v>
      </c>
      <c r="G118" s="318" t="str">
        <f>INDEX(TabBilanMental15[],ROW()-11,4)</f>
        <v/>
      </c>
    </row>
    <row r="119" spans="2:17" ht="15.95" customHeight="1">
      <c r="B119" s="29" t="str">
        <f>IF(INDEX(TabEntrainement[Seance],ROW()-11)&lt;&gt;0,INDEX(TabEntrainement[Seance],ROW()-11),"")</f>
        <v/>
      </c>
      <c r="C119" s="6" t="str">
        <f>IF((INDEX(TabEntrainement[[J1]:[J30]],ROW()-11,$G$2))=0,"",INDEX(TabEntrainement[[J1]:[J30]],ROW()-11,$G$2))</f>
        <v/>
      </c>
      <c r="D119" s="22" t="str">
        <f>IF(INDEX(TabForme[[J1]:[J30]],ROW()-11,$G$2)=0,"",INDEX(TabForme[[J1]:[J30]],ROW()-11,$G$2))</f>
        <v/>
      </c>
      <c r="E119" s="318" t="str">
        <f>IF(INDEX(TabREP[[J1]:[J30]],ROW()-11,$G$2)=0,"",INDEX(TabREP[[J1]:[J30]],ROW()-11,$G$2))</f>
        <v/>
      </c>
      <c r="F119" s="22" t="e">
        <f>IF(INDEX(TabREP39[[J1]:[J30]],ROW()-11,$G$2)=0,"",INDEX(TabREP39[[J1]:[J30]],ROW()-11,$G$2))</f>
        <v>#VALUE!</v>
      </c>
      <c r="G119" s="318" t="str">
        <f>INDEX(TabBilanMental15[],ROW()-11,4)</f>
        <v/>
      </c>
    </row>
    <row r="120" spans="2:17" ht="15.95" customHeight="1">
      <c r="B120" s="29" t="str">
        <f>IF(INDEX(TabEntrainement[Seance],ROW()-11)&lt;&gt;0,INDEX(TabEntrainement[Seance],ROW()-11),"")</f>
        <v/>
      </c>
      <c r="C120" s="6" t="str">
        <f>IF((INDEX(TabEntrainement[[J1]:[J30]],ROW()-11,$G$2))=0,"",INDEX(TabEntrainement[[J1]:[J30]],ROW()-11,$G$2))</f>
        <v/>
      </c>
      <c r="D120" s="22" t="str">
        <f>IF(INDEX(TabForme[[J1]:[J30]],ROW()-11,$G$2)=0,"",INDEX(TabForme[[J1]:[J30]],ROW()-11,$G$2))</f>
        <v/>
      </c>
      <c r="E120" s="318" t="str">
        <f>IF(INDEX(TabREP[[J1]:[J30]],ROW()-11,$G$2)=0,"",INDEX(TabREP[[J1]:[J30]],ROW()-11,$G$2))</f>
        <v/>
      </c>
      <c r="F120" s="22" t="e">
        <f>IF(INDEX(TabREP39[[J1]:[J30]],ROW()-11,$G$2)=0,"",INDEX(TabREP39[[J1]:[J30]],ROW()-11,$G$2))</f>
        <v>#VALUE!</v>
      </c>
      <c r="G120" s="318" t="str">
        <f>INDEX(TabBilanMental15[],ROW()-11,4)</f>
        <v/>
      </c>
    </row>
    <row r="121" spans="2:17" ht="15.95" customHeight="1">
      <c r="B121" s="29" t="str">
        <f>IF(INDEX(TabEntrainement[Seance],ROW()-11)&lt;&gt;0,INDEX(TabEntrainement[Seance],ROW()-11),"")</f>
        <v/>
      </c>
      <c r="C121" s="6" t="str">
        <f>IF((INDEX(TabEntrainement[[J1]:[J30]],ROW()-11,$G$2))=0,"",INDEX(TabEntrainement[[J1]:[J30]],ROW()-11,$G$2))</f>
        <v/>
      </c>
      <c r="D121" s="22" t="str">
        <f>IF(INDEX(TabForme[[J1]:[J30]],ROW()-11,$G$2)=0,"",INDEX(TabForme[[J1]:[J30]],ROW()-11,$G$2))</f>
        <v/>
      </c>
      <c r="E121" s="318" t="str">
        <f>IF(INDEX(TabREP[[J1]:[J30]],ROW()-11,$G$2)=0,"",INDEX(TabREP[[J1]:[J30]],ROW()-11,$G$2))</f>
        <v/>
      </c>
      <c r="F121" s="22" t="e">
        <f>IF(INDEX(TabREP39[[J1]:[J30]],ROW()-11,$G$2)=0,"",INDEX(TabREP39[[J1]:[J30]],ROW()-11,$G$2))</f>
        <v>#VALUE!</v>
      </c>
      <c r="G121" s="318" t="str">
        <f>INDEX(TabBilanMental15[],ROW()-11,4)</f>
        <v/>
      </c>
      <c r="I121" s="651" t="s">
        <v>261</v>
      </c>
      <c r="J121" s="651"/>
      <c r="K121" s="651"/>
      <c r="L121" s="651"/>
      <c r="M121" s="651"/>
      <c r="N121" s="651"/>
      <c r="O121" s="651"/>
      <c r="P121" s="651"/>
      <c r="Q121" s="651"/>
    </row>
    <row r="122" spans="2:17" ht="15.95" customHeight="1">
      <c r="B122" s="29" t="str">
        <f>IF(INDEX(TabEntrainement[Seance],ROW()-11)&lt;&gt;0,INDEX(TabEntrainement[Seance],ROW()-11),"")</f>
        <v/>
      </c>
      <c r="C122" s="6" t="str">
        <f>IF((INDEX(TabEntrainement[[J1]:[J30]],ROW()-11,$G$2))=0,"",INDEX(TabEntrainement[[J1]:[J30]],ROW()-11,$G$2))</f>
        <v/>
      </c>
      <c r="D122" s="22" t="str">
        <f>IF(INDEX(TabForme[[J1]:[J30]],ROW()-11,$G$2)=0,"",INDEX(TabForme[[J1]:[J30]],ROW()-11,$G$2))</f>
        <v/>
      </c>
      <c r="E122" s="318" t="str">
        <f>IF(INDEX(TabREP[[J1]:[J30]],ROW()-11,$G$2)=0,"",INDEX(TabREP[[J1]:[J30]],ROW()-11,$G$2))</f>
        <v/>
      </c>
      <c r="F122" s="22" t="e">
        <f>IF(INDEX(TabREP39[[J1]:[J30]],ROW()-11,$G$2)=0,"",INDEX(TabREP39[[J1]:[J30]],ROW()-11,$G$2))</f>
        <v>#VALUE!</v>
      </c>
      <c r="G122" s="318" t="str">
        <f>INDEX(TabBilanMental15[],ROW()-11,4)</f>
        <v/>
      </c>
    </row>
    <row r="123" spans="2:17" ht="15.95" customHeight="1">
      <c r="B123" s="29" t="str">
        <f>IF(INDEX(TabEntrainement[Seance],ROW()-11)&lt;&gt;0,INDEX(TabEntrainement[Seance],ROW()-11),"")</f>
        <v/>
      </c>
      <c r="C123" s="6" t="str">
        <f>IF((INDEX(TabEntrainement[[J1]:[J30]],ROW()-11,$G$2))=0,"",INDEX(TabEntrainement[[J1]:[J30]],ROW()-11,$G$2))</f>
        <v/>
      </c>
      <c r="D123" s="22" t="str">
        <f>IF(INDEX(TabForme[[J1]:[J30]],ROW()-11,$G$2)=0,"",INDEX(TabForme[[J1]:[J30]],ROW()-11,$G$2))</f>
        <v/>
      </c>
      <c r="E123" s="318" t="str">
        <f>IF(INDEX(TabREP[[J1]:[J30]],ROW()-11,$G$2)=0,"",INDEX(TabREP[[J1]:[J30]],ROW()-11,$G$2))</f>
        <v/>
      </c>
      <c r="F123" s="22" t="e">
        <f>IF(INDEX(TabREP39[[J1]:[J30]],ROW()-11,$G$2)=0,"",INDEX(TabREP39[[J1]:[J30]],ROW()-11,$G$2))</f>
        <v>#VALUE!</v>
      </c>
      <c r="G123" s="318" t="str">
        <f>INDEX(TabBilanMental15[],ROW()-11,4)</f>
        <v/>
      </c>
      <c r="I123" s="223" t="s">
        <v>214</v>
      </c>
      <c r="J123" t="s">
        <v>256</v>
      </c>
      <c r="K123" t="s">
        <v>254</v>
      </c>
      <c r="L123" t="s">
        <v>257</v>
      </c>
      <c r="M123" t="s">
        <v>258</v>
      </c>
      <c r="N123" t="s">
        <v>259</v>
      </c>
      <c r="O123" t="s">
        <v>260</v>
      </c>
    </row>
    <row r="124" spans="2:17" ht="15.95" customHeight="1">
      <c r="B124" s="29" t="str">
        <f>IF(INDEX(TabEntrainement[Seance],ROW()-11)&lt;&gt;0,INDEX(TabEntrainement[Seance],ROW()-11),"")</f>
        <v/>
      </c>
      <c r="C124" s="6" t="str">
        <f>IF((INDEX(TabEntrainement[[J1]:[J30]],ROW()-11,$G$2))=0,"",INDEX(TabEntrainement[[J1]:[J30]],ROW()-11,$G$2))</f>
        <v/>
      </c>
      <c r="D124" s="22" t="str">
        <f>IF(INDEX(TabForme[[J1]:[J30]],ROW()-11,$G$2)=0,"",INDEX(TabForme[[J1]:[J30]],ROW()-11,$G$2))</f>
        <v/>
      </c>
      <c r="E124" s="318" t="str">
        <f>IF(INDEX(TabREP[[J1]:[J30]],ROW()-11,$G$2)=0,"",INDEX(TabREP[[J1]:[J30]],ROW()-11,$G$2))</f>
        <v/>
      </c>
      <c r="F124" s="22" t="e">
        <f>IF(INDEX(TabREP39[[J1]:[J30]],ROW()-11,$G$2)=0,"",INDEX(TabREP39[[J1]:[J30]],ROW()-11,$G$2))</f>
        <v>#VALUE!</v>
      </c>
      <c r="G124" s="318" t="str">
        <f>INDEX(TabBilanMental15[],ROW()-11,4)</f>
        <v/>
      </c>
      <c r="I124" s="238" t="str">
        <f>INDEX(TabMentaux[],G2,1)</f>
        <v>KONATE Mamadou</v>
      </c>
      <c r="J124" s="239">
        <f>INDEX(TabMentaux[],G2,2)</f>
        <v>0</v>
      </c>
      <c r="K124" s="239">
        <f>INDEX(TabMentaux[],G2,3)</f>
        <v>0</v>
      </c>
      <c r="L124" s="239">
        <f>INDEX(TabMentaux[],G2,4)</f>
        <v>0</v>
      </c>
      <c r="M124" s="240">
        <f>INDEX(TabMentaux[],G2,5)</f>
        <v>0</v>
      </c>
      <c r="N124" s="240">
        <f>INDEX(TabMentaux[],G2,6)</f>
        <v>0</v>
      </c>
      <c r="O124" s="240">
        <f>INDEX(TabMentaux[],G2,7)</f>
        <v>0</v>
      </c>
    </row>
    <row r="125" spans="2:17" ht="15.95" customHeight="1">
      <c r="B125" s="29" t="str">
        <f>IF(INDEX(TabEntrainement[Seance],ROW()-11)&lt;&gt;0,INDEX(TabEntrainement[Seance],ROW()-11),"")</f>
        <v/>
      </c>
      <c r="C125" s="6" t="str">
        <f>IF((INDEX(TabEntrainement[[J1]:[J30]],ROW()-11,$G$2))=0,"",INDEX(TabEntrainement[[J1]:[J30]],ROW()-11,$G$2))</f>
        <v/>
      </c>
      <c r="D125" s="22" t="str">
        <f>IF(INDEX(TabForme[[J1]:[J30]],ROW()-11,$G$2)=0,"",INDEX(TabForme[[J1]:[J30]],ROW()-11,$G$2))</f>
        <v/>
      </c>
      <c r="E125" s="318" t="str">
        <f>IF(INDEX(TabREP[[J1]:[J30]],ROW()-11,$G$2)=0,"",INDEX(TabREP[[J1]:[J30]],ROW()-11,$G$2))</f>
        <v/>
      </c>
      <c r="F125" s="22" t="e">
        <f>IF(INDEX(TabREP39[[J1]:[J30]],ROW()-11,$G$2)=0,"",INDEX(TabREP39[[J1]:[J30]],ROW()-11,$G$2))</f>
        <v>#VALUE!</v>
      </c>
      <c r="G125" s="318" t="str">
        <f>INDEX(TabBilanMental15[],ROW()-11,4)</f>
        <v/>
      </c>
    </row>
    <row r="126" spans="2:17" ht="15.95" customHeight="1">
      <c r="B126" s="29" t="str">
        <f>IF(INDEX(TabEntrainement[Seance],ROW()-11)&lt;&gt;0,INDEX(TabEntrainement[Seance],ROW()-11),"")</f>
        <v/>
      </c>
      <c r="C126" s="6" t="str">
        <f>IF((INDEX(TabEntrainement[[J1]:[J30]],ROW()-11,$G$2))=0,"",INDEX(TabEntrainement[[J1]:[J30]],ROW()-11,$G$2))</f>
        <v/>
      </c>
      <c r="D126" s="22" t="str">
        <f>IF(INDEX(TabForme[[J1]:[J30]],ROW()-11,$G$2)=0,"",INDEX(TabForme[[J1]:[J30]],ROW()-11,$G$2))</f>
        <v/>
      </c>
      <c r="E126" s="318" t="str">
        <f>IF(INDEX(TabREP[[J1]:[J30]],ROW()-11,$G$2)=0,"",INDEX(TabREP[[J1]:[J30]],ROW()-11,$G$2))</f>
        <v/>
      </c>
      <c r="F126" s="22" t="e">
        <f>IF(INDEX(TabREP39[[J1]:[J30]],ROW()-11,$G$2)=0,"",INDEX(TabREP39[[J1]:[J30]],ROW()-11,$G$2))</f>
        <v>#VALUE!</v>
      </c>
      <c r="G126" s="318" t="str">
        <f>INDEX(TabBilanMental15[],ROW()-11,4)</f>
        <v/>
      </c>
    </row>
    <row r="127" spans="2:17" ht="15.95" customHeight="1">
      <c r="B127" s="29" t="str">
        <f>IF(INDEX(TabEntrainement[Seance],ROW()-11)&lt;&gt;0,INDEX(TabEntrainement[Seance],ROW()-11),"")</f>
        <v/>
      </c>
      <c r="C127" s="6" t="str">
        <f>IF((INDEX(TabEntrainement[[J1]:[J30]],ROW()-11,$G$2))=0,"",INDEX(TabEntrainement[[J1]:[J30]],ROW()-11,$G$2))</f>
        <v/>
      </c>
      <c r="D127" s="22" t="str">
        <f>IF(INDEX(TabForme[[J1]:[J30]],ROW()-11,$G$2)=0,"",INDEX(TabForme[[J1]:[J30]],ROW()-11,$G$2))</f>
        <v/>
      </c>
      <c r="E127" s="318" t="str">
        <f>IF(INDEX(TabREP[[J1]:[J30]],ROW()-11,$G$2)=0,"",INDEX(TabREP[[J1]:[J30]],ROW()-11,$G$2))</f>
        <v/>
      </c>
      <c r="F127" s="22" t="e">
        <f>IF(INDEX(TabREP39[[J1]:[J30]],ROW()-11,$G$2)=0,"",INDEX(TabREP39[[J1]:[J30]],ROW()-11,$G$2))</f>
        <v>#VALUE!</v>
      </c>
      <c r="G127" s="318" t="str">
        <f>INDEX(TabBilanMental15[],ROW()-11,4)</f>
        <v/>
      </c>
    </row>
    <row r="128" spans="2:17" ht="15.95" customHeight="1">
      <c r="B128" s="29" t="str">
        <f>IF(INDEX(TabEntrainement[Seance],ROW()-11)&lt;&gt;0,INDEX(TabEntrainement[Seance],ROW()-11),"")</f>
        <v/>
      </c>
      <c r="C128" s="6" t="str">
        <f>IF((INDEX(TabEntrainement[[J1]:[J30]],ROW()-11,$G$2))=0,"",INDEX(TabEntrainement[[J1]:[J30]],ROW()-11,$G$2))</f>
        <v/>
      </c>
      <c r="D128" s="22" t="str">
        <f>IF(INDEX(TabForme[[J1]:[J30]],ROW()-11,$G$2)=0,"",INDEX(TabForme[[J1]:[J30]],ROW()-11,$G$2))</f>
        <v/>
      </c>
      <c r="E128" s="318" t="str">
        <f>IF(INDEX(TabREP[[J1]:[J30]],ROW()-11,$G$2)=0,"",INDEX(TabREP[[J1]:[J30]],ROW()-11,$G$2))</f>
        <v/>
      </c>
      <c r="F128" s="22" t="e">
        <f>IF(INDEX(TabREP39[[J1]:[J30]],ROW()-11,$G$2)=0,"",INDEX(TabREP39[[J1]:[J30]],ROW()-11,$G$2))</f>
        <v>#VALUE!</v>
      </c>
      <c r="G128" s="318" t="str">
        <f>INDEX(TabBilanMental15[],ROW()-11,4)</f>
        <v/>
      </c>
    </row>
    <row r="129" spans="2:7" ht="15.95" customHeight="1">
      <c r="B129" s="29" t="str">
        <f>IF(INDEX(TabEntrainement[Seance],ROW()-11)&lt;&gt;0,INDEX(TabEntrainement[Seance],ROW()-11),"")</f>
        <v/>
      </c>
      <c r="C129" s="6" t="str">
        <f>IF((INDEX(TabEntrainement[[J1]:[J30]],ROW()-11,$G$2))=0,"",INDEX(TabEntrainement[[J1]:[J30]],ROW()-11,$G$2))</f>
        <v/>
      </c>
      <c r="D129" s="22" t="str">
        <f>IF(INDEX(TabForme[[J1]:[J30]],ROW()-11,$G$2)=0,"",INDEX(TabForme[[J1]:[J30]],ROW()-11,$G$2))</f>
        <v/>
      </c>
      <c r="E129" s="318" t="str">
        <f>IF(INDEX(TabREP[[J1]:[J30]],ROW()-11,$G$2)=0,"",INDEX(TabREP[[J1]:[J30]],ROW()-11,$G$2))</f>
        <v/>
      </c>
      <c r="F129" s="22" t="e">
        <f>IF(INDEX(TabREP39[[J1]:[J30]],ROW()-11,$G$2)=0,"",INDEX(TabREP39[[J1]:[J30]],ROW()-11,$G$2))</f>
        <v>#VALUE!</v>
      </c>
      <c r="G129" s="318" t="str">
        <f>INDEX(TabBilanMental15[],ROW()-11,4)</f>
        <v/>
      </c>
    </row>
    <row r="130" spans="2:7" ht="15.95" customHeight="1">
      <c r="B130" s="29" t="str">
        <f>IF(INDEX(TabEntrainement[Seance],ROW()-11)&lt;&gt;0,INDEX(TabEntrainement[Seance],ROW()-11),"")</f>
        <v/>
      </c>
      <c r="C130" s="6" t="str">
        <f>IF((INDEX(TabEntrainement[[J1]:[J30]],ROW()-11,$G$2))=0,"",INDEX(TabEntrainement[[J1]:[J30]],ROW()-11,$G$2))</f>
        <v/>
      </c>
      <c r="D130" s="22" t="str">
        <f>IF(INDEX(TabForme[[J1]:[J30]],ROW()-11,$G$2)=0,"",INDEX(TabForme[[J1]:[J30]],ROW()-11,$G$2))</f>
        <v/>
      </c>
      <c r="E130" s="318" t="str">
        <f>IF(INDEX(TabREP[[J1]:[J30]],ROW()-11,$G$2)=0,"",INDEX(TabREP[[J1]:[J30]],ROW()-11,$G$2))</f>
        <v/>
      </c>
      <c r="F130" s="22" t="e">
        <f>IF(INDEX(TabREP39[[J1]:[J30]],ROW()-11,$G$2)=0,"",INDEX(TabREP39[[J1]:[J30]],ROW()-11,$G$2))</f>
        <v>#VALUE!</v>
      </c>
      <c r="G130" s="318" t="str">
        <f>INDEX(TabBilanMental15[],ROW()-11,4)</f>
        <v/>
      </c>
    </row>
    <row r="131" spans="2:7" ht="15.95" customHeight="1">
      <c r="B131" s="29" t="str">
        <f>IF(INDEX(TabEntrainement[Seance],ROW()-11)&lt;&gt;0,INDEX(TabEntrainement[Seance],ROW()-11),"")</f>
        <v/>
      </c>
      <c r="C131" s="6" t="str">
        <f>IF((INDEX(TabEntrainement[[J1]:[J30]],ROW()-11,$G$2))=0,"",INDEX(TabEntrainement[[J1]:[J30]],ROW()-11,$G$2))</f>
        <v/>
      </c>
      <c r="D131" s="22" t="str">
        <f>IF(INDEX(TabForme[[J1]:[J30]],ROW()-11,$G$2)=0,"",INDEX(TabForme[[J1]:[J30]],ROW()-11,$G$2))</f>
        <v/>
      </c>
      <c r="E131" s="318" t="str">
        <f>IF(INDEX(TabREP[[J1]:[J30]],ROW()-11,$G$2)=0,"",INDEX(TabREP[[J1]:[J30]],ROW()-11,$G$2))</f>
        <v/>
      </c>
      <c r="F131" s="22" t="e">
        <f>IF(INDEX(TabREP39[[J1]:[J30]],ROW()-11,$G$2)=0,"",INDEX(TabREP39[[J1]:[J30]],ROW()-11,$G$2))</f>
        <v>#VALUE!</v>
      </c>
      <c r="G131" s="318" t="str">
        <f>INDEX(TabBilanMental15[],ROW()-11,4)</f>
        <v/>
      </c>
    </row>
    <row r="132" spans="2:7" ht="15.95" customHeight="1">
      <c r="B132" s="29" t="str">
        <f>IF(INDEX(TabEntrainement[Seance],ROW()-11)&lt;&gt;0,INDEX(TabEntrainement[Seance],ROW()-11),"")</f>
        <v/>
      </c>
      <c r="C132" s="6" t="str">
        <f>IF((INDEX(TabEntrainement[[J1]:[J30]],ROW()-11,$G$2))=0,"",INDEX(TabEntrainement[[J1]:[J30]],ROW()-11,$G$2))</f>
        <v/>
      </c>
      <c r="D132" s="22" t="str">
        <f>IF(INDEX(TabForme[[J1]:[J30]],ROW()-11,$G$2)=0,"",INDEX(TabForme[[J1]:[J30]],ROW()-11,$G$2))</f>
        <v/>
      </c>
      <c r="E132" s="318" t="str">
        <f>IF(INDEX(TabREP[[J1]:[J30]],ROW()-11,$G$2)=0,"",INDEX(TabREP[[J1]:[J30]],ROW()-11,$G$2))</f>
        <v/>
      </c>
      <c r="F132" s="22" t="e">
        <f>IF(INDEX(TabREP39[[J1]:[J30]],ROW()-11,$G$2)=0,"",INDEX(TabREP39[[J1]:[J30]],ROW()-11,$G$2))</f>
        <v>#VALUE!</v>
      </c>
      <c r="G132" s="318" t="str">
        <f>INDEX(TabBilanMental15[],ROW()-11,4)</f>
        <v/>
      </c>
    </row>
    <row r="133" spans="2:7" ht="15.95" customHeight="1">
      <c r="B133" s="29" t="str">
        <f>IF(INDEX(TabEntrainement[Seance],ROW()-11)&lt;&gt;0,INDEX(TabEntrainement[Seance],ROW()-11),"")</f>
        <v/>
      </c>
      <c r="C133" s="6" t="str">
        <f>IF((INDEX(TabEntrainement[[J1]:[J30]],ROW()-11,$G$2))=0,"",INDEX(TabEntrainement[[J1]:[J30]],ROW()-11,$G$2))</f>
        <v/>
      </c>
      <c r="D133" s="22" t="str">
        <f>IF(INDEX(TabForme[[J1]:[J30]],ROW()-11,$G$2)=0,"",INDEX(TabForme[[J1]:[J30]],ROW()-11,$G$2))</f>
        <v/>
      </c>
      <c r="E133" s="318" t="str">
        <f>IF(INDEX(TabREP[[J1]:[J30]],ROW()-11,$G$2)=0,"",INDEX(TabREP[[J1]:[J30]],ROW()-11,$G$2))</f>
        <v/>
      </c>
      <c r="F133" s="22" t="e">
        <f>IF(INDEX(TabREP39[[J1]:[J30]],ROW()-11,$G$2)=0,"",INDEX(TabREP39[[J1]:[J30]],ROW()-11,$G$2))</f>
        <v>#VALUE!</v>
      </c>
      <c r="G133" s="318" t="str">
        <f>INDEX(TabBilanMental15[],ROW()-11,4)</f>
        <v/>
      </c>
    </row>
    <row r="134" spans="2:7" ht="15.95" customHeight="1">
      <c r="B134" s="29" t="str">
        <f>IF(INDEX(TabEntrainement[Seance],ROW()-11)&lt;&gt;0,INDEX(TabEntrainement[Seance],ROW()-11),"")</f>
        <v/>
      </c>
      <c r="C134" s="6" t="str">
        <f>IF((INDEX(TabEntrainement[[J1]:[J30]],ROW()-11,$G$2))=0,"",INDEX(TabEntrainement[[J1]:[J30]],ROW()-11,$G$2))</f>
        <v/>
      </c>
      <c r="D134" s="22" t="str">
        <f>IF(INDEX(TabForme[[J1]:[J30]],ROW()-11,$G$2)=0,"",INDEX(TabForme[[J1]:[J30]],ROW()-11,$G$2))</f>
        <v/>
      </c>
      <c r="E134" s="318" t="str">
        <f>IF(INDEX(TabREP[[J1]:[J30]],ROW()-11,$G$2)=0,"",INDEX(TabREP[[J1]:[J30]],ROW()-11,$G$2))</f>
        <v/>
      </c>
      <c r="F134" s="22" t="e">
        <f>IF(INDEX(TabREP39[[J1]:[J30]],ROW()-11,$G$2)=0,"",INDEX(TabREP39[[J1]:[J30]],ROW()-11,$G$2))</f>
        <v>#VALUE!</v>
      </c>
      <c r="G134" s="318" t="str">
        <f>INDEX(TabBilanMental15[],ROW()-11,4)</f>
        <v/>
      </c>
    </row>
    <row r="135" spans="2:7" ht="15.95" customHeight="1">
      <c r="B135" s="29" t="str">
        <f>IF(INDEX(TabEntrainement[Seance],ROW()-11)&lt;&gt;0,INDEX(TabEntrainement[Seance],ROW()-11),"")</f>
        <v/>
      </c>
      <c r="C135" s="6" t="str">
        <f>IF((INDEX(TabEntrainement[[J1]:[J30]],ROW()-11,$G$2))=0,"",INDEX(TabEntrainement[[J1]:[J30]],ROW()-11,$G$2))</f>
        <v/>
      </c>
      <c r="D135" s="22" t="str">
        <f>IF(INDEX(TabForme[[J1]:[J30]],ROW()-11,$G$2)=0,"",INDEX(TabForme[[J1]:[J30]],ROW()-11,$G$2))</f>
        <v/>
      </c>
      <c r="E135" s="318" t="str">
        <f>IF(INDEX(TabREP[[J1]:[J30]],ROW()-11,$G$2)=0,"",INDEX(TabREP[[J1]:[J30]],ROW()-11,$G$2))</f>
        <v/>
      </c>
      <c r="F135" s="22" t="e">
        <f>IF(INDEX(TabREP39[[J1]:[J30]],ROW()-11,$G$2)=0,"",INDEX(TabREP39[[J1]:[J30]],ROW()-11,$G$2))</f>
        <v>#VALUE!</v>
      </c>
      <c r="G135" s="318" t="str">
        <f>INDEX(TabBilanMental15[],ROW()-11,4)</f>
        <v/>
      </c>
    </row>
    <row r="136" spans="2:7" ht="15.95" customHeight="1">
      <c r="B136" s="29" t="str">
        <f>IF(INDEX(TabEntrainement[Seance],ROW()-11)&lt;&gt;0,INDEX(TabEntrainement[Seance],ROW()-11),"")</f>
        <v/>
      </c>
      <c r="C136" s="6" t="str">
        <f>IF((INDEX(TabEntrainement[[J1]:[J30]],ROW()-11,$G$2))=0,"",INDEX(TabEntrainement[[J1]:[J30]],ROW()-11,$G$2))</f>
        <v/>
      </c>
      <c r="D136" s="22" t="str">
        <f>IF(INDEX(TabForme[[J1]:[J30]],ROW()-11,$G$2)=0,"",INDEX(TabForme[[J1]:[J30]],ROW()-11,$G$2))</f>
        <v/>
      </c>
      <c r="E136" s="318" t="str">
        <f>IF(INDEX(TabREP[[J1]:[J30]],ROW()-11,$G$2)=0,"",INDEX(TabREP[[J1]:[J30]],ROW()-11,$G$2))</f>
        <v/>
      </c>
      <c r="F136" s="22" t="e">
        <f>IF(INDEX(TabREP39[[J1]:[J30]],ROW()-11,$G$2)=0,"",INDEX(TabREP39[[J1]:[J30]],ROW()-11,$G$2))</f>
        <v>#VALUE!</v>
      </c>
      <c r="G136" s="318" t="str">
        <f>INDEX(TabBilanMental15[],ROW()-11,4)</f>
        <v/>
      </c>
    </row>
    <row r="137" spans="2:7" ht="15.95" customHeight="1">
      <c r="B137" s="29" t="str">
        <f>IF(INDEX(TabEntrainement[Seance],ROW()-11)&lt;&gt;0,INDEX(TabEntrainement[Seance],ROW()-11),"")</f>
        <v/>
      </c>
      <c r="C137" s="6" t="str">
        <f>IF((INDEX(TabEntrainement[[J1]:[J30]],ROW()-11,$G$2))=0,"",INDEX(TabEntrainement[[J1]:[J30]],ROW()-11,$G$2))</f>
        <v/>
      </c>
      <c r="D137" s="22" t="str">
        <f>IF(INDEX(TabForme[[J1]:[J30]],ROW()-11,$G$2)=0,"",INDEX(TabForme[[J1]:[J30]],ROW()-11,$G$2))</f>
        <v/>
      </c>
      <c r="E137" s="318" t="str">
        <f>IF(INDEX(TabREP[[J1]:[J30]],ROW()-11,$G$2)=0,"",INDEX(TabREP[[J1]:[J30]],ROW()-11,$G$2))</f>
        <v/>
      </c>
      <c r="F137" s="22" t="e">
        <f>IF(INDEX(TabREP39[[J1]:[J30]],ROW()-11,$G$2)=0,"",INDEX(TabREP39[[J1]:[J30]],ROW()-11,$G$2))</f>
        <v>#VALUE!</v>
      </c>
      <c r="G137" s="318" t="str">
        <f>INDEX(TabBilanMental15[],ROW()-11,4)</f>
        <v/>
      </c>
    </row>
    <row r="138" spans="2:7" ht="15.95" customHeight="1">
      <c r="B138" s="29" t="str">
        <f>IF(INDEX(TabEntrainement[Seance],ROW()-11)&lt;&gt;0,INDEX(TabEntrainement[Seance],ROW()-11),"")</f>
        <v/>
      </c>
      <c r="C138" s="6" t="str">
        <f>IF((INDEX(TabEntrainement[[J1]:[J30]],ROW()-11,$G$2))=0,"",INDEX(TabEntrainement[[J1]:[J30]],ROW()-11,$G$2))</f>
        <v/>
      </c>
      <c r="D138" s="22" t="str">
        <f>IF(INDEX(TabForme[[J1]:[J30]],ROW()-11,$G$2)=0,"",INDEX(TabForme[[J1]:[J30]],ROW()-11,$G$2))</f>
        <v/>
      </c>
      <c r="E138" s="318" t="str">
        <f>IF(INDEX(TabREP[[J1]:[J30]],ROW()-11,$G$2)=0,"",INDEX(TabREP[[J1]:[J30]],ROW()-11,$G$2))</f>
        <v/>
      </c>
      <c r="F138" s="22" t="e">
        <f>IF(INDEX(TabREP39[[J1]:[J30]],ROW()-11,$G$2)=0,"",INDEX(TabREP39[[J1]:[J30]],ROW()-11,$G$2))</f>
        <v>#VALUE!</v>
      </c>
      <c r="G138" s="318" t="str">
        <f>INDEX(TabBilanMental15[],ROW()-11,4)</f>
        <v/>
      </c>
    </row>
    <row r="139" spans="2:7" ht="15.95" customHeight="1">
      <c r="B139" s="29" t="str">
        <f>IF(INDEX(TabEntrainement[Seance],ROW()-11)&lt;&gt;0,INDEX(TabEntrainement[Seance],ROW()-11),"")</f>
        <v/>
      </c>
      <c r="C139" s="6" t="str">
        <f>IF((INDEX(TabEntrainement[[J1]:[J30]],ROW()-11,$G$2))=0,"",INDEX(TabEntrainement[[J1]:[J30]],ROW()-11,$G$2))</f>
        <v/>
      </c>
      <c r="D139" s="22" t="str">
        <f>IF(INDEX(TabForme[[J1]:[J30]],ROW()-11,$G$2)=0,"",INDEX(TabForme[[J1]:[J30]],ROW()-11,$G$2))</f>
        <v/>
      </c>
      <c r="E139" s="318" t="str">
        <f>IF(INDEX(TabREP[[J1]:[J30]],ROW()-11,$G$2)=0,"",INDEX(TabREP[[J1]:[J30]],ROW()-11,$G$2))</f>
        <v/>
      </c>
      <c r="F139" s="22" t="e">
        <f>IF(INDEX(TabREP39[[J1]:[J30]],ROW()-11,$G$2)=0,"",INDEX(TabREP39[[J1]:[J30]],ROW()-11,$G$2))</f>
        <v>#VALUE!</v>
      </c>
      <c r="G139" s="318" t="str">
        <f>INDEX(TabBilanMental15[],ROW()-11,4)</f>
        <v/>
      </c>
    </row>
    <row r="140" spans="2:7" ht="15.95" customHeight="1">
      <c r="B140" s="29" t="str">
        <f>IF(INDEX(TabEntrainement[Seance],ROW()-11)&lt;&gt;0,INDEX(TabEntrainement[Seance],ROW()-11),"")</f>
        <v/>
      </c>
      <c r="C140" s="6" t="str">
        <f>IF((INDEX(TabEntrainement[[J1]:[J30]],ROW()-11,$G$2))=0,"",INDEX(TabEntrainement[[J1]:[J30]],ROW()-11,$G$2))</f>
        <v/>
      </c>
      <c r="D140" s="22" t="str">
        <f>IF(INDEX(TabForme[[J1]:[J30]],ROW()-11,$G$2)=0,"",INDEX(TabForme[[J1]:[J30]],ROW()-11,$G$2))</f>
        <v/>
      </c>
      <c r="E140" s="318" t="str">
        <f>IF(INDEX(TabREP[[J1]:[J30]],ROW()-11,$G$2)=0,"",INDEX(TabREP[[J1]:[J30]],ROW()-11,$G$2))</f>
        <v/>
      </c>
      <c r="F140" s="22" t="e">
        <f>IF(INDEX(TabREP39[[J1]:[J30]],ROW()-11,$G$2)=0,"",INDEX(TabREP39[[J1]:[J30]],ROW()-11,$G$2))</f>
        <v>#VALUE!</v>
      </c>
      <c r="G140" s="318" t="str">
        <f>INDEX(TabBilanMental15[],ROW()-11,4)</f>
        <v/>
      </c>
    </row>
    <row r="141" spans="2:7" ht="15.95" customHeight="1">
      <c r="B141" s="29" t="str">
        <f>IF(INDEX(TabEntrainement[Seance],ROW()-11)&lt;&gt;0,INDEX(TabEntrainement[Seance],ROW()-11),"")</f>
        <v/>
      </c>
      <c r="C141" s="6" t="str">
        <f>IF((INDEX(TabEntrainement[[J1]:[J30]],ROW()-11,$G$2))=0,"",INDEX(TabEntrainement[[J1]:[J30]],ROW()-11,$G$2))</f>
        <v/>
      </c>
      <c r="D141" s="22" t="str">
        <f>IF(INDEX(TabForme[[J1]:[J30]],ROW()-11,$G$2)=0,"",INDEX(TabForme[[J1]:[J30]],ROW()-11,$G$2))</f>
        <v/>
      </c>
      <c r="E141" s="318" t="str">
        <f>IF(INDEX(TabREP[[J1]:[J30]],ROW()-11,$G$2)=0,"",INDEX(TabREP[[J1]:[J30]],ROW()-11,$G$2))</f>
        <v/>
      </c>
      <c r="F141" s="22" t="e">
        <f>IF(INDEX(TabREP39[[J1]:[J30]],ROW()-11,$G$2)=0,"",INDEX(TabREP39[[J1]:[J30]],ROW()-11,$G$2))</f>
        <v>#VALUE!</v>
      </c>
      <c r="G141" s="318" t="str">
        <f>INDEX(TabBilanMental15[],ROW()-11,4)</f>
        <v/>
      </c>
    </row>
    <row r="142" spans="2:7" ht="15.95" customHeight="1">
      <c r="B142" s="29" t="str">
        <f>IF(INDEX(TabEntrainement[Seance],ROW()-11)&lt;&gt;0,INDEX(TabEntrainement[Seance],ROW()-11),"")</f>
        <v/>
      </c>
      <c r="C142" s="6" t="str">
        <f>IF((INDEX(TabEntrainement[[J1]:[J30]],ROW()-11,$G$2))=0,"",INDEX(TabEntrainement[[J1]:[J30]],ROW()-11,$G$2))</f>
        <v/>
      </c>
      <c r="D142" s="22" t="str">
        <f>IF(INDEX(TabForme[[J1]:[J30]],ROW()-11,$G$2)=0,"",INDEX(TabForme[[J1]:[J30]],ROW()-11,$G$2))</f>
        <v/>
      </c>
      <c r="E142" s="318" t="str">
        <f>IF(INDEX(TabREP[[J1]:[J30]],ROW()-11,$G$2)=0,"",INDEX(TabREP[[J1]:[J30]],ROW()-11,$G$2))</f>
        <v/>
      </c>
      <c r="F142" s="22" t="e">
        <f>IF(INDEX(TabREP39[[J1]:[J30]],ROW()-11,$G$2)=0,"",INDEX(TabREP39[[J1]:[J30]],ROW()-11,$G$2))</f>
        <v>#VALUE!</v>
      </c>
      <c r="G142" s="318" t="str">
        <f>INDEX(TabBilanMental15[],ROW()-11,4)</f>
        <v/>
      </c>
    </row>
    <row r="143" spans="2:7" ht="15.95" customHeight="1">
      <c r="B143" s="10" t="s">
        <v>9</v>
      </c>
      <c r="C143" s="11"/>
      <c r="D143" s="21">
        <f>SUBTOTAL(101,BilanIndivSeance[Forme])</f>
        <v>3.7058823529411766</v>
      </c>
      <c r="E143" s="85">
        <f>SUBTOTAL(101,BilanIndivSeance[RPE])</f>
        <v>5.4705882352941178</v>
      </c>
      <c r="F143" s="21" t="e">
        <f>SUBTOTAL(101,BilanIndivSeance[Charge])</f>
        <v>#VALUE!</v>
      </c>
      <c r="G143" s="85">
        <f>SUBTOTAL(101,BilanIndivSeance[Groupe])</f>
        <v>280.02282781896747</v>
      </c>
    </row>
    <row r="144" spans="2:7" ht="15.95" customHeight="1">
      <c r="B144" s="11"/>
      <c r="C144" s="11"/>
      <c r="D144" s="85"/>
      <c r="E144" s="85"/>
      <c r="F144" s="85"/>
      <c r="G144" s="85"/>
    </row>
    <row r="145" spans="2:17" ht="15.95" customHeight="1">
      <c r="B145" s="11"/>
      <c r="C145" s="11"/>
      <c r="D145" s="85"/>
      <c r="E145" s="85"/>
      <c r="F145" s="85"/>
      <c r="G145" s="85"/>
    </row>
    <row r="146" spans="2:17" ht="15.95" customHeight="1">
      <c r="B146" s="11"/>
      <c r="C146" s="11"/>
      <c r="D146" s="85"/>
      <c r="E146" s="85"/>
      <c r="F146" s="85"/>
      <c r="G146" s="85"/>
    </row>
    <row r="147" spans="2:17" ht="15.95" customHeight="1">
      <c r="B147" s="11"/>
      <c r="C147" s="11"/>
      <c r="D147" s="85"/>
      <c r="E147" s="85"/>
      <c r="F147" s="85"/>
      <c r="G147" s="85"/>
    </row>
    <row r="148" spans="2:17" ht="15.95" customHeight="1">
      <c r="B148" s="11"/>
      <c r="C148" s="11"/>
      <c r="D148" s="85"/>
      <c r="E148" s="85"/>
      <c r="F148" s="85"/>
      <c r="G148" s="85"/>
    </row>
    <row r="149" spans="2:17" ht="15.95" customHeight="1">
      <c r="B149" s="11"/>
      <c r="C149" s="11"/>
      <c r="D149" s="85"/>
      <c r="E149" s="85"/>
      <c r="F149" s="85"/>
      <c r="G149" s="85"/>
    </row>
    <row r="150" spans="2:17" ht="15.95" customHeight="1">
      <c r="B150" s="11"/>
      <c r="C150" s="11"/>
      <c r="D150" s="85"/>
      <c r="E150" s="85"/>
      <c r="F150" s="85"/>
      <c r="G150" s="85"/>
    </row>
    <row r="151" spans="2:17" ht="15.95" customHeight="1">
      <c r="B151" s="11"/>
      <c r="C151" s="11"/>
      <c r="D151" s="85"/>
      <c r="E151" s="85"/>
      <c r="F151" s="85"/>
      <c r="G151" s="85"/>
    </row>
    <row r="152" spans="2:17" ht="15.95" customHeight="1">
      <c r="B152" s="11"/>
      <c r="C152" s="11"/>
      <c r="D152" s="85"/>
      <c r="E152" s="85"/>
      <c r="F152" s="85"/>
      <c r="G152" s="85"/>
    </row>
    <row r="153" spans="2:17" ht="15.95" customHeight="1">
      <c r="B153" s="11"/>
      <c r="C153" s="11"/>
      <c r="D153" s="85"/>
      <c r="E153" s="85"/>
      <c r="F153" s="85"/>
      <c r="G153" s="85"/>
    </row>
    <row r="154" spans="2:17" ht="15.95" customHeight="1">
      <c r="B154" s="11"/>
      <c r="C154" s="11"/>
      <c r="D154" s="85"/>
      <c r="E154" s="85"/>
      <c r="F154" s="85"/>
      <c r="G154" s="85"/>
    </row>
    <row r="155" spans="2:17" ht="15.95" customHeight="1">
      <c r="B155" s="11"/>
      <c r="C155" s="11"/>
      <c r="D155" s="85"/>
      <c r="E155" s="85"/>
      <c r="F155" s="85"/>
      <c r="G155" s="85"/>
    </row>
    <row r="156" spans="2:17" ht="15.95" customHeight="1">
      <c r="B156" s="11"/>
      <c r="C156" s="11"/>
      <c r="D156" s="85"/>
      <c r="E156" s="85"/>
      <c r="F156" s="85"/>
      <c r="G156" s="85"/>
    </row>
    <row r="157" spans="2:17" ht="15.95" customHeight="1">
      <c r="B157" s="11"/>
      <c r="C157" s="11"/>
      <c r="D157" s="85"/>
      <c r="E157" s="85"/>
      <c r="F157" s="85"/>
      <c r="G157" s="85"/>
    </row>
    <row r="158" spans="2:17" ht="15.95" customHeight="1">
      <c r="B158" s="11"/>
      <c r="C158" s="11"/>
      <c r="D158" s="85"/>
      <c r="E158" s="85"/>
      <c r="F158" s="85"/>
      <c r="G158" s="85"/>
    </row>
    <row r="159" spans="2:17" ht="14.1" customHeight="1"/>
    <row r="160" spans="2:17" ht="30.95" customHeight="1">
      <c r="B160" s="574" t="s">
        <v>85</v>
      </c>
      <c r="C160" s="574"/>
      <c r="D160" s="574"/>
      <c r="E160" s="574"/>
      <c r="F160" s="574"/>
      <c r="G160" s="574"/>
      <c r="H160" s="574"/>
      <c r="I160" s="574"/>
      <c r="J160" s="574"/>
      <c r="K160" s="574"/>
      <c r="L160" s="574"/>
      <c r="M160" s="574"/>
      <c r="N160" s="574"/>
      <c r="O160" s="574"/>
      <c r="P160" s="574"/>
      <c r="Q160" s="574"/>
    </row>
    <row r="161" spans="2:17" ht="14.1" customHeight="1"/>
    <row r="162" spans="2:17" ht="16.5" customHeight="1">
      <c r="B162" s="7" t="s">
        <v>292</v>
      </c>
      <c r="C162" s="5" t="s">
        <v>82</v>
      </c>
      <c r="D162" s="115" t="s">
        <v>81</v>
      </c>
      <c r="E162" s="5" t="s">
        <v>293</v>
      </c>
      <c r="F162" s="7" t="s">
        <v>7</v>
      </c>
      <c r="G162" s="315" t="s">
        <v>108</v>
      </c>
      <c r="I162" s="36" t="s">
        <v>99</v>
      </c>
      <c r="J162" s="15"/>
      <c r="K162" s="15"/>
      <c r="M162" s="637" t="s">
        <v>102</v>
      </c>
      <c r="N162" s="637"/>
      <c r="O162" s="637"/>
      <c r="P162" s="52"/>
      <c r="Q162" s="52"/>
    </row>
    <row r="163" spans="2:17" ht="16.5" customHeight="1">
      <c r="B163" s="105" t="str">
        <f>IF(INDEX(Match!X10:X39,G2)=0,"",INDEX(Match!X10:X39,G2))</f>
        <v>Amical</v>
      </c>
      <c r="C163" s="6" t="str">
        <f>Match!X5</f>
        <v>AFC - Choisy au Bac</v>
      </c>
      <c r="D163" s="113" t="str">
        <f>IF(INDEX(Match!Y10:Y39,G2)=0,"",INDEX(Match!Y10:Y39,G2))</f>
        <v>U16</v>
      </c>
      <c r="E163" s="114">
        <f>IF(INDEX(Match!Z10:Z39,$G$2)=0,"",INDEX(Match!Z10:Z39,$G$2))</f>
        <v>60</v>
      </c>
      <c r="F163" s="113">
        <f>IF(INDEX(Match!AA10:AA39,G2)=0,"",INDEX(Match!AA10:AA39,G2))</f>
        <v>5</v>
      </c>
      <c r="G163" s="114">
        <f>IF(INDEX(Match!AB10:AB39,G2)=0,"",INDEX(Match!AB10:AB39,G2))</f>
        <v>300</v>
      </c>
      <c r="I163" s="50" t="s">
        <v>269</v>
      </c>
      <c r="J163" s="19">
        <f>INDEX(Match!G10:G39,G2)</f>
        <v>5</v>
      </c>
      <c r="K163" s="320">
        <f>J163/J170</f>
        <v>1</v>
      </c>
      <c r="M163" s="638" t="s">
        <v>106</v>
      </c>
      <c r="N163" s="638"/>
      <c r="O163" s="639"/>
      <c r="P163" s="53">
        <f>INDEX(Match!Q10:Q39,G2)</f>
        <v>6.8</v>
      </c>
      <c r="Q163" s="321">
        <f>P163/10</f>
        <v>0.67999999999999994</v>
      </c>
    </row>
    <row r="164" spans="2:17" ht="16.5" customHeight="1">
      <c r="B164" s="105" t="str">
        <f>IF(INDEX(Match!AH10:AH39,G2)=0,"",INDEX(Match!AH10:AH39,G2))</f>
        <v>Amical</v>
      </c>
      <c r="C164" s="6" t="str">
        <f>Match!AH5</f>
        <v>Le Portel - AFC</v>
      </c>
      <c r="D164" s="113" t="str">
        <f>IF(INDEX(Match!AI10:AI39,G2)=0,"",INDEX(Match!AI10:AI39,G2))</f>
        <v>U16</v>
      </c>
      <c r="E164" s="114">
        <f>IF(INDEX(Match!AJ10:AJ39,$G$2)=0,"",INDEX(Match!AJ10:AJ39,$G$2))</f>
        <v>57</v>
      </c>
      <c r="F164" s="113">
        <f>IF(INDEX(Match!AK10:AK39,G2)=0,"",INDEX(Match!AK10:AK39,G2))</f>
        <v>5</v>
      </c>
      <c r="G164" s="114">
        <f>IF(INDEX(Match!AL10:AL39,G2)=0,"",INDEX(Match!AL10:AL39,G2))</f>
        <v>285</v>
      </c>
      <c r="I164" s="50" t="s">
        <v>270</v>
      </c>
      <c r="J164" s="19">
        <f>INDEX(Match!H10:H39,G2)</f>
        <v>0</v>
      </c>
      <c r="K164" s="314">
        <f>J164/J170</f>
        <v>0</v>
      </c>
      <c r="M164" s="643" t="s">
        <v>83</v>
      </c>
      <c r="N164" s="643"/>
      <c r="O164" s="644"/>
      <c r="P164" s="81">
        <f>INDEX(Match!S10:S39,G2)</f>
        <v>1</v>
      </c>
      <c r="Q164" s="314">
        <f>P164/Match!S40</f>
        <v>7.6923076923076927E-2</v>
      </c>
    </row>
    <row r="165" spans="2:17" ht="16.5" customHeight="1">
      <c r="B165" s="105" t="str">
        <f>IF(INDEX(Match!AR10:AR39,G2)=0,"",INDEX(Match!AR10:AR39,G2))</f>
        <v>Amical</v>
      </c>
      <c r="C165" s="6" t="str">
        <f>Match!AR5</f>
        <v>Beauvais - AFC</v>
      </c>
      <c r="D165" s="113" t="str">
        <f>IF(INDEX(Match!AS10:AS39,G2)=0,"",INDEX(Match!AS10:AS39,G2))</f>
        <v>U16</v>
      </c>
      <c r="E165" s="114">
        <f>IF(INDEX(Match!AT10:AT39,$G$2)=0,"",INDEX(Match!AT10:AT39,$G$2))</f>
        <v>45</v>
      </c>
      <c r="F165" s="113">
        <f>IF(INDEX(Match!AU10:AU39,G2)=0,"",INDEX(Match!AU10:AU39,G2))</f>
        <v>8</v>
      </c>
      <c r="G165" s="114">
        <f>IF(INDEX(Match!AV10:AV39,G2)=0,"",INDEX(Match!AV10:AV39,G2))</f>
        <v>360</v>
      </c>
      <c r="I165" s="71" t="s">
        <v>18</v>
      </c>
      <c r="J165" s="19">
        <f>INDEX(Match!I10:I39,G2)</f>
        <v>0</v>
      </c>
      <c r="K165" s="314">
        <f>J165/J170</f>
        <v>0</v>
      </c>
      <c r="M165" s="643" t="s">
        <v>103</v>
      </c>
      <c r="N165" s="643"/>
      <c r="O165" s="644"/>
      <c r="P165" s="81">
        <f>INDEX(Match!T10:T39,G2)</f>
        <v>0</v>
      </c>
      <c r="Q165" s="314">
        <f>P165/Match!T40</f>
        <v>0</v>
      </c>
    </row>
    <row r="166" spans="2:17" ht="16.5" customHeight="1">
      <c r="B166" s="105" t="str">
        <f>IF(INDEX(Match!BB10:BB39,G2)=0,"",INDEX(Match!BB10:BB39,G2))</f>
        <v>Championnat</v>
      </c>
      <c r="C166" s="6" t="str">
        <f>Match!BB5</f>
        <v>AFC - Cambrai</v>
      </c>
      <c r="D166" s="113" t="str">
        <f>IF(INDEX(Match!BC10:BC39,G2)=0,"",INDEX(Match!BC10:BC39,G2))</f>
        <v>U16</v>
      </c>
      <c r="E166" s="114">
        <f>IF(INDEX(Match!BD10:BD39,$G$2)=0,"",INDEX(Match!BD10:BD39,$G$2))</f>
        <v>45</v>
      </c>
      <c r="F166" s="113">
        <f>IF(INDEX(Match!BE10:BE39,G2)=0,"",INDEX(Match!BE10:BE39,G2))</f>
        <v>7</v>
      </c>
      <c r="G166" s="114">
        <f>IF(INDEX(Match!BF10:BF39,G2)=0,"",INDEX(Match!BF10:BF39,G2))</f>
        <v>315</v>
      </c>
      <c r="I166" s="50" t="s">
        <v>12</v>
      </c>
      <c r="J166" s="19">
        <f>INDEX(Match!L10:L39,G2)</f>
        <v>0</v>
      </c>
      <c r="K166" s="314">
        <f>J166/J170</f>
        <v>0</v>
      </c>
      <c r="M166" s="643" t="s">
        <v>104</v>
      </c>
      <c r="N166" s="643"/>
      <c r="O166" s="644"/>
      <c r="P166" s="81">
        <f>INDEX(Match!U10:U39,G2)</f>
        <v>0</v>
      </c>
      <c r="Q166" s="314">
        <f>P166/Match!U40</f>
        <v>0</v>
      </c>
    </row>
    <row r="167" spans="2:17" ht="16.5" customHeight="1">
      <c r="B167" s="105" t="str">
        <f>IF(INDEX(Match!BL10:BL39,G2)=0,"",INDEX(Match!BL10:BL39,G2))</f>
        <v>Coupe</v>
      </c>
      <c r="C167" s="6" t="str">
        <f>Match!BL5</f>
        <v>Château T. - AFC</v>
      </c>
      <c r="D167" s="113" t="str">
        <f>IF(INDEX(Match!BM10:BM39,G2)=0,"",INDEX(Match!BM10:BM39,G2))</f>
        <v>U16</v>
      </c>
      <c r="E167" s="114">
        <f>IF(INDEX(Match!BN10:BN39,$G$2)=0,"",INDEX(Match!BN10:BN39,$G$2))</f>
        <v>9</v>
      </c>
      <c r="F167" s="113">
        <f>IF(INDEX(Match!BO10:BO39,G2)=0,"",INDEX(Match!BO10:BO39,G2))</f>
        <v>9</v>
      </c>
      <c r="G167" s="114">
        <f>IF(INDEX(Match!BP10:BP39,G2)=0,"",INDEX(Match!BP10:BP39,G2))</f>
        <v>81</v>
      </c>
      <c r="I167" s="50" t="s">
        <v>15</v>
      </c>
      <c r="J167" s="19">
        <f>INDEX(Match!J10:J39,G2)</f>
        <v>0</v>
      </c>
      <c r="K167" s="314">
        <f>J167/J170</f>
        <v>0</v>
      </c>
      <c r="M167" s="645" t="s">
        <v>105</v>
      </c>
      <c r="N167" s="645"/>
      <c r="O167" s="646"/>
      <c r="P167" s="81">
        <f>INDEX(Match!V10:V39,G2)</f>
        <v>0</v>
      </c>
      <c r="Q167" s="314" t="e">
        <f>P167/Match!V40</f>
        <v>#DIV/0!</v>
      </c>
    </row>
    <row r="168" spans="2:17" ht="16.5" customHeight="1">
      <c r="B168" s="105" t="str">
        <f>IF(INDEX(Match!BV10:BV39,G2)=0,"",INDEX(Match!BV10:BV39,G2))</f>
        <v/>
      </c>
      <c r="C168" s="6">
        <f>Match!BV5</f>
        <v>0</v>
      </c>
      <c r="D168" s="126" t="str">
        <f>IF(INDEX(Match!BW10:BW39,G2)=0,"",INDEX(Match!BW10:BW39,G2))</f>
        <v/>
      </c>
      <c r="E168" s="114" t="str">
        <f>IF(INDEX(Match!BX10:BX39,$G$2)=0,"",INDEX(Match!BX10:BX39,$G$2))</f>
        <v/>
      </c>
      <c r="F168" s="126" t="str">
        <f>IF(INDEX(Match!BY10:BY39,G2)=0,"",INDEX(Match!BY10:BY39,G2))</f>
        <v/>
      </c>
      <c r="G168" s="116" t="str">
        <f>IF(INDEX(Match!BZ10:BZ39,G2)=0,"",INDEX(Match!BZ10:BZ39,G2))</f>
        <v/>
      </c>
      <c r="I168" s="50" t="s">
        <v>280</v>
      </c>
      <c r="J168" s="19">
        <f>INDEX(Match!N10:N39,G2)</f>
        <v>0</v>
      </c>
      <c r="K168" s="314">
        <f>J168/J170</f>
        <v>0</v>
      </c>
    </row>
    <row r="169" spans="2:17" ht="16.5" customHeight="1">
      <c r="B169" s="105" t="str">
        <f>IF(INDEX(Match!CF10:CF39,G2)=0,"",INDEX(Match!CF10:CF39,G2))</f>
        <v/>
      </c>
      <c r="C169" s="6">
        <f>Match!CF5</f>
        <v>0</v>
      </c>
      <c r="D169" s="127" t="str">
        <f>IF(INDEX(Match!CG10:CG39,G2)=0,"",INDEX(Match!CG10:CG39,G2))</f>
        <v/>
      </c>
      <c r="E169" s="114" t="str">
        <f>IF(INDEX(Match!CH10:CH39,$G$2)=0,"",INDEX(Match!CH10:CH39,$G$2))</f>
        <v/>
      </c>
      <c r="F169" s="127" t="str">
        <f>IF(INDEX(Match!CI10:CI39,G2)=0,"",INDEX(Match!CI10:CI39,G2))</f>
        <v/>
      </c>
      <c r="G169" s="316" t="str">
        <f>IF(INDEX(Match!CJ10:CJ39,G2)=0,"",INDEX(Match!CJ10:CJ39,G2))</f>
        <v/>
      </c>
      <c r="I169" s="304" t="s">
        <v>100</v>
      </c>
      <c r="J169" s="19">
        <f>INDEX(Match!O10:O39,G2)</f>
        <v>0</v>
      </c>
      <c r="K169" s="314">
        <f>J169/J170</f>
        <v>0</v>
      </c>
      <c r="M169" s="637" t="s">
        <v>80</v>
      </c>
      <c r="N169" s="637"/>
      <c r="O169" s="637"/>
      <c r="P169" s="80">
        <f>J163*ParamIndiceNote3[Temps de jeu]</f>
        <v>450</v>
      </c>
      <c r="Q169" s="80" t="s">
        <v>107</v>
      </c>
    </row>
    <row r="170" spans="2:17" ht="16.5" customHeight="1">
      <c r="B170" s="105" t="str">
        <f>IF(INDEX(Match!CP10:CP39,G2)=0,"",INDEX(Match!CP10:CP39,G2))</f>
        <v/>
      </c>
      <c r="C170" s="6">
        <f>Match!CP5</f>
        <v>0</v>
      </c>
      <c r="D170" s="127" t="str">
        <f>IF(INDEX(Match!CQ10:CQ39,G2)=0,"",INDEX(Match!CQ10:CQ39,G2))</f>
        <v/>
      </c>
      <c r="E170" s="114" t="str">
        <f>IF(INDEX(Match!CR10:CR39,$G$2)=0,"",INDEX(Match!CR10:CR39,$G$2))</f>
        <v/>
      </c>
      <c r="F170" s="127" t="str">
        <f>IF(INDEX(Match!CS10:CS39,G2)=0,"",INDEX(Match!CS10:CS39,G2))</f>
        <v/>
      </c>
      <c r="G170" s="316" t="str">
        <f>IF(INDEX(Match!CT10:CT39,G2)=0,"",INDEX(Match!CT10:CT39,G2))</f>
        <v/>
      </c>
      <c r="I170" s="40" t="s">
        <v>0</v>
      </c>
      <c r="J170" s="45">
        <f>SUM(J163:J169)</f>
        <v>5</v>
      </c>
      <c r="K170" s="319"/>
      <c r="M170" s="638" t="s">
        <v>294</v>
      </c>
      <c r="N170" s="638"/>
      <c r="O170" s="639"/>
      <c r="P170" s="82">
        <f>INDEX(Match!P10:P39,G2)</f>
        <v>216</v>
      </c>
      <c r="Q170" s="83">
        <f>P170/P169</f>
        <v>0.48</v>
      </c>
    </row>
    <row r="171" spans="2:17" ht="16.5" customHeight="1">
      <c r="B171" s="105" t="str">
        <f>IF(INDEX(Match!CZ10:CZ39,G2)=0,"",INDEX(Match!CZ10:CZ39,G2))</f>
        <v/>
      </c>
      <c r="C171" s="6">
        <f>Match!CZ5</f>
        <v>0</v>
      </c>
      <c r="D171" s="127" t="str">
        <f>IF(INDEX(Match!DA10:DA39,G2)=0,"",INDEX(Match!DA10:DA39,G2))</f>
        <v/>
      </c>
      <c r="E171" s="114" t="str">
        <f>IF(INDEX(Match!DB10:DB39,$G$2)=0,"",INDEX(Match!DB10:DB39,$G$2))</f>
        <v/>
      </c>
      <c r="F171" s="127" t="str">
        <f>IF(INDEX(Match!DC10:DC39,G2)=0,"",INDEX(Match!DC10:DC39,G2))</f>
        <v/>
      </c>
      <c r="G171" s="316" t="str">
        <f>IF(INDEX(Match!DD10:DD39,G2)=0,"",INDEX(Match!DD10:DD39,G2))</f>
        <v/>
      </c>
    </row>
    <row r="172" spans="2:17" ht="16.5" customHeight="1">
      <c r="B172" s="105" t="str">
        <f>IF(INDEX(Match!DJ10:DJ39,G2)=0,"",INDEX(Match!DJ10:DJ39,G2))</f>
        <v/>
      </c>
      <c r="C172" s="6">
        <f>Match!DJ5</f>
        <v>0</v>
      </c>
      <c r="D172" s="127" t="str">
        <f>IF(INDEX(Match!DK10:DK39,G2)=0,"",INDEX(Match!DK10:DK39,G2))</f>
        <v/>
      </c>
      <c r="E172" s="114" t="str">
        <f>IF(INDEX(Match!DL10:DL39,$G$2)=0,"",INDEX(Match!DL10:DL39,$G$2))</f>
        <v/>
      </c>
      <c r="F172" s="127" t="str">
        <f>IF(INDEX(Match!DM10:DM39,G2)=0,"",INDEX(Match!DM10:DM39,G2))</f>
        <v/>
      </c>
      <c r="G172" s="316" t="str">
        <f>IF(INDEX(Match!DN10:DN39,G2)=0,"",INDEX(Match!DN10:DN39,G2))</f>
        <v/>
      </c>
    </row>
    <row r="173" spans="2:17" ht="16.5" customHeight="1">
      <c r="B173" s="105" t="str">
        <f>IF(INDEX(Match!DT10:DT39,G2)=0,"",INDEX(Match!DT10:DT39,G2))</f>
        <v/>
      </c>
      <c r="C173" s="6">
        <f>Match!DT5</f>
        <v>0</v>
      </c>
      <c r="D173" s="127" t="str">
        <f>IF(INDEX(Match!DU10:DU39,G2)=0,"",INDEX(Match!DU10:DU39,G2))</f>
        <v/>
      </c>
      <c r="E173" s="114" t="str">
        <f>IF(INDEX(Match!DV10:DV39,$G$2)=0,"",INDEX(Match!DV10:DV39,$G$2))</f>
        <v/>
      </c>
      <c r="F173" s="127" t="str">
        <f>IF(INDEX(Match!DW10:DW39,G2)=0,"",INDEX(Match!DW10:DW39,G2))</f>
        <v/>
      </c>
      <c r="G173" s="316" t="str">
        <f>IF(INDEX(Match!DX10:DX39,G2)=0,"",INDEX(Match!DX10:DX39,G2))</f>
        <v/>
      </c>
    </row>
    <row r="174" spans="2:17" ht="16.5" customHeight="1">
      <c r="B174" s="105" t="str">
        <f>IF(INDEX(Match!ED10:ED39,G2)=0,"",INDEX(Match!ED10:ED39,G2))</f>
        <v/>
      </c>
      <c r="C174" s="6">
        <f>Match!ED5</f>
        <v>0</v>
      </c>
      <c r="D174" s="127" t="str">
        <f>IF(INDEX(Match!EE10:EE39,G2)=0,"",INDEX(Match!EE10:EE39,G2))</f>
        <v/>
      </c>
      <c r="E174" s="114" t="str">
        <f>IF(INDEX(Match!EF10:EF39,$G$2)=0,"",INDEX(Match!EF10:EF39,$G$2))</f>
        <v/>
      </c>
      <c r="F174" s="127" t="str">
        <f>IF(INDEX(Match!EG10:EG39,G2)=0,"",INDEX(Match!EG10:EG39,G2))</f>
        <v/>
      </c>
      <c r="G174" s="316" t="str">
        <f>IF(INDEX(Match!EH10:EH39,G2)=0,"",INDEX(Match!EH10:EH39,G2))</f>
        <v/>
      </c>
    </row>
    <row r="175" spans="2:17" ht="16.5" customHeight="1">
      <c r="B175" s="105" t="str">
        <f>IF(INDEX(Match!EN10:EN39,G2)=0,"",INDEX(Match!EN10:EN39,G2))</f>
        <v/>
      </c>
      <c r="C175" s="6">
        <f>Match!EN5</f>
        <v>0</v>
      </c>
      <c r="D175" s="127" t="str">
        <f>IF(INDEX(Match!EO10:EO39,G2)=0,"",INDEX(Match!EO10:EO39,G2))</f>
        <v/>
      </c>
      <c r="E175" s="114" t="str">
        <f>IF(INDEX(Match!EP10:EP39,$G$2)=0,"",INDEX(Match!EP10:EP39,$G$2))</f>
        <v/>
      </c>
      <c r="F175" s="127" t="str">
        <f>IF(INDEX(Match!EQ10:EQ39,G2)=0,"",INDEX(Match!EQ10:EQ39,G2))</f>
        <v/>
      </c>
      <c r="G175" s="316" t="str">
        <f>IF(INDEX(Match!ER10:ER39,G2)=0,"",INDEX(Match!ER10:ER39,G2))</f>
        <v/>
      </c>
    </row>
    <row r="176" spans="2:17" ht="16.5" customHeight="1">
      <c r="B176" s="105" t="str">
        <f>IF(INDEX(Match!EX10:EX39,G2)=0,"",INDEX(Match!EX10:EX39,G2))</f>
        <v/>
      </c>
      <c r="C176" s="6">
        <f>Match!EX5</f>
        <v>0</v>
      </c>
      <c r="D176" s="127" t="str">
        <f>IF(INDEX(Match!EY10:EY39,G2)=0,"",INDEX(Match!EY10:EY39,G2))</f>
        <v/>
      </c>
      <c r="E176" s="114" t="str">
        <f>IF(INDEX(Match!EZ10:EZ39,$G$2)=0,"",INDEX(Match!EZ10:EZ39,$G$2))</f>
        <v/>
      </c>
      <c r="F176" s="127" t="str">
        <f>IF(INDEX(Match!FA10:FA39,G2)=0,"",INDEX(Match!FA10:FA39,G2))</f>
        <v/>
      </c>
      <c r="G176" s="316" t="str">
        <f>IF(INDEX(Match!FB10:FB39,G2)=0,"",INDEX(Match!FB10:FB39,G2))</f>
        <v/>
      </c>
    </row>
    <row r="177" spans="2:7" ht="16.5" customHeight="1">
      <c r="B177" s="105" t="str">
        <f>IF(INDEX(Match!FH10:FH39,G2)=0,"",INDEX(Match!FH10:FH39,G2))</f>
        <v/>
      </c>
      <c r="C177" s="6">
        <f>Match!FH5</f>
        <v>0</v>
      </c>
      <c r="D177" s="127" t="str">
        <f>IF(INDEX(Match!FI10:FI39,G2)=0,"",INDEX(Match!FI10:FI39,G2))</f>
        <v/>
      </c>
      <c r="E177" s="114" t="str">
        <f>IF(INDEX(Match!FJ10:FJ39,$G$2)=0,"",INDEX(Match!FJ10:FJ39,$G$2))</f>
        <v/>
      </c>
      <c r="F177" s="127" t="str">
        <f>IF(INDEX(Match!FK10:FK39,G2)=0,"",INDEX(Match!FK10:FK39,G2))</f>
        <v/>
      </c>
      <c r="G177" s="316" t="str">
        <f>IF(INDEX(Match!FL10:FL39,G2)=0,"",INDEX(Match!FL10:FL39,G2))</f>
        <v/>
      </c>
    </row>
    <row r="178" spans="2:7" ht="16.5" customHeight="1">
      <c r="B178" s="105" t="str">
        <f>IF(INDEX(Match!FR10:FR39,G2)=0,"",INDEX(Match!FR10:FR39,G2))</f>
        <v/>
      </c>
      <c r="C178" s="6">
        <f>Match!FR5</f>
        <v>0</v>
      </c>
      <c r="D178" s="127" t="str">
        <f>IF(INDEX(Match!FS10:FS39,G2)=0,"",INDEX(Match!FS10:FS39,G2))</f>
        <v/>
      </c>
      <c r="E178" s="114" t="str">
        <f>IF(INDEX(Match!FT10:FT39,$G$2)=0,"",INDEX(Match!FT10:FT39,$G$2))</f>
        <v/>
      </c>
      <c r="F178" s="127" t="str">
        <f>IF(INDEX(Match!FU10:FU39,G2)=0,"",INDEX(Match!FU10:FU39,G2))</f>
        <v/>
      </c>
      <c r="G178" s="316" t="str">
        <f>IF(INDEX(Match!FV10:FV39,G2)=0,"",INDEX(Match!FV10:FV39,G2))</f>
        <v/>
      </c>
    </row>
    <row r="179" spans="2:7" ht="16.5" customHeight="1">
      <c r="B179" s="105" t="str">
        <f>IF(INDEX(Match!FR10:FR39,G2)=0,"",INDEX(Match!FR10:FR39,G2))</f>
        <v/>
      </c>
      <c r="C179" s="6">
        <f>Match!GB5</f>
        <v>0</v>
      </c>
      <c r="D179" s="127" t="str">
        <f>IF(INDEX(Match!GC10:GC39,G2)=0,"",INDEX(Match!GC10:GC39,G2))</f>
        <v/>
      </c>
      <c r="E179" s="114" t="str">
        <f>IF(INDEX(Match!GD10:GD39,$G$2)=0,"",INDEX(Match!GD10:GD39,$G$2))</f>
        <v/>
      </c>
      <c r="F179" s="127" t="str">
        <f>IF(INDEX(Match!GE10:GE39,G2)=0,"",INDEX(Match!GE10:GE39,G2))</f>
        <v/>
      </c>
      <c r="G179" s="316" t="str">
        <f>IF(INDEX(Match!GF10:GF39,G2)=0,"",INDEX(Match!GF10:GF39,G2))</f>
        <v/>
      </c>
    </row>
    <row r="180" spans="2:7" ht="16.5" customHeight="1">
      <c r="B180" s="105" t="str">
        <f>IF(INDEX(Match!GL10:GL39,G2)=0,"",INDEX(Match!GL10:GL39,G2))</f>
        <v/>
      </c>
      <c r="C180" s="6">
        <f>Match!GL5</f>
        <v>0</v>
      </c>
      <c r="D180" s="127" t="str">
        <f>IF(INDEX(Match!GM10:GM39,G2)=0,"",INDEX(Match!GM10:GM39,G2))</f>
        <v/>
      </c>
      <c r="E180" s="114" t="str">
        <f>IF(INDEX(Match!GN10:GN39,$G$2)=0,"",INDEX(Match!GN10:GN39,$G$2))</f>
        <v/>
      </c>
      <c r="F180" s="127" t="str">
        <f>IF(INDEX(Match!GO10:GO39,G2)=0,"",INDEX(Match!GO10:GO39,G2))</f>
        <v/>
      </c>
      <c r="G180" s="316" t="str">
        <f>IF(INDEX(Match!GP10:GP39,G2)=0,"",INDEX(Match!GP10:GP39,G2))</f>
        <v/>
      </c>
    </row>
    <row r="181" spans="2:7" ht="16.5" customHeight="1">
      <c r="B181" s="105" t="str">
        <f>IF(INDEX(Match!GV10:GV39,G2)=0,"",INDEX(Match!GV10:GV39,G2))</f>
        <v/>
      </c>
      <c r="C181" s="6">
        <f>Match!GV5</f>
        <v>0</v>
      </c>
      <c r="D181" s="127" t="str">
        <f>IF(INDEX(Match!GW10:GW39,G2)=0,"",INDEX(Match!GW10:GW39,G2))</f>
        <v/>
      </c>
      <c r="E181" s="114" t="str">
        <f>IF(INDEX(Match!GX10:GX39,$G$2)=0,"",INDEX(Match!GX10:GX39,$G$2))</f>
        <v/>
      </c>
      <c r="F181" s="127" t="str">
        <f>IF(INDEX(Match!GY10:GY39,G2)=0,"",INDEX(Match!GY10:GY39,G2))</f>
        <v/>
      </c>
      <c r="G181" s="316" t="str">
        <f>IF(INDEX(Match!GZ10:GZ39,G2)=0,"",INDEX(Match!GZ10:GZ39,G2))</f>
        <v/>
      </c>
    </row>
    <row r="182" spans="2:7" ht="16.5" customHeight="1">
      <c r="B182" s="105" t="str">
        <f>IF(INDEX(Match!HF10:HF39,G2)=0,"",INDEX(Match!HF10:HF39,G2))</f>
        <v/>
      </c>
      <c r="C182" s="6">
        <f>Match!HF5</f>
        <v>0</v>
      </c>
      <c r="D182" s="127" t="str">
        <f>IF(INDEX(Match!HG10:HG39,G2)=0,"",INDEX(Match!HG10:HG39,G2))</f>
        <v/>
      </c>
      <c r="E182" s="114" t="str">
        <f>IF(INDEX(Match!HH10:HH39,$G$2)=0,"",INDEX(Match!HH10:HH39,$G$2))</f>
        <v/>
      </c>
      <c r="F182" s="127" t="str">
        <f>IF(INDEX(Match!HI10:HI39,G2)=0,"",INDEX(Match!HI10:HI39,G2))</f>
        <v/>
      </c>
      <c r="G182" s="316" t="str">
        <f>IF(INDEX(Match!HJ10:HJ39,G2)=0,"",INDEX(Match!HJ10:HJ39,G2))</f>
        <v/>
      </c>
    </row>
    <row r="183" spans="2:7" ht="16.5" customHeight="1">
      <c r="B183" s="105" t="str">
        <f>IF(INDEX(Match!HP10:HP39,G2)=0,"",INDEX(Match!HP10:HP39,G2))</f>
        <v/>
      </c>
      <c r="C183" s="6">
        <f>Match!HP5</f>
        <v>0</v>
      </c>
      <c r="D183" s="127" t="str">
        <f>IF(INDEX(Match!HQ10:HQ39,G2)=0,"",INDEX(Match!HQ10:HQ39,G2))</f>
        <v/>
      </c>
      <c r="E183" s="114" t="str">
        <f>IF(INDEX(Match!HR10:HR39,$G$2)=0,"",INDEX(Match!HR10:HR39,$G$2))</f>
        <v/>
      </c>
      <c r="F183" s="127" t="str">
        <f>IF(INDEX(Match!HS10:HS39,G2)=0,"",INDEX(Match!HS10:HS39,G2))</f>
        <v/>
      </c>
      <c r="G183" s="316" t="str">
        <f>IF(INDEX(Match!HT10:HT39,G2)=0,"",INDEX(Match!HT10:HT39,G2))</f>
        <v/>
      </c>
    </row>
    <row r="184" spans="2:7" ht="16.5" customHeight="1">
      <c r="B184" s="105" t="str">
        <f>IF(INDEX(Match!HZ10:HZ39,G2)=0,"",INDEX(Match!HZ10:HZ39,G2))</f>
        <v/>
      </c>
      <c r="C184" s="6">
        <f>Match!HZ5</f>
        <v>0</v>
      </c>
      <c r="D184" s="127" t="str">
        <f>IF(INDEX(Match!IA10:IA39,G2)=0,"",INDEX(Match!IA10:IA39,G2))</f>
        <v/>
      </c>
      <c r="E184" s="114" t="str">
        <f>IF(INDEX(Match!IB10:IB39,$G$2)=0,"",INDEX(Match!IB10:IB39,$G$2))</f>
        <v/>
      </c>
      <c r="F184" s="127" t="str">
        <f>IF(INDEX(Match!IC10:IC39,G2)=0,"",INDEX(Match!IC10:IC39,G2))</f>
        <v/>
      </c>
      <c r="G184" s="316" t="str">
        <f>IF(INDEX(Match!ID10:ID39,G2)=0,"",INDEX(Match!ID10:ID39,G2))</f>
        <v/>
      </c>
    </row>
    <row r="185" spans="2:7" ht="16.5" customHeight="1">
      <c r="B185" s="105" t="str">
        <f>IF(INDEX(Match!IJ10:IJ39,G2)=0,"",INDEX(Match!IJ10:IJ39,G2))</f>
        <v/>
      </c>
      <c r="C185" s="6">
        <f>Match!IJ5</f>
        <v>0</v>
      </c>
      <c r="D185" s="127" t="str">
        <f>IF(INDEX(Match!IK10:IK39,G2)=0,"",INDEX(Match!IK10:IK39,G2))</f>
        <v/>
      </c>
      <c r="E185" s="114" t="str">
        <f>IF(INDEX(Match!IL10:IL39,$G$2)=0,"",INDEX(Match!IL10:IL39,$G$2))</f>
        <v/>
      </c>
      <c r="F185" s="127" t="str">
        <f>IF(INDEX(Match!IM10:IM39,G2)=0,"",INDEX(Match!IM10:IM39,G2))</f>
        <v/>
      </c>
      <c r="G185" s="316" t="str">
        <f>IF(INDEX(Match!IN10:IN39,G2)=0,"",INDEX(Match!IN10:IN39,G2))</f>
        <v/>
      </c>
    </row>
    <row r="186" spans="2:7" ht="16.5" customHeight="1">
      <c r="B186" s="105" t="str">
        <f>IF(INDEX(Match!IT10:IT39,G2)=0,"",INDEX(Match!IT10:IT39,G2))</f>
        <v/>
      </c>
      <c r="C186" s="6">
        <f>Match!IT5</f>
        <v>0</v>
      </c>
      <c r="D186" s="127" t="str">
        <f>IF(INDEX(Match!IU10:IU39,G2)=0,"",INDEX(Match!IU10:IU39,G2))</f>
        <v/>
      </c>
      <c r="E186" s="114" t="str">
        <f>IF(INDEX(Match!IV10:IV39,$G$2)=0,"",INDEX(Match!IV10:IV39,$G$2))</f>
        <v/>
      </c>
      <c r="F186" s="127" t="str">
        <f>IF(INDEX(Match!IW10:IW39,G2)=0,"",INDEX(Match!IW10:IW39,G2))</f>
        <v/>
      </c>
      <c r="G186" s="316" t="str">
        <f>IF(INDEX(Match!IX10:IX39,G2)=0,"",INDEX(Match!IX10:IX39,G2))</f>
        <v/>
      </c>
    </row>
    <row r="187" spans="2:7" ht="16.5" customHeight="1">
      <c r="B187" s="105" t="str">
        <f>IF(INDEX(Match!JD10:JD39,G2)=0,"",INDEX(Match!JD10:JD39,G2))</f>
        <v/>
      </c>
      <c r="C187" s="6">
        <f>Match!JD5</f>
        <v>0</v>
      </c>
      <c r="D187" s="127" t="str">
        <f>IF(INDEX(Match!JE10:JE39,G2)=0,"",INDEX(Match!JE10:JE39,G2))</f>
        <v/>
      </c>
      <c r="E187" s="114" t="str">
        <f>IF(INDEX(Match!JF10:JF39,$G$2)=0,"",INDEX(Match!JF10:JF39,$G$2))</f>
        <v/>
      </c>
      <c r="F187" s="127" t="str">
        <f>IF(INDEX(Match!JG10:JG39,G2)=0,"",INDEX(Match!JG10:JG39,G2))</f>
        <v/>
      </c>
      <c r="G187" s="316" t="str">
        <f>IF(INDEX(Match!JH10:JH39,G2)=0,"",INDEX(Match!JH10:JH39,G2))</f>
        <v/>
      </c>
    </row>
    <row r="188" spans="2:7" ht="16.5" customHeight="1">
      <c r="B188" s="105" t="str">
        <f>IF(INDEX(Match!JN10:JN39,G2)=0,"",INDEX(Match!JN10:JN39,G2))</f>
        <v/>
      </c>
      <c r="C188" s="6">
        <f>Match!JN5</f>
        <v>0</v>
      </c>
      <c r="D188" s="127" t="str">
        <f>IF(INDEX(Match!JO10:JO39,G2)=0,"",INDEX(Match!JO10:JO39,G2))</f>
        <v/>
      </c>
      <c r="E188" s="114" t="str">
        <f>IF(INDEX(Match!JP10:JP39,$G$2)=0,"",INDEX(Match!JP10:JP39,$G$2))</f>
        <v/>
      </c>
      <c r="F188" s="127" t="str">
        <f>IF(INDEX(Match!JQ10:JQ39,G2)=0,"",INDEX(Match!JQ10:JQ39,G2))</f>
        <v/>
      </c>
      <c r="G188" s="316" t="str">
        <f>IF(INDEX(Match!JR10:JR39,G2)=0,"",INDEX(Match!JR10:JR39,G2))</f>
        <v/>
      </c>
    </row>
    <row r="189" spans="2:7" ht="16.5" customHeight="1">
      <c r="B189" s="105" t="str">
        <f>IF(INDEX(Match!JX10:JX39,G2)=0,"",INDEX(Match!JX10:JX39,G2))</f>
        <v/>
      </c>
      <c r="C189" s="6">
        <f>Match!JX5</f>
        <v>0</v>
      </c>
      <c r="D189" s="127" t="str">
        <f>IF(INDEX(Match!JY10:JY39,G2)=0,"",INDEX(Match!JY10:JY39,G2))</f>
        <v/>
      </c>
      <c r="E189" s="114" t="str">
        <f>IF(INDEX(Match!JZ10:JZ39,$G$2)=0,"",INDEX(Match!JZ10:JZ39,$G$2))</f>
        <v/>
      </c>
      <c r="F189" s="127" t="str">
        <f>IF(INDEX(Match!KA10:KA39,G2)=0,"",INDEX(Match!KA10:KA39,G2))</f>
        <v/>
      </c>
      <c r="G189" s="316" t="str">
        <f>IF(INDEX(Match!KB10:KB39,G2)=0,"",INDEX(Match!KB10:KB39,G2))</f>
        <v/>
      </c>
    </row>
    <row r="190" spans="2:7" ht="16.5" customHeight="1">
      <c r="B190" s="105" t="str">
        <f>IF(INDEX(Match!KH10:KH39,G2)=0,"",INDEX(Match!KH10:KH39,G2))</f>
        <v/>
      </c>
      <c r="C190" s="6">
        <f>Match!KH5</f>
        <v>0</v>
      </c>
      <c r="D190" s="127" t="str">
        <f>IF(INDEX(Match!KI10:KI39,G2)=0,"",INDEX(Match!KI10:KI39,G2))</f>
        <v/>
      </c>
      <c r="E190" s="114" t="str">
        <f>IF(INDEX(Match!KJ10:KJ39,$G$2)=0,"",INDEX(Match!KJ10:KJ39,$G$2))</f>
        <v/>
      </c>
      <c r="F190" s="127" t="str">
        <f>IF(INDEX(Match!KK10:KK39,G2)=0,"",INDEX(Match!KK10:KK39,G2))</f>
        <v/>
      </c>
      <c r="G190" s="316" t="str">
        <f>IF(INDEX(Match!KL10:KL39,G2)=0,"",INDEX(Match!KL10:KL39,G2))</f>
        <v/>
      </c>
    </row>
    <row r="191" spans="2:7" ht="16.5" customHeight="1">
      <c r="B191" s="105" t="str">
        <f>IF(INDEX(Match!KR10:KR39,G2)=0,"",INDEX(Match!KR10:KR39,G2))</f>
        <v/>
      </c>
      <c r="C191" s="6">
        <f>Match!KR5</f>
        <v>0</v>
      </c>
      <c r="D191" s="127" t="str">
        <f>IF(INDEX(Match!KS10:KS39,G2)=0,"",INDEX(Match!KS10:KS39,G2))</f>
        <v/>
      </c>
      <c r="E191" s="114" t="str">
        <f>IF(INDEX(Match!KT10:KT39,$G$2)=0,"",INDEX(Match!KT10:KT39,$G$2))</f>
        <v/>
      </c>
      <c r="F191" s="127" t="str">
        <f>IF(INDEX(Match!KU10:KU39,G2)=0,"",INDEX(Match!KU10:KU39,G2))</f>
        <v/>
      </c>
      <c r="G191" s="316" t="str">
        <f>IF(INDEX(Match!KV10:KV39,G2)=0,"",INDEX(Match!KV10:KV39,G2))</f>
        <v/>
      </c>
    </row>
    <row r="192" spans="2:7" ht="16.5" customHeight="1">
      <c r="B192" s="105" t="str">
        <f>IF(INDEX(Match!LB10:LB39,G2)=0,"",INDEX(Match!LB10:LB39,G2))</f>
        <v/>
      </c>
      <c r="C192" s="6">
        <f>Match!LB5</f>
        <v>0</v>
      </c>
      <c r="D192" s="127" t="str">
        <f>IF(INDEX(Match!LC10:LC39,G2)=0,"",INDEX(Match!LC10:LC39,G2))</f>
        <v/>
      </c>
      <c r="E192" s="114" t="str">
        <f>IF(INDEX(Match!LD10:LD39,$G$2)=0,"",INDEX(Match!LD10:LD39,$G$2))</f>
        <v/>
      </c>
      <c r="F192" s="127" t="str">
        <f>IF(INDEX(Match!LE10:LE39,G2)=0,"",INDEX(Match!LE10:LE39,G2))</f>
        <v/>
      </c>
      <c r="G192" s="316" t="str">
        <f>IF(INDEX(Match!LF10:LF39,G2)=0,"",INDEX(Match!LF10:LF39,G2))</f>
        <v/>
      </c>
    </row>
    <row r="193" spans="2:7" ht="16.5" customHeight="1">
      <c r="B193" s="105" t="str">
        <f>IF(INDEX(Match!LL10:LL39,G2)=0,"",INDEX(Match!LL10:LL39,G2))</f>
        <v/>
      </c>
      <c r="C193" s="6">
        <f>Match!LL5</f>
        <v>0</v>
      </c>
      <c r="D193" s="127" t="str">
        <f>IF(INDEX(Match!LM10:LM39,G2)=0,"",INDEX(Match!LM10:LM39,G2))</f>
        <v/>
      </c>
      <c r="E193" s="114" t="str">
        <f>IF(INDEX(Match!LN10:LN39,$G$2)=0,"",INDEX(Match!LN10:LN39,$G$2))</f>
        <v/>
      </c>
      <c r="F193" s="127" t="str">
        <f>IF(INDEX(Match!LO10:LO39,G2)=0,"",INDEX(Match!LO10:LO39,G2))</f>
        <v/>
      </c>
      <c r="G193" s="316" t="str">
        <f>IF(INDEX(Match!LP10:LP39,G2)=0,"",INDEX(Match!LP10:LP39,G2))</f>
        <v/>
      </c>
    </row>
    <row r="194" spans="2:7" ht="16.5" customHeight="1">
      <c r="B194" s="105" t="str">
        <f>IF(INDEX(Match!LV10:LV39,G2)=0,"",INDEX(Match!LV10:LV39,G2))</f>
        <v/>
      </c>
      <c r="C194" s="6">
        <f>Match!LV5</f>
        <v>0</v>
      </c>
      <c r="D194" s="127" t="str">
        <f>IF(INDEX(Match!LW10:LW39,G2)=0,"",INDEX(Match!LW10:LW39,G2))</f>
        <v/>
      </c>
      <c r="E194" s="114" t="str">
        <f>IF(INDEX(Match!LX10:LX39,$G$2)=0,"",INDEX(Match!LX10:LX39,$G$2))</f>
        <v/>
      </c>
      <c r="F194" s="127" t="str">
        <f>IF(INDEX(Match!LY10:LY39,G2)=0,"",INDEX(Match!LY10:LY39,G2))</f>
        <v/>
      </c>
      <c r="G194" s="316" t="str">
        <f>IF(INDEX(Match!LZ10:LZ39,G2)=0,"",INDEX(Match!LZ10:LZ39,G2))</f>
        <v/>
      </c>
    </row>
    <row r="195" spans="2:7" ht="16.5" customHeight="1">
      <c r="B195" s="10"/>
      <c r="C195" s="11"/>
      <c r="D195" s="106"/>
      <c r="E195" s="85">
        <f>SUBTOTAL(101,BilanIndivMatch[T. Jeu])</f>
        <v>43.2</v>
      </c>
      <c r="F195" s="132">
        <f>SUBTOTAL(101,BilanIndivMatch[RPE])</f>
        <v>6.8</v>
      </c>
      <c r="G195" s="317">
        <f>SUBTOTAL(101,BilanIndivMatch[Charge])</f>
        <v>268.2</v>
      </c>
    </row>
    <row r="196" spans="2:7" ht="10.5" customHeight="1">
      <c r="B196" s="84"/>
      <c r="C196" s="6"/>
      <c r="D196" s="86"/>
      <c r="E196" s="86"/>
      <c r="F196" s="86"/>
      <c r="G196" s="104"/>
    </row>
    <row r="197" spans="2:7" ht="16.5" customHeight="1">
      <c r="B197" s="84"/>
      <c r="C197" s="309" t="s">
        <v>283</v>
      </c>
      <c r="D197" s="326"/>
      <c r="E197" s="52"/>
      <c r="F197" s="86"/>
      <c r="G197" s="104"/>
    </row>
    <row r="198" spans="2:7" ht="16.5" customHeight="1">
      <c r="B198" s="84"/>
      <c r="C198" s="329" t="s">
        <v>284</v>
      </c>
      <c r="D198" s="329"/>
      <c r="E198" s="325">
        <f>SUM(E199:E201)</f>
        <v>5</v>
      </c>
      <c r="F198" s="86"/>
      <c r="G198" s="104"/>
    </row>
    <row r="199" spans="2:7" ht="16.5" customHeight="1">
      <c r="B199" s="84"/>
      <c r="C199" s="310" t="s">
        <v>285</v>
      </c>
      <c r="D199" s="310"/>
      <c r="E199" s="327">
        <f>Match!D7</f>
        <v>3</v>
      </c>
      <c r="F199" s="86"/>
      <c r="G199" s="104"/>
    </row>
    <row r="200" spans="2:7" ht="16.5" customHeight="1">
      <c r="B200" s="84"/>
      <c r="C200" s="310" t="s">
        <v>286</v>
      </c>
      <c r="D200" s="310"/>
      <c r="E200" s="327">
        <f>Match!H7</f>
        <v>1</v>
      </c>
      <c r="F200" s="313"/>
    </row>
    <row r="201" spans="2:7" ht="16.5" customHeight="1">
      <c r="B201" s="84"/>
      <c r="C201" s="310" t="s">
        <v>287</v>
      </c>
      <c r="D201" s="310"/>
      <c r="E201" s="327">
        <f>Match!N7</f>
        <v>1</v>
      </c>
      <c r="F201" s="324"/>
    </row>
    <row r="202" spans="2:7" ht="16.5" customHeight="1">
      <c r="B202" s="84"/>
      <c r="C202" s="328" t="s">
        <v>289</v>
      </c>
      <c r="D202" s="328"/>
      <c r="E202" s="323">
        <f>Match!R7</f>
        <v>13</v>
      </c>
      <c r="F202" s="322"/>
    </row>
    <row r="203" spans="2:7" ht="16.5" customHeight="1">
      <c r="B203" s="84"/>
      <c r="C203" s="328" t="s">
        <v>288</v>
      </c>
      <c r="D203" s="328"/>
      <c r="E203" s="323">
        <f>Match!T7</f>
        <v>9</v>
      </c>
      <c r="F203" s="322"/>
    </row>
    <row r="204" spans="2:7" ht="16.5" customHeight="1">
      <c r="B204" s="84"/>
      <c r="C204" s="328" t="s">
        <v>290</v>
      </c>
      <c r="D204" s="328"/>
      <c r="E204" s="323">
        <f>Match!V7</f>
        <v>4</v>
      </c>
      <c r="F204" s="322"/>
    </row>
    <row r="205" spans="2:7" ht="16.5" customHeight="1">
      <c r="B205" s="84"/>
      <c r="C205" s="310" t="s">
        <v>282</v>
      </c>
      <c r="D205" s="311"/>
      <c r="E205" s="330">
        <f>Match!Q40</f>
        <v>6.0055555555555555</v>
      </c>
      <c r="F205" s="322"/>
    </row>
    <row r="206" spans="2:7" ht="16.5" customHeight="1">
      <c r="B206" s="84"/>
      <c r="C206" s="312" t="s">
        <v>291</v>
      </c>
      <c r="D206" s="312"/>
      <c r="E206" s="331">
        <f>Match!R40</f>
        <v>1426.1936507936507</v>
      </c>
      <c r="F206" s="322"/>
      <c r="G206" s="104"/>
    </row>
    <row r="207" spans="2:7" ht="10.5" customHeight="1">
      <c r="B207" s="84"/>
      <c r="F207" s="86"/>
      <c r="G207" s="104"/>
    </row>
    <row r="208" spans="2:7" ht="16.5" customHeight="1">
      <c r="B208" s="84"/>
      <c r="F208" s="86"/>
      <c r="G208" s="104"/>
    </row>
    <row r="209" spans="2:7" ht="16.5" customHeight="1">
      <c r="B209" s="84"/>
      <c r="F209" s="86"/>
      <c r="G209" s="104"/>
    </row>
    <row r="210" spans="2:7" ht="16.5" customHeight="1">
      <c r="B210" s="84"/>
      <c r="C210" s="6"/>
      <c r="D210" s="86"/>
      <c r="E210" s="86"/>
      <c r="F210" s="86"/>
      <c r="G210" s="104"/>
    </row>
    <row r="211" spans="2:7" ht="16.5" customHeight="1">
      <c r="B211" s="84"/>
      <c r="C211" s="6"/>
      <c r="D211" s="86"/>
      <c r="E211" s="86"/>
      <c r="F211" s="86"/>
      <c r="G211" s="104"/>
    </row>
    <row r="212" spans="2:7" ht="16.5" customHeight="1">
      <c r="B212" s="84"/>
      <c r="C212" s="6"/>
      <c r="D212" s="86"/>
      <c r="E212" s="86"/>
      <c r="F212" s="86"/>
      <c r="G212" s="104"/>
    </row>
    <row r="213" spans="2:7" ht="16.5" customHeight="1">
      <c r="B213" s="84"/>
      <c r="C213" s="6"/>
      <c r="D213" s="86"/>
      <c r="E213" s="86"/>
      <c r="F213" s="86"/>
      <c r="G213" s="104"/>
    </row>
    <row r="214" spans="2:7" ht="16.5" customHeight="1">
      <c r="B214" s="84"/>
      <c r="C214" s="6"/>
      <c r="D214" s="86"/>
      <c r="E214" s="86"/>
      <c r="F214" s="86"/>
      <c r="G214" s="104"/>
    </row>
    <row r="215" spans="2:7" ht="16.5" customHeight="1">
      <c r="B215" s="84"/>
      <c r="C215" s="6"/>
      <c r="D215" s="86"/>
      <c r="E215" s="86"/>
      <c r="F215" s="86"/>
      <c r="G215" s="104"/>
    </row>
    <row r="216" spans="2:7" ht="16.5" customHeight="1">
      <c r="B216" s="84"/>
      <c r="C216" s="6"/>
      <c r="D216" s="86"/>
      <c r="E216" s="86"/>
      <c r="F216" s="86"/>
      <c r="G216" s="104"/>
    </row>
    <row r="217" spans="2:7" ht="16.5" customHeight="1">
      <c r="B217" s="84"/>
      <c r="C217" s="6"/>
      <c r="D217" s="86"/>
      <c r="E217" s="86"/>
      <c r="F217" s="86"/>
      <c r="G217" s="104"/>
    </row>
    <row r="218" spans="2:7" ht="16.5" customHeight="1">
      <c r="B218" s="84"/>
      <c r="C218" s="6"/>
      <c r="D218" s="86"/>
      <c r="E218" s="86"/>
      <c r="F218" s="86"/>
      <c r="G218" s="104"/>
    </row>
    <row r="219" spans="2:7" ht="16.5" customHeight="1">
      <c r="B219" s="84"/>
      <c r="C219" s="6"/>
      <c r="D219" s="86"/>
      <c r="E219" s="86"/>
      <c r="F219" s="86"/>
      <c r="G219" s="104"/>
    </row>
    <row r="220" spans="2:7" ht="16.5" customHeight="1">
      <c r="B220" s="84"/>
      <c r="C220" s="6"/>
      <c r="D220" s="86"/>
      <c r="E220" s="86"/>
      <c r="F220" s="86"/>
      <c r="G220" s="104"/>
    </row>
    <row r="221" spans="2:7" ht="16.5" customHeight="1">
      <c r="B221" s="84"/>
      <c r="C221" s="6"/>
      <c r="D221" s="86"/>
      <c r="E221" s="86"/>
      <c r="F221" s="86"/>
      <c r="G221" s="104"/>
    </row>
    <row r="222" spans="2:7" ht="16.5" customHeight="1">
      <c r="B222" s="84"/>
      <c r="C222" s="6"/>
      <c r="D222" s="86"/>
      <c r="E222" s="86"/>
      <c r="F222" s="86"/>
      <c r="G222" s="104"/>
    </row>
    <row r="223" spans="2:7" ht="16.5" customHeight="1">
      <c r="B223" s="84"/>
      <c r="C223" s="6"/>
      <c r="D223" s="86"/>
      <c r="E223" s="86"/>
      <c r="F223" s="86"/>
      <c r="G223" s="104"/>
    </row>
    <row r="224" spans="2:7" ht="16.5" customHeight="1">
      <c r="B224" s="84"/>
      <c r="C224" s="6"/>
      <c r="D224" s="86"/>
      <c r="E224" s="86"/>
      <c r="F224" s="86"/>
      <c r="G224" s="104"/>
    </row>
    <row r="225" spans="2:7" ht="16.5" customHeight="1">
      <c r="B225" s="84"/>
      <c r="C225" s="6"/>
      <c r="D225" s="86"/>
      <c r="E225" s="86"/>
      <c r="F225" s="86"/>
      <c r="G225" s="104"/>
    </row>
    <row r="226" spans="2:7" ht="16.5" customHeight="1">
      <c r="B226" s="84"/>
      <c r="C226" s="6"/>
      <c r="D226" s="86"/>
      <c r="E226" s="86"/>
      <c r="F226" s="86"/>
      <c r="G226" s="104"/>
    </row>
    <row r="227" spans="2:7" ht="16.5" customHeight="1">
      <c r="B227" s="84"/>
      <c r="C227" s="6"/>
      <c r="D227" s="86"/>
      <c r="E227" s="86"/>
      <c r="F227" s="86"/>
      <c r="G227" s="104"/>
    </row>
    <row r="228" spans="2:7" ht="16.5" customHeight="1">
      <c r="B228" s="84"/>
      <c r="C228" s="6"/>
      <c r="D228" s="86"/>
      <c r="E228" s="86"/>
      <c r="F228" s="86"/>
      <c r="G228" s="104"/>
    </row>
    <row r="229" spans="2:7" ht="16.5" customHeight="1">
      <c r="B229" s="84"/>
      <c r="C229" s="6"/>
      <c r="D229" s="86"/>
      <c r="E229" s="86"/>
      <c r="F229" s="86"/>
      <c r="G229" s="104"/>
    </row>
    <row r="230" spans="2:7" ht="16.5" customHeight="1">
      <c r="B230" s="84"/>
      <c r="C230" s="6"/>
      <c r="D230" s="86"/>
      <c r="E230" s="86"/>
      <c r="F230" s="86"/>
      <c r="G230" s="104"/>
    </row>
    <row r="231" spans="2:7" ht="16.5" customHeight="1">
      <c r="B231" s="84"/>
      <c r="C231" s="6"/>
      <c r="D231" s="86"/>
      <c r="E231" s="86"/>
      <c r="F231" s="86"/>
      <c r="G231" s="104"/>
    </row>
    <row r="232" spans="2:7" ht="16.5" customHeight="1">
      <c r="B232" s="84"/>
      <c r="C232" s="6"/>
      <c r="D232" s="86"/>
      <c r="E232" s="86"/>
      <c r="F232" s="86"/>
      <c r="G232" s="104"/>
    </row>
    <row r="233" spans="2:7" ht="16.5" customHeight="1">
      <c r="B233" s="84"/>
      <c r="C233" s="6"/>
      <c r="D233" s="86"/>
      <c r="E233" s="86"/>
      <c r="F233" s="86"/>
      <c r="G233" s="104"/>
    </row>
    <row r="234" spans="2:7" ht="16.5" customHeight="1">
      <c r="B234" s="84"/>
      <c r="C234" s="6"/>
      <c r="D234" s="86"/>
      <c r="E234" s="86"/>
      <c r="F234" s="86"/>
      <c r="G234" s="104"/>
    </row>
    <row r="235" spans="2:7" ht="16.5" customHeight="1">
      <c r="B235" s="84"/>
      <c r="C235" s="6"/>
      <c r="D235" s="86"/>
      <c r="E235" s="86"/>
      <c r="F235" s="86"/>
      <c r="G235" s="104"/>
    </row>
    <row r="236" spans="2:7" ht="16.5" customHeight="1">
      <c r="B236" s="84"/>
      <c r="C236" s="6"/>
      <c r="D236" s="86"/>
      <c r="E236" s="86"/>
      <c r="F236" s="86"/>
      <c r="G236" s="104"/>
    </row>
    <row r="237" spans="2:7" ht="16.5" customHeight="1">
      <c r="B237" s="84"/>
      <c r="C237" s="6"/>
      <c r="D237" s="86"/>
      <c r="E237" s="86"/>
      <c r="F237" s="86"/>
      <c r="G237" s="104"/>
    </row>
    <row r="238" spans="2:7" ht="16.5" customHeight="1">
      <c r="B238" s="84"/>
      <c r="C238" s="6"/>
      <c r="D238" s="86"/>
      <c r="E238" s="86"/>
      <c r="F238" s="86"/>
      <c r="G238" s="104"/>
    </row>
    <row r="239" spans="2:7" ht="16.5" customHeight="1">
      <c r="B239" s="84"/>
      <c r="C239" s="6"/>
      <c r="D239" s="86"/>
      <c r="E239" s="86"/>
      <c r="F239" s="86"/>
      <c r="G239" s="104"/>
    </row>
    <row r="240" spans="2:7" ht="16.5" customHeight="1">
      <c r="B240" s="84"/>
      <c r="C240" s="6"/>
      <c r="D240" s="86"/>
      <c r="E240" s="86"/>
      <c r="F240" s="86"/>
      <c r="G240" s="104"/>
    </row>
    <row r="241" spans="2:7" ht="16.5" customHeight="1">
      <c r="B241" s="84"/>
      <c r="C241" s="6"/>
      <c r="D241" s="86"/>
      <c r="E241" s="86"/>
      <c r="F241" s="86"/>
      <c r="G241" s="104"/>
    </row>
    <row r="242" spans="2:7" ht="16.5" customHeight="1">
      <c r="B242" s="84"/>
      <c r="C242" s="6"/>
      <c r="D242" s="86"/>
      <c r="E242" s="86"/>
      <c r="F242" s="86"/>
      <c r="G242" s="104"/>
    </row>
    <row r="243" spans="2:7" ht="16.5" customHeight="1">
      <c r="B243" s="84"/>
      <c r="C243" s="6"/>
      <c r="D243" s="86"/>
      <c r="E243" s="86"/>
      <c r="F243" s="86"/>
      <c r="G243" s="104"/>
    </row>
    <row r="244" spans="2:7" ht="16.5" customHeight="1">
      <c r="B244" s="84"/>
      <c r="C244" s="6"/>
      <c r="D244" s="86"/>
      <c r="E244" s="86"/>
      <c r="F244" s="86"/>
      <c r="G244" s="104"/>
    </row>
    <row r="245" spans="2:7" ht="16.5" customHeight="1">
      <c r="B245" s="84"/>
      <c r="C245" s="6"/>
      <c r="D245" s="86"/>
      <c r="E245" s="86"/>
      <c r="F245" s="86"/>
      <c r="G245" s="104"/>
    </row>
    <row r="246" spans="2:7" ht="16.5" customHeight="1">
      <c r="B246" s="84"/>
      <c r="C246" s="6"/>
      <c r="D246" s="86"/>
      <c r="E246" s="86"/>
      <c r="F246" s="86"/>
      <c r="G246" s="104"/>
    </row>
    <row r="247" spans="2:7" ht="16.5" customHeight="1">
      <c r="B247" s="84"/>
      <c r="C247" s="6"/>
      <c r="D247" s="86"/>
      <c r="E247" s="86"/>
      <c r="F247" s="86"/>
      <c r="G247" s="104"/>
    </row>
    <row r="248" spans="2:7" ht="16.5" customHeight="1">
      <c r="B248" s="84"/>
      <c r="C248" s="6"/>
      <c r="D248" s="86"/>
      <c r="E248" s="86"/>
      <c r="F248" s="86"/>
      <c r="G248" s="104"/>
    </row>
    <row r="249" spans="2:7" ht="16.5" customHeight="1">
      <c r="B249" s="84"/>
      <c r="C249" s="6"/>
      <c r="D249" s="86"/>
      <c r="E249" s="86"/>
      <c r="F249" s="86"/>
      <c r="G249" s="104"/>
    </row>
    <row r="250" spans="2:7" ht="16.5" customHeight="1">
      <c r="B250" s="84"/>
      <c r="C250" s="6"/>
      <c r="D250" s="86"/>
      <c r="E250" s="86"/>
      <c r="F250" s="86"/>
      <c r="G250" s="104"/>
    </row>
    <row r="251" spans="2:7" ht="16.5" customHeight="1">
      <c r="B251" s="84"/>
      <c r="C251" s="6"/>
      <c r="D251" s="86"/>
      <c r="E251" s="86"/>
      <c r="F251" s="86"/>
      <c r="G251" s="104"/>
    </row>
    <row r="252" spans="2:7" ht="16.5" customHeight="1">
      <c r="B252" s="84"/>
      <c r="C252" s="6"/>
      <c r="D252" s="86"/>
      <c r="E252" s="86"/>
      <c r="F252" s="86"/>
      <c r="G252" s="104"/>
    </row>
    <row r="253" spans="2:7" ht="16.5" customHeight="1">
      <c r="B253" s="84"/>
      <c r="C253" s="6"/>
      <c r="D253" s="86"/>
      <c r="E253" s="86"/>
      <c r="F253" s="86"/>
      <c r="G253" s="104"/>
    </row>
    <row r="254" spans="2:7" ht="16.5" customHeight="1">
      <c r="B254" s="84"/>
      <c r="C254" s="6"/>
      <c r="D254" s="86"/>
      <c r="E254" s="86"/>
      <c r="F254" s="86"/>
      <c r="G254" s="104"/>
    </row>
    <row r="255" spans="2:7" ht="16.5" customHeight="1">
      <c r="B255" s="84"/>
      <c r="C255" s="6"/>
      <c r="D255" s="86"/>
      <c r="E255" s="86"/>
      <c r="F255" s="86"/>
      <c r="G255" s="104"/>
    </row>
    <row r="256" spans="2:7" ht="16.5" customHeight="1">
      <c r="B256" s="84"/>
      <c r="C256" s="6"/>
      <c r="D256" s="86"/>
      <c r="E256" s="86"/>
      <c r="F256" s="86"/>
      <c r="G256" s="104"/>
    </row>
    <row r="257" spans="2:7" ht="16.5" customHeight="1">
      <c r="B257" s="84"/>
      <c r="C257" s="6"/>
      <c r="D257" s="86"/>
      <c r="E257" s="86"/>
      <c r="F257" s="86"/>
      <c r="G257" s="104"/>
    </row>
    <row r="258" spans="2:7" ht="16.5" customHeight="1">
      <c r="B258" s="84"/>
      <c r="C258" s="6"/>
      <c r="D258" s="86"/>
      <c r="E258" s="86"/>
      <c r="F258" s="86"/>
      <c r="G258" s="104"/>
    </row>
    <row r="259" spans="2:7" ht="16.5" customHeight="1">
      <c r="B259" s="84"/>
      <c r="C259" s="6"/>
      <c r="D259" s="86"/>
      <c r="E259" s="86"/>
      <c r="F259" s="86"/>
      <c r="G259" s="104"/>
    </row>
    <row r="260" spans="2:7" ht="16.5" customHeight="1">
      <c r="B260" s="84"/>
      <c r="C260" s="6"/>
      <c r="D260" s="86"/>
      <c r="E260" s="86"/>
      <c r="F260" s="86"/>
      <c r="G260" s="104"/>
    </row>
    <row r="261" spans="2:7" ht="16.5" customHeight="1">
      <c r="B261" s="84"/>
      <c r="C261" s="6"/>
      <c r="D261" s="86"/>
      <c r="E261" s="86"/>
      <c r="F261" s="86"/>
      <c r="G261" s="104"/>
    </row>
    <row r="262" spans="2:7" ht="16.5" customHeight="1">
      <c r="B262" s="84"/>
      <c r="C262" s="6"/>
      <c r="D262" s="86"/>
      <c r="E262" s="86"/>
      <c r="F262" s="86"/>
      <c r="G262" s="104"/>
    </row>
    <row r="263" spans="2:7" ht="16.5" customHeight="1">
      <c r="B263" s="84"/>
      <c r="C263" s="6"/>
      <c r="D263" s="86"/>
      <c r="E263" s="86"/>
      <c r="F263" s="86"/>
      <c r="G263" s="104"/>
    </row>
    <row r="264" spans="2:7" ht="16.5" customHeight="1">
      <c r="B264" s="84"/>
      <c r="C264" s="6"/>
      <c r="D264" s="86"/>
      <c r="E264" s="86"/>
      <c r="F264" s="86"/>
      <c r="G264" s="104"/>
    </row>
    <row r="265" spans="2:7" ht="16.5" customHeight="1">
      <c r="B265" s="84"/>
      <c r="C265" s="6"/>
      <c r="D265" s="86"/>
      <c r="E265" s="86"/>
      <c r="F265" s="86"/>
      <c r="G265" s="104"/>
    </row>
    <row r="266" spans="2:7" ht="16.5" customHeight="1">
      <c r="B266" s="84"/>
      <c r="C266" s="6"/>
      <c r="D266" s="86"/>
      <c r="E266" s="86"/>
      <c r="F266" s="86"/>
      <c r="G266" s="104"/>
    </row>
    <row r="267" spans="2:7" ht="16.5" customHeight="1">
      <c r="B267" s="84"/>
      <c r="C267" s="6"/>
      <c r="D267" s="86"/>
      <c r="E267" s="86"/>
      <c r="F267" s="86"/>
      <c r="G267" s="104"/>
    </row>
    <row r="268" spans="2:7" ht="16.5" customHeight="1">
      <c r="B268" s="84"/>
      <c r="C268" s="6"/>
      <c r="D268" s="86"/>
      <c r="E268" s="86"/>
      <c r="F268" s="86"/>
      <c r="G268" s="104"/>
    </row>
    <row r="269" spans="2:7" ht="16.5" customHeight="1">
      <c r="B269" s="84"/>
      <c r="C269" s="6"/>
      <c r="D269" s="86"/>
      <c r="E269" s="86"/>
      <c r="F269" s="86"/>
      <c r="G269" s="104"/>
    </row>
    <row r="270" spans="2:7" ht="16.5" customHeight="1">
      <c r="B270" s="84"/>
      <c r="C270" s="6"/>
      <c r="D270" s="86"/>
      <c r="E270" s="86"/>
      <c r="F270" s="86"/>
      <c r="G270" s="104"/>
    </row>
    <row r="271" spans="2:7" ht="16.5" customHeight="1">
      <c r="B271" s="84"/>
      <c r="C271" s="6"/>
      <c r="D271" s="86"/>
      <c r="E271" s="86"/>
      <c r="F271" s="86"/>
      <c r="G271" s="104"/>
    </row>
    <row r="272" spans="2:7" ht="16.5" customHeight="1">
      <c r="B272" s="84"/>
      <c r="C272" s="6"/>
      <c r="D272" s="86"/>
      <c r="E272" s="86"/>
      <c r="F272" s="86"/>
      <c r="G272" s="104"/>
    </row>
    <row r="273" spans="2:7" ht="16.5" customHeight="1">
      <c r="B273" s="84"/>
      <c r="C273" s="6"/>
      <c r="D273" s="86"/>
      <c r="E273" s="86"/>
      <c r="F273" s="86"/>
      <c r="G273" s="104"/>
    </row>
    <row r="274" spans="2:7" ht="16.5" customHeight="1">
      <c r="B274" s="84"/>
      <c r="C274" s="6"/>
      <c r="D274" s="86"/>
      <c r="E274" s="86"/>
      <c r="F274" s="86"/>
      <c r="G274" s="104"/>
    </row>
    <row r="275" spans="2:7" ht="16.5" customHeight="1">
      <c r="B275" s="84"/>
      <c r="C275" s="6"/>
      <c r="D275" s="86"/>
      <c r="E275" s="86"/>
      <c r="F275" s="86"/>
      <c r="G275" s="104"/>
    </row>
    <row r="276" spans="2:7" ht="16.5" customHeight="1">
      <c r="B276" s="84"/>
      <c r="C276" s="6"/>
      <c r="D276" s="86"/>
      <c r="E276" s="86"/>
      <c r="F276" s="86"/>
      <c r="G276" s="104"/>
    </row>
    <row r="277" spans="2:7" ht="16.5" customHeight="1">
      <c r="B277" s="84"/>
      <c r="C277" s="6"/>
      <c r="D277" s="86"/>
      <c r="E277" s="86"/>
      <c r="F277" s="86"/>
      <c r="G277" s="104"/>
    </row>
    <row r="278" spans="2:7" ht="16.5" customHeight="1">
      <c r="B278" s="84"/>
      <c r="C278" s="6"/>
      <c r="D278" s="86"/>
      <c r="E278" s="86"/>
      <c r="F278" s="86"/>
      <c r="G278" s="104"/>
    </row>
    <row r="279" spans="2:7" ht="16.5" customHeight="1">
      <c r="B279" s="84"/>
      <c r="C279" s="6"/>
      <c r="D279" s="86"/>
      <c r="E279" s="86"/>
      <c r="F279" s="86"/>
      <c r="G279" s="104"/>
    </row>
    <row r="280" spans="2:7" ht="16.5" customHeight="1">
      <c r="B280" s="84"/>
      <c r="C280" s="6"/>
      <c r="D280" s="86"/>
      <c r="E280" s="86"/>
      <c r="F280" s="86"/>
      <c r="G280" s="104"/>
    </row>
    <row r="281" spans="2:7" ht="16.5" customHeight="1">
      <c r="B281" s="84"/>
      <c r="C281" s="6"/>
      <c r="D281" s="86"/>
      <c r="E281" s="86"/>
      <c r="F281" s="86"/>
      <c r="G281" s="104"/>
    </row>
    <row r="282" spans="2:7" ht="16.5" customHeight="1">
      <c r="B282" s="84"/>
      <c r="C282" s="6"/>
      <c r="D282" s="86"/>
      <c r="E282" s="86"/>
      <c r="F282" s="86"/>
      <c r="G282" s="104"/>
    </row>
    <row r="283" spans="2:7" ht="16.5" customHeight="1">
      <c r="B283" s="84"/>
      <c r="C283" s="6"/>
      <c r="D283" s="86"/>
      <c r="E283" s="86"/>
      <c r="F283" s="86"/>
      <c r="G283" s="104"/>
    </row>
    <row r="284" spans="2:7" ht="16.5" customHeight="1">
      <c r="B284" s="84"/>
      <c r="C284" s="6"/>
      <c r="D284" s="86"/>
      <c r="E284" s="86"/>
      <c r="F284" s="86"/>
      <c r="G284" s="104"/>
    </row>
    <row r="285" spans="2:7" ht="16.5" customHeight="1">
      <c r="B285" s="84"/>
      <c r="C285" s="6"/>
      <c r="D285" s="86"/>
      <c r="E285" s="86"/>
      <c r="F285" s="86"/>
      <c r="G285" s="104"/>
    </row>
    <row r="286" spans="2:7" ht="16.5" customHeight="1">
      <c r="B286" s="84"/>
      <c r="C286" s="6"/>
      <c r="D286" s="86"/>
      <c r="E286" s="86"/>
      <c r="F286" s="86"/>
      <c r="G286" s="104"/>
    </row>
    <row r="287" spans="2:7" ht="16.5" customHeight="1">
      <c r="B287" s="84"/>
      <c r="C287" s="6"/>
      <c r="D287" s="86"/>
      <c r="E287" s="86"/>
      <c r="F287" s="86"/>
      <c r="G287" s="104"/>
    </row>
    <row r="288" spans="2:7" ht="16.5" customHeight="1">
      <c r="B288" s="84"/>
      <c r="C288" s="6"/>
      <c r="D288" s="86"/>
      <c r="E288" s="86"/>
      <c r="F288" s="86"/>
      <c r="G288" s="104"/>
    </row>
    <row r="289" spans="2:7" ht="16.5" customHeight="1">
      <c r="B289" s="84"/>
      <c r="C289" s="6"/>
      <c r="D289" s="86"/>
      <c r="E289" s="86"/>
      <c r="F289" s="86"/>
      <c r="G289" s="104"/>
    </row>
    <row r="290" spans="2:7" ht="16.5" customHeight="1">
      <c r="B290" s="84"/>
      <c r="C290" s="6"/>
      <c r="D290" s="86"/>
      <c r="E290" s="86"/>
      <c r="F290" s="86"/>
      <c r="G290" s="104"/>
    </row>
    <row r="291" spans="2:7" ht="16.5" customHeight="1">
      <c r="B291" s="84"/>
      <c r="C291" s="6"/>
      <c r="D291" s="86"/>
      <c r="E291" s="86"/>
      <c r="F291" s="86"/>
      <c r="G291" s="104"/>
    </row>
    <row r="292" spans="2:7" ht="16.5" customHeight="1">
      <c r="B292" s="84"/>
      <c r="C292" s="6"/>
      <c r="D292" s="86"/>
      <c r="E292" s="86"/>
      <c r="F292" s="86"/>
      <c r="G292" s="104"/>
    </row>
    <row r="293" spans="2:7" ht="16.5" customHeight="1">
      <c r="B293" s="84"/>
      <c r="C293" s="6"/>
      <c r="D293" s="86"/>
      <c r="E293" s="86"/>
      <c r="F293" s="86"/>
      <c r="G293" s="104"/>
    </row>
    <row r="294" spans="2:7" ht="16.5" customHeight="1">
      <c r="B294" s="84"/>
      <c r="C294" s="6"/>
      <c r="D294" s="86"/>
      <c r="E294" s="86"/>
      <c r="F294" s="86"/>
      <c r="G294" s="104"/>
    </row>
    <row r="295" spans="2:7" ht="16.5" customHeight="1">
      <c r="C295" s="6"/>
      <c r="D295" s="86"/>
      <c r="E295" s="86"/>
    </row>
    <row r="296" spans="2:7" ht="16.5" customHeight="1">
      <c r="C296" s="6"/>
      <c r="D296" s="86"/>
      <c r="E296" s="86"/>
    </row>
    <row r="297" spans="2:7" ht="16.5" customHeight="1">
      <c r="C297" s="6"/>
      <c r="D297" s="86"/>
      <c r="E297" s="86"/>
    </row>
  </sheetData>
  <sheetProtection sort="0" autoFilter="0" pivotTables="0"/>
  <dataConsolidate/>
  <mergeCells count="30">
    <mergeCell ref="M165:O165"/>
    <mergeCell ref="M166:O166"/>
    <mergeCell ref="M167:O167"/>
    <mergeCell ref="B3:C3"/>
    <mergeCell ref="E3:G3"/>
    <mergeCell ref="B4:G4"/>
    <mergeCell ref="M163:O163"/>
    <mergeCell ref="M164:O164"/>
    <mergeCell ref="I78:Q78"/>
    <mergeCell ref="I121:Q121"/>
    <mergeCell ref="M17:O17"/>
    <mergeCell ref="M18:O18"/>
    <mergeCell ref="M19:O19"/>
    <mergeCell ref="M20:O20"/>
    <mergeCell ref="M169:O169"/>
    <mergeCell ref="M170:O170"/>
    <mergeCell ref="J2:Q2"/>
    <mergeCell ref="J3:K3"/>
    <mergeCell ref="L3:O3"/>
    <mergeCell ref="J6:K6"/>
    <mergeCell ref="M6:N6"/>
    <mergeCell ref="M14:O14"/>
    <mergeCell ref="M15:O15"/>
    <mergeCell ref="B9:Q9"/>
    <mergeCell ref="M11:O11"/>
    <mergeCell ref="M12:O12"/>
    <mergeCell ref="M13:O13"/>
    <mergeCell ref="B2:E2"/>
    <mergeCell ref="B160:Q160"/>
    <mergeCell ref="M162:O162"/>
  </mergeCells>
  <phoneticPr fontId="24" type="noConversion"/>
  <conditionalFormatting sqref="K163:K169 K12:K18">
    <cfRule type="dataBar" priority="16">
      <dataBar>
        <cfvo type="num" val="0"/>
        <cfvo type="num" val="1"/>
        <color theme="1" tint="0.34998626667073579"/>
      </dataBar>
      <extLst>
        <ext xmlns:x14="http://schemas.microsoft.com/office/spreadsheetml/2009/9/main" uri="{B025F937-C7B1-47D3-B67F-A62EFF666E3E}">
          <x14:id>{D46DDB78-052F-6046-827D-4D8BAD5B908F}</x14:id>
        </ext>
      </extLst>
    </cfRule>
  </conditionalFormatting>
  <conditionalFormatting sqref="Q163:Q167">
    <cfRule type="dataBar" priority="10">
      <dataBar>
        <cfvo type="num" val="0"/>
        <cfvo type="num" val="1"/>
        <color theme="1" tint="0.34998626667073579"/>
      </dataBar>
      <extLst>
        <ext xmlns:x14="http://schemas.microsoft.com/office/spreadsheetml/2009/9/main" uri="{B025F937-C7B1-47D3-B67F-A62EFF666E3E}">
          <x14:id>{918CB5A2-7B06-DF43-9B20-7B9F9769BC82}</x14:id>
        </ext>
      </extLst>
    </cfRule>
  </conditionalFormatting>
  <conditionalFormatting sqref="Q170">
    <cfRule type="dataBar" priority="9">
      <dataBar>
        <cfvo type="num" val="0"/>
        <cfvo type="num" val="1"/>
        <color theme="1" tint="0.34998626667073579"/>
      </dataBar>
      <extLst>
        <ext xmlns:x14="http://schemas.microsoft.com/office/spreadsheetml/2009/9/main" uri="{B025F937-C7B1-47D3-B67F-A62EFF666E3E}">
          <x14:id>{0A346FDD-7954-5240-B43C-8C757E969172}</x14:id>
        </ext>
      </extLst>
    </cfRule>
  </conditionalFormatting>
  <conditionalFormatting sqref="F201:F205">
    <cfRule type="dataBar" priority="8">
      <dataBar>
        <cfvo type="num" val="0"/>
        <cfvo type="num" val="1"/>
        <color theme="1" tint="0.34998626667073579"/>
      </dataBar>
      <extLst>
        <ext xmlns:x14="http://schemas.microsoft.com/office/spreadsheetml/2009/9/main" uri="{B025F937-C7B1-47D3-B67F-A62EFF666E3E}">
          <x14:id>{6B809DAC-D6F2-482F-A88C-85D2FD78B123}</x14:id>
        </ext>
      </extLst>
    </cfRule>
  </conditionalFormatting>
  <conditionalFormatting sqref="F206">
    <cfRule type="dataBar" priority="7">
      <dataBar>
        <cfvo type="num" val="0"/>
        <cfvo type="num" val="1"/>
        <color theme="1" tint="0.34998626667073579"/>
      </dataBar>
      <extLst>
        <ext xmlns:x14="http://schemas.microsoft.com/office/spreadsheetml/2009/9/main" uri="{B025F937-C7B1-47D3-B67F-A62EFF666E3E}">
          <x14:id>{ED7493BC-A088-4446-B106-987A225A3AA5}</x14:id>
        </ext>
      </extLst>
    </cfRule>
  </conditionalFormatting>
  <conditionalFormatting sqref="K19:K20">
    <cfRule type="dataBar" priority="5">
      <dataBar>
        <cfvo type="num" val="0"/>
        <cfvo type="num" val="1"/>
        <color theme="1" tint="0.34998626667073579"/>
      </dataBar>
      <extLst>
        <ext xmlns:x14="http://schemas.microsoft.com/office/spreadsheetml/2009/9/main" uri="{B025F937-C7B1-47D3-B67F-A62EFF666E3E}">
          <x14:id>{A0153C73-1A14-4A75-993B-9D874408DDB1}</x14:id>
        </ext>
      </extLst>
    </cfRule>
  </conditionalFormatting>
  <conditionalFormatting sqref="Q18">
    <cfRule type="dataBar" priority="3">
      <dataBar>
        <cfvo type="num" val="0"/>
        <cfvo type="num" val="1"/>
        <color theme="1" tint="0.34998626667073579"/>
      </dataBar>
      <extLst>
        <ext xmlns:x14="http://schemas.microsoft.com/office/spreadsheetml/2009/9/main" uri="{B025F937-C7B1-47D3-B67F-A62EFF666E3E}">
          <x14:id>{524A258B-D5B3-4386-B88B-DFB1D70C265E}</x14:id>
        </ext>
      </extLst>
    </cfRule>
  </conditionalFormatting>
  <conditionalFormatting sqref="Q19">
    <cfRule type="dataBar" priority="2">
      <dataBar>
        <cfvo type="num" val="0"/>
        <cfvo type="num" val="1"/>
        <color theme="1" tint="0.34998626667073579"/>
      </dataBar>
      <extLst>
        <ext xmlns:x14="http://schemas.microsoft.com/office/spreadsheetml/2009/9/main" uri="{B025F937-C7B1-47D3-B67F-A62EFF666E3E}">
          <x14:id>{6CE087E6-C561-4BBD-8834-9CBFBCFD4394}</x14:id>
        </ext>
      </extLst>
    </cfRule>
  </conditionalFormatting>
  <conditionalFormatting sqref="Q20">
    <cfRule type="dataBar" priority="1">
      <dataBar>
        <cfvo type="num" val="0"/>
        <cfvo type="num" val="1"/>
        <color theme="1" tint="0.34998626667073579"/>
      </dataBar>
      <extLst>
        <ext xmlns:x14="http://schemas.microsoft.com/office/spreadsheetml/2009/9/main" uri="{B025F937-C7B1-47D3-B67F-A62EFF666E3E}">
          <x14:id>{C32B6C1F-B68A-4207-92EC-07336FED3AF6}</x14:id>
        </ext>
      </extLst>
    </cfRule>
  </conditionalFormatting>
  <dataValidations count="6">
    <dataValidation type="custom" errorStyle="warning" allowBlank="1" showInputMessage="1" showErrorMessage="1" errorTitle="Amount Validation" error="Amount should be a number." sqref="D12:G142" xr:uid="{9E94AAFD-A1B7-4A3D-B18D-657FBDAE6698}">
      <formula1>ISNUMBER($D12)</formula1>
    </dataValidation>
    <dataValidation type="custom" errorStyle="warning" allowBlank="1" showInputMessage="1" showErrorMessage="1" errorTitle="Date Validation" error="A date in January needs be entered in order for this expense to be added to the Summary sheet." sqref="M12 M15 M163 M166:M167 I163:I165 M170 C205:C206 M18 I12:I20" xr:uid="{6591540C-57DB-45F3-89C0-5319EE56F6AE}">
      <formula1>MONTH($B12)=1</formula1>
    </dataValidation>
    <dataValidation type="custom" errorStyle="warning" allowBlank="1" showInputMessage="1" showErrorMessage="1" errorTitle="Date Validation" error="A date in January needs be entered in order for this expense to be added to the Summary sheet." sqref="I166:I169" xr:uid="{8E36FBC2-813F-44F3-A5E5-8FB60951078D}">
      <formula1>MONTH($B165)=1</formula1>
    </dataValidation>
    <dataValidation errorStyle="warning" allowBlank="1" showInputMessage="1" showErrorMessage="1" errorTitle="Amount Validation" error="Amount should be a number." sqref="D163:D194" xr:uid="{4D4E8731-70F8-4A3F-8CDF-6603B3265D3C}"/>
    <dataValidation type="custom" errorStyle="warning" allowBlank="1" showInputMessage="1" showErrorMessage="1" errorTitle="Date Validation" error="A date in January needs be entered in order for this expense to be added to the Summary sheet." sqref="C201:C202 C198" xr:uid="{AD1EF73A-9142-4E27-9FA1-DECC75FE4A4D}">
      <formula1>MONTH($B201)=1</formula1>
    </dataValidation>
    <dataValidation type="custom" errorStyle="warning" allowBlank="1" showInputMessage="1" showErrorMessage="1" errorTitle="Date Validation" error="A date in January needs be entered in order for this expense to be added to the Summary sheet." sqref="C203:C204" xr:uid="{C629AEF3-CEBD-49F5-A8DF-20EAC6770473}">
      <formula1>MONTH($B205)=1</formula1>
    </dataValidation>
  </dataValidations>
  <printOptions horizontalCentered="1"/>
  <pageMargins left="0.25" right="0.25" top="0.75" bottom="0.75" header="0.3" footer="0.3"/>
  <pageSetup paperSize="9" scale="54" fitToHeight="0" orientation="portrait" r:id="rId1"/>
  <ignoredErrors>
    <ignoredError sqref="C163:C194 J82:L90 B163:B194 E163:E176 E182:E194 E177:E181 B12:B17 C12 E15:G15" calculatedColumn="1"/>
  </ignoredErrors>
  <drawing r:id="rId2"/>
  <legacyDrawing r:id="rId3"/>
  <mc:AlternateContent xmlns:mc="http://schemas.openxmlformats.org/markup-compatibility/2006">
    <mc:Choice Requires="x14">
      <controls>
        <mc:AlternateContent xmlns:mc="http://schemas.openxmlformats.org/markup-compatibility/2006">
          <mc:Choice Requires="x14">
            <control shapeId="16387" r:id="rId4" name="Button 3">
              <controlPr defaultSize="0" print="0" autoFill="0" autoPict="0" macro="[0]!CloseOnglet">
                <anchor moveWithCells="1" sizeWithCells="1">
                  <from>
                    <xdr:col>7</xdr:col>
                    <xdr:colOff>266700</xdr:colOff>
                    <xdr:row>1</xdr:row>
                    <xdr:rowOff>0</xdr:rowOff>
                  </from>
                  <to>
                    <xdr:col>8</xdr:col>
                    <xdr:colOff>1209675</xdr:colOff>
                    <xdr:row>1</xdr:row>
                    <xdr:rowOff>381000</xdr:rowOff>
                  </to>
                </anchor>
              </controlPr>
            </control>
          </mc:Choice>
        </mc:AlternateContent>
      </controls>
    </mc:Choice>
  </mc:AlternateContent>
  <tableParts count="4">
    <tablePart r:id="rId5"/>
    <tablePart r:id="rId6"/>
    <tablePart r:id="rId7"/>
    <tablePart r:id="rId8"/>
  </tableParts>
  <extLst>
    <ext xmlns:x14="http://schemas.microsoft.com/office/spreadsheetml/2009/9/main" uri="{78C0D931-6437-407d-A8EE-F0AAD7539E65}">
      <x14:conditionalFormattings>
        <x14:conditionalFormatting xmlns:xm="http://schemas.microsoft.com/office/excel/2006/main">
          <x14:cfRule type="dataBar" id="{D46DDB78-052F-6046-827D-4D8BAD5B908F}">
            <x14:dataBar minLength="0" maxLength="100" gradient="0">
              <x14:cfvo type="num">
                <xm:f>0</xm:f>
              </x14:cfvo>
              <x14:cfvo type="num">
                <xm:f>1</xm:f>
              </x14:cfvo>
              <x14:negativeFillColor rgb="FFFF0000"/>
              <x14:axisColor rgb="FF000000"/>
            </x14:dataBar>
          </x14:cfRule>
          <xm:sqref>K163:K169 K12:K18</xm:sqref>
        </x14:conditionalFormatting>
        <x14:conditionalFormatting xmlns:xm="http://schemas.microsoft.com/office/excel/2006/main">
          <x14:cfRule type="dataBar" id="{918CB5A2-7B06-DF43-9B20-7B9F9769BC82}">
            <x14:dataBar minLength="0" maxLength="100" gradient="0">
              <x14:cfvo type="num">
                <xm:f>0</xm:f>
              </x14:cfvo>
              <x14:cfvo type="num">
                <xm:f>1</xm:f>
              </x14:cfvo>
              <x14:negativeFillColor rgb="FFFF0000"/>
              <x14:axisColor rgb="FF000000"/>
            </x14:dataBar>
          </x14:cfRule>
          <xm:sqref>Q163:Q167</xm:sqref>
        </x14:conditionalFormatting>
        <x14:conditionalFormatting xmlns:xm="http://schemas.microsoft.com/office/excel/2006/main">
          <x14:cfRule type="dataBar" id="{0A346FDD-7954-5240-B43C-8C757E969172}">
            <x14:dataBar minLength="0" maxLength="100" gradient="0">
              <x14:cfvo type="num">
                <xm:f>0</xm:f>
              </x14:cfvo>
              <x14:cfvo type="num">
                <xm:f>1</xm:f>
              </x14:cfvo>
              <x14:negativeFillColor rgb="FFFF0000"/>
              <x14:axisColor rgb="FF000000"/>
            </x14:dataBar>
          </x14:cfRule>
          <xm:sqref>Q170</xm:sqref>
        </x14:conditionalFormatting>
        <x14:conditionalFormatting xmlns:xm="http://schemas.microsoft.com/office/excel/2006/main">
          <x14:cfRule type="dataBar" id="{6B809DAC-D6F2-482F-A88C-85D2FD78B123}">
            <x14:dataBar minLength="0" maxLength="100" gradient="0">
              <x14:cfvo type="num">
                <xm:f>0</xm:f>
              </x14:cfvo>
              <x14:cfvo type="num">
                <xm:f>1</xm:f>
              </x14:cfvo>
              <x14:negativeFillColor rgb="FFFF0000"/>
              <x14:axisColor rgb="FF000000"/>
            </x14:dataBar>
          </x14:cfRule>
          <xm:sqref>F201:F205</xm:sqref>
        </x14:conditionalFormatting>
        <x14:conditionalFormatting xmlns:xm="http://schemas.microsoft.com/office/excel/2006/main">
          <x14:cfRule type="dataBar" id="{ED7493BC-A088-4446-B106-987A225A3AA5}">
            <x14:dataBar minLength="0" maxLength="100" gradient="0">
              <x14:cfvo type="num">
                <xm:f>0</xm:f>
              </x14:cfvo>
              <x14:cfvo type="num">
                <xm:f>1</xm:f>
              </x14:cfvo>
              <x14:negativeFillColor rgb="FFFF0000"/>
              <x14:axisColor rgb="FF000000"/>
            </x14:dataBar>
          </x14:cfRule>
          <xm:sqref>F206</xm:sqref>
        </x14:conditionalFormatting>
        <x14:conditionalFormatting xmlns:xm="http://schemas.microsoft.com/office/excel/2006/main">
          <x14:cfRule type="dataBar" id="{A0153C73-1A14-4A75-993B-9D874408DDB1}">
            <x14:dataBar minLength="0" maxLength="100" gradient="0">
              <x14:cfvo type="num">
                <xm:f>0</xm:f>
              </x14:cfvo>
              <x14:cfvo type="num">
                <xm:f>1</xm:f>
              </x14:cfvo>
              <x14:negativeFillColor rgb="FFFF0000"/>
              <x14:axisColor rgb="FF000000"/>
            </x14:dataBar>
          </x14:cfRule>
          <xm:sqref>K19:K20</xm:sqref>
        </x14:conditionalFormatting>
        <x14:conditionalFormatting xmlns:xm="http://schemas.microsoft.com/office/excel/2006/main">
          <x14:cfRule type="dataBar" id="{524A258B-D5B3-4386-B88B-DFB1D70C265E}">
            <x14:dataBar minLength="0" maxLength="100" gradient="0">
              <x14:cfvo type="num">
                <xm:f>0</xm:f>
              </x14:cfvo>
              <x14:cfvo type="num">
                <xm:f>1</xm:f>
              </x14:cfvo>
              <x14:negativeFillColor rgb="FFFF0000"/>
              <x14:axisColor rgb="FF000000"/>
            </x14:dataBar>
          </x14:cfRule>
          <xm:sqref>Q18</xm:sqref>
        </x14:conditionalFormatting>
        <x14:conditionalFormatting xmlns:xm="http://schemas.microsoft.com/office/excel/2006/main">
          <x14:cfRule type="dataBar" id="{6CE087E6-C561-4BBD-8834-9CBFBCFD4394}">
            <x14:dataBar minLength="0" maxLength="100" gradient="0">
              <x14:cfvo type="num">
                <xm:f>0</xm:f>
              </x14:cfvo>
              <x14:cfvo type="num">
                <xm:f>1</xm:f>
              </x14:cfvo>
              <x14:negativeFillColor rgb="FFFF0000"/>
              <x14:axisColor rgb="FF000000"/>
            </x14:dataBar>
          </x14:cfRule>
          <xm:sqref>Q19</xm:sqref>
        </x14:conditionalFormatting>
        <x14:conditionalFormatting xmlns:xm="http://schemas.microsoft.com/office/excel/2006/main">
          <x14:cfRule type="dataBar" id="{C32B6C1F-B68A-4207-92EC-07336FED3AF6}">
            <x14:dataBar minLength="0" maxLength="100" gradient="0">
              <x14:cfvo type="num">
                <xm:f>0</xm:f>
              </x14:cfvo>
              <x14:cfvo type="num">
                <xm:f>1</xm:f>
              </x14:cfvo>
              <x14:negativeFillColor rgb="FFFF0000"/>
              <x14:axisColor rgb="FF000000"/>
            </x14:dataBar>
          </x14:cfRule>
          <xm:sqref>Q20</xm:sqref>
        </x14:conditionalFormatting>
        <x14:conditionalFormatting xmlns:xm="http://schemas.microsoft.com/office/excel/2006/main">
          <x14:cfRule type="dataBar" priority="34" id="{A2309E9D-E215-C64F-9BEC-A32876514ABE}">
            <x14:dataBar minLength="0" maxLength="100" gradient="0">
              <x14:cfvo type="num">
                <xm:f>0</xm:f>
              </x14:cfvo>
              <x14:cfvo type="num">
                <xm:f>Paramétres!$B$19</xm:f>
              </x14:cfvo>
              <x14:fillColor theme="1" tint="0.34998626667073579"/>
              <x14:negativeFillColor rgb="FFFF0000"/>
              <x14:axisColor rgb="FF000000"/>
            </x14:dataBar>
          </x14:cfRule>
          <xm:sqref>Q12:Q15</xm:sqref>
        </x14:conditionalFormatting>
      </x14:conditionalFormattings>
    </ext>
    <ext xmlns:x14="http://schemas.microsoft.com/office/spreadsheetml/2009/9/main" uri="{CCE6A557-97BC-4b89-ADB6-D9C93CAAB3DF}">
      <x14:dataValidations xmlns:xm="http://schemas.microsoft.com/office/excel/2006/main" count="1">
        <x14:dataValidation type="list" allowBlank="1" showInputMessage="1" showErrorMessage="1" xr:uid="{227BDA78-C511-4945-B1AB-5A8C6EEB771F}">
          <x14:formula1>
            <xm:f>'BDD - Joueurs'!$B$2:$B$31</xm:f>
          </x14:formula1>
          <xm:sqref>B2</xm:sqref>
        </x14:dataValidation>
      </x14:dataValidations>
    </ext>
  </extLst>
</worksheet>
</file>

<file path=xl/worksheets/sheet2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codeName="Feuil13">
    <tabColor theme="3" tint="0.249977111117893"/>
  </sheetPr>
  <dimension ref="A1:Q33"/>
  <sheetViews>
    <sheetView showGridLines="0" workbookViewId="0">
      <selection activeCell="S7" sqref="S7"/>
    </sheetView>
  </sheetViews>
  <sheetFormatPr baseColWidth="10" defaultRowHeight="12.75"/>
  <cols>
    <col min="1" max="1" width="22.85546875" customWidth="1"/>
    <col min="2" max="3" width="2.85546875" customWidth="1"/>
    <col min="4" max="4" width="0.42578125" customWidth="1"/>
    <col min="5" max="5" width="8.85546875" customWidth="1"/>
    <col min="6" max="6" width="0.42578125" customWidth="1"/>
    <col min="7" max="10" width="8.85546875" customWidth="1"/>
    <col min="11" max="11" width="0.42578125" customWidth="1"/>
    <col min="12" max="13" width="10.85546875" customWidth="1"/>
  </cols>
  <sheetData>
    <row r="1" spans="1:17" ht="20.100000000000001" customHeight="1">
      <c r="C1" s="491" t="s">
        <v>268</v>
      </c>
      <c r="D1" s="491"/>
      <c r="E1" s="491"/>
      <c r="F1" s="173"/>
      <c r="G1" s="492"/>
      <c r="H1" s="173"/>
      <c r="I1" s="652" t="s">
        <v>673</v>
      </c>
      <c r="J1" s="652"/>
      <c r="K1" s="484" t="s">
        <v>674</v>
      </c>
      <c r="L1" s="653">
        <f ca="1">TODAY()</f>
        <v>43360</v>
      </c>
      <c r="M1" s="653"/>
    </row>
    <row r="2" spans="1:17" ht="15.95" customHeight="1">
      <c r="A2" s="493"/>
      <c r="B2" s="505" t="s">
        <v>675</v>
      </c>
      <c r="C2" s="504" t="s">
        <v>678</v>
      </c>
      <c r="D2" s="494"/>
      <c r="E2" s="494" t="s">
        <v>676</v>
      </c>
      <c r="F2" s="494"/>
      <c r="G2" s="494">
        <v>1</v>
      </c>
      <c r="H2" s="494">
        <v>2</v>
      </c>
      <c r="I2" s="494">
        <v>3</v>
      </c>
      <c r="J2" s="494">
        <v>4</v>
      </c>
      <c r="K2" s="494"/>
      <c r="L2" s="494" t="s">
        <v>677</v>
      </c>
      <c r="M2" s="494" t="s">
        <v>7</v>
      </c>
    </row>
    <row r="3" spans="1:17" ht="18.95" customHeight="1">
      <c r="A3" s="499" t="str">
        <f ca="1">INDIRECT("'BDD - Joueurs'!B2")</f>
        <v>ADDA Matteo</v>
      </c>
      <c r="B3" s="501"/>
      <c r="C3" s="501"/>
      <c r="D3" s="495"/>
      <c r="E3" s="485">
        <v>16</v>
      </c>
      <c r="F3" s="495"/>
      <c r="G3" s="486"/>
      <c r="H3" s="496"/>
      <c r="I3" s="496"/>
      <c r="J3" s="486"/>
      <c r="K3" s="495"/>
      <c r="L3" s="486"/>
      <c r="M3" s="496"/>
    </row>
    <row r="4" spans="1:17" ht="18.95" customHeight="1">
      <c r="A4" s="500" t="str">
        <f ca="1">INDIRECT("'BDD - Joueurs'!B3")</f>
        <v>ALFONSO Joao</v>
      </c>
      <c r="B4" s="502"/>
      <c r="C4" s="502"/>
      <c r="D4" s="495"/>
      <c r="E4" s="487">
        <v>14</v>
      </c>
      <c r="F4" s="495"/>
      <c r="G4" s="28"/>
      <c r="H4" s="497"/>
      <c r="I4" s="497"/>
      <c r="J4" s="28"/>
      <c r="K4" s="495"/>
      <c r="L4" s="28"/>
      <c r="M4" s="497"/>
    </row>
    <row r="5" spans="1:17" ht="18.95" customHeight="1">
      <c r="A5" s="499" t="str">
        <f ca="1">INDIRECT("'BDD - Joueurs'!B4")</f>
        <v>BERDAH Matis</v>
      </c>
      <c r="B5" s="501"/>
      <c r="C5" s="501"/>
      <c r="D5" s="495"/>
      <c r="E5" s="485"/>
      <c r="F5" s="495"/>
      <c r="G5" s="486"/>
      <c r="H5" s="496"/>
      <c r="I5" s="496"/>
      <c r="J5" s="486"/>
      <c r="K5" s="495"/>
      <c r="L5" s="486"/>
      <c r="M5" s="496"/>
    </row>
    <row r="6" spans="1:17" ht="18.95" customHeight="1">
      <c r="A6" s="500" t="str">
        <f ca="1">INDIRECT("'BDD - Joueurs'!B5")</f>
        <v>CAMARA Bandiougou</v>
      </c>
      <c r="B6" s="502"/>
      <c r="C6" s="502"/>
      <c r="D6" s="495"/>
      <c r="E6" s="487">
        <v>12.5</v>
      </c>
      <c r="F6" s="495"/>
      <c r="G6" s="28"/>
      <c r="H6" s="497"/>
      <c r="I6" s="497"/>
      <c r="J6" s="28"/>
      <c r="K6" s="495"/>
      <c r="L6" s="28"/>
      <c r="M6" s="497"/>
    </row>
    <row r="7" spans="1:17" ht="18.95" customHeight="1">
      <c r="A7" s="499" t="str">
        <f ca="1">INDIRECT("'BDD - Joueurs'!B6")</f>
        <v>CAMARA Moussa</v>
      </c>
      <c r="B7" s="501"/>
      <c r="C7" s="501"/>
      <c r="D7" s="495"/>
      <c r="E7" s="485"/>
      <c r="F7" s="495"/>
      <c r="G7" s="486"/>
      <c r="H7" s="496"/>
      <c r="I7" s="496"/>
      <c r="J7" s="486"/>
      <c r="K7" s="495"/>
      <c r="L7" s="486"/>
      <c r="M7" s="496"/>
    </row>
    <row r="8" spans="1:17" ht="18.95" customHeight="1">
      <c r="A8" s="500" t="str">
        <f ca="1">INDIRECT("'BDD - Joueurs'!B7")</f>
        <v>CARREAU Ethan</v>
      </c>
      <c r="B8" s="502"/>
      <c r="C8" s="502"/>
      <c r="D8" s="495"/>
      <c r="E8" s="487">
        <v>14</v>
      </c>
      <c r="F8" s="495"/>
      <c r="G8" s="28"/>
      <c r="H8" s="497"/>
      <c r="I8" s="497"/>
      <c r="J8" s="28"/>
      <c r="K8" s="495"/>
      <c r="L8" s="28"/>
      <c r="M8" s="497"/>
    </row>
    <row r="9" spans="1:17" ht="18.95" customHeight="1">
      <c r="A9" s="499" t="str">
        <f ca="1">INDIRECT("'BDD - Joueurs'!B8")</f>
        <v>CHEROD Alexis</v>
      </c>
      <c r="B9" s="501"/>
      <c r="C9" s="501"/>
      <c r="D9" s="495"/>
      <c r="E9" s="485"/>
      <c r="F9" s="495"/>
      <c r="G9" s="486"/>
      <c r="H9" s="496"/>
      <c r="I9" s="496"/>
      <c r="J9" s="486"/>
      <c r="K9" s="495"/>
      <c r="L9" s="486"/>
      <c r="M9" s="496"/>
    </row>
    <row r="10" spans="1:17" ht="18.95" customHeight="1">
      <c r="A10" s="500" t="str">
        <f ca="1">INDIRECT("'BDD - Joueurs'!B9")</f>
        <v>DJEHICHE Ramzi</v>
      </c>
      <c r="B10" s="502"/>
      <c r="C10" s="502"/>
      <c r="D10" s="495"/>
      <c r="E10" s="487">
        <v>15.5</v>
      </c>
      <c r="F10" s="495"/>
      <c r="G10" s="28"/>
      <c r="H10" s="497"/>
      <c r="I10" s="497"/>
      <c r="J10" s="488"/>
      <c r="K10" s="495"/>
      <c r="L10" s="28"/>
      <c r="M10" s="497"/>
    </row>
    <row r="11" spans="1:17" ht="18.95" customHeight="1">
      <c r="A11" s="499" t="str">
        <f ca="1">INDIRECT("'BDD - Joueurs'!B10")</f>
        <v>DOSIERE Baptiste</v>
      </c>
      <c r="B11" s="501"/>
      <c r="C11" s="501"/>
      <c r="D11" s="495"/>
      <c r="E11" s="485"/>
      <c r="F11" s="495"/>
      <c r="G11" s="486"/>
      <c r="H11" s="496"/>
      <c r="I11" s="496"/>
      <c r="J11" s="486"/>
      <c r="K11" s="495"/>
      <c r="L11" s="486"/>
      <c r="M11" s="496"/>
    </row>
    <row r="12" spans="1:17" ht="18.95" customHeight="1">
      <c r="A12" s="500" t="str">
        <f ca="1">INDIRECT("'BDD - Joueurs'!B11")</f>
        <v>DUQUENOY Thomas</v>
      </c>
      <c r="B12" s="502"/>
      <c r="C12" s="502"/>
      <c r="D12" s="495"/>
      <c r="E12" s="487">
        <v>14</v>
      </c>
      <c r="F12" s="495"/>
      <c r="G12" s="28"/>
      <c r="H12" s="497"/>
      <c r="I12" s="497"/>
      <c r="J12" s="28"/>
      <c r="K12" s="495"/>
      <c r="L12" s="28"/>
      <c r="M12" s="497"/>
    </row>
    <row r="13" spans="1:17" ht="18.95" customHeight="1">
      <c r="A13" s="499" t="str">
        <f ca="1">INDIRECT("'BDD - Joueurs'!B12")</f>
        <v>KIPRE Jordan</v>
      </c>
      <c r="B13" s="501"/>
      <c r="C13" s="501"/>
      <c r="D13" s="495"/>
      <c r="E13" s="485"/>
      <c r="F13" s="495"/>
      <c r="G13" s="486"/>
      <c r="H13" s="496"/>
      <c r="I13" s="496"/>
      <c r="J13" s="486"/>
      <c r="K13" s="495"/>
      <c r="L13" s="486"/>
      <c r="M13" s="496"/>
    </row>
    <row r="14" spans="1:17" ht="18.95" customHeight="1">
      <c r="A14" s="500" t="str">
        <f ca="1">INDIRECT("'BDD - Joueurs'!B13")</f>
        <v>KONATE Mamadou</v>
      </c>
      <c r="B14" s="502"/>
      <c r="C14" s="502"/>
      <c r="D14" s="495"/>
      <c r="E14" s="487"/>
      <c r="F14" s="495"/>
      <c r="G14" s="28"/>
      <c r="H14" s="497"/>
      <c r="I14" s="497"/>
      <c r="J14" s="28"/>
      <c r="K14" s="495"/>
      <c r="L14" s="28"/>
      <c r="M14" s="497"/>
      <c r="Q14" s="489"/>
    </row>
    <row r="15" spans="1:17" ht="18.95" customHeight="1">
      <c r="A15" s="499" t="str">
        <f ca="1">INDIRECT("'BDD - Joueurs'!B14")</f>
        <v>LECOUFFE Hugo</v>
      </c>
      <c r="B15" s="501"/>
      <c r="C15" s="501"/>
      <c r="D15" s="495"/>
      <c r="E15" s="490"/>
      <c r="F15" s="495"/>
      <c r="G15" s="486"/>
      <c r="H15" s="496"/>
      <c r="I15" s="496"/>
      <c r="J15" s="486"/>
      <c r="K15" s="495"/>
      <c r="L15" s="486"/>
      <c r="M15" s="496"/>
    </row>
    <row r="16" spans="1:17" ht="18.95" customHeight="1">
      <c r="A16" s="500" t="str">
        <f ca="1">INDIRECT("'BDD - Joueurs'!B15")</f>
        <v>LEFRANC Nathan</v>
      </c>
      <c r="B16" s="503"/>
      <c r="C16" s="503"/>
      <c r="D16" s="495"/>
      <c r="E16" s="487">
        <v>14</v>
      </c>
      <c r="F16" s="495"/>
      <c r="G16" s="56"/>
      <c r="H16" s="498"/>
      <c r="I16" s="498"/>
      <c r="J16" s="56"/>
      <c r="K16" s="495"/>
      <c r="L16" s="56"/>
      <c r="M16" s="498"/>
    </row>
    <row r="17" spans="1:13" ht="18.95" customHeight="1">
      <c r="A17" s="499" t="str">
        <f ca="1">INDIRECT("'BDD - Joueurs'!B16")</f>
        <v>MASSOUSSI Elie</v>
      </c>
      <c r="B17" s="501"/>
      <c r="C17" s="501"/>
      <c r="D17" s="495"/>
      <c r="E17" s="490">
        <v>16.5</v>
      </c>
      <c r="F17" s="495"/>
      <c r="G17" s="486"/>
      <c r="H17" s="496"/>
      <c r="I17" s="496"/>
      <c r="J17" s="486"/>
      <c r="K17" s="495"/>
      <c r="L17" s="486"/>
      <c r="M17" s="496"/>
    </row>
    <row r="18" spans="1:13" ht="18.95" customHeight="1">
      <c r="A18" s="500" t="str">
        <f ca="1">INDIRECT("'BDD - Joueurs'!B17")</f>
        <v>NGOUABI Yoann</v>
      </c>
      <c r="B18" s="503"/>
      <c r="C18" s="503"/>
      <c r="D18" s="495"/>
      <c r="E18" s="487">
        <v>14</v>
      </c>
      <c r="F18" s="495"/>
      <c r="G18" s="56"/>
      <c r="H18" s="498"/>
      <c r="I18" s="498"/>
      <c r="J18" s="56"/>
      <c r="K18" s="495"/>
      <c r="L18" s="56"/>
      <c r="M18" s="498"/>
    </row>
    <row r="19" spans="1:13" ht="18.95" customHeight="1">
      <c r="A19" s="499" t="str">
        <f ca="1">INDIRECT("'BDD - Joueurs'!B18")</f>
        <v>PLANET Mathis</v>
      </c>
      <c r="B19" s="501"/>
      <c r="C19" s="501"/>
      <c r="D19" s="495"/>
      <c r="E19" s="485">
        <v>15.5</v>
      </c>
      <c r="F19" s="495"/>
      <c r="G19" s="486"/>
      <c r="H19" s="496"/>
      <c r="I19" s="496"/>
      <c r="J19" s="486"/>
      <c r="K19" s="495"/>
      <c r="L19" s="486"/>
      <c r="M19" s="496"/>
    </row>
    <row r="20" spans="1:13" ht="18.95" customHeight="1">
      <c r="A20" s="500" t="str">
        <f ca="1">INDIRECT("'BDD - Joueurs'!B19")</f>
        <v>PRONNIER Nicolas</v>
      </c>
      <c r="B20" s="503"/>
      <c r="C20" s="503"/>
      <c r="D20" s="495"/>
      <c r="E20" s="487">
        <v>15.5</v>
      </c>
      <c r="F20" s="495"/>
      <c r="G20" s="56"/>
      <c r="H20" s="498"/>
      <c r="I20" s="498"/>
      <c r="J20" s="56"/>
      <c r="K20" s="495"/>
      <c r="L20" s="56"/>
      <c r="M20" s="498"/>
    </row>
    <row r="21" spans="1:13" ht="18.95" customHeight="1">
      <c r="A21" s="499" t="str">
        <f ca="1">INDIRECT("'BDD - Joueurs'!B20")</f>
        <v>STIOUET Reda</v>
      </c>
      <c r="B21" s="501"/>
      <c r="C21" s="501"/>
      <c r="D21" s="495"/>
      <c r="E21" s="490"/>
      <c r="F21" s="495"/>
      <c r="G21" s="486"/>
      <c r="H21" s="496"/>
      <c r="I21" s="496"/>
      <c r="J21" s="486"/>
      <c r="K21" s="495"/>
      <c r="L21" s="486"/>
      <c r="M21" s="496"/>
    </row>
    <row r="22" spans="1:13" ht="18.95" customHeight="1">
      <c r="A22" s="500" t="str">
        <f ca="1">INDIRECT("'BDD - Joueurs'!B21")</f>
        <v>ZERDEB Said</v>
      </c>
      <c r="B22" s="503"/>
      <c r="C22" s="503"/>
      <c r="D22" s="495"/>
      <c r="E22" s="487"/>
      <c r="F22" s="495"/>
      <c r="G22" s="56"/>
      <c r="H22" s="498"/>
      <c r="I22" s="498"/>
      <c r="J22" s="56"/>
      <c r="K22" s="495"/>
      <c r="L22" s="56"/>
      <c r="M22" s="498"/>
    </row>
    <row r="23" spans="1:13" ht="18.95" customHeight="1">
      <c r="A23" s="499" t="str">
        <f ca="1">INDIRECT("'BDD - Joueurs'!B22")</f>
        <v>OSSENI Farouk</v>
      </c>
      <c r="B23" s="501"/>
      <c r="C23" s="501"/>
      <c r="D23" s="495"/>
      <c r="E23" s="490">
        <v>10</v>
      </c>
      <c r="F23" s="495"/>
      <c r="G23" s="486"/>
      <c r="H23" s="496"/>
      <c r="I23" s="496"/>
      <c r="J23" s="486"/>
      <c r="K23" s="495"/>
      <c r="L23" s="486"/>
      <c r="M23" s="496"/>
    </row>
    <row r="24" spans="1:13" ht="18.95" customHeight="1">
      <c r="A24" s="500"/>
      <c r="B24" s="503"/>
      <c r="C24" s="503"/>
      <c r="D24" s="495"/>
      <c r="E24" s="487"/>
      <c r="F24" s="495"/>
      <c r="G24" s="56"/>
      <c r="H24" s="498"/>
      <c r="I24" s="498"/>
      <c r="J24" s="56"/>
      <c r="K24" s="495"/>
      <c r="L24" s="56"/>
      <c r="M24" s="498"/>
    </row>
    <row r="25" spans="1:13" ht="18.95" customHeight="1">
      <c r="A25" s="499"/>
      <c r="B25" s="501"/>
      <c r="C25" s="501"/>
      <c r="D25" s="495"/>
      <c r="E25" s="490"/>
      <c r="F25" s="495"/>
      <c r="G25" s="486"/>
      <c r="H25" s="496"/>
      <c r="I25" s="496"/>
      <c r="J25" s="486"/>
      <c r="K25" s="495"/>
      <c r="L25" s="486"/>
      <c r="M25" s="496"/>
    </row>
    <row r="26" spans="1:13" ht="18.95" customHeight="1">
      <c r="A26" s="500"/>
      <c r="B26" s="503"/>
      <c r="C26" s="503"/>
      <c r="D26" s="495"/>
      <c r="E26" s="487"/>
      <c r="F26" s="495"/>
      <c r="G26" s="56"/>
      <c r="H26" s="498"/>
      <c r="I26" s="498"/>
      <c r="J26" s="56"/>
      <c r="K26" s="495"/>
      <c r="L26" s="56"/>
      <c r="M26" s="498"/>
    </row>
    <row r="27" spans="1:13" ht="21" customHeight="1"/>
    <row r="28" spans="1:13" ht="21" customHeight="1"/>
    <row r="29" spans="1:13" ht="21" customHeight="1"/>
    <row r="30" spans="1:13" ht="21" customHeight="1"/>
    <row r="31" spans="1:13" ht="21" customHeight="1"/>
    <row r="32" spans="1:13" ht="21" customHeight="1"/>
    <row r="33" ht="21" customHeight="1"/>
  </sheetData>
  <sheetProtection selectLockedCells="1" selectUnlockedCells="1"/>
  <mergeCells count="2">
    <mergeCell ref="I1:J1"/>
    <mergeCell ref="L1:M1"/>
  </mergeCells>
  <phoneticPr fontId="24" type="noConversion"/>
  <conditionalFormatting sqref="D4:D33">
    <cfRule type="cellIs" dxfId="80" priority="1" operator="equal">
      <formula>"G4"</formula>
    </cfRule>
    <cfRule type="cellIs" dxfId="79" priority="2" operator="equal">
      <formula>"G3"</formula>
    </cfRule>
    <cfRule type="cellIs" dxfId="78" priority="3" operator="equal">
      <formula>"G2"</formula>
    </cfRule>
    <cfRule type="cellIs" dxfId="77" priority="4" operator="equal">
      <formula>"G1"</formula>
    </cfRule>
  </conditionalFormatting>
  <pageMargins left="0.7" right="0.7" top="0.75" bottom="0.75" header="0.3" footer="0.3"/>
  <pageSetup paperSize="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96257" r:id="rId4" name="Button 1">
              <controlPr defaultSize="0" print="0" autoFill="0" autoPict="0" macro="[0]!CloseOnglet">
                <anchor moveWithCells="1" sizeWithCells="1">
                  <from>
                    <xdr:col>13</xdr:col>
                    <xdr:colOff>142875</xdr:colOff>
                    <xdr:row>0</xdr:row>
                    <xdr:rowOff>219075</xdr:rowOff>
                  </from>
                  <to>
                    <xdr:col>15</xdr:col>
                    <xdr:colOff>257175</xdr:colOff>
                    <xdr:row>2</xdr:row>
                    <xdr:rowOff>152400</xdr:rowOff>
                  </to>
                </anchor>
              </controlPr>
            </control>
          </mc:Choice>
        </mc:AlternateContent>
      </controls>
    </mc:Choice>
  </mc:AlternateContent>
</worksheet>
</file>

<file path=xl/worksheets/sheet2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codeName="Feuil15">
    <tabColor theme="4"/>
  </sheetPr>
  <dimension ref="B1:R35"/>
  <sheetViews>
    <sheetView showGridLines="0" workbookViewId="0">
      <selection activeCell="F24" sqref="F24"/>
    </sheetView>
  </sheetViews>
  <sheetFormatPr baseColWidth="10" defaultRowHeight="12.75"/>
  <cols>
    <col min="1" max="1" width="2.85546875" customWidth="1"/>
    <col min="2" max="5" width="20.85546875" customWidth="1"/>
    <col min="6" max="6" width="21.85546875" customWidth="1"/>
  </cols>
  <sheetData>
    <row r="1" spans="2:18" ht="12" customHeight="1"/>
    <row r="2" spans="2:18" ht="32.25">
      <c r="B2" s="172" t="s">
        <v>221</v>
      </c>
    </row>
    <row r="3" spans="2:18" ht="12" customHeight="1"/>
    <row r="4" spans="2:18">
      <c r="B4" t="s">
        <v>192</v>
      </c>
      <c r="C4" t="s">
        <v>222</v>
      </c>
      <c r="D4" t="s">
        <v>223</v>
      </c>
      <c r="E4" t="s">
        <v>224</v>
      </c>
      <c r="F4" t="s">
        <v>220</v>
      </c>
    </row>
    <row r="5" spans="2:18" ht="15.75">
      <c r="B5" s="173" t="str">
        <f>'BDD - Joueurs'!B2</f>
        <v>ADDA Matteo</v>
      </c>
      <c r="C5" s="25">
        <v>6</v>
      </c>
      <c r="D5" s="25">
        <v>2</v>
      </c>
      <c r="E5" s="25">
        <v>2</v>
      </c>
      <c r="F5" s="174" t="s">
        <v>222</v>
      </c>
      <c r="H5" s="226" t="s">
        <v>224</v>
      </c>
    </row>
    <row r="6" spans="2:18" ht="15" customHeight="1">
      <c r="B6" s="173" t="str">
        <f>'BDD - Joueurs'!B3</f>
        <v>ALFONSO Joao</v>
      </c>
      <c r="C6" s="25">
        <v>5</v>
      </c>
      <c r="D6" s="25">
        <v>1</v>
      </c>
      <c r="E6" s="25">
        <v>4</v>
      </c>
      <c r="F6" s="174" t="s">
        <v>222</v>
      </c>
      <c r="H6" s="654" t="s">
        <v>241</v>
      </c>
      <c r="I6" s="654"/>
      <c r="J6" s="654"/>
      <c r="K6" s="654"/>
      <c r="L6" s="654"/>
      <c r="M6" s="654"/>
      <c r="N6" s="654"/>
      <c r="O6" s="654"/>
      <c r="P6" s="654"/>
      <c r="Q6" s="654"/>
    </row>
    <row r="7" spans="2:18" ht="15" customHeight="1">
      <c r="B7" s="173" t="str">
        <f>'BDD - Joueurs'!B4</f>
        <v>BERDAH Matis</v>
      </c>
      <c r="C7" s="25"/>
      <c r="D7" s="25"/>
      <c r="E7" s="25"/>
      <c r="F7" s="174"/>
      <c r="H7" s="654"/>
      <c r="I7" s="654"/>
      <c r="J7" s="654"/>
      <c r="K7" s="654"/>
      <c r="L7" s="654"/>
      <c r="M7" s="654"/>
      <c r="N7" s="654"/>
      <c r="O7" s="654"/>
      <c r="P7" s="654"/>
      <c r="Q7" s="654"/>
      <c r="R7" s="228"/>
    </row>
    <row r="8" spans="2:18" ht="15">
      <c r="B8" s="173" t="str">
        <f>'BDD - Joueurs'!B5</f>
        <v>CAMARA Bandiougou</v>
      </c>
      <c r="C8" s="25">
        <v>8</v>
      </c>
      <c r="D8" s="25">
        <v>2</v>
      </c>
      <c r="E8" s="25">
        <v>6</v>
      </c>
      <c r="F8" s="174" t="s">
        <v>222</v>
      </c>
      <c r="H8" s="654"/>
      <c r="I8" s="654"/>
      <c r="J8" s="654"/>
      <c r="K8" s="654"/>
      <c r="L8" s="654"/>
      <c r="M8" s="654"/>
      <c r="N8" s="654"/>
      <c r="O8" s="654"/>
      <c r="P8" s="654"/>
      <c r="Q8" s="654"/>
      <c r="R8" s="228"/>
    </row>
    <row r="9" spans="2:18" ht="15">
      <c r="B9" s="173" t="str">
        <f>'BDD - Joueurs'!B6</f>
        <v>CAMARA Moussa</v>
      </c>
      <c r="C9" s="25"/>
      <c r="D9" s="25"/>
      <c r="E9" s="25"/>
      <c r="F9" s="174"/>
      <c r="H9" s="654"/>
      <c r="I9" s="654"/>
      <c r="J9" s="654"/>
      <c r="K9" s="654"/>
      <c r="L9" s="654"/>
      <c r="M9" s="654"/>
      <c r="N9" s="654"/>
      <c r="O9" s="654"/>
      <c r="P9" s="654"/>
      <c r="Q9" s="654"/>
      <c r="R9" s="228"/>
    </row>
    <row r="10" spans="2:18" ht="15">
      <c r="B10" s="173" t="str">
        <f>'BDD - Joueurs'!B7</f>
        <v>CARREAU Ethan</v>
      </c>
      <c r="C10" s="25">
        <v>3</v>
      </c>
      <c r="D10" s="25">
        <v>2</v>
      </c>
      <c r="E10" s="25">
        <v>5</v>
      </c>
      <c r="F10" s="174" t="s">
        <v>224</v>
      </c>
      <c r="H10" s="654"/>
      <c r="I10" s="654"/>
      <c r="J10" s="654"/>
      <c r="K10" s="654"/>
      <c r="L10" s="654"/>
      <c r="M10" s="654"/>
      <c r="N10" s="654"/>
      <c r="O10" s="654"/>
      <c r="P10" s="654"/>
      <c r="Q10" s="654"/>
      <c r="R10" s="228"/>
    </row>
    <row r="11" spans="2:18" ht="15">
      <c r="B11" s="173" t="str">
        <f>'BDD - Joueurs'!B8</f>
        <v>CHEROD Alexis</v>
      </c>
      <c r="C11" s="25"/>
      <c r="D11" s="25"/>
      <c r="E11" s="25"/>
      <c r="F11" s="174"/>
      <c r="H11" s="654"/>
      <c r="I11" s="654"/>
      <c r="J11" s="654"/>
      <c r="K11" s="654"/>
      <c r="L11" s="654"/>
      <c r="M11" s="654"/>
      <c r="N11" s="654"/>
      <c r="O11" s="654"/>
      <c r="P11" s="654"/>
      <c r="Q11" s="654"/>
      <c r="R11" s="228"/>
    </row>
    <row r="12" spans="2:18" ht="15">
      <c r="B12" s="173" t="str">
        <f>'BDD - Joueurs'!B9</f>
        <v>DJEHICHE Ramzi</v>
      </c>
      <c r="C12" s="25">
        <v>2</v>
      </c>
      <c r="D12" s="25">
        <v>5</v>
      </c>
      <c r="E12" s="25">
        <v>3</v>
      </c>
      <c r="F12" s="174" t="s">
        <v>223</v>
      </c>
      <c r="H12" s="654"/>
      <c r="I12" s="654"/>
      <c r="J12" s="654"/>
      <c r="K12" s="654"/>
      <c r="L12" s="654"/>
      <c r="M12" s="654"/>
      <c r="N12" s="654"/>
      <c r="O12" s="654"/>
      <c r="P12" s="654"/>
      <c r="Q12" s="654"/>
      <c r="R12" s="228"/>
    </row>
    <row r="13" spans="2:18" ht="15">
      <c r="B13" s="173" t="str">
        <f>'BDD - Joueurs'!B10</f>
        <v>DOSIERE Baptiste</v>
      </c>
      <c r="C13" s="25">
        <v>4</v>
      </c>
      <c r="D13" s="25">
        <v>3</v>
      </c>
      <c r="E13" s="25">
        <v>3</v>
      </c>
      <c r="F13" s="174" t="s">
        <v>222</v>
      </c>
      <c r="H13" s="654"/>
      <c r="I13" s="654"/>
      <c r="J13" s="654"/>
      <c r="K13" s="654"/>
      <c r="L13" s="654"/>
      <c r="M13" s="654"/>
      <c r="N13" s="654"/>
      <c r="O13" s="654"/>
      <c r="P13" s="654"/>
      <c r="Q13" s="654"/>
      <c r="R13" s="228"/>
    </row>
    <row r="14" spans="2:18" ht="15">
      <c r="B14" s="173" t="str">
        <f>'BDD - Joueurs'!B11</f>
        <v>DUQUENOY Thomas</v>
      </c>
      <c r="C14" s="25">
        <v>4</v>
      </c>
      <c r="D14" s="25">
        <v>3</v>
      </c>
      <c r="E14" s="25">
        <v>3</v>
      </c>
      <c r="F14" s="174" t="s">
        <v>222</v>
      </c>
      <c r="H14" s="654"/>
      <c r="I14" s="654"/>
      <c r="J14" s="654"/>
      <c r="K14" s="654"/>
      <c r="L14" s="654"/>
      <c r="M14" s="654"/>
      <c r="N14" s="654"/>
      <c r="O14" s="654"/>
      <c r="P14" s="654"/>
      <c r="Q14" s="654"/>
      <c r="R14" s="228"/>
    </row>
    <row r="15" spans="2:18" ht="15">
      <c r="B15" s="173" t="str">
        <f>'BDD - Joueurs'!B12</f>
        <v>KIPRE Jordan</v>
      </c>
      <c r="C15" s="25">
        <v>5</v>
      </c>
      <c r="D15" s="25">
        <v>0</v>
      </c>
      <c r="E15" s="25">
        <v>5</v>
      </c>
      <c r="F15" s="174" t="s">
        <v>272</v>
      </c>
      <c r="H15" s="227"/>
      <c r="I15" s="227"/>
      <c r="J15" s="227"/>
      <c r="K15" s="227"/>
      <c r="L15" s="227"/>
      <c r="M15" s="227"/>
      <c r="N15" s="227"/>
      <c r="O15" s="227"/>
      <c r="P15" s="227"/>
      <c r="Q15" s="227"/>
      <c r="R15" s="228"/>
    </row>
    <row r="16" spans="2:18" ht="15.75">
      <c r="B16" s="173" t="str">
        <f>'BDD - Joueurs'!B13</f>
        <v>KONATE Mamadou</v>
      </c>
      <c r="C16" s="25"/>
      <c r="D16" s="25"/>
      <c r="E16" s="25"/>
      <c r="F16" s="174"/>
      <c r="H16" s="226" t="s">
        <v>242</v>
      </c>
      <c r="I16" s="228"/>
      <c r="J16" s="228"/>
      <c r="K16" s="228"/>
      <c r="L16" s="228"/>
      <c r="M16" s="228"/>
      <c r="N16" s="228"/>
      <c r="O16" s="228"/>
      <c r="P16" s="228"/>
      <c r="Q16" s="228"/>
      <c r="R16" s="228"/>
    </row>
    <row r="17" spans="2:17" ht="15.95" customHeight="1">
      <c r="B17" s="173" t="str">
        <f>'BDD - Joueurs'!B14</f>
        <v>LECOUFFE Hugo</v>
      </c>
      <c r="C17" s="25">
        <v>5</v>
      </c>
      <c r="D17" s="25">
        <v>3</v>
      </c>
      <c r="E17" s="25">
        <v>2</v>
      </c>
      <c r="F17" s="174" t="s">
        <v>222</v>
      </c>
      <c r="H17" s="529" t="s">
        <v>243</v>
      </c>
      <c r="I17" s="529"/>
      <c r="J17" s="529"/>
      <c r="K17" s="529"/>
      <c r="L17" s="529"/>
      <c r="M17" s="529"/>
      <c r="N17" s="529"/>
      <c r="O17" s="529"/>
      <c r="P17" s="529"/>
      <c r="Q17" s="529"/>
    </row>
    <row r="18" spans="2:17" ht="15" customHeight="1">
      <c r="B18" s="173" t="str">
        <f>'BDD - Joueurs'!B15</f>
        <v>LEFRANC Nathan</v>
      </c>
      <c r="C18" s="25">
        <v>5</v>
      </c>
      <c r="D18" s="25">
        <v>2</v>
      </c>
      <c r="E18" s="25">
        <v>3</v>
      </c>
      <c r="F18" s="174" t="s">
        <v>222</v>
      </c>
      <c r="H18" s="529"/>
      <c r="I18" s="529"/>
      <c r="J18" s="529"/>
      <c r="K18" s="529"/>
      <c r="L18" s="529"/>
      <c r="M18" s="529"/>
      <c r="N18" s="529"/>
      <c r="O18" s="529"/>
      <c r="P18" s="529"/>
      <c r="Q18" s="529"/>
    </row>
    <row r="19" spans="2:17" ht="15">
      <c r="B19" s="173" t="str">
        <f>'BDD - Joueurs'!B16</f>
        <v>MASSOUSSI Elie</v>
      </c>
      <c r="C19" s="25">
        <v>5</v>
      </c>
      <c r="D19" s="25">
        <v>2</v>
      </c>
      <c r="E19" s="25">
        <v>3</v>
      </c>
      <c r="F19" s="174" t="s">
        <v>222</v>
      </c>
      <c r="H19" s="529"/>
      <c r="I19" s="529"/>
      <c r="J19" s="529"/>
      <c r="K19" s="529"/>
      <c r="L19" s="529"/>
      <c r="M19" s="529"/>
      <c r="N19" s="529"/>
      <c r="O19" s="529"/>
      <c r="P19" s="529"/>
      <c r="Q19" s="529"/>
    </row>
    <row r="20" spans="2:17" ht="15">
      <c r="B20" s="173" t="str">
        <f>'BDD - Joueurs'!B17</f>
        <v>NGOUABI Yoann</v>
      </c>
      <c r="C20" s="25">
        <v>7</v>
      </c>
      <c r="D20" s="25">
        <v>1</v>
      </c>
      <c r="E20" s="25">
        <v>2</v>
      </c>
      <c r="F20" s="174" t="s">
        <v>222</v>
      </c>
      <c r="H20" s="529"/>
      <c r="I20" s="529"/>
      <c r="J20" s="529"/>
      <c r="K20" s="529"/>
      <c r="L20" s="529"/>
      <c r="M20" s="529"/>
      <c r="N20" s="529"/>
      <c r="O20" s="529"/>
      <c r="P20" s="529"/>
      <c r="Q20" s="529"/>
    </row>
    <row r="21" spans="2:17" ht="15">
      <c r="B21" s="173" t="str">
        <f>'BDD - Joueurs'!B18</f>
        <v>PLANET Mathis</v>
      </c>
      <c r="C21" s="25">
        <v>2</v>
      </c>
      <c r="D21" s="25">
        <v>4</v>
      </c>
      <c r="E21" s="25">
        <v>4</v>
      </c>
      <c r="F21" s="174" t="s">
        <v>444</v>
      </c>
      <c r="H21" s="529"/>
      <c r="I21" s="529"/>
      <c r="J21" s="529"/>
      <c r="K21" s="529"/>
      <c r="L21" s="529"/>
      <c r="M21" s="529"/>
      <c r="N21" s="529"/>
      <c r="O21" s="529"/>
      <c r="P21" s="529"/>
      <c r="Q21" s="529"/>
    </row>
    <row r="22" spans="2:17" ht="15">
      <c r="B22" s="173" t="str">
        <f>'BDD - Joueurs'!B19</f>
        <v>PRONNIER Nicolas</v>
      </c>
      <c r="C22" s="25">
        <v>4</v>
      </c>
      <c r="D22" s="25">
        <v>2</v>
      </c>
      <c r="E22" s="25">
        <v>4</v>
      </c>
      <c r="F22" s="174" t="s">
        <v>272</v>
      </c>
      <c r="H22" s="529"/>
      <c r="I22" s="529"/>
      <c r="J22" s="529"/>
      <c r="K22" s="529"/>
      <c r="L22" s="529"/>
      <c r="M22" s="529"/>
      <c r="N22" s="529"/>
      <c r="O22" s="529"/>
      <c r="P22" s="529"/>
      <c r="Q22" s="529"/>
    </row>
    <row r="23" spans="2:17" ht="15">
      <c r="B23" s="173" t="str">
        <f>'BDD - Joueurs'!B20</f>
        <v>STIOUET Reda</v>
      </c>
      <c r="C23" s="25">
        <v>6</v>
      </c>
      <c r="D23" s="25">
        <v>2</v>
      </c>
      <c r="E23" s="25">
        <v>2</v>
      </c>
      <c r="F23" s="174" t="s">
        <v>222</v>
      </c>
      <c r="H23" s="529"/>
      <c r="I23" s="529"/>
      <c r="J23" s="529"/>
      <c r="K23" s="529"/>
      <c r="L23" s="529"/>
      <c r="M23" s="529"/>
      <c r="N23" s="529"/>
      <c r="O23" s="529"/>
      <c r="P23" s="529"/>
      <c r="Q23" s="529"/>
    </row>
    <row r="24" spans="2:17" ht="15">
      <c r="B24" s="173" t="str">
        <f>'BDD - Joueurs'!B21</f>
        <v>ZERDEB Said</v>
      </c>
      <c r="C24" s="25">
        <v>5</v>
      </c>
      <c r="D24" s="25">
        <v>2</v>
      </c>
      <c r="E24" s="25">
        <v>3</v>
      </c>
      <c r="F24" s="174" t="s">
        <v>222</v>
      </c>
      <c r="H24" s="227"/>
      <c r="I24" s="227"/>
      <c r="J24" s="227"/>
      <c r="K24" s="227"/>
      <c r="L24" s="227"/>
      <c r="M24" s="227"/>
      <c r="N24" s="227"/>
      <c r="O24" s="227"/>
      <c r="P24" s="227"/>
      <c r="Q24" s="227"/>
    </row>
    <row r="25" spans="2:17" ht="15" customHeight="1">
      <c r="B25" s="173" t="str">
        <f>'BDD - Joueurs'!B22</f>
        <v>OSSENI Farouk</v>
      </c>
      <c r="C25" s="25"/>
      <c r="D25" s="25"/>
      <c r="E25" s="25"/>
      <c r="F25" s="174"/>
      <c r="J25" s="227"/>
      <c r="K25" s="227"/>
      <c r="L25" s="227"/>
      <c r="M25" s="227"/>
      <c r="N25" s="227"/>
      <c r="O25" s="227"/>
      <c r="P25" s="227"/>
      <c r="Q25" s="227"/>
    </row>
    <row r="26" spans="2:17" ht="15" customHeight="1">
      <c r="B26" s="157">
        <f>'BDD - Joueurs'!B23</f>
        <v>0</v>
      </c>
      <c r="C26" s="25"/>
      <c r="D26" s="25"/>
      <c r="E26" s="25"/>
      <c r="F26" s="174"/>
      <c r="H26" s="655" t="s">
        <v>223</v>
      </c>
      <c r="I26" s="655"/>
      <c r="J26" s="227"/>
      <c r="K26" s="227"/>
      <c r="L26" s="227"/>
      <c r="M26" s="227"/>
      <c r="N26" s="227"/>
      <c r="O26" s="227"/>
      <c r="P26" s="227"/>
      <c r="Q26" s="227"/>
    </row>
    <row r="27" spans="2:17" ht="15">
      <c r="B27" s="157">
        <f>'BDD - Joueurs'!B24</f>
        <v>0</v>
      </c>
      <c r="C27" s="25"/>
      <c r="D27" s="25"/>
      <c r="E27" s="25"/>
      <c r="F27" s="174"/>
      <c r="H27" s="654" t="s">
        <v>244</v>
      </c>
      <c r="I27" s="654"/>
      <c r="J27" s="654"/>
      <c r="K27" s="654"/>
      <c r="L27" s="654"/>
      <c r="M27" s="654"/>
      <c r="N27" s="654"/>
      <c r="O27" s="654"/>
      <c r="P27" s="654"/>
      <c r="Q27" s="654"/>
    </row>
    <row r="28" spans="2:17" ht="15">
      <c r="B28" s="157">
        <f>'BDD - Joueurs'!B25</f>
        <v>0</v>
      </c>
      <c r="C28" s="25"/>
      <c r="D28" s="25"/>
      <c r="E28" s="25"/>
      <c r="F28" s="174"/>
      <c r="H28" s="654"/>
      <c r="I28" s="654"/>
      <c r="J28" s="654"/>
      <c r="K28" s="654"/>
      <c r="L28" s="654"/>
      <c r="M28" s="654"/>
      <c r="N28" s="654"/>
      <c r="O28" s="654"/>
      <c r="P28" s="654"/>
      <c r="Q28" s="654"/>
    </row>
    <row r="29" spans="2:17" ht="15">
      <c r="B29" s="157">
        <f>'BDD - Joueurs'!B26</f>
        <v>0</v>
      </c>
      <c r="C29" s="25"/>
      <c r="D29" s="25"/>
      <c r="E29" s="25"/>
      <c r="F29" s="174"/>
      <c r="H29" s="654"/>
      <c r="I29" s="654"/>
      <c r="J29" s="654"/>
      <c r="K29" s="654"/>
      <c r="L29" s="654"/>
      <c r="M29" s="654"/>
      <c r="N29" s="654"/>
      <c r="O29" s="654"/>
      <c r="P29" s="654"/>
      <c r="Q29" s="654"/>
    </row>
    <row r="30" spans="2:17" ht="15">
      <c r="B30" s="157">
        <f>'BDD - Joueurs'!B27</f>
        <v>0</v>
      </c>
      <c r="C30" s="25"/>
      <c r="D30" s="25"/>
      <c r="E30" s="25"/>
      <c r="F30" s="174"/>
      <c r="H30" s="654"/>
      <c r="I30" s="654"/>
      <c r="J30" s="654"/>
      <c r="K30" s="654"/>
      <c r="L30" s="654"/>
      <c r="M30" s="654"/>
      <c r="N30" s="654"/>
      <c r="O30" s="654"/>
      <c r="P30" s="654"/>
      <c r="Q30" s="654"/>
    </row>
    <row r="31" spans="2:17" ht="15">
      <c r="B31" s="157">
        <f>'BDD - Joueurs'!B28</f>
        <v>0</v>
      </c>
      <c r="C31" s="25"/>
      <c r="D31" s="25"/>
      <c r="E31" s="25"/>
      <c r="F31" s="174"/>
      <c r="H31" s="654"/>
      <c r="I31" s="654"/>
      <c r="J31" s="654"/>
      <c r="K31" s="654"/>
      <c r="L31" s="654"/>
      <c r="M31" s="654"/>
      <c r="N31" s="654"/>
      <c r="O31" s="654"/>
      <c r="P31" s="654"/>
      <c r="Q31" s="654"/>
    </row>
    <row r="32" spans="2:17" ht="15">
      <c r="B32" s="157">
        <f>'BDD - Joueurs'!B29</f>
        <v>0</v>
      </c>
      <c r="C32" s="25"/>
      <c r="D32" s="25"/>
      <c r="E32" s="25"/>
      <c r="F32" s="174"/>
      <c r="H32" s="654"/>
      <c r="I32" s="654"/>
      <c r="J32" s="654"/>
      <c r="K32" s="654"/>
      <c r="L32" s="654"/>
      <c r="M32" s="654"/>
      <c r="N32" s="654"/>
      <c r="O32" s="654"/>
      <c r="P32" s="654"/>
      <c r="Q32" s="654"/>
    </row>
    <row r="33" spans="2:17" ht="15">
      <c r="B33" s="157">
        <f>'BDD - Joueurs'!B30</f>
        <v>0</v>
      </c>
      <c r="C33" s="25"/>
      <c r="D33" s="25"/>
      <c r="E33" s="25"/>
      <c r="F33" s="174"/>
      <c r="H33" s="654"/>
      <c r="I33" s="654"/>
      <c r="J33" s="654"/>
      <c r="K33" s="654"/>
      <c r="L33" s="654"/>
      <c r="M33" s="654"/>
      <c r="N33" s="654"/>
      <c r="O33" s="654"/>
      <c r="P33" s="654"/>
      <c r="Q33" s="654"/>
    </row>
    <row r="34" spans="2:17" ht="15">
      <c r="B34" s="157">
        <f>'BDD - Joueurs'!B31</f>
        <v>0</v>
      </c>
      <c r="C34" s="25"/>
      <c r="D34" s="25"/>
      <c r="E34" s="25"/>
      <c r="F34" s="174"/>
      <c r="H34" s="654"/>
      <c r="I34" s="654"/>
      <c r="J34" s="654"/>
      <c r="K34" s="654"/>
      <c r="L34" s="654"/>
      <c r="M34" s="654"/>
      <c r="N34" s="654"/>
      <c r="O34" s="654"/>
      <c r="P34" s="654"/>
      <c r="Q34" s="654"/>
    </row>
    <row r="35" spans="2:17">
      <c r="B35" s="252"/>
    </row>
  </sheetData>
  <mergeCells count="4">
    <mergeCell ref="H6:Q14"/>
    <mergeCell ref="H17:Q23"/>
    <mergeCell ref="H26:I26"/>
    <mergeCell ref="H27:Q34"/>
  </mergeCells>
  <pageMargins left="0.7" right="0.7" top="0.75" bottom="0.75" header="0.3" footer="0.3"/>
  <drawing r:id="rId1"/>
  <legacyDrawing r:id="rId2"/>
  <mc:AlternateContent xmlns:mc="http://schemas.openxmlformats.org/markup-compatibility/2006">
    <mc:Choice Requires="x14">
      <controls>
        <mc:AlternateContent xmlns:mc="http://schemas.openxmlformats.org/markup-compatibility/2006">
          <mc:Choice Requires="x14">
            <control shapeId="18433" r:id="rId3" name="Button 1">
              <controlPr defaultSize="0" print="0" autoFill="0" autoPict="0" macro="[0]!CloseOnglet">
                <anchor moveWithCells="1" sizeWithCells="1">
                  <from>
                    <xdr:col>4</xdr:col>
                    <xdr:colOff>1181100</xdr:colOff>
                    <xdr:row>1</xdr:row>
                    <xdr:rowOff>28575</xdr:rowOff>
                  </from>
                  <to>
                    <xdr:col>6</xdr:col>
                    <xdr:colOff>0</xdr:colOff>
                    <xdr:row>1</xdr:row>
                    <xdr:rowOff>409575</xdr:rowOff>
                  </to>
                </anchor>
              </controlPr>
            </control>
          </mc:Choice>
        </mc:AlternateContent>
      </controls>
    </mc:Choice>
  </mc:AlternateContent>
  <tableParts count="1">
    <tablePart r:id="rId4"/>
  </tableParts>
</worksheet>
</file>

<file path=xl/worksheets/sheet2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sheetPr codeName="Feuil16">
    <tabColor theme="4"/>
  </sheetPr>
  <dimension ref="B1:R34"/>
  <sheetViews>
    <sheetView workbookViewId="0">
      <selection activeCell="M19" sqref="M19"/>
    </sheetView>
  </sheetViews>
  <sheetFormatPr baseColWidth="10" defaultRowHeight="12.75"/>
  <cols>
    <col min="1" max="1" width="2.85546875" customWidth="1"/>
    <col min="2" max="2" width="20.85546875" customWidth="1"/>
    <col min="3" max="8" width="11.5703125" customWidth="1"/>
  </cols>
  <sheetData>
    <row r="1" spans="2:18" ht="12" customHeight="1"/>
    <row r="2" spans="2:18" ht="32.25">
      <c r="B2" s="172" t="s">
        <v>255</v>
      </c>
    </row>
    <row r="3" spans="2:18" ht="12" customHeight="1"/>
    <row r="4" spans="2:18">
      <c r="B4" t="s">
        <v>192</v>
      </c>
      <c r="C4" t="s">
        <v>256</v>
      </c>
      <c r="D4" t="s">
        <v>254</v>
      </c>
      <c r="E4" t="s">
        <v>257</v>
      </c>
      <c r="F4" t="s">
        <v>258</v>
      </c>
      <c r="G4" t="s">
        <v>259</v>
      </c>
      <c r="H4" t="s">
        <v>260</v>
      </c>
    </row>
    <row r="5" spans="2:18">
      <c r="B5" s="173" t="str">
        <f>'BDD - Joueurs'!B2</f>
        <v>ADDA Matteo</v>
      </c>
      <c r="C5" s="237">
        <v>0.78</v>
      </c>
      <c r="D5" s="237">
        <v>0.79</v>
      </c>
      <c r="E5" s="237">
        <v>0.56000000000000005</v>
      </c>
      <c r="F5" s="237">
        <v>0.63</v>
      </c>
      <c r="G5" s="237">
        <v>0.83</v>
      </c>
      <c r="H5" s="237">
        <v>0.72</v>
      </c>
      <c r="I5" s="94"/>
      <c r="J5" s="94"/>
      <c r="K5" s="94"/>
      <c r="L5" s="94"/>
      <c r="M5" s="94"/>
      <c r="N5" s="94"/>
      <c r="O5" s="94"/>
      <c r="P5" s="94"/>
      <c r="Q5" s="94"/>
    </row>
    <row r="6" spans="2:18" ht="12.75" customHeight="1">
      <c r="B6" s="173" t="str">
        <f>'BDD - Joueurs'!B3</f>
        <v>ALFONSO Joao</v>
      </c>
      <c r="C6" s="237">
        <v>0.89</v>
      </c>
      <c r="D6" s="237">
        <v>0.65</v>
      </c>
      <c r="E6" s="237">
        <v>0.81</v>
      </c>
      <c r="F6" s="237">
        <v>0.56000000000000005</v>
      </c>
      <c r="G6" s="237">
        <v>0.67</v>
      </c>
      <c r="H6" s="237">
        <v>0.66</v>
      </c>
      <c r="I6" s="234"/>
      <c r="J6" s="234"/>
      <c r="K6" s="234"/>
      <c r="L6" s="234"/>
      <c r="M6" s="234"/>
      <c r="N6" s="234"/>
      <c r="O6" s="234"/>
      <c r="P6" s="234"/>
      <c r="Q6" s="234"/>
    </row>
    <row r="7" spans="2:18" ht="12.75" customHeight="1">
      <c r="B7" s="173" t="str">
        <f>'BDD - Joueurs'!B4</f>
        <v>BERDAH Matis</v>
      </c>
      <c r="C7" s="237"/>
      <c r="D7" s="237"/>
      <c r="E7" s="237"/>
      <c r="F7" s="237"/>
      <c r="G7" s="237"/>
      <c r="H7" s="237"/>
      <c r="I7" s="234"/>
      <c r="J7" s="234"/>
      <c r="K7" s="234"/>
      <c r="L7" s="234"/>
      <c r="M7" s="234"/>
      <c r="N7" s="234"/>
      <c r="O7" s="234"/>
      <c r="P7" s="234"/>
      <c r="Q7" s="234"/>
      <c r="R7" s="228"/>
    </row>
    <row r="8" spans="2:18">
      <c r="B8" s="173" t="str">
        <f>'BDD - Joueurs'!B5</f>
        <v>CAMARA Bandiougou</v>
      </c>
      <c r="C8" s="237">
        <v>0.75</v>
      </c>
      <c r="D8" s="237">
        <v>0.75</v>
      </c>
      <c r="E8" s="237">
        <v>0.56000000000000005</v>
      </c>
      <c r="F8" s="237">
        <v>0.69</v>
      </c>
      <c r="G8" s="237">
        <v>0.71</v>
      </c>
      <c r="H8" s="237">
        <v>0.75</v>
      </c>
      <c r="I8" s="234"/>
      <c r="J8" s="234"/>
      <c r="K8" s="234"/>
      <c r="L8" s="234"/>
      <c r="M8" s="234"/>
      <c r="N8" s="234"/>
      <c r="O8" s="234"/>
      <c r="P8" s="234"/>
      <c r="Q8" s="234"/>
      <c r="R8" s="228"/>
    </row>
    <row r="9" spans="2:18">
      <c r="B9" s="173" t="str">
        <f>'BDD - Joueurs'!B6</f>
        <v>CAMARA Moussa</v>
      </c>
      <c r="C9" s="237"/>
      <c r="D9" s="237"/>
      <c r="E9" s="237"/>
      <c r="F9" s="237"/>
      <c r="G9" s="237"/>
      <c r="H9" s="237"/>
      <c r="I9" s="234"/>
      <c r="J9" s="234"/>
      <c r="K9" s="234"/>
      <c r="L9" s="234"/>
      <c r="M9" s="234"/>
      <c r="N9" s="234"/>
      <c r="O9" s="234"/>
      <c r="P9" s="234"/>
      <c r="Q9" s="234"/>
      <c r="R9" s="228"/>
    </row>
    <row r="10" spans="2:18">
      <c r="B10" s="173" t="str">
        <f>'BDD - Joueurs'!B7</f>
        <v>CARREAU Ethan</v>
      </c>
      <c r="C10" s="237">
        <v>0.75</v>
      </c>
      <c r="D10" s="237">
        <v>0.79</v>
      </c>
      <c r="E10" s="237">
        <v>0.56000000000000005</v>
      </c>
      <c r="F10" s="237">
        <v>0.69</v>
      </c>
      <c r="G10" s="237">
        <v>0.75</v>
      </c>
      <c r="H10" s="237">
        <v>0.84</v>
      </c>
      <c r="I10" s="234"/>
      <c r="J10" s="234"/>
      <c r="K10" s="234"/>
      <c r="L10" s="234"/>
      <c r="M10" s="234"/>
      <c r="N10" s="234"/>
      <c r="O10" s="234"/>
      <c r="P10" s="234"/>
      <c r="Q10" s="234"/>
      <c r="R10" s="228"/>
    </row>
    <row r="11" spans="2:18">
      <c r="B11" s="173" t="str">
        <f>'BDD - Joueurs'!B8</f>
        <v>CHEROD Alexis</v>
      </c>
      <c r="C11" s="237"/>
      <c r="D11" s="237"/>
      <c r="E11" s="237"/>
      <c r="F11" s="237"/>
      <c r="G11" s="237"/>
      <c r="H11" s="237"/>
      <c r="I11" s="234"/>
      <c r="J11" s="234"/>
      <c r="K11" s="234"/>
      <c r="L11" s="234"/>
      <c r="M11" s="234"/>
      <c r="N11" s="234"/>
      <c r="O11" s="234"/>
      <c r="P11" s="234"/>
      <c r="Q11" s="234"/>
      <c r="R11" s="228"/>
    </row>
    <row r="12" spans="2:18">
      <c r="B12" s="173" t="str">
        <f>'BDD - Joueurs'!B9</f>
        <v>DJEHICHE Ramzi</v>
      </c>
      <c r="C12" s="237">
        <v>0.78</v>
      </c>
      <c r="D12" s="237">
        <v>0.65</v>
      </c>
      <c r="E12" s="237">
        <v>0.63</v>
      </c>
      <c r="F12" s="237">
        <v>0.5</v>
      </c>
      <c r="G12" s="237">
        <v>0.83</v>
      </c>
      <c r="H12" s="237">
        <v>0.75</v>
      </c>
      <c r="I12" s="234"/>
      <c r="J12" s="234"/>
      <c r="K12" s="234"/>
      <c r="L12" s="234"/>
      <c r="M12" s="234"/>
      <c r="N12" s="234"/>
      <c r="O12" s="234"/>
      <c r="P12" s="234"/>
      <c r="Q12" s="234"/>
      <c r="R12" s="228"/>
    </row>
    <row r="13" spans="2:18">
      <c r="B13" s="173" t="str">
        <f>'BDD - Joueurs'!B10</f>
        <v>DOSIERE Baptiste</v>
      </c>
      <c r="C13" s="237">
        <v>0.94</v>
      </c>
      <c r="D13" s="237">
        <v>0.85</v>
      </c>
      <c r="E13" s="237">
        <v>0.88</v>
      </c>
      <c r="F13" s="237">
        <v>0.88</v>
      </c>
      <c r="G13" s="237">
        <v>0.83</v>
      </c>
      <c r="H13" s="237">
        <v>0.75</v>
      </c>
      <c r="I13" s="234"/>
      <c r="J13" s="234"/>
      <c r="K13" s="234"/>
      <c r="L13" s="234"/>
      <c r="M13" s="234"/>
      <c r="N13" s="234"/>
      <c r="O13" s="234"/>
      <c r="P13" s="234"/>
      <c r="Q13" s="234"/>
      <c r="R13" s="228"/>
    </row>
    <row r="14" spans="2:18">
      <c r="B14" s="173" t="str">
        <f>'BDD - Joueurs'!B11</f>
        <v>DUQUENOY Thomas</v>
      </c>
      <c r="C14" s="237">
        <v>0.83</v>
      </c>
      <c r="D14" s="237">
        <v>0.75</v>
      </c>
      <c r="E14" s="237">
        <v>0.69</v>
      </c>
      <c r="F14" s="237">
        <v>0.69</v>
      </c>
      <c r="G14" s="237">
        <v>0.75</v>
      </c>
      <c r="H14" s="237">
        <v>0.72</v>
      </c>
      <c r="I14" s="234"/>
      <c r="J14" s="234"/>
      <c r="K14" s="234"/>
      <c r="L14" s="234"/>
      <c r="M14" s="234"/>
      <c r="N14" s="234"/>
      <c r="O14" s="234"/>
      <c r="P14" s="234"/>
      <c r="Q14" s="234"/>
      <c r="R14" s="228"/>
    </row>
    <row r="15" spans="2:18">
      <c r="B15" s="173" t="str">
        <f>'BDD - Joueurs'!B12</f>
        <v>KIPRE Jordan</v>
      </c>
      <c r="C15" s="237">
        <v>0.86</v>
      </c>
      <c r="D15" s="237">
        <v>0.83</v>
      </c>
      <c r="E15" s="237">
        <v>0.69</v>
      </c>
      <c r="F15" s="237">
        <v>0.81</v>
      </c>
      <c r="G15" s="237">
        <v>0.79</v>
      </c>
      <c r="H15" s="237">
        <v>0.75</v>
      </c>
      <c r="I15" s="234"/>
      <c r="J15" s="234"/>
      <c r="K15" s="234"/>
      <c r="L15" s="234"/>
      <c r="M15" s="234"/>
      <c r="N15" s="234"/>
      <c r="O15" s="234"/>
      <c r="P15" s="234"/>
      <c r="Q15" s="234"/>
      <c r="R15" s="228"/>
    </row>
    <row r="16" spans="2:18">
      <c r="B16" s="173" t="str">
        <f>'BDD - Joueurs'!B13</f>
        <v>KONATE Mamadou</v>
      </c>
      <c r="C16" s="237"/>
      <c r="D16" s="237"/>
      <c r="E16" s="237"/>
      <c r="F16" s="237"/>
      <c r="G16" s="237"/>
      <c r="H16" s="237"/>
      <c r="I16" s="235"/>
      <c r="J16" s="235"/>
      <c r="K16" s="235"/>
      <c r="L16" s="235"/>
      <c r="M16" s="235"/>
      <c r="N16" s="235"/>
      <c r="O16" s="235"/>
      <c r="P16" s="235"/>
      <c r="Q16" s="235"/>
      <c r="R16" s="228"/>
    </row>
    <row r="17" spans="2:17" ht="12.75" customHeight="1">
      <c r="B17" s="173" t="str">
        <f>'BDD - Joueurs'!B14</f>
        <v>LECOUFFE Hugo</v>
      </c>
      <c r="C17" s="237">
        <v>0.81</v>
      </c>
      <c r="D17" s="237">
        <v>0.77</v>
      </c>
      <c r="E17" s="237">
        <v>0.69</v>
      </c>
      <c r="F17" s="237">
        <v>0.75</v>
      </c>
      <c r="G17" s="237">
        <v>0.88</v>
      </c>
      <c r="H17" s="237">
        <v>0.69</v>
      </c>
      <c r="I17" s="234"/>
      <c r="J17" s="234"/>
      <c r="K17" s="234"/>
      <c r="L17" s="234"/>
      <c r="M17" s="234"/>
      <c r="N17" s="234"/>
      <c r="O17" s="234"/>
      <c r="P17" s="234"/>
      <c r="Q17" s="234"/>
    </row>
    <row r="18" spans="2:17" ht="12.75" customHeight="1">
      <c r="B18" s="173" t="str">
        <f>'BDD - Joueurs'!B15</f>
        <v>LEFRANC Nathan</v>
      </c>
      <c r="C18" s="237">
        <v>0.75</v>
      </c>
      <c r="D18" s="237">
        <v>0.83</v>
      </c>
      <c r="E18" s="237">
        <v>0.81</v>
      </c>
      <c r="F18" s="237">
        <v>0.63</v>
      </c>
      <c r="G18" s="237">
        <v>0.96</v>
      </c>
      <c r="H18" s="237">
        <v>0.66</v>
      </c>
      <c r="I18" s="234"/>
      <c r="J18" s="234"/>
      <c r="K18" s="234"/>
      <c r="L18" s="234"/>
      <c r="M18" s="234"/>
      <c r="N18" s="234"/>
      <c r="O18" s="234"/>
      <c r="P18" s="234"/>
      <c r="Q18" s="234"/>
    </row>
    <row r="19" spans="2:17">
      <c r="B19" s="173" t="str">
        <f>'BDD - Joueurs'!B16</f>
        <v>MASSOUSSI Elie</v>
      </c>
      <c r="C19" s="237">
        <v>0.86</v>
      </c>
      <c r="D19" s="237">
        <v>0.81</v>
      </c>
      <c r="E19" s="237">
        <v>0.81</v>
      </c>
      <c r="F19" s="237">
        <v>0.81</v>
      </c>
      <c r="G19" s="237">
        <v>0.83</v>
      </c>
      <c r="H19" s="237">
        <v>0.81</v>
      </c>
      <c r="I19" s="234"/>
      <c r="J19" s="234"/>
      <c r="K19" s="234"/>
      <c r="L19" s="234"/>
      <c r="M19" s="234"/>
      <c r="N19" s="234"/>
      <c r="O19" s="234"/>
      <c r="P19" s="234"/>
      <c r="Q19" s="234"/>
    </row>
    <row r="20" spans="2:17">
      <c r="B20" s="173" t="str">
        <f>'BDD - Joueurs'!B17</f>
        <v>NGOUABI Yoann</v>
      </c>
      <c r="C20" s="237">
        <v>0.89</v>
      </c>
      <c r="D20" s="237">
        <v>0.88</v>
      </c>
      <c r="E20" s="237">
        <v>0.75</v>
      </c>
      <c r="F20" s="237">
        <v>0.69</v>
      </c>
      <c r="G20" s="237">
        <v>0.88</v>
      </c>
      <c r="H20" s="237">
        <v>0.91</v>
      </c>
      <c r="I20" s="234"/>
      <c r="J20" s="234"/>
      <c r="K20" s="234"/>
      <c r="L20" s="234"/>
      <c r="M20" s="234"/>
      <c r="N20" s="234"/>
      <c r="O20" s="234"/>
      <c r="P20" s="234"/>
      <c r="Q20" s="234"/>
    </row>
    <row r="21" spans="2:17">
      <c r="B21" s="173" t="str">
        <f>'BDD - Joueurs'!B18</f>
        <v>PLANET Mathis</v>
      </c>
      <c r="C21" s="237">
        <v>0.94</v>
      </c>
      <c r="D21" s="237">
        <v>0.83</v>
      </c>
      <c r="E21" s="237">
        <v>0.94</v>
      </c>
      <c r="F21" s="237">
        <v>0.63</v>
      </c>
      <c r="G21" s="237">
        <v>0.71</v>
      </c>
      <c r="H21" s="237">
        <v>0.69</v>
      </c>
      <c r="I21" s="234"/>
      <c r="J21" s="234"/>
      <c r="K21" s="234"/>
      <c r="L21" s="234"/>
      <c r="M21" s="234"/>
      <c r="N21" s="234"/>
      <c r="O21" s="234"/>
      <c r="P21" s="234"/>
      <c r="Q21" s="234"/>
    </row>
    <row r="22" spans="2:17">
      <c r="B22" s="173" t="str">
        <f>'BDD - Joueurs'!B19</f>
        <v>PRONNIER Nicolas</v>
      </c>
      <c r="C22" s="237">
        <v>0.83</v>
      </c>
      <c r="D22" s="237">
        <v>0.83</v>
      </c>
      <c r="E22" s="237">
        <v>0.69</v>
      </c>
      <c r="F22" s="237">
        <v>0.75</v>
      </c>
      <c r="G22" s="237">
        <v>0.88</v>
      </c>
      <c r="H22" s="237">
        <v>0.75</v>
      </c>
      <c r="I22" s="234"/>
      <c r="J22" s="234"/>
      <c r="K22" s="234"/>
      <c r="L22" s="234"/>
      <c r="M22" s="234"/>
      <c r="N22" s="234"/>
      <c r="O22" s="234"/>
      <c r="P22" s="234"/>
      <c r="Q22" s="234"/>
    </row>
    <row r="23" spans="2:17">
      <c r="B23" s="173" t="str">
        <f>'BDD - Joueurs'!B20</f>
        <v>STIOUET Reda</v>
      </c>
      <c r="C23" s="237">
        <v>0.89</v>
      </c>
      <c r="D23" s="237">
        <v>0.88</v>
      </c>
      <c r="E23" s="237">
        <v>0.81</v>
      </c>
      <c r="F23" s="237">
        <v>0.81</v>
      </c>
      <c r="G23" s="237">
        <v>0.63</v>
      </c>
      <c r="H23" s="237">
        <v>0.91</v>
      </c>
      <c r="I23" s="234"/>
      <c r="J23" s="234"/>
      <c r="K23" s="234"/>
      <c r="L23" s="234"/>
      <c r="M23" s="234"/>
      <c r="N23" s="234"/>
      <c r="O23" s="234"/>
      <c r="P23" s="234"/>
      <c r="Q23" s="234"/>
    </row>
    <row r="24" spans="2:17">
      <c r="B24" s="173" t="str">
        <f>'BDD - Joueurs'!B21</f>
        <v>ZERDEB Said</v>
      </c>
      <c r="C24" s="237">
        <v>0.86</v>
      </c>
      <c r="D24" s="237">
        <v>0.67</v>
      </c>
      <c r="E24" s="237">
        <v>0.69</v>
      </c>
      <c r="F24" s="237">
        <v>0.88</v>
      </c>
      <c r="G24" s="237">
        <v>0.79</v>
      </c>
      <c r="H24" s="237">
        <v>0.84</v>
      </c>
      <c r="I24" s="234"/>
      <c r="J24" s="234"/>
      <c r="K24" s="234"/>
      <c r="L24" s="234"/>
      <c r="M24" s="234"/>
      <c r="N24" s="234"/>
      <c r="O24" s="234"/>
      <c r="P24" s="234"/>
      <c r="Q24" s="234"/>
    </row>
    <row r="25" spans="2:17" ht="15" customHeight="1">
      <c r="B25" s="173" t="str">
        <f>'BDD - Joueurs'!B22</f>
        <v>OSSENI Farouk</v>
      </c>
      <c r="C25" s="237"/>
      <c r="D25" s="237"/>
      <c r="E25" s="237"/>
      <c r="F25" s="237"/>
      <c r="G25" s="237"/>
      <c r="H25" s="237"/>
      <c r="I25" s="94"/>
      <c r="J25" s="234"/>
      <c r="K25" s="234"/>
      <c r="L25" s="234"/>
      <c r="M25" s="234"/>
      <c r="N25" s="234"/>
      <c r="O25" s="234"/>
      <c r="P25" s="234"/>
      <c r="Q25" s="234"/>
    </row>
    <row r="26" spans="2:17" ht="15" customHeight="1">
      <c r="B26" s="173">
        <f>'BDD - Joueurs'!B23</f>
        <v>0</v>
      </c>
      <c r="C26" s="237"/>
      <c r="D26" s="237"/>
      <c r="E26" s="237"/>
      <c r="F26" s="237"/>
      <c r="G26" s="237"/>
      <c r="H26" s="237"/>
      <c r="I26" s="236"/>
      <c r="J26" s="234"/>
      <c r="K26" s="234"/>
      <c r="L26" s="234"/>
      <c r="M26" s="234"/>
      <c r="N26" s="234"/>
      <c r="O26" s="234"/>
      <c r="P26" s="234"/>
      <c r="Q26" s="234"/>
    </row>
    <row r="27" spans="2:17">
      <c r="B27" s="173">
        <f>'BDD - Joueurs'!B24</f>
        <v>0</v>
      </c>
      <c r="C27" s="237"/>
      <c r="D27" s="237"/>
      <c r="E27" s="237"/>
      <c r="F27" s="237"/>
      <c r="G27" s="237"/>
      <c r="H27" s="237"/>
      <c r="I27" s="234"/>
      <c r="J27" s="234"/>
      <c r="K27" s="234"/>
      <c r="L27" s="234"/>
      <c r="M27" s="234"/>
      <c r="N27" s="234"/>
      <c r="O27" s="234"/>
      <c r="P27" s="234"/>
      <c r="Q27" s="234"/>
    </row>
    <row r="28" spans="2:17">
      <c r="B28" s="173">
        <f>'BDD - Joueurs'!B25</f>
        <v>0</v>
      </c>
      <c r="C28" s="237"/>
      <c r="D28" s="237"/>
      <c r="E28" s="237"/>
      <c r="F28" s="237"/>
      <c r="G28" s="237"/>
      <c r="H28" s="237"/>
      <c r="I28" s="234"/>
      <c r="J28" s="234"/>
      <c r="K28" s="234"/>
      <c r="L28" s="234"/>
      <c r="M28" s="234"/>
      <c r="N28" s="234"/>
      <c r="O28" s="234"/>
      <c r="P28" s="234"/>
      <c r="Q28" s="234"/>
    </row>
    <row r="29" spans="2:17">
      <c r="B29" s="173">
        <f>'BDD - Joueurs'!B26</f>
        <v>0</v>
      </c>
      <c r="C29" s="237"/>
      <c r="D29" s="237"/>
      <c r="E29" s="237"/>
      <c r="F29" s="237"/>
      <c r="G29" s="237"/>
      <c r="H29" s="237"/>
      <c r="I29" s="234"/>
      <c r="J29" s="234"/>
      <c r="K29" s="234"/>
      <c r="L29" s="234"/>
      <c r="M29" s="234"/>
      <c r="N29" s="234"/>
      <c r="O29" s="234"/>
      <c r="P29" s="234"/>
      <c r="Q29" s="234"/>
    </row>
    <row r="30" spans="2:17">
      <c r="B30" s="173">
        <f>'BDD - Joueurs'!B27</f>
        <v>0</v>
      </c>
      <c r="C30" s="237"/>
      <c r="D30" s="237"/>
      <c r="E30" s="237"/>
      <c r="F30" s="237"/>
      <c r="G30" s="237"/>
      <c r="H30" s="237"/>
      <c r="I30" s="234"/>
      <c r="J30" s="234"/>
      <c r="K30" s="234"/>
      <c r="L30" s="234"/>
      <c r="M30" s="234"/>
      <c r="N30" s="234"/>
      <c r="O30" s="234"/>
      <c r="P30" s="234"/>
      <c r="Q30" s="234"/>
    </row>
    <row r="31" spans="2:17">
      <c r="B31" s="173">
        <f>'BDD - Joueurs'!B28</f>
        <v>0</v>
      </c>
      <c r="C31" s="237"/>
      <c r="D31" s="237"/>
      <c r="E31" s="237"/>
      <c r="F31" s="237"/>
      <c r="G31" s="237"/>
      <c r="H31" s="237"/>
      <c r="I31" s="234"/>
      <c r="J31" s="234"/>
      <c r="K31" s="234"/>
      <c r="L31" s="234"/>
      <c r="M31" s="234"/>
      <c r="N31" s="234"/>
      <c r="O31" s="234"/>
      <c r="P31" s="234"/>
      <c r="Q31" s="234"/>
    </row>
    <row r="32" spans="2:17">
      <c r="B32" s="173">
        <f>'BDD - Joueurs'!B29</f>
        <v>0</v>
      </c>
      <c r="C32" s="237"/>
      <c r="D32" s="237"/>
      <c r="E32" s="237"/>
      <c r="F32" s="237"/>
      <c r="G32" s="237"/>
      <c r="H32" s="237"/>
      <c r="I32" s="234"/>
      <c r="J32" s="234"/>
      <c r="K32" s="234"/>
      <c r="L32" s="234"/>
      <c r="M32" s="234"/>
      <c r="N32" s="234"/>
      <c r="O32" s="234"/>
      <c r="P32" s="234"/>
      <c r="Q32" s="234"/>
    </row>
    <row r="33" spans="2:17">
      <c r="B33" s="173">
        <f>'BDD - Joueurs'!B30</f>
        <v>0</v>
      </c>
      <c r="C33" s="237"/>
      <c r="D33" s="237"/>
      <c r="E33" s="237"/>
      <c r="F33" s="237"/>
      <c r="G33" s="237"/>
      <c r="H33" s="237"/>
      <c r="I33" s="234"/>
      <c r="J33" s="234"/>
      <c r="K33" s="234"/>
      <c r="L33" s="234"/>
      <c r="M33" s="234"/>
      <c r="N33" s="234"/>
      <c r="O33" s="234"/>
      <c r="P33" s="234"/>
      <c r="Q33" s="234"/>
    </row>
    <row r="34" spans="2:17">
      <c r="B34" s="173">
        <f>'BDD - Joueurs'!B31</f>
        <v>0</v>
      </c>
      <c r="C34" s="237"/>
      <c r="D34" s="237"/>
      <c r="E34" s="237"/>
      <c r="F34" s="237"/>
      <c r="G34" s="237"/>
      <c r="H34" s="237"/>
      <c r="I34" s="234"/>
      <c r="J34" s="234"/>
      <c r="K34" s="234"/>
      <c r="L34" s="234"/>
      <c r="M34" s="234"/>
      <c r="N34" s="234"/>
      <c r="O34" s="234"/>
      <c r="P34" s="234"/>
      <c r="Q34" s="234"/>
    </row>
  </sheetData>
  <pageMargins left="0.7" right="0.7" top="0.75" bottom="0.75" header="0.3" footer="0.3"/>
  <pageSetup paperSize="9" orientation="portrait" verticalDpi="0" r:id="rId1"/>
  <drawing r:id="rId2"/>
  <legacyDrawing r:id="rId3"/>
  <mc:AlternateContent xmlns:mc="http://schemas.openxmlformats.org/markup-compatibility/2006">
    <mc:Choice Requires="x14">
      <controls>
        <mc:AlternateContent xmlns:mc="http://schemas.openxmlformats.org/markup-compatibility/2006">
          <mc:Choice Requires="x14">
            <control shapeId="19458" r:id="rId4" name="Button 2">
              <controlPr defaultSize="0" print="0" autoFill="0" autoPict="0" macro="[0]!CloseOnglet">
                <anchor moveWithCells="1" sizeWithCells="1">
                  <from>
                    <xdr:col>5</xdr:col>
                    <xdr:colOff>685800</xdr:colOff>
                    <xdr:row>1</xdr:row>
                    <xdr:rowOff>0</xdr:rowOff>
                  </from>
                  <to>
                    <xdr:col>8</xdr:col>
                    <xdr:colOff>0</xdr:colOff>
                    <xdr:row>1</xdr:row>
                    <xdr:rowOff>381000</xdr:rowOff>
                  </to>
                </anchor>
              </controlPr>
            </control>
          </mc:Choice>
        </mc:AlternateContent>
      </controls>
    </mc:Choice>
  </mc:AlternateContent>
  <tableParts count="1">
    <tablePart r:id="rId5"/>
  </tableParts>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codeName="Feuil12">
    <tabColor theme="1" tint="0.249977111117893"/>
  </sheetPr>
  <dimension ref="B2:R332"/>
  <sheetViews>
    <sheetView showGridLines="0" zoomScaleNormal="90" zoomScalePageLayoutView="90" workbookViewId="0">
      <selection activeCell="B11" sqref="B11"/>
    </sheetView>
  </sheetViews>
  <sheetFormatPr baseColWidth="10" defaultRowHeight="12.75"/>
  <cols>
    <col min="1" max="1" width="3.140625" customWidth="1"/>
    <col min="2" max="2" width="25" customWidth="1"/>
    <col min="3" max="4" width="11" customWidth="1"/>
  </cols>
  <sheetData>
    <row r="2" spans="2:17" ht="30.95" customHeight="1">
      <c r="B2" s="54" t="s">
        <v>193</v>
      </c>
    </row>
    <row r="3" spans="2:17" ht="20.100000000000001" customHeight="1"/>
    <row r="4" spans="2:17" ht="35.1" customHeight="1">
      <c r="B4" s="137" t="s">
        <v>198</v>
      </c>
      <c r="C4" s="135"/>
      <c r="D4" s="657" t="s">
        <v>199</v>
      </c>
      <c r="E4" s="657"/>
      <c r="F4" s="136"/>
      <c r="G4" s="657" t="s">
        <v>200</v>
      </c>
      <c r="H4" s="657"/>
      <c r="I4" s="156"/>
      <c r="J4" s="657" t="s">
        <v>80</v>
      </c>
      <c r="K4" s="657"/>
      <c r="L4" s="134"/>
      <c r="M4" s="658" t="s">
        <v>201</v>
      </c>
      <c r="N4" s="658"/>
      <c r="P4" s="656" t="s">
        <v>206</v>
      </c>
      <c r="Q4" s="656"/>
    </row>
    <row r="5" spans="2:17" s="73" customFormat="1" ht="18.95" customHeight="1">
      <c r="B5" s="179"/>
      <c r="C5" s="180"/>
      <c r="D5" s="179"/>
      <c r="E5" s="179"/>
      <c r="F5" s="181"/>
      <c r="G5" s="179"/>
      <c r="H5" s="179"/>
      <c r="I5" s="182"/>
      <c r="J5" s="179"/>
      <c r="K5" s="179"/>
      <c r="L5" s="183"/>
      <c r="M5" s="184"/>
      <c r="N5" s="184"/>
      <c r="P5" s="185"/>
      <c r="Q5" s="185"/>
    </row>
    <row r="6" spans="2:17" ht="35.1" customHeight="1">
      <c r="B6" s="170" t="s">
        <v>228</v>
      </c>
      <c r="C6" s="135"/>
      <c r="D6" s="657" t="s">
        <v>262</v>
      </c>
      <c r="E6" s="657"/>
      <c r="F6" s="136"/>
      <c r="G6" s="657" t="s">
        <v>263</v>
      </c>
      <c r="H6" s="657"/>
      <c r="I6" s="156"/>
      <c r="J6" s="657" t="s">
        <v>108</v>
      </c>
      <c r="K6" s="657"/>
      <c r="L6" s="134"/>
      <c r="M6" s="171"/>
      <c r="N6" s="171"/>
      <c r="P6" s="169"/>
      <c r="Q6" s="169"/>
    </row>
    <row r="7" spans="2:17" s="73" customFormat="1" ht="18.95" customHeight="1"/>
    <row r="8" spans="2:17" ht="31.5" customHeight="1">
      <c r="B8" s="574" t="s">
        <v>194</v>
      </c>
      <c r="C8" s="574"/>
      <c r="D8" s="574"/>
      <c r="E8" s="574"/>
      <c r="F8" s="574"/>
      <c r="G8" s="574"/>
      <c r="H8" s="574"/>
      <c r="I8" s="574"/>
      <c r="J8" s="574"/>
      <c r="K8" s="574"/>
      <c r="L8" s="574"/>
      <c r="M8" s="574"/>
      <c r="N8" s="574"/>
      <c r="O8" s="574"/>
      <c r="P8" s="574"/>
      <c r="Q8" s="574"/>
    </row>
    <row r="10" spans="2:17">
      <c r="B10" t="s">
        <v>192</v>
      </c>
      <c r="C10" t="s">
        <v>83</v>
      </c>
    </row>
    <row r="11" spans="2:17">
      <c r="B11" s="133" t="str">
        <f ca="1">INDEX(Match!B10:W39,1,1)</f>
        <v>ADDA Matteo</v>
      </c>
      <c r="C11" s="44">
        <f>INDEX(Match!B10:W39,1,18)</f>
        <v>4</v>
      </c>
    </row>
    <row r="12" spans="2:17">
      <c r="B12" s="133" t="str">
        <f ca="1">INDEX(Match!B16:W45,1,1)</f>
        <v>CHEROD Alexis</v>
      </c>
      <c r="C12" s="44">
        <f>INDEX(Match!B16:W45,1,18)</f>
        <v>0</v>
      </c>
    </row>
    <row r="13" spans="2:17">
      <c r="B13" s="133" t="str">
        <f ca="1">INDEX(Match!B26:W55,1,1)</f>
        <v>PLANET Mathis</v>
      </c>
      <c r="C13" s="44">
        <f>INDEX(Match!B26:W55,1,18)</f>
        <v>0</v>
      </c>
    </row>
    <row r="14" spans="2:17">
      <c r="B14" s="133" t="str">
        <f ca="1">INDEX(Match!B28:W57,1,1)</f>
        <v>STIOUET Reda</v>
      </c>
      <c r="C14" s="44">
        <f>INDEX(Match!B28:W57,1,18)</f>
        <v>1</v>
      </c>
    </row>
    <row r="15" spans="2:17">
      <c r="B15" s="133" t="str">
        <f ca="1">INDEX(Match!B20:W49,1,1)</f>
        <v>KIPRE Jordan</v>
      </c>
      <c r="C15" s="44">
        <f>INDEX(Match!B20:W49,1,18)</f>
        <v>0</v>
      </c>
    </row>
    <row r="16" spans="2:17">
      <c r="B16" s="133" t="str">
        <f ca="1">INDEX(Match!B24:W53,1,1)</f>
        <v>MASSOUSSI Elie</v>
      </c>
      <c r="C16" s="44">
        <f>INDEX(Match!B24:W53,1,18)</f>
        <v>0</v>
      </c>
    </row>
    <row r="17" spans="2:3">
      <c r="B17" s="133" t="str">
        <f ca="1">INDEX(Match!B12:W41,1,1)</f>
        <v>BERDAH Matis</v>
      </c>
      <c r="C17" s="44">
        <f>INDEX(Match!B12:W41,1,18)</f>
        <v>0</v>
      </c>
    </row>
    <row r="18" spans="2:3">
      <c r="B18" s="133" t="str">
        <f ca="1">INDEX(Match!B21:W50,1,1)</f>
        <v>KONATE Mamadou</v>
      </c>
      <c r="C18" s="44">
        <f>INDEX(Match!B21:W50,1,18)</f>
        <v>1</v>
      </c>
    </row>
    <row r="19" spans="2:3">
      <c r="B19" s="133" t="str">
        <f ca="1">INDEX(Match!B25:W54,1,1)</f>
        <v>NGOUABI Yoann</v>
      </c>
      <c r="C19" s="44">
        <f>INDEX(Match!B25:W54,1,18)</f>
        <v>0</v>
      </c>
    </row>
    <row r="20" spans="2:3">
      <c r="B20" s="133" t="str">
        <f ca="1">INDEX(Match!B30:W59,1,1)</f>
        <v>OSSENI Farouk</v>
      </c>
      <c r="C20" s="44">
        <f>INDEX(Match!B30:W59,1,18)</f>
        <v>0</v>
      </c>
    </row>
    <row r="21" spans="2:3">
      <c r="B21" s="133" t="str">
        <f ca="1">INDEX(Match!B27:W56,1,1)</f>
        <v>PRONNIER Nicolas</v>
      </c>
      <c r="C21" s="44">
        <f>INDEX(Match!B27:W56,1,18)</f>
        <v>0</v>
      </c>
    </row>
    <row r="22" spans="2:3">
      <c r="B22" s="133" t="str">
        <f ca="1">INDEX(Match!B18:W47,1,1)</f>
        <v>DOSIERE Baptiste</v>
      </c>
      <c r="C22" s="44">
        <f>INDEX(Match!B18:W47,1,18)</f>
        <v>0</v>
      </c>
    </row>
    <row r="23" spans="2:3">
      <c r="B23" s="133" t="str">
        <f ca="1">INDEX(Match!B29:W58,1,1)</f>
        <v>ZERDEB Said</v>
      </c>
      <c r="C23" s="44">
        <f>INDEX(Match!B29:W58,1,18)</f>
        <v>0</v>
      </c>
    </row>
    <row r="24" spans="2:3">
      <c r="B24" s="133">
        <f ca="1">INDEX(Match!B32:W61,1,1)</f>
        <v>0</v>
      </c>
      <c r="C24" s="44">
        <f>INDEX(Match!B32:W61,1,18)</f>
        <v>0</v>
      </c>
    </row>
    <row r="25" spans="2:3">
      <c r="B25" s="133" t="str">
        <f ca="1">INDEX(Match!B11:W40,1,1)</f>
        <v>ALFONSO Joao</v>
      </c>
      <c r="C25" s="44">
        <f>INDEX(Match!B11:W40,1,18)</f>
        <v>5</v>
      </c>
    </row>
    <row r="26" spans="2:3">
      <c r="B26" s="133" t="str">
        <f ca="1">INDEX(Match!B13:W42,1,1)</f>
        <v>CAMARA Bandiougou</v>
      </c>
      <c r="C26" s="44">
        <f>INDEX(Match!B13:W42,1,18)</f>
        <v>0</v>
      </c>
    </row>
    <row r="27" spans="2:3">
      <c r="B27" s="133" t="str">
        <f ca="1">INDEX(Match!B14:W43,1,1)</f>
        <v>CAMARA Moussa</v>
      </c>
      <c r="C27" s="44">
        <f>INDEX(Match!B14:W43,1,18)</f>
        <v>0</v>
      </c>
    </row>
    <row r="28" spans="2:3">
      <c r="B28" s="133" t="str">
        <f ca="1">INDEX(Match!B15:W44,1,1)</f>
        <v>CARREAU Ethan</v>
      </c>
      <c r="C28" s="44">
        <f>INDEX(Match!B15:W44,1,18)</f>
        <v>0</v>
      </c>
    </row>
    <row r="29" spans="2:3">
      <c r="B29" s="133" t="str">
        <f ca="1">INDEX(Match!B17:W46,1,1)</f>
        <v>DJEHICHE Ramzi</v>
      </c>
      <c r="C29" s="44">
        <f>INDEX(Match!B17:W46,1,18)</f>
        <v>0</v>
      </c>
    </row>
    <row r="30" spans="2:3">
      <c r="B30" s="133" t="str">
        <f ca="1">INDEX(Match!B19:W48,1,1)</f>
        <v>DUQUENOY Thomas</v>
      </c>
      <c r="C30" s="44">
        <f>INDEX(Match!B19:W48,1,18)</f>
        <v>0</v>
      </c>
    </row>
    <row r="31" spans="2:3">
      <c r="B31" s="133">
        <f ca="1">INDEX(Match!B33:W62,1,1)</f>
        <v>0</v>
      </c>
      <c r="C31" s="44">
        <f>INDEX(Match!B33:W62,1,18)</f>
        <v>0</v>
      </c>
    </row>
    <row r="32" spans="2:3">
      <c r="B32" s="133">
        <f ca="1">INDEX(Match!B34:W63,1,1)</f>
        <v>0</v>
      </c>
      <c r="C32" s="44">
        <f>INDEX(Match!B34:W63,1,18)</f>
        <v>0</v>
      </c>
    </row>
    <row r="33" spans="2:17">
      <c r="B33" s="133">
        <f ca="1">INDEX(Match!B35:W64,1,1)</f>
        <v>0</v>
      </c>
      <c r="C33" s="44">
        <f>INDEX(Match!B35:W64,1,18)</f>
        <v>0</v>
      </c>
    </row>
    <row r="34" spans="2:17">
      <c r="B34" s="133">
        <f ca="1">INDEX(Match!B36:W65,1,1)</f>
        <v>0</v>
      </c>
      <c r="C34" s="44">
        <f>INDEX(Match!B36:W65,1,18)</f>
        <v>0</v>
      </c>
    </row>
    <row r="35" spans="2:17">
      <c r="B35" s="133">
        <f ca="1">INDEX(Match!B37:W66,1,1)</f>
        <v>0</v>
      </c>
      <c r="C35" s="44">
        <f>INDEX(Match!B37:W66,1,18)</f>
        <v>0</v>
      </c>
    </row>
    <row r="36" spans="2:17">
      <c r="B36" s="133">
        <f ca="1">INDEX(Match!B38:W67,1,1)</f>
        <v>0</v>
      </c>
      <c r="C36" s="44">
        <f>INDEX(Match!B38:W67,1,18)</f>
        <v>0</v>
      </c>
    </row>
    <row r="37" spans="2:17">
      <c r="B37" s="133">
        <f ca="1">INDEX(Match!B39:W68,1,1)</f>
        <v>0</v>
      </c>
      <c r="C37" s="44">
        <f>INDEX(Match!B39:W68,1,18)</f>
        <v>0</v>
      </c>
    </row>
    <row r="38" spans="2:17">
      <c r="B38" s="133" t="str">
        <f ca="1">INDEX(Match!B22:W51,1,1)</f>
        <v>LECOUFFE Hugo</v>
      </c>
      <c r="C38" s="44">
        <f>INDEX(Match!B22:W51,1,18)</f>
        <v>2</v>
      </c>
    </row>
    <row r="39" spans="2:17">
      <c r="B39" s="133" t="str">
        <f ca="1">INDEX(Match!B23:W52,1,1)</f>
        <v>LEFRANC Nathan</v>
      </c>
      <c r="C39" s="44">
        <f>INDEX(Match!B23:W52,1,18)</f>
        <v>0</v>
      </c>
    </row>
    <row r="40" spans="2:17">
      <c r="B40" s="133">
        <f ca="1">INDEX(Match!B31:W60,1,1)</f>
        <v>0</v>
      </c>
      <c r="C40" s="44">
        <f>INDEX(Match!B31:W60,1,18)</f>
        <v>0</v>
      </c>
    </row>
    <row r="41" spans="2:17">
      <c r="C41" s="44"/>
    </row>
    <row r="42" spans="2:17" ht="30.95" customHeight="1"/>
    <row r="43" spans="2:17" ht="31.5" customHeight="1">
      <c r="B43" s="574" t="s">
        <v>195</v>
      </c>
      <c r="C43" s="574"/>
      <c r="D43" s="574"/>
      <c r="E43" s="574"/>
      <c r="F43" s="574"/>
      <c r="G43" s="574"/>
      <c r="H43" s="574"/>
      <c r="I43" s="574"/>
      <c r="J43" s="574"/>
      <c r="K43" s="574"/>
      <c r="L43" s="574"/>
      <c r="M43" s="574"/>
      <c r="N43" s="574"/>
      <c r="O43" s="574"/>
      <c r="P43" s="574"/>
      <c r="Q43" s="574"/>
    </row>
    <row r="45" spans="2:17">
      <c r="B45" t="s">
        <v>192</v>
      </c>
      <c r="C45" t="s">
        <v>196</v>
      </c>
    </row>
    <row r="46" spans="2:17">
      <c r="B46" s="133" t="str">
        <f ca="1">INDEX(Match!B16:W45,1,1)</f>
        <v>CHEROD Alexis</v>
      </c>
      <c r="C46" s="44">
        <f>INDEX(Match!B16:W45,1,19)</f>
        <v>0</v>
      </c>
    </row>
    <row r="47" spans="2:17">
      <c r="B47" t="str">
        <f ca="1">INDEX(Match!B10:W39,1,1)</f>
        <v>ADDA Matteo</v>
      </c>
      <c r="C47" s="44">
        <f>INDEX(Match!B10:W39,1,19)</f>
        <v>1</v>
      </c>
    </row>
    <row r="48" spans="2:17">
      <c r="B48" s="133" t="str">
        <f ca="1">INDEX(Match!B20:W49,1,1)</f>
        <v>KIPRE Jordan</v>
      </c>
      <c r="C48" s="44">
        <f>INDEX(Match!B20:W49,1,19)</f>
        <v>0</v>
      </c>
    </row>
    <row r="49" spans="2:3">
      <c r="B49" s="133" t="str">
        <f ca="1">INDEX(Match!B28:W57,1,1)</f>
        <v>STIOUET Reda</v>
      </c>
      <c r="C49" s="44">
        <f>INDEX(Match!B28:W57,1,19)</f>
        <v>1</v>
      </c>
    </row>
    <row r="50" spans="2:3">
      <c r="B50" s="133" t="str">
        <f ca="1">INDEX(Match!B22:W51,1,1)</f>
        <v>LECOUFFE Hugo</v>
      </c>
      <c r="C50" s="44">
        <f>INDEX(Match!B22:W51,1,19)</f>
        <v>0</v>
      </c>
    </row>
    <row r="51" spans="2:3">
      <c r="B51" s="133" t="str">
        <f ca="1">INDEX(Match!B12:W41,1,1)</f>
        <v>BERDAH Matis</v>
      </c>
      <c r="C51" s="44">
        <f>INDEX(Match!B12:W41,1,19)</f>
        <v>0</v>
      </c>
    </row>
    <row r="52" spans="2:3">
      <c r="B52" s="133" t="str">
        <f ca="1">INDEX(Match!B13:W42,1,1)</f>
        <v>CAMARA Bandiougou</v>
      </c>
      <c r="C52" s="44">
        <f>INDEX(Match!B13:W42,1,19)</f>
        <v>0</v>
      </c>
    </row>
    <row r="53" spans="2:3">
      <c r="B53" s="133" t="str">
        <f ca="1">INDEX(Match!B21:W50,1,1)</f>
        <v>KONATE Mamadou</v>
      </c>
      <c r="C53" s="44">
        <f>INDEX(Match!B21:W50,1,19)</f>
        <v>0</v>
      </c>
    </row>
    <row r="54" spans="2:3">
      <c r="B54" s="133" t="str">
        <f ca="1">INDEX(Match!B27:W56,1,1)</f>
        <v>PRONNIER Nicolas</v>
      </c>
      <c r="C54" s="44">
        <f>INDEX(Match!B27:W56,1,19)</f>
        <v>0</v>
      </c>
    </row>
    <row r="55" spans="2:3">
      <c r="B55" s="133" t="str">
        <f ca="1">INDEX(Match!B29:W58,1,1)</f>
        <v>ZERDEB Said</v>
      </c>
      <c r="C55" s="44">
        <f>INDEX(Match!B29:W58,1,19)</f>
        <v>0</v>
      </c>
    </row>
    <row r="56" spans="2:3">
      <c r="B56" s="133" t="str">
        <f ca="1">INDEX(Match!B30:W59,1,1)</f>
        <v>OSSENI Farouk</v>
      </c>
      <c r="C56" s="44">
        <f>INDEX(Match!B30:W59,1,19)</f>
        <v>0</v>
      </c>
    </row>
    <row r="57" spans="2:3">
      <c r="B57" s="133" t="str">
        <f ca="1">INDEX(Match!B26:W55,1,1)</f>
        <v>PLANET Mathis</v>
      </c>
      <c r="C57" s="44">
        <f>INDEX(Match!B26:W55,1,19)</f>
        <v>0</v>
      </c>
    </row>
    <row r="58" spans="2:3">
      <c r="B58" s="133" t="str">
        <f ca="1">INDEX(Match!B18:W47,1,1)</f>
        <v>DOSIERE Baptiste</v>
      </c>
      <c r="C58" s="44">
        <f>INDEX(Match!B18:W47,1,19)</f>
        <v>0</v>
      </c>
    </row>
    <row r="59" spans="2:3">
      <c r="B59" s="133">
        <f ca="1">INDEX(Match!B31:W60,1,1)</f>
        <v>0</v>
      </c>
      <c r="C59" s="44">
        <f>INDEX(Match!B31:W60,1,19)</f>
        <v>0</v>
      </c>
    </row>
    <row r="60" spans="2:3">
      <c r="B60" s="133">
        <f ca="1">INDEX(Match!B37:W66,1,1)</f>
        <v>0</v>
      </c>
      <c r="C60" s="44">
        <f>INDEX(Match!B37:W66,1,19)</f>
        <v>0</v>
      </c>
    </row>
    <row r="61" spans="2:3">
      <c r="B61" s="133">
        <f ca="1">INDEX(Match!B34:W63,1,1)</f>
        <v>0</v>
      </c>
      <c r="C61" s="44">
        <f>INDEX(Match!B34:W63,1,19)</f>
        <v>0</v>
      </c>
    </row>
    <row r="62" spans="2:3">
      <c r="B62" s="133" t="str">
        <f ca="1">INDEX(Match!B24:W53,1,1)</f>
        <v>MASSOUSSI Elie</v>
      </c>
      <c r="C62" s="44">
        <f>INDEX(Match!B24:W53,1,19)</f>
        <v>0</v>
      </c>
    </row>
    <row r="63" spans="2:3">
      <c r="B63" s="133">
        <f ca="1">INDEX(Match!B32:W61,1,1)</f>
        <v>0</v>
      </c>
      <c r="C63" s="44">
        <f>INDEX(Match!B32:W61,1,19)</f>
        <v>0</v>
      </c>
    </row>
    <row r="64" spans="2:3">
      <c r="B64" s="133" t="str">
        <f ca="1">INDEX(Match!B14:W43,1,1)</f>
        <v>CAMARA Moussa</v>
      </c>
      <c r="C64" s="44">
        <f>INDEX(Match!B14:W43,1,19)</f>
        <v>0</v>
      </c>
    </row>
    <row r="65" spans="2:17">
      <c r="B65" s="133" t="str">
        <f ca="1">INDEX(Match!B11:W40,1,1)</f>
        <v>ALFONSO Joao</v>
      </c>
      <c r="C65" s="44">
        <f>INDEX(Match!B11:W40,1,19)</f>
        <v>1</v>
      </c>
    </row>
    <row r="66" spans="2:17">
      <c r="B66" s="133" t="str">
        <f ca="1">INDEX(Match!B15:W44,1,1)</f>
        <v>CARREAU Ethan</v>
      </c>
      <c r="C66" s="44">
        <f>INDEX(Match!B15:W44,1,19)</f>
        <v>0</v>
      </c>
    </row>
    <row r="67" spans="2:17">
      <c r="B67" s="133" t="str">
        <f ca="1">INDEX(Match!B17:W46,1,1)</f>
        <v>DJEHICHE Ramzi</v>
      </c>
      <c r="C67" s="44">
        <f>INDEX(Match!B17:W46,1,19)</f>
        <v>0</v>
      </c>
    </row>
    <row r="68" spans="2:17">
      <c r="B68" s="133" t="str">
        <f ca="1">INDEX(Match!B19:W48,1,1)</f>
        <v>DUQUENOY Thomas</v>
      </c>
      <c r="C68" s="44">
        <f>INDEX(Match!B19:W48,1,19)</f>
        <v>0</v>
      </c>
    </row>
    <row r="69" spans="2:17">
      <c r="B69" s="133" t="str">
        <f ca="1">INDEX(Match!B23:W52,1,1)</f>
        <v>LEFRANC Nathan</v>
      </c>
      <c r="C69" s="44">
        <f>INDEX(Match!B23:W52,1,19)</f>
        <v>0</v>
      </c>
    </row>
    <row r="70" spans="2:17">
      <c r="B70" s="133" t="str">
        <f ca="1">INDEX(Match!B25:W54,1,1)</f>
        <v>NGOUABI Yoann</v>
      </c>
      <c r="C70" s="44">
        <f>INDEX(Match!B25:W54,1,19)</f>
        <v>0</v>
      </c>
    </row>
    <row r="71" spans="2:17">
      <c r="B71" s="133">
        <f ca="1">INDEX(Match!B33:W62,1,1)</f>
        <v>0</v>
      </c>
      <c r="C71" s="44">
        <f>INDEX(Match!B33:W62,1,19)</f>
        <v>0</v>
      </c>
    </row>
    <row r="72" spans="2:17">
      <c r="B72" s="133">
        <f ca="1">INDEX(Match!B35:W64,1,1)</f>
        <v>0</v>
      </c>
      <c r="C72" s="44">
        <f>INDEX(Match!B35:W64,1,19)</f>
        <v>0</v>
      </c>
    </row>
    <row r="73" spans="2:17">
      <c r="B73" s="133">
        <f ca="1">INDEX(Match!B36:W65,1,1)</f>
        <v>0</v>
      </c>
      <c r="C73" s="44">
        <f>INDEX(Match!B36:W65,1,19)</f>
        <v>0</v>
      </c>
    </row>
    <row r="74" spans="2:17">
      <c r="B74" s="133">
        <f ca="1">INDEX(Match!B38:W67,1,1)</f>
        <v>0</v>
      </c>
      <c r="C74" s="44">
        <f>INDEX(Match!B38:W67,1,19)</f>
        <v>0</v>
      </c>
    </row>
    <row r="75" spans="2:17">
      <c r="B75" s="133">
        <f ca="1">INDEX(Match!B39:W68,1,1)</f>
        <v>0</v>
      </c>
      <c r="C75" s="44">
        <f>INDEX(Match!B39:W68,1,19)</f>
        <v>0</v>
      </c>
    </row>
    <row r="77" spans="2:17" ht="30.95" customHeight="1"/>
    <row r="78" spans="2:17" ht="31.5" customHeight="1">
      <c r="B78" s="574" t="s">
        <v>200</v>
      </c>
      <c r="C78" s="574"/>
      <c r="D78" s="574"/>
      <c r="E78" s="574"/>
      <c r="F78" s="574"/>
      <c r="G78" s="574"/>
      <c r="H78" s="574"/>
      <c r="I78" s="574"/>
      <c r="J78" s="574"/>
      <c r="K78" s="574"/>
      <c r="L78" s="574"/>
      <c r="M78" s="574"/>
      <c r="N78" s="574"/>
      <c r="O78" s="574"/>
      <c r="P78" s="574"/>
      <c r="Q78" s="574"/>
    </row>
    <row r="80" spans="2:17">
      <c r="B80" t="s">
        <v>192</v>
      </c>
      <c r="C80" t="s">
        <v>269</v>
      </c>
      <c r="D80" t="s">
        <v>270</v>
      </c>
      <c r="E80" t="s">
        <v>281</v>
      </c>
    </row>
    <row r="81" spans="2:5">
      <c r="B81" s="133" t="str">
        <f ca="1">INDEX(Match!B10:W39,1,1)</f>
        <v>ADDA Matteo</v>
      </c>
      <c r="C81" s="44">
        <f>INDEX(Match!B10:W39,1,6)</f>
        <v>5</v>
      </c>
      <c r="D81" s="44">
        <f>INDEX(Match!B10:W39,1,7)</f>
        <v>0</v>
      </c>
      <c r="E81" s="44">
        <f>INDEX(Match!B10:W39,1,12)</f>
        <v>0</v>
      </c>
    </row>
    <row r="82" spans="2:5">
      <c r="B82" s="133" t="str">
        <f ca="1">INDEX(Match!B11:W40,1,1)</f>
        <v>ALFONSO Joao</v>
      </c>
      <c r="C82" s="44">
        <f>INDEX(Match!B11:W40,1,6)</f>
        <v>4</v>
      </c>
      <c r="D82" s="44">
        <f>INDEX(Match!B11:W40,1,7)</f>
        <v>0</v>
      </c>
      <c r="E82" s="44">
        <f>INDEX(Match!B11:W40,1,12)</f>
        <v>0</v>
      </c>
    </row>
    <row r="83" spans="2:5">
      <c r="B83" s="133" t="str">
        <f ca="1">INDEX(Match!B12:W41,1,1)</f>
        <v>BERDAH Matis</v>
      </c>
      <c r="C83" s="44">
        <f>INDEX(Match!B12:W41,1,6)</f>
        <v>5</v>
      </c>
      <c r="D83" s="44">
        <f>INDEX(Match!B12:W41,1,7)</f>
        <v>0</v>
      </c>
      <c r="E83" s="44">
        <f>INDEX(Match!B12:W41,1,12)</f>
        <v>0</v>
      </c>
    </row>
    <row r="84" spans="2:5">
      <c r="B84" s="133" t="str">
        <f ca="1">INDEX(Match!B13:W42,1,1)</f>
        <v>CAMARA Bandiougou</v>
      </c>
      <c r="C84" s="44">
        <f>INDEX(Match!B13:W42,1,6)</f>
        <v>3</v>
      </c>
      <c r="D84" s="44">
        <f>INDEX(Match!B13:W42,1,7)</f>
        <v>0</v>
      </c>
      <c r="E84" s="44">
        <f>INDEX(Match!B13:W42,1,12)</f>
        <v>0</v>
      </c>
    </row>
    <row r="85" spans="2:5">
      <c r="B85" s="133" t="str">
        <f ca="1">INDEX(Match!B14:W43,1,1)</f>
        <v>CAMARA Moussa</v>
      </c>
      <c r="C85" s="44">
        <f>INDEX(Match!B14:W43,1,6)</f>
        <v>1</v>
      </c>
      <c r="D85" s="44">
        <f>INDEX(Match!B14:W43,1,7)</f>
        <v>0</v>
      </c>
      <c r="E85" s="44">
        <f>INDEX(Match!B14:W43,1,12)</f>
        <v>1</v>
      </c>
    </row>
    <row r="86" spans="2:5">
      <c r="B86" s="133" t="str">
        <f ca="1">INDEX(Match!B15:W44,1,1)</f>
        <v>CARREAU Ethan</v>
      </c>
      <c r="C86" s="44">
        <f>INDEX(Match!B15:W44,1,6)</f>
        <v>5</v>
      </c>
      <c r="D86" s="44">
        <f>INDEX(Match!B15:W44,1,7)</f>
        <v>0</v>
      </c>
      <c r="E86" s="44">
        <f>INDEX(Match!B15:W44,1,12)</f>
        <v>0</v>
      </c>
    </row>
    <row r="87" spans="2:5">
      <c r="B87" s="133" t="str">
        <f ca="1">INDEX(Match!B16:W45,1,1)</f>
        <v>CHEROD Alexis</v>
      </c>
      <c r="C87" s="44">
        <f>INDEX(Match!B16:W45,1,6)</f>
        <v>4</v>
      </c>
      <c r="D87" s="44">
        <f>INDEX(Match!B16:W45,1,7)</f>
        <v>0</v>
      </c>
      <c r="E87" s="44">
        <f>INDEX(Match!B16:W45,1,12)</f>
        <v>0</v>
      </c>
    </row>
    <row r="88" spans="2:5">
      <c r="B88" s="133" t="str">
        <f ca="1">INDEX(Match!B17:W46,1,1)</f>
        <v>DJEHICHE Ramzi</v>
      </c>
      <c r="C88" s="44">
        <f>INDEX(Match!B17:W46,1,6)</f>
        <v>2</v>
      </c>
      <c r="D88" s="44">
        <f>INDEX(Match!B17:W46,1,7)</f>
        <v>0</v>
      </c>
      <c r="E88" s="44">
        <f>INDEX(Match!B17:W46,1,12)</f>
        <v>0</v>
      </c>
    </row>
    <row r="89" spans="2:5">
      <c r="B89" s="133" t="str">
        <f ca="1">INDEX(Match!B18:W47,1,1)</f>
        <v>DOSIERE Baptiste</v>
      </c>
      <c r="C89" s="44">
        <f>INDEX(Match!B18:W47,1,6)</f>
        <v>4</v>
      </c>
      <c r="D89" s="44">
        <f>INDEX(Match!B18:W47,1,7)</f>
        <v>0</v>
      </c>
      <c r="E89" s="44">
        <f>INDEX(Match!B18:W47,1,12)</f>
        <v>0</v>
      </c>
    </row>
    <row r="90" spans="2:5">
      <c r="B90" s="133" t="str">
        <f ca="1">INDEX(Match!B19:W48,1,1)</f>
        <v>DUQUENOY Thomas</v>
      </c>
      <c r="C90" s="44">
        <f>INDEX(Match!B19:W48,1,6)</f>
        <v>4</v>
      </c>
      <c r="D90" s="44">
        <f>INDEX(Match!B19:W48,1,7)</f>
        <v>0</v>
      </c>
      <c r="E90" s="44">
        <f>INDEX(Match!B19:W48,1,12)</f>
        <v>0</v>
      </c>
    </row>
    <row r="91" spans="2:5">
      <c r="B91" s="133" t="str">
        <f ca="1">INDEX(Match!B20:W49,1,1)</f>
        <v>KIPRE Jordan</v>
      </c>
      <c r="C91" s="44">
        <f>INDEX(Match!B20:W49,1,6)</f>
        <v>3</v>
      </c>
      <c r="D91" s="44">
        <f>INDEX(Match!B20:W49,1,7)</f>
        <v>0</v>
      </c>
      <c r="E91" s="44">
        <f>INDEX(Match!B20:W49,1,12)</f>
        <v>0</v>
      </c>
    </row>
    <row r="92" spans="2:5">
      <c r="B92" s="133" t="str">
        <f ca="1">INDEX(Match!B21:W50,1,1)</f>
        <v>KONATE Mamadou</v>
      </c>
      <c r="C92" s="44">
        <f>INDEX(Match!B21:W50,1,6)</f>
        <v>5</v>
      </c>
      <c r="D92" s="44">
        <f>INDEX(Match!B21:W50,1,7)</f>
        <v>0</v>
      </c>
      <c r="E92" s="44">
        <f>INDEX(Match!B21:W50,1,12)</f>
        <v>0</v>
      </c>
    </row>
    <row r="93" spans="2:5">
      <c r="B93" s="133" t="str">
        <f ca="1">INDEX(Match!B22:W51,1,1)</f>
        <v>LECOUFFE Hugo</v>
      </c>
      <c r="C93" s="44">
        <f>INDEX(Match!B22:W51,1,6)</f>
        <v>4</v>
      </c>
      <c r="D93" s="44">
        <f>INDEX(Match!B22:W51,1,7)</f>
        <v>0</v>
      </c>
      <c r="E93" s="44">
        <f>INDEX(Match!B22:W51,1,12)</f>
        <v>1</v>
      </c>
    </row>
    <row r="94" spans="2:5">
      <c r="B94" s="133" t="str">
        <f ca="1">INDEX(Match!B23:W52,1,1)</f>
        <v>LEFRANC Nathan</v>
      </c>
      <c r="C94" s="44">
        <f>INDEX(Match!B23:W52,1,6)</f>
        <v>2</v>
      </c>
      <c r="D94" s="44">
        <f>INDEX(Match!B23:W52,1,7)</f>
        <v>0</v>
      </c>
      <c r="E94" s="44">
        <f>INDEX(Match!B23:W52,1,12)</f>
        <v>0</v>
      </c>
    </row>
    <row r="95" spans="2:5">
      <c r="B95" s="133" t="str">
        <f ca="1">INDEX(Match!B24:W53,1,1)</f>
        <v>MASSOUSSI Elie</v>
      </c>
      <c r="C95" s="44">
        <f>INDEX(Match!B24:W53,1,6)</f>
        <v>5</v>
      </c>
      <c r="D95" s="44">
        <f>INDEX(Match!B24:W53,1,7)</f>
        <v>0</v>
      </c>
      <c r="E95" s="44">
        <f>INDEX(Match!B24:W53,1,12)</f>
        <v>0</v>
      </c>
    </row>
    <row r="96" spans="2:5">
      <c r="B96" s="133" t="str">
        <f ca="1">INDEX(Match!B25:W54,1,1)</f>
        <v>NGOUABI Yoann</v>
      </c>
      <c r="C96" s="44">
        <f>INDEX(Match!B25:W54,1,6)</f>
        <v>5</v>
      </c>
      <c r="D96" s="44">
        <f>INDEX(Match!B25:W54,1,7)</f>
        <v>0</v>
      </c>
      <c r="E96" s="44">
        <f>INDEX(Match!B25:W54,1,12)</f>
        <v>0</v>
      </c>
    </row>
    <row r="97" spans="2:5">
      <c r="B97" s="133" t="str">
        <f ca="1">INDEX(Match!B26:W55,1,1)</f>
        <v>PLANET Mathis</v>
      </c>
      <c r="C97" s="44">
        <f>INDEX(Match!B26:W55,1,6)</f>
        <v>5</v>
      </c>
      <c r="D97" s="44">
        <f>INDEX(Match!B26:W55,1,7)</f>
        <v>0</v>
      </c>
      <c r="E97" s="44">
        <f>INDEX(Match!B26:W55,1,12)</f>
        <v>0</v>
      </c>
    </row>
    <row r="98" spans="2:5">
      <c r="B98" s="133" t="str">
        <f ca="1">INDEX(Match!B27:W56,1,1)</f>
        <v>PRONNIER Nicolas</v>
      </c>
      <c r="C98" s="44">
        <f>INDEX(Match!B27:W56,1,6)</f>
        <v>5</v>
      </c>
      <c r="D98" s="44">
        <f>INDEX(Match!B27:W56,1,7)</f>
        <v>0</v>
      </c>
      <c r="E98" s="44">
        <f>INDEX(Match!B27:W56,1,12)</f>
        <v>0</v>
      </c>
    </row>
    <row r="99" spans="2:5">
      <c r="B99" s="133" t="str">
        <f ca="1">INDEX(Match!B28:W57,1,1)</f>
        <v>STIOUET Reda</v>
      </c>
      <c r="C99" s="44">
        <f>INDEX(Match!B28:W57,1,6)</f>
        <v>3</v>
      </c>
      <c r="D99" s="44">
        <f>INDEX(Match!B28:W57,1,7)</f>
        <v>0</v>
      </c>
      <c r="E99" s="44">
        <f>INDEX(Match!B28:W57,1,12)</f>
        <v>2</v>
      </c>
    </row>
    <row r="100" spans="2:5">
      <c r="B100" s="133" t="str">
        <f ca="1">INDEX(Match!B29:W58,1,1)</f>
        <v>ZERDEB Said</v>
      </c>
      <c r="C100" s="44">
        <f>INDEX(Match!B29:W58,1,6)</f>
        <v>1</v>
      </c>
      <c r="D100" s="44">
        <f>INDEX(Match!B29:W58,1,7)</f>
        <v>0</v>
      </c>
      <c r="E100" s="44">
        <f>INDEX(Match!B29:W58,1,12)</f>
        <v>3</v>
      </c>
    </row>
    <row r="101" spans="2:5">
      <c r="B101" s="133" t="str">
        <f ca="1">INDEX(Match!B30:W59,1,1)</f>
        <v>OSSENI Farouk</v>
      </c>
      <c r="C101" s="44">
        <f>INDEX(Match!B30:W59,1,6)</f>
        <v>2</v>
      </c>
      <c r="D101" s="44">
        <f>INDEX(Match!B30:W59,1,7)</f>
        <v>0</v>
      </c>
      <c r="E101" s="44">
        <f>INDEX(Match!B30:W59,1,12)</f>
        <v>0</v>
      </c>
    </row>
    <row r="102" spans="2:5">
      <c r="B102" s="133">
        <f ca="1">INDEX(Match!B31:W60,1,1)</f>
        <v>0</v>
      </c>
      <c r="C102" s="44">
        <f>INDEX(Match!B31:W60,1,6)</f>
        <v>0</v>
      </c>
      <c r="D102" s="44">
        <f>INDEX(Match!B31:W60,1,7)</f>
        <v>0</v>
      </c>
      <c r="E102" s="44">
        <f>INDEX(Match!B31:W60,1,12)</f>
        <v>0</v>
      </c>
    </row>
    <row r="103" spans="2:5">
      <c r="B103" s="133">
        <f ca="1">INDEX(Match!B32:W61,1,1)</f>
        <v>0</v>
      </c>
      <c r="C103" s="44">
        <f>INDEX(Match!B32:W61,1,6)</f>
        <v>0</v>
      </c>
      <c r="D103" s="44">
        <f>INDEX(Match!B32:W61,1,7)</f>
        <v>0</v>
      </c>
      <c r="E103" s="44">
        <f>INDEX(Match!B32:W61,1,12)</f>
        <v>0</v>
      </c>
    </row>
    <row r="104" spans="2:5">
      <c r="B104" s="133">
        <f ca="1">INDEX(Match!B33:W62,1,1)</f>
        <v>0</v>
      </c>
      <c r="C104" s="44">
        <f>INDEX(Match!B33:W62,1,6)</f>
        <v>0</v>
      </c>
      <c r="D104" s="44">
        <f>INDEX(Match!B33:W62,1,7)</f>
        <v>0</v>
      </c>
      <c r="E104" s="44">
        <f>INDEX(Match!B33:W62,1,12)</f>
        <v>0</v>
      </c>
    </row>
    <row r="105" spans="2:5">
      <c r="B105" s="133">
        <f ca="1">INDEX(Match!B34:W63,1,1)</f>
        <v>0</v>
      </c>
      <c r="C105" s="44">
        <f>INDEX(Match!B34:W63,1,6)</f>
        <v>0</v>
      </c>
      <c r="D105" s="44">
        <f>INDEX(Match!B34:W63,1,7)</f>
        <v>0</v>
      </c>
      <c r="E105" s="44">
        <f>INDEX(Match!B34:W63,1,12)</f>
        <v>0</v>
      </c>
    </row>
    <row r="106" spans="2:5">
      <c r="B106" s="133">
        <f ca="1">INDEX(Match!B35:W64,1,1)</f>
        <v>0</v>
      </c>
      <c r="C106" s="44">
        <f>INDEX(Match!B35:W64,1,6)</f>
        <v>0</v>
      </c>
      <c r="D106" s="44">
        <f>INDEX(Match!B35:W64,1,7)</f>
        <v>0</v>
      </c>
      <c r="E106" s="44">
        <f>INDEX(Match!B35:W64,1,12)</f>
        <v>0</v>
      </c>
    </row>
    <row r="107" spans="2:5">
      <c r="B107" s="133">
        <f ca="1">INDEX(Match!B36:W65,1,1)</f>
        <v>0</v>
      </c>
      <c r="C107" s="44">
        <f>INDEX(Match!B36:W65,1,6)</f>
        <v>0</v>
      </c>
      <c r="D107" s="44">
        <f>INDEX(Match!B36:W65,1,7)</f>
        <v>0</v>
      </c>
      <c r="E107" s="44">
        <f>INDEX(Match!B36:W65,1,12)</f>
        <v>0</v>
      </c>
    </row>
    <row r="108" spans="2:5">
      <c r="B108" s="133">
        <f ca="1">INDEX(Match!B37:W66,1,1)</f>
        <v>0</v>
      </c>
      <c r="C108" s="44">
        <f>INDEX(Match!B37:W66,1,6)</f>
        <v>0</v>
      </c>
      <c r="D108" s="44">
        <f>INDEX(Match!B37:W66,1,7)</f>
        <v>0</v>
      </c>
      <c r="E108" s="44">
        <f>INDEX(Match!B37:W66,1,12)</f>
        <v>0</v>
      </c>
    </row>
    <row r="109" spans="2:5">
      <c r="B109" s="133">
        <f ca="1">INDEX(Match!B38:W67,1,1)</f>
        <v>0</v>
      </c>
      <c r="C109" s="44">
        <f>INDEX(Match!B38:W67,1,6)</f>
        <v>0</v>
      </c>
      <c r="D109" s="44">
        <f>INDEX(Match!B38:W67,1,7)</f>
        <v>0</v>
      </c>
      <c r="E109" s="44">
        <f>INDEX(Match!B38:W67,1,12)</f>
        <v>0</v>
      </c>
    </row>
    <row r="110" spans="2:5">
      <c r="B110" s="133">
        <f ca="1">INDEX(Match!B39:W68,1,1)</f>
        <v>0</v>
      </c>
      <c r="C110" s="44">
        <f>INDEX(Match!B39:W68,1,6)</f>
        <v>0</v>
      </c>
      <c r="D110" s="44">
        <f>INDEX(Match!B39:W68,1,7)</f>
        <v>0</v>
      </c>
      <c r="E110" s="44">
        <f>INDEX(Match!B39:W68,1,12)</f>
        <v>0</v>
      </c>
    </row>
    <row r="112" spans="2:5" ht="30.95" customHeight="1"/>
    <row r="113" spans="2:18" ht="30.95" customHeight="1">
      <c r="B113" s="574" t="s">
        <v>80</v>
      </c>
      <c r="C113" s="574"/>
      <c r="D113" s="574"/>
      <c r="E113" s="574"/>
      <c r="F113" s="574"/>
      <c r="G113" s="574"/>
      <c r="H113" s="574"/>
      <c r="I113" s="574"/>
      <c r="J113" s="574"/>
      <c r="K113" s="574"/>
      <c r="L113" s="574"/>
      <c r="M113" s="574"/>
      <c r="N113" s="574"/>
      <c r="O113" s="574"/>
      <c r="P113" s="574"/>
      <c r="Q113" s="574"/>
      <c r="R113" s="574"/>
    </row>
    <row r="115" spans="2:18">
      <c r="B115" t="s">
        <v>192</v>
      </c>
      <c r="C115" t="s">
        <v>197</v>
      </c>
    </row>
    <row r="116" spans="2:18">
      <c r="B116" s="133" t="str">
        <f ca="1">INDEX(Match!B17:W46,1,1)</f>
        <v>DJEHICHE Ramzi</v>
      </c>
      <c r="C116" s="44">
        <f>INDEX(Match!B17:W46,1,15)</f>
        <v>117</v>
      </c>
    </row>
    <row r="117" spans="2:18">
      <c r="B117" s="133" t="str">
        <f ca="1">INDEX(Match!B29:W58,1,1)</f>
        <v>ZERDEB Said</v>
      </c>
      <c r="C117" s="44">
        <f>INDEX(Match!B29:W58,1,15)</f>
        <v>81</v>
      </c>
    </row>
    <row r="118" spans="2:18">
      <c r="B118" s="133">
        <f ca="1">INDEX(Match!B31:W60,1,1)</f>
        <v>0</v>
      </c>
      <c r="C118" s="44">
        <f>INDEX(Match!B31:W60,1,15)</f>
        <v>0</v>
      </c>
    </row>
    <row r="119" spans="2:18">
      <c r="B119" s="133" t="str">
        <f ca="1">INDEX(Match!B10:W39,1,1)</f>
        <v>ADDA Matteo</v>
      </c>
      <c r="C119" s="44">
        <f>INDEX(Match!B10:W39,1,15)</f>
        <v>450</v>
      </c>
    </row>
    <row r="120" spans="2:18">
      <c r="B120" s="133" t="str">
        <f ca="1">INDEX(Match!B13:W42,1,1)</f>
        <v>CAMARA Bandiougou</v>
      </c>
      <c r="C120" s="44">
        <f>INDEX(Match!B13:W42,1,15)</f>
        <v>180</v>
      </c>
    </row>
    <row r="121" spans="2:18">
      <c r="B121" s="133" t="str">
        <f ca="1">INDEX(Match!B27:W56,1,1)</f>
        <v>PRONNIER Nicolas</v>
      </c>
      <c r="C121" s="44">
        <f>INDEX(Match!B27:W56,1,15)</f>
        <v>375</v>
      </c>
    </row>
    <row r="122" spans="2:18">
      <c r="B122" s="133" t="str">
        <f ca="1">INDEX(Match!B16:W45,1,1)</f>
        <v>CHEROD Alexis</v>
      </c>
      <c r="C122" s="44">
        <f>INDEX(Match!B16:W45,1,15)</f>
        <v>182</v>
      </c>
    </row>
    <row r="123" spans="2:18">
      <c r="B123" s="133" t="str">
        <f ca="1">INDEX(Match!B24:W53,1,1)</f>
        <v>MASSOUSSI Elie</v>
      </c>
      <c r="C123" s="44">
        <f>INDEX(Match!B24:W53,1,15)</f>
        <v>430</v>
      </c>
    </row>
    <row r="124" spans="2:18">
      <c r="B124" s="133" t="str">
        <f ca="1">INDEX(Match!B12:W41,1,1)</f>
        <v>BERDAH Matis</v>
      </c>
      <c r="C124" s="44">
        <f>INDEX(Match!B12:W41,1,15)</f>
        <v>357</v>
      </c>
    </row>
    <row r="125" spans="2:18">
      <c r="B125" s="133" t="str">
        <f ca="1">INDEX(Match!B26:W55,1,1)</f>
        <v>PLANET Mathis</v>
      </c>
      <c r="C125" s="44">
        <f>INDEX(Match!B26:W55,1,15)</f>
        <v>213</v>
      </c>
    </row>
    <row r="126" spans="2:18">
      <c r="B126" s="133" t="str">
        <f ca="1">INDEX(Match!B15:W44,1,1)</f>
        <v>CARREAU Ethan</v>
      </c>
      <c r="C126" s="44">
        <f>INDEX(Match!B15:W44,1,15)</f>
        <v>425</v>
      </c>
    </row>
    <row r="127" spans="2:18">
      <c r="B127" s="133" t="str">
        <f ca="1">INDEX(Match!B20:W49,1,1)</f>
        <v>KIPRE Jordan</v>
      </c>
      <c r="C127" s="44">
        <f>INDEX(Match!B20:W49,1,15)</f>
        <v>80</v>
      </c>
    </row>
    <row r="128" spans="2:18">
      <c r="B128" s="133" t="str">
        <f ca="1">INDEX(Match!B23:W52,1,1)</f>
        <v>LEFRANC Nathan</v>
      </c>
      <c r="C128" s="44">
        <f>INDEX(Match!B23:W52,1,15)</f>
        <v>105</v>
      </c>
    </row>
    <row r="129" spans="2:3">
      <c r="B129" s="133" t="str">
        <f ca="1">INDEX(Match!B25:W54,1,1)</f>
        <v>NGOUABI Yoann</v>
      </c>
      <c r="C129" s="44">
        <f>INDEX(Match!B25:W54,1,15)</f>
        <v>420</v>
      </c>
    </row>
    <row r="130" spans="2:3">
      <c r="B130" s="133" t="str">
        <f ca="1">INDEX(Match!B22:W51,1,1)</f>
        <v>LECOUFFE Hugo</v>
      </c>
      <c r="C130" s="44">
        <f>INDEX(Match!B22:W51,1,15)</f>
        <v>269</v>
      </c>
    </row>
    <row r="131" spans="2:3">
      <c r="B131" s="133" t="str">
        <f ca="1">INDEX(Match!B28:W57,1,1)</f>
        <v>STIOUET Reda</v>
      </c>
      <c r="C131" s="44">
        <f>INDEX(Match!B28:W57,1,15)</f>
        <v>219</v>
      </c>
    </row>
    <row r="132" spans="2:3">
      <c r="B132" s="133" t="str">
        <f ca="1">INDEX(Match!B14:W43,1,1)</f>
        <v>CAMARA Moussa</v>
      </c>
      <c r="C132" s="44">
        <f>INDEX(Match!B14:W43,1,15)</f>
        <v>67</v>
      </c>
    </row>
    <row r="133" spans="2:3">
      <c r="B133" s="133" t="str">
        <f ca="1">INDEX(Match!B19:W48,1,1)</f>
        <v>DUQUENOY Thomas</v>
      </c>
      <c r="C133" s="44">
        <f>INDEX(Match!B19:W48,1,15)</f>
        <v>195</v>
      </c>
    </row>
    <row r="134" spans="2:3">
      <c r="B134" s="133" t="str">
        <f ca="1">INDEX(Match!B18:W47,1,1)</f>
        <v>DOSIERE Baptiste</v>
      </c>
      <c r="C134" s="44">
        <f>INDEX(Match!B18:W47,1,15)</f>
        <v>261</v>
      </c>
    </row>
    <row r="135" spans="2:3">
      <c r="B135" s="133" t="str">
        <f ca="1">INDEX(Match!B21:W50,1,1)</f>
        <v>KONATE Mamadou</v>
      </c>
      <c r="C135" s="44">
        <f>INDEX(Match!B21:W50,1,15)</f>
        <v>216</v>
      </c>
    </row>
    <row r="136" spans="2:3">
      <c r="B136" s="133" t="str">
        <f ca="1">INDEX(Match!B11:W40,1,1)</f>
        <v>ALFONSO Joao</v>
      </c>
      <c r="C136" s="44">
        <f>INDEX(Match!B11:W40,1,15)</f>
        <v>273</v>
      </c>
    </row>
    <row r="137" spans="2:3">
      <c r="B137" s="133" t="str">
        <f ca="1">INDEX(Match!B30:W59,1,1)</f>
        <v>OSSENI Farouk</v>
      </c>
      <c r="C137" s="44">
        <f>INDEX(Match!B30:W59,1,15)</f>
        <v>110</v>
      </c>
    </row>
    <row r="138" spans="2:3">
      <c r="B138" s="133">
        <f ca="1">INDEX(Match!B33:W62,1,1)</f>
        <v>0</v>
      </c>
      <c r="C138" s="44">
        <f>INDEX(Match!B33:W62,1,15)</f>
        <v>0</v>
      </c>
    </row>
    <row r="139" spans="2:3">
      <c r="B139" s="133">
        <f ca="1">INDEX(Match!B32:W61,1,1)</f>
        <v>0</v>
      </c>
      <c r="C139" s="44">
        <f>INDEX(Match!B32:W61,1,15)</f>
        <v>0</v>
      </c>
    </row>
    <row r="140" spans="2:3">
      <c r="B140" s="133" t="str">
        <f>INDEX(Match!B40:W69,1,1)</f>
        <v>TOTAL</v>
      </c>
      <c r="C140" s="44">
        <f>INDEX(Match!B40:W69,1,13)</f>
        <v>6</v>
      </c>
    </row>
    <row r="141" spans="2:3">
      <c r="B141" s="133">
        <f ca="1">INDEX(Match!B34:W63,1,1)</f>
        <v>0</v>
      </c>
      <c r="C141" s="44">
        <f>INDEX(Match!B34:W63,1,15)</f>
        <v>0</v>
      </c>
    </row>
    <row r="142" spans="2:3">
      <c r="B142" s="133">
        <f ca="1">INDEX(Match!B37:W66,1,1)</f>
        <v>0</v>
      </c>
      <c r="C142" s="44">
        <f>INDEX(Match!B37:W66,1,15)</f>
        <v>0</v>
      </c>
    </row>
    <row r="143" spans="2:3">
      <c r="B143" s="133">
        <f ca="1">INDEX(Match!B35:W64,1,1)</f>
        <v>0</v>
      </c>
      <c r="C143" s="44">
        <f>INDEX(Match!B35:W64,1,15)</f>
        <v>0</v>
      </c>
    </row>
    <row r="144" spans="2:3">
      <c r="B144" s="133">
        <f ca="1">INDEX(Match!B36:W65,1,1)</f>
        <v>0</v>
      </c>
      <c r="C144" s="44">
        <f>INDEX(Match!B36:W65,1,15)</f>
        <v>0</v>
      </c>
    </row>
    <row r="145" spans="2:18">
      <c r="B145" s="133">
        <f ca="1">INDEX(Match!B38:W67,1,1)</f>
        <v>0</v>
      </c>
      <c r="C145" s="44">
        <f>INDEX(Match!B38:W67,1,15)</f>
        <v>0</v>
      </c>
    </row>
    <row r="146" spans="2:18">
      <c r="B146" s="133">
        <f ca="1">INDEX(Match!B39:W68,1,1)</f>
        <v>0</v>
      </c>
      <c r="C146" s="44">
        <f>INDEX(Match!B39:W68,1,15)</f>
        <v>0</v>
      </c>
    </row>
    <row r="147" spans="2:18" ht="30.95" customHeight="1"/>
    <row r="148" spans="2:18" ht="30.95" customHeight="1">
      <c r="B148" s="574" t="s">
        <v>201</v>
      </c>
      <c r="C148" s="574"/>
      <c r="D148" s="574"/>
      <c r="E148" s="574"/>
      <c r="F148" s="574"/>
      <c r="G148" s="574"/>
      <c r="H148" s="574"/>
      <c r="I148" s="574"/>
      <c r="J148" s="574"/>
      <c r="K148" s="574"/>
      <c r="L148" s="574"/>
      <c r="M148" s="574"/>
      <c r="N148" s="574"/>
      <c r="O148" s="574"/>
      <c r="P148" s="574"/>
      <c r="Q148" s="574"/>
      <c r="R148" s="574"/>
    </row>
    <row r="150" spans="2:18">
      <c r="B150" t="s">
        <v>192</v>
      </c>
      <c r="C150" t="s">
        <v>202</v>
      </c>
    </row>
    <row r="151" spans="2:18">
      <c r="B151" s="133" t="str">
        <f ca="1">INDEX(Match!B17:W46,1,1)</f>
        <v>DJEHICHE Ramzi</v>
      </c>
      <c r="C151" s="225">
        <f>IF(INDEX(Match!B17:W46,1,6)=0,0,INDEX(Match!B17:W46,1,15)/INDEX(Match!B17:W46,1,6))</f>
        <v>58.5</v>
      </c>
    </row>
    <row r="152" spans="2:18">
      <c r="B152" s="133" t="str">
        <f ca="1">INDEX(Match!B24:W53,1,1)</f>
        <v>MASSOUSSI Elie</v>
      </c>
      <c r="C152" s="225">
        <f>IF(INDEX(Match!B24:W53,1,6)=0,0,INDEX(Match!B24:W53,1,15)/INDEX(Match!B24:W53,1,6))</f>
        <v>86</v>
      </c>
    </row>
    <row r="153" spans="2:18">
      <c r="B153" s="133" t="str">
        <f ca="1">INDEX(Match!B13:W42,1,1)</f>
        <v>CAMARA Bandiougou</v>
      </c>
      <c r="C153" s="225">
        <f>IF(INDEX(Match!B13:W42,1,6)=0,0,INDEX(Match!B13:W42,1,15)/INDEX(Match!B13:W42,1,6))</f>
        <v>60</v>
      </c>
    </row>
    <row r="154" spans="2:18">
      <c r="B154" s="133" t="str">
        <f ca="1">INDEX(Match!B11:W40,1,1)</f>
        <v>ALFONSO Joao</v>
      </c>
      <c r="C154" s="225">
        <f>IF(INDEX(Match!B11:W40,1,6)=0,0,INDEX(Match!B11:W40,1,15)/INDEX(Match!B11:W40,1,6))</f>
        <v>68.25</v>
      </c>
    </row>
    <row r="155" spans="2:18">
      <c r="B155" s="133" t="str">
        <f ca="1">INDEX(Match!B22:W51,1,1)</f>
        <v>LECOUFFE Hugo</v>
      </c>
      <c r="C155" s="225">
        <f>IF(INDEX(Match!B22:W51,1,6)=0,0,INDEX(Match!B22:W51,1,15)/INDEX(Match!B22:W51,1,6))</f>
        <v>67.25</v>
      </c>
    </row>
    <row r="156" spans="2:18">
      <c r="B156" s="133" t="str">
        <f ca="1">INDEX(Match!B10:W39,1,1)</f>
        <v>ADDA Matteo</v>
      </c>
      <c r="C156" s="225">
        <f>IF(INDEX(Match!B10:W39,1,6)=0,0,INDEX(Match!B10:W39,1,15)/INDEX(Match!B10:W39,1,6))</f>
        <v>90</v>
      </c>
    </row>
    <row r="157" spans="2:18">
      <c r="B157" s="133" t="str">
        <f ca="1">INDEX(Match!B27:W56,1,1)</f>
        <v>PRONNIER Nicolas</v>
      </c>
      <c r="C157" s="225">
        <f>IF(INDEX(Match!B27:W56,1,6)=0,0,INDEX(Match!B27:W56,1,15)/INDEX(Match!B27:W56,1,6))</f>
        <v>75</v>
      </c>
    </row>
    <row r="158" spans="2:18">
      <c r="B158" s="133">
        <f ca="1">INDEX(Match!B31:W60,1,1)</f>
        <v>0</v>
      </c>
      <c r="C158" s="225">
        <f>IF(INDEX(Match!B31:W60,1,6)=0,0,INDEX(Match!B31:W60,1,15)/INDEX(Match!B31:W60,1,6))</f>
        <v>0</v>
      </c>
    </row>
    <row r="159" spans="2:18">
      <c r="B159" s="133" t="str">
        <f ca="1">INDEX(Match!B29:W58,1,1)</f>
        <v>ZERDEB Said</v>
      </c>
      <c r="C159" s="225">
        <f>IF(INDEX(Match!B29:W58,1,6)=0,0,INDEX(Match!B29:W58,1,15)/INDEX(Match!B29:W58,1,6))</f>
        <v>81</v>
      </c>
    </row>
    <row r="160" spans="2:18">
      <c r="B160" s="133" t="str">
        <f ca="1">INDEX(Match!B16:W45,1,1)</f>
        <v>CHEROD Alexis</v>
      </c>
      <c r="C160" s="225">
        <f>IF(INDEX(Match!B16:W45,1,6)=0,0,INDEX(Match!B16:W45,1,15)/INDEX(Match!B16:W45,1,6))</f>
        <v>45.5</v>
      </c>
    </row>
    <row r="161" spans="2:3">
      <c r="B161" s="133" t="str">
        <f ca="1">INDEX(Match!B15:W44,1,1)</f>
        <v>CARREAU Ethan</v>
      </c>
      <c r="C161" s="225">
        <f>IF(INDEX(Match!B15:W44,1,6)=0,0,INDEX(Match!B15:W44,1,15)/INDEX(Match!B15:W44,1,6))</f>
        <v>85</v>
      </c>
    </row>
    <row r="162" spans="2:3">
      <c r="B162" s="133" t="str">
        <f ca="1">INDEX(Match!B25:W54,1,1)</f>
        <v>NGOUABI Yoann</v>
      </c>
      <c r="C162" s="225">
        <f>IF(INDEX(Match!B25:W54,1,6)=0,0,INDEX(Match!B25:W54,1,15)/INDEX(Match!B25:W54,1,6))</f>
        <v>84</v>
      </c>
    </row>
    <row r="163" spans="2:3">
      <c r="B163" s="133" t="str">
        <f ca="1">INDEX(Match!B18:W47,1,1)</f>
        <v>DOSIERE Baptiste</v>
      </c>
      <c r="C163" s="225">
        <f>IF(INDEX(Match!B18:W47,1,6)=0,0,INDEX(Match!B18:W47,1,15)/INDEX(Match!B18:W47,1,6))</f>
        <v>65.25</v>
      </c>
    </row>
    <row r="164" spans="2:3">
      <c r="B164" s="133" t="str">
        <f ca="1">INDEX(Match!B21:W50,1,1)</f>
        <v>KONATE Mamadou</v>
      </c>
      <c r="C164" s="225">
        <f>IF(INDEX(Match!B21:W50,1,6)=0,0,INDEX(Match!B21:W50,1,15)/INDEX(Match!B21:W50,1,6))</f>
        <v>43.2</v>
      </c>
    </row>
    <row r="165" spans="2:3">
      <c r="B165" s="133" t="str">
        <f ca="1">INDEX(Match!B12:W41,1,1)</f>
        <v>BERDAH Matis</v>
      </c>
      <c r="C165" s="225">
        <f>IF(INDEX(Match!B12:W41,1,6)=0,0,INDEX(Match!B12:W41,1,15)/INDEX(Match!B12:W41,1,6))</f>
        <v>71.400000000000006</v>
      </c>
    </row>
    <row r="166" spans="2:3">
      <c r="B166" s="133" t="str">
        <f ca="1">INDEX(Match!B20:W49,1,1)</f>
        <v>KIPRE Jordan</v>
      </c>
      <c r="C166" s="225">
        <f>IF(INDEX(Match!B20:W49,1,6)=0,0,INDEX(Match!B20:W49,1,15)/INDEX(Match!B20:W49,1,6))</f>
        <v>26.666666666666668</v>
      </c>
    </row>
    <row r="167" spans="2:3">
      <c r="B167" s="133" t="str">
        <f ca="1">INDEX(Match!B26:W55,1,1)</f>
        <v>PLANET Mathis</v>
      </c>
      <c r="C167" s="225">
        <f>IF(INDEX(Match!B26:W55,1,6)=0,0,INDEX(Match!B26:W55,1,15)/INDEX(Match!B26:W55,1,6))</f>
        <v>42.6</v>
      </c>
    </row>
    <row r="168" spans="2:3">
      <c r="B168" s="133" t="str">
        <f ca="1">INDEX(Match!B28:W57,1,1)</f>
        <v>STIOUET Reda</v>
      </c>
      <c r="C168" s="225">
        <f>IF(INDEX(Match!B28:W57,1,6)=0,0,INDEX(Match!B28:W57,1,15)/INDEX(Match!B28:W57,1,6))</f>
        <v>73</v>
      </c>
    </row>
    <row r="169" spans="2:3">
      <c r="B169" s="133" t="str">
        <f ca="1">INDEX(Match!B19:W48,1,1)</f>
        <v>DUQUENOY Thomas</v>
      </c>
      <c r="C169" s="225">
        <f>IF(INDEX(Match!B19:W48,1,6)=0,0,INDEX(Match!B19:W48,1,15)/INDEX(Match!B19:W48,1,6))</f>
        <v>48.75</v>
      </c>
    </row>
    <row r="170" spans="2:3">
      <c r="B170" s="133" t="str">
        <f ca="1">INDEX(Match!B14:W43,1,1)</f>
        <v>CAMARA Moussa</v>
      </c>
      <c r="C170" s="225">
        <f>IF(INDEX(Match!B14:W43,1,6)=0,0,INDEX(Match!B14:W43,1,15)/INDEX(Match!B14:W43,1,6))</f>
        <v>67</v>
      </c>
    </row>
    <row r="171" spans="2:3">
      <c r="B171" s="133">
        <f ca="1">INDEX(Match!B32:W61,1,1)</f>
        <v>0</v>
      </c>
      <c r="C171" s="225">
        <f>IF(INDEX(Match!B32:W61,1,6)=0,0,INDEX(Match!B32:W61,1,15)/INDEX(Match!B32:W61,1,6))</f>
        <v>0</v>
      </c>
    </row>
    <row r="172" spans="2:3">
      <c r="B172" s="133" t="str">
        <f ca="1">INDEX(Match!B30:W59,1,1)</f>
        <v>OSSENI Farouk</v>
      </c>
      <c r="C172" s="225">
        <f>IF(INDEX(Match!B30:W59,1,6)=0,0,INDEX(Match!B30:W59,1,15)/INDEX(Match!B30:W59,1,6))</f>
        <v>55</v>
      </c>
    </row>
    <row r="173" spans="2:3">
      <c r="B173" s="133" t="str">
        <f ca="1">INDEX(Match!B23:W52,1,1)</f>
        <v>LEFRANC Nathan</v>
      </c>
      <c r="C173" s="225">
        <f>IF(INDEX(Match!B23:W52,1,6)=0,0,INDEX(Match!B23:W52,1,15)/INDEX(Match!B23:W52,1,6))</f>
        <v>52.5</v>
      </c>
    </row>
    <row r="174" spans="2:3">
      <c r="B174" s="133" t="str">
        <f>INDEX(Match!B40:W69,1,1)</f>
        <v>TOTAL</v>
      </c>
      <c r="C174" s="225">
        <f>IF(INDEX(Match!B40:W69,1,6)=0,0,INDEX(Match!B40:W69,1,13)/INDEX(Match!B40:W69,1,6))</f>
        <v>7.792207792207792E-2</v>
      </c>
    </row>
    <row r="175" spans="2:3">
      <c r="B175" s="133">
        <f ca="1">INDEX(Match!B34:W63,1,1)</f>
        <v>0</v>
      </c>
      <c r="C175" s="225">
        <f>IF(INDEX(Match!B34:W63,1,6)=0,0,INDEX(Match!B34:W63,1,15)/INDEX(Match!B34:W63,1,6))</f>
        <v>0</v>
      </c>
    </row>
    <row r="176" spans="2:3">
      <c r="B176" s="133">
        <f ca="1">INDEX(Match!B35:W64,1,1)</f>
        <v>0</v>
      </c>
      <c r="C176" s="225">
        <f>IF(INDEX(Match!B35:W64,1,6)=0,0,INDEX(Match!B35:W64,1,15)/INDEX(Match!B35:W64,1,6))</f>
        <v>0</v>
      </c>
    </row>
    <row r="177" spans="2:18">
      <c r="B177" s="133">
        <f ca="1">INDEX(Match!B37:W66,1,1)</f>
        <v>0</v>
      </c>
      <c r="C177" s="225">
        <f>IF(INDEX(Match!B37:W66,1,6)=0,0,INDEX(Match!B37:W66,1,15)/INDEX(Match!B37:W66,1,6))</f>
        <v>0</v>
      </c>
    </row>
    <row r="178" spans="2:18">
      <c r="B178" s="133">
        <f ca="1">INDEX(Match!B33:W62,1,1)</f>
        <v>0</v>
      </c>
      <c r="C178" s="225">
        <f>IF(INDEX(Match!B33:W62,1,6)=0,0,INDEX(Match!B33:W62,1,15)/INDEX(Match!B33:W62,1,6))</f>
        <v>0</v>
      </c>
    </row>
    <row r="179" spans="2:18">
      <c r="B179" s="133">
        <f ca="1">INDEX(Match!B36:W65,1,1)</f>
        <v>0</v>
      </c>
      <c r="C179" s="225">
        <f>IF(INDEX(Match!B36:W65,1,6)=0,0,INDEX(Match!B36:W65,1,15)/INDEX(Match!B36:W65,1,6))</f>
        <v>0</v>
      </c>
    </row>
    <row r="180" spans="2:18">
      <c r="B180" s="133">
        <f ca="1">INDEX(Match!B38:W67,1,1)</f>
        <v>0</v>
      </c>
      <c r="C180" s="225">
        <f>IF(INDEX(Match!B38:W67,1,6)=0,0,INDEX(Match!B38:W67,1,15)/INDEX(Match!B38:W67,1,6))</f>
        <v>0</v>
      </c>
    </row>
    <row r="181" spans="2:18">
      <c r="B181" s="133">
        <f ca="1">INDEX(Match!B39:W68,1,1)</f>
        <v>0</v>
      </c>
      <c r="C181" s="225">
        <f>IF(INDEX(Match!B39:W68,1,6)=0,0,INDEX(Match!B39:W68,1,15)/INDEX(Match!B39:W68,1,6))</f>
        <v>0</v>
      </c>
    </row>
    <row r="182" spans="2:18" ht="30.95" customHeight="1"/>
    <row r="183" spans="2:18" ht="30.95" customHeight="1">
      <c r="B183" s="574" t="s">
        <v>203</v>
      </c>
      <c r="C183" s="574"/>
      <c r="D183" s="574"/>
      <c r="E183" s="574"/>
      <c r="F183" s="574"/>
      <c r="G183" s="574"/>
      <c r="H183" s="574"/>
      <c r="I183" s="574"/>
      <c r="J183" s="574"/>
      <c r="K183" s="574"/>
      <c r="L183" s="574"/>
      <c r="M183" s="574"/>
      <c r="N183" s="574"/>
      <c r="O183" s="574"/>
      <c r="P183" s="574"/>
      <c r="Q183" s="574"/>
      <c r="R183" s="574"/>
    </row>
    <row r="185" spans="2:18">
      <c r="B185" t="s">
        <v>192</v>
      </c>
      <c r="C185" t="s">
        <v>204</v>
      </c>
      <c r="D185" t="s">
        <v>205</v>
      </c>
    </row>
    <row r="186" spans="2:18">
      <c r="B186" s="133" t="str">
        <f ca="1">INDEX(Match!B24:W53,1,1)</f>
        <v>MASSOUSSI Elie</v>
      </c>
      <c r="C186" s="44">
        <f>INDEX(Match!B24:W53,1,20)</f>
        <v>0</v>
      </c>
      <c r="D186" s="44">
        <f>INDEX(Match!B24:W53,1,21)</f>
        <v>0</v>
      </c>
    </row>
    <row r="187" spans="2:18">
      <c r="B187" s="133" t="str">
        <f ca="1">INDEX(Match!B10:W39,1,1)</f>
        <v>ADDA Matteo</v>
      </c>
      <c r="C187" s="44">
        <f>INDEX(Match!B10:W39,1,20)</f>
        <v>0</v>
      </c>
      <c r="D187" s="44">
        <f>INDEX(Match!B10:W39,1,21)</f>
        <v>0</v>
      </c>
    </row>
    <row r="188" spans="2:18">
      <c r="B188" s="133" t="str">
        <f ca="1">INDEX(Match!B22:W51,1,1)</f>
        <v>LECOUFFE Hugo</v>
      </c>
      <c r="C188" s="44">
        <f>INDEX(Match!B22:W51,1,20)</f>
        <v>0</v>
      </c>
      <c r="D188" s="44">
        <f>INDEX(Match!B22:W51,1,21)</f>
        <v>0</v>
      </c>
    </row>
    <row r="189" spans="2:18">
      <c r="B189" s="133" t="str">
        <f ca="1">INDEX(Match!B28:W57,1,1)</f>
        <v>STIOUET Reda</v>
      </c>
      <c r="C189" s="44">
        <f>INDEX(Match!B28:W57,1,20)</f>
        <v>0</v>
      </c>
      <c r="D189" s="44">
        <f>INDEX(Match!B28:W57,1,21)</f>
        <v>0</v>
      </c>
    </row>
    <row r="190" spans="2:18">
      <c r="B190" s="133" t="str">
        <f ca="1">INDEX(Match!B19:W48,1,1)</f>
        <v>DUQUENOY Thomas</v>
      </c>
      <c r="C190" s="44">
        <f>INDEX(Match!B19:W48,1,20)</f>
        <v>0</v>
      </c>
      <c r="D190" s="44">
        <f>INDEX(Match!B19:W48,1,21)</f>
        <v>0</v>
      </c>
    </row>
    <row r="191" spans="2:18">
      <c r="B191" s="133" t="str">
        <f ca="1">INDEX(Match!B25:W54,1,1)</f>
        <v>NGOUABI Yoann</v>
      </c>
      <c r="C191" s="44">
        <f>INDEX(Match!B25:W54,1,20)</f>
        <v>0</v>
      </c>
      <c r="D191" s="44">
        <f>INDEX(Match!B25:W54,1,21)</f>
        <v>0</v>
      </c>
    </row>
    <row r="192" spans="2:18">
      <c r="B192" s="133" t="str">
        <f ca="1">INDEX(Match!B29:W58,1,1)</f>
        <v>ZERDEB Said</v>
      </c>
      <c r="C192" s="44">
        <f>INDEX(Match!B29:W58,1,20)</f>
        <v>0</v>
      </c>
      <c r="D192" s="44">
        <f>INDEX(Match!B29:W58,1,21)</f>
        <v>0</v>
      </c>
    </row>
    <row r="193" spans="2:4">
      <c r="B193" s="133" t="str">
        <f ca="1">INDEX(Match!B11:W40,1,1)</f>
        <v>ALFONSO Joao</v>
      </c>
      <c r="C193" s="44">
        <f>INDEX(Match!B11:W40,1,20)</f>
        <v>0</v>
      </c>
      <c r="D193" s="44">
        <f>INDEX(Match!B11:W40,1,21)</f>
        <v>0</v>
      </c>
    </row>
    <row r="194" spans="2:4">
      <c r="B194" s="133" t="str">
        <f ca="1">INDEX(Match!B12:W41,1,1)</f>
        <v>BERDAH Matis</v>
      </c>
      <c r="C194" s="44">
        <f>INDEX(Match!B12:W41,1,20)</f>
        <v>0</v>
      </c>
      <c r="D194" s="44">
        <f>INDEX(Match!B12:W41,1,21)</f>
        <v>0</v>
      </c>
    </row>
    <row r="195" spans="2:4">
      <c r="B195" s="133" t="str">
        <f ca="1">INDEX(Match!B13:W42,1,1)</f>
        <v>CAMARA Bandiougou</v>
      </c>
      <c r="C195" s="44">
        <f>INDEX(Match!B13:W42,1,20)</f>
        <v>0</v>
      </c>
      <c r="D195" s="44">
        <f>INDEX(Match!B13:W42,1,21)</f>
        <v>0</v>
      </c>
    </row>
    <row r="196" spans="2:4">
      <c r="B196" s="133" t="str">
        <f ca="1">INDEX(Match!B14:W43,1,1)</f>
        <v>CAMARA Moussa</v>
      </c>
      <c r="C196" s="44">
        <f>INDEX(Match!B14:W43,1,20)</f>
        <v>0</v>
      </c>
      <c r="D196" s="44">
        <f>INDEX(Match!B14:W43,1,21)</f>
        <v>0</v>
      </c>
    </row>
    <row r="197" spans="2:4">
      <c r="B197" s="133" t="str">
        <f ca="1">INDEX(Match!B15:W44,1,1)</f>
        <v>CARREAU Ethan</v>
      </c>
      <c r="C197" s="44">
        <f>INDEX(Match!B15:W44,1,20)</f>
        <v>1</v>
      </c>
      <c r="D197" s="44">
        <f>INDEX(Match!B15:W44,1,21)</f>
        <v>0</v>
      </c>
    </row>
    <row r="198" spans="2:4">
      <c r="B198" s="133" t="str">
        <f ca="1">INDEX(Match!B16:W45,1,1)</f>
        <v>CHEROD Alexis</v>
      </c>
      <c r="C198" s="44">
        <f>INDEX(Match!B16:W45,1,20)</f>
        <v>0</v>
      </c>
      <c r="D198" s="44">
        <f>INDEX(Match!B16:W45,1,21)</f>
        <v>0</v>
      </c>
    </row>
    <row r="199" spans="2:4">
      <c r="B199" s="133" t="str">
        <f ca="1">INDEX(Match!B17:W46,1,1)</f>
        <v>DJEHICHE Ramzi</v>
      </c>
      <c r="C199" s="44">
        <f>INDEX(Match!B17:W46,1,20)</f>
        <v>0</v>
      </c>
      <c r="D199" s="44">
        <f>INDEX(Match!B17:W46,1,21)</f>
        <v>0</v>
      </c>
    </row>
    <row r="200" spans="2:4">
      <c r="B200" s="133" t="str">
        <f ca="1">INDEX(Match!B18:W47,1,1)</f>
        <v>DOSIERE Baptiste</v>
      </c>
      <c r="C200" s="44">
        <f>INDEX(Match!B18:W47,1,20)</f>
        <v>1</v>
      </c>
      <c r="D200" s="44">
        <f>INDEX(Match!B18:W47,1,21)</f>
        <v>0</v>
      </c>
    </row>
    <row r="201" spans="2:4">
      <c r="B201" s="133" t="str">
        <f ca="1">INDEX(Match!B20:W49,1,1)</f>
        <v>KIPRE Jordan</v>
      </c>
      <c r="C201" s="44">
        <f>INDEX(Match!B20:W49,1,20)</f>
        <v>0</v>
      </c>
      <c r="D201" s="44">
        <f>INDEX(Match!B20:W49,1,21)</f>
        <v>0</v>
      </c>
    </row>
    <row r="202" spans="2:4">
      <c r="B202" s="133" t="str">
        <f ca="1">INDEX(Match!B21:W50,1,1)</f>
        <v>KONATE Mamadou</v>
      </c>
      <c r="C202" s="44">
        <f>INDEX(Match!B21:W50,1,20)</f>
        <v>0</v>
      </c>
      <c r="D202" s="44">
        <f>INDEX(Match!B21:W50,1,21)</f>
        <v>0</v>
      </c>
    </row>
    <row r="203" spans="2:4">
      <c r="B203" s="133" t="str">
        <f ca="1">INDEX(Match!B23:W52,1,1)</f>
        <v>LEFRANC Nathan</v>
      </c>
      <c r="C203" s="44">
        <f>INDEX(Match!B23:W52,1,20)</f>
        <v>0</v>
      </c>
      <c r="D203" s="44">
        <f>INDEX(Match!B23:W52,1,21)</f>
        <v>0</v>
      </c>
    </row>
    <row r="204" spans="2:4">
      <c r="B204" s="133" t="str">
        <f ca="1">INDEX(Match!B26:W55,1,1)</f>
        <v>PLANET Mathis</v>
      </c>
      <c r="C204" s="44">
        <f>INDEX(Match!B26:W55,1,20)</f>
        <v>0</v>
      </c>
      <c r="D204" s="44">
        <f>INDEX(Match!B26:W55,1,21)</f>
        <v>0</v>
      </c>
    </row>
    <row r="205" spans="2:4">
      <c r="B205" s="133" t="str">
        <f ca="1">INDEX(Match!B27:W56,1,1)</f>
        <v>PRONNIER Nicolas</v>
      </c>
      <c r="C205" s="44">
        <f>INDEX(Match!B27:W56,1,20)</f>
        <v>0</v>
      </c>
      <c r="D205" s="44">
        <f>INDEX(Match!B27:W56,1,21)</f>
        <v>0</v>
      </c>
    </row>
    <row r="206" spans="2:4">
      <c r="B206" s="133" t="str">
        <f ca="1">INDEX(Match!B30:W59,1,1)</f>
        <v>OSSENI Farouk</v>
      </c>
      <c r="C206" s="44">
        <f>INDEX(Match!B30:W59,1,20)</f>
        <v>0</v>
      </c>
      <c r="D206" s="44">
        <f>INDEX(Match!B30:W59,1,21)</f>
        <v>0</v>
      </c>
    </row>
    <row r="207" spans="2:4">
      <c r="B207" s="133">
        <f ca="1">INDEX(Match!B31:W60,1,1)</f>
        <v>0</v>
      </c>
      <c r="C207" s="44">
        <f>INDEX(Match!B31:W60,1,20)</f>
        <v>0</v>
      </c>
      <c r="D207" s="44">
        <f>INDEX(Match!B31:W60,1,21)</f>
        <v>0</v>
      </c>
    </row>
    <row r="208" spans="2:4">
      <c r="B208" s="133">
        <f ca="1">INDEX(Match!B32:W61,1,1)</f>
        <v>0</v>
      </c>
      <c r="C208" s="44">
        <f>INDEX(Match!B32:W61,1,20)</f>
        <v>0</v>
      </c>
      <c r="D208" s="44">
        <f>INDEX(Match!B32:W61,1,21)</f>
        <v>0</v>
      </c>
    </row>
    <row r="209" spans="2:18">
      <c r="B209" s="133">
        <f ca="1">INDEX(Match!B33:W62,1,1)</f>
        <v>0</v>
      </c>
      <c r="C209" s="44">
        <f>INDEX(Match!B33:W62,1,20)</f>
        <v>0</v>
      </c>
      <c r="D209" s="44">
        <f>INDEX(Match!B33:W62,1,21)</f>
        <v>0</v>
      </c>
    </row>
    <row r="210" spans="2:18">
      <c r="B210" s="133">
        <f ca="1">INDEX(Match!B34:W63,1,1)</f>
        <v>0</v>
      </c>
      <c r="C210" s="44">
        <f>INDEX(Match!B34:W63,1,20)</f>
        <v>0</v>
      </c>
      <c r="D210" s="44">
        <f>INDEX(Match!B34:W63,1,21)</f>
        <v>0</v>
      </c>
    </row>
    <row r="211" spans="2:18">
      <c r="B211" s="133">
        <f ca="1">INDEX(Match!B35:W64,1,1)</f>
        <v>0</v>
      </c>
      <c r="C211" s="44">
        <f>INDEX(Match!B35:W64,1,20)</f>
        <v>0</v>
      </c>
      <c r="D211" s="44">
        <f>INDEX(Match!B35:W64,1,21)</f>
        <v>0</v>
      </c>
    </row>
    <row r="212" spans="2:18">
      <c r="B212" s="133">
        <f ca="1">INDEX(Match!B36:W65,1,1)</f>
        <v>0</v>
      </c>
      <c r="C212" s="44">
        <f>INDEX(Match!B36:W65,1,20)</f>
        <v>0</v>
      </c>
      <c r="D212" s="44">
        <f>INDEX(Match!B36:W65,1,21)</f>
        <v>0</v>
      </c>
    </row>
    <row r="213" spans="2:18">
      <c r="B213" s="133">
        <f ca="1">INDEX(Match!B37:W66,1,1)</f>
        <v>0</v>
      </c>
      <c r="C213" s="44">
        <f>INDEX(Match!B37:W66,1,20)</f>
        <v>0</v>
      </c>
      <c r="D213" s="44">
        <f>INDEX(Match!B37:W66,1,21)</f>
        <v>0</v>
      </c>
    </row>
    <row r="214" spans="2:18">
      <c r="B214" s="133">
        <f ca="1">INDEX(Match!B38:W67,1,1)</f>
        <v>0</v>
      </c>
      <c r="C214" s="44">
        <f>INDEX(Match!B38:W67,1,20)</f>
        <v>0</v>
      </c>
      <c r="D214" s="44">
        <f>INDEX(Match!B38:W67,1,21)</f>
        <v>0</v>
      </c>
    </row>
    <row r="215" spans="2:18">
      <c r="B215" s="133">
        <f ca="1">INDEX(Match!B39:W68,1,1)</f>
        <v>0</v>
      </c>
      <c r="C215" s="44">
        <f>INDEX(Match!B39:W68,1,20)</f>
        <v>0</v>
      </c>
      <c r="D215" s="44">
        <f>INDEX(Match!B39:W68,1,21)</f>
        <v>0</v>
      </c>
    </row>
    <row r="217" spans="2:18" ht="30.95" customHeight="1"/>
    <row r="218" spans="2:18" ht="30.95" customHeight="1">
      <c r="B218" s="574" t="s">
        <v>226</v>
      </c>
      <c r="C218" s="574"/>
      <c r="D218" s="574"/>
      <c r="E218" s="574"/>
      <c r="F218" s="574"/>
      <c r="G218" s="574"/>
      <c r="H218" s="574"/>
      <c r="I218" s="574"/>
      <c r="J218" s="574"/>
      <c r="K218" s="574"/>
      <c r="L218" s="574"/>
      <c r="M218" s="574"/>
      <c r="N218" s="574"/>
      <c r="O218" s="574"/>
      <c r="P218" s="574"/>
      <c r="Q218" s="574"/>
      <c r="R218" s="574"/>
    </row>
    <row r="220" spans="2:18">
      <c r="B220" t="s">
        <v>192</v>
      </c>
      <c r="C220" t="s">
        <v>10</v>
      </c>
      <c r="D220" t="s">
        <v>227</v>
      </c>
      <c r="E220" t="s">
        <v>18</v>
      </c>
    </row>
    <row r="221" spans="2:18">
      <c r="B221" s="133" t="str">
        <f>INDEX(Tableau6[Nom Prénom],1)</f>
        <v>ADDA Matteo</v>
      </c>
      <c r="C221" s="25" t="e">
        <f>INDEX(Entrainement!#REF!,1)</f>
        <v>#REF!</v>
      </c>
      <c r="D221" s="25" t="e">
        <f>SUM(INDEX(Entrainement!#REF!,1),INDEX(Entrainement!#REF!,1),INDEX(Entrainement!#REF!,1),INDEX(Entrainement!#REF!,1),INDEX(Entrainement!#REF!,1))</f>
        <v>#REF!</v>
      </c>
      <c r="E221" s="25" t="e">
        <f>INDEX(Entrainement!#REF!,1)</f>
        <v>#REF!</v>
      </c>
    </row>
    <row r="222" spans="2:18">
      <c r="B222" s="133" t="str">
        <f>INDEX(Tableau6[Nom Prénom],2)</f>
        <v>ALFONSO Joao</v>
      </c>
      <c r="C222" s="25" t="e">
        <f>INDEX(Entrainement!#REF!,2)</f>
        <v>#REF!</v>
      </c>
      <c r="D222" s="25" t="e">
        <f>SUM(INDEX(Entrainement!#REF!,2),INDEX(Entrainement!#REF!,2),INDEX(Entrainement!#REF!,2),INDEX(Entrainement!#REF!,2),INDEX(Entrainement!#REF!,2))</f>
        <v>#REF!</v>
      </c>
      <c r="E222" s="25" t="e">
        <f>INDEX(Entrainement!#REF!,2)</f>
        <v>#REF!</v>
      </c>
    </row>
    <row r="223" spans="2:18">
      <c r="B223" s="133" t="str">
        <f>INDEX(Tableau6[Nom Prénom],3)</f>
        <v>BERDAH Matis</v>
      </c>
      <c r="C223" s="25" t="e">
        <f>INDEX(Entrainement!#REF!,3)</f>
        <v>#REF!</v>
      </c>
      <c r="D223" s="25" t="e">
        <f>SUM(INDEX(Entrainement!#REF!,3),INDEX(Entrainement!#REF!,3),INDEX(Entrainement!#REF!,3),INDEX(Entrainement!#REF!,3),INDEX(Entrainement!#REF!,3))</f>
        <v>#REF!</v>
      </c>
      <c r="E223" s="25" t="e">
        <f>INDEX(Entrainement!#REF!,3)</f>
        <v>#REF!</v>
      </c>
    </row>
    <row r="224" spans="2:18">
      <c r="B224" s="133" t="str">
        <f>INDEX(Tableau6[Nom Prénom],4)</f>
        <v>CAMARA Bandiougou</v>
      </c>
      <c r="C224" s="25" t="e">
        <f>INDEX(Entrainement!#REF!,4)</f>
        <v>#REF!</v>
      </c>
      <c r="D224" s="25" t="e">
        <f>SUM(INDEX(Entrainement!#REF!,4),INDEX(Entrainement!#REF!,4),INDEX(Entrainement!#REF!,4),INDEX(Entrainement!#REF!,4),INDEX(Entrainement!#REF!,4))</f>
        <v>#REF!</v>
      </c>
      <c r="E224" s="25" t="e">
        <f>INDEX(Entrainement!#REF!,4)</f>
        <v>#REF!</v>
      </c>
    </row>
    <row r="225" spans="2:5">
      <c r="B225" s="133" t="str">
        <f>INDEX(Tableau6[Nom Prénom],5)</f>
        <v>CAMARA Moussa</v>
      </c>
      <c r="C225" s="25" t="e">
        <f>INDEX(Entrainement!#REF!,5)</f>
        <v>#REF!</v>
      </c>
      <c r="D225" s="25" t="e">
        <f>SUM(INDEX(Entrainement!#REF!,5),INDEX(Entrainement!#REF!,5),INDEX(Entrainement!#REF!,5),INDEX(Entrainement!#REF!,5),INDEX(Entrainement!#REF!,5))</f>
        <v>#REF!</v>
      </c>
      <c r="E225" s="25" t="e">
        <f>INDEX(Entrainement!#REF!,5)</f>
        <v>#REF!</v>
      </c>
    </row>
    <row r="226" spans="2:5">
      <c r="B226" s="133" t="str">
        <f>INDEX(Tableau6[Nom Prénom],6)</f>
        <v>CARREAU Ethan</v>
      </c>
      <c r="C226" s="25" t="e">
        <f>INDEX(Entrainement!#REF!,6)</f>
        <v>#REF!</v>
      </c>
      <c r="D226" s="25" t="e">
        <f>SUM(INDEX(Entrainement!#REF!,6),INDEX(Entrainement!#REF!,6),INDEX(Entrainement!#REF!,6),INDEX(Entrainement!#REF!,6),INDEX(Entrainement!#REF!,6))</f>
        <v>#REF!</v>
      </c>
      <c r="E226" s="25" t="e">
        <f>INDEX(Entrainement!#REF!,6)</f>
        <v>#REF!</v>
      </c>
    </row>
    <row r="227" spans="2:5">
      <c r="B227" s="133" t="str">
        <f>INDEX(Tableau6[Nom Prénom],7)</f>
        <v>CHEROD Alexis</v>
      </c>
      <c r="C227" s="25" t="e">
        <f>INDEX(Entrainement!#REF!,7)</f>
        <v>#REF!</v>
      </c>
      <c r="D227" s="25" t="e">
        <f>SUM(INDEX(Entrainement!#REF!,7),INDEX(Entrainement!#REF!,7),INDEX(Entrainement!#REF!,7),INDEX(Entrainement!#REF!,7),INDEX(Entrainement!#REF!,7))</f>
        <v>#REF!</v>
      </c>
      <c r="E227" s="25" t="e">
        <f>INDEX(Entrainement!#REF!,7)</f>
        <v>#REF!</v>
      </c>
    </row>
    <row r="228" spans="2:5">
      <c r="B228" s="133" t="str">
        <f>INDEX(Tableau6[Nom Prénom],8)</f>
        <v>DJEHICHE Ramzi</v>
      </c>
      <c r="C228" s="25" t="e">
        <f>INDEX(Entrainement!#REF!,8)</f>
        <v>#REF!</v>
      </c>
      <c r="D228" s="25" t="e">
        <f>SUM(INDEX(Entrainement!#REF!,8),INDEX(Entrainement!#REF!,8),INDEX(Entrainement!#REF!,8),INDEX(Entrainement!#REF!,8),INDEX(Entrainement!#REF!,8))</f>
        <v>#REF!</v>
      </c>
      <c r="E228" s="25" t="e">
        <f>INDEX(Entrainement!#REF!,8)</f>
        <v>#REF!</v>
      </c>
    </row>
    <row r="229" spans="2:5">
      <c r="B229" s="133" t="str">
        <f>INDEX(Tableau6[Nom Prénom],9)</f>
        <v>DOSIERE Baptiste</v>
      </c>
      <c r="C229" s="25" t="e">
        <f>INDEX(Entrainement!#REF!,9)</f>
        <v>#REF!</v>
      </c>
      <c r="D229" s="25" t="e">
        <f>SUM(INDEX(Entrainement!#REF!,9),INDEX(Entrainement!#REF!,9),INDEX(Entrainement!#REF!,9),INDEX(Entrainement!#REF!,9),INDEX(Entrainement!#REF!,9))</f>
        <v>#REF!</v>
      </c>
      <c r="E229" s="25" t="e">
        <f>INDEX(Entrainement!#REF!,9)</f>
        <v>#REF!</v>
      </c>
    </row>
    <row r="230" spans="2:5">
      <c r="B230" s="133" t="str">
        <f>INDEX(Tableau6[Nom Prénom],10)</f>
        <v>DUQUENOY Thomas</v>
      </c>
      <c r="C230" s="25" t="e">
        <f>INDEX(Entrainement!#REF!,10)</f>
        <v>#REF!</v>
      </c>
      <c r="D230" s="25" t="e">
        <f>SUM(INDEX(Entrainement!#REF!,10),INDEX(Entrainement!#REF!,10),INDEX(Entrainement!#REF!,10),INDEX(Entrainement!#REF!,10),INDEX(Entrainement!#REF!,10))</f>
        <v>#REF!</v>
      </c>
      <c r="E230" s="25" t="e">
        <f>INDEX(Entrainement!#REF!,10)</f>
        <v>#REF!</v>
      </c>
    </row>
    <row r="231" spans="2:5">
      <c r="B231" s="133" t="str">
        <f>INDEX(Tableau6[Nom Prénom],11)</f>
        <v>KIPRE Jordan</v>
      </c>
      <c r="C231" s="25" t="e">
        <f>INDEX(Entrainement!#REF!,11)</f>
        <v>#REF!</v>
      </c>
      <c r="D231" s="25" t="e">
        <f>SUM(INDEX(Entrainement!#REF!,11),INDEX(Entrainement!#REF!,11),INDEX(Entrainement!#REF!,11),INDEX(Entrainement!#REF!,11),INDEX(Entrainement!#REF!,11))</f>
        <v>#REF!</v>
      </c>
      <c r="E231" s="25" t="e">
        <f>INDEX(Entrainement!#REF!,11)</f>
        <v>#REF!</v>
      </c>
    </row>
    <row r="232" spans="2:5">
      <c r="B232" s="133" t="str">
        <f>INDEX(Tableau6[Nom Prénom],12)</f>
        <v>KONATE Mamadou</v>
      </c>
      <c r="C232" s="25" t="e">
        <f>INDEX(Entrainement!#REF!,12)</f>
        <v>#REF!</v>
      </c>
      <c r="D232" s="25" t="e">
        <f>SUM(INDEX(Entrainement!#REF!,12),INDEX(Entrainement!#REF!,12),INDEX(Entrainement!#REF!,12),INDEX(Entrainement!#REF!,12),INDEX(Entrainement!#REF!,12))</f>
        <v>#REF!</v>
      </c>
      <c r="E232" s="25" t="e">
        <f>INDEX(Entrainement!#REF!,12)</f>
        <v>#REF!</v>
      </c>
    </row>
    <row r="233" spans="2:5">
      <c r="B233" s="133" t="str">
        <f>INDEX(Tableau6[Nom Prénom],13)</f>
        <v>LECOUFFE Hugo</v>
      </c>
      <c r="C233" s="25" t="e">
        <f>INDEX(Entrainement!#REF!,13)</f>
        <v>#REF!</v>
      </c>
      <c r="D233" s="25" t="e">
        <f>SUM(INDEX(Entrainement!#REF!,13),INDEX(Entrainement!#REF!,13),INDEX(Entrainement!#REF!,13),INDEX(Entrainement!#REF!,13),INDEX(Entrainement!#REF!,13))</f>
        <v>#REF!</v>
      </c>
      <c r="E233" s="25" t="e">
        <f>INDEX(Entrainement!#REF!,13)</f>
        <v>#REF!</v>
      </c>
    </row>
    <row r="234" spans="2:5">
      <c r="B234" s="133" t="str">
        <f>INDEX(Tableau6[Nom Prénom],14)</f>
        <v>LEFRANC Nathan</v>
      </c>
      <c r="C234" s="25" t="e">
        <f>INDEX(Entrainement!#REF!,14)</f>
        <v>#REF!</v>
      </c>
      <c r="D234" s="25" t="e">
        <f>SUM(INDEX(Entrainement!#REF!,14),INDEX(Entrainement!#REF!,14),INDEX(Entrainement!#REF!,14),INDEX(Entrainement!#REF!,14),INDEX(Entrainement!#REF!,14))</f>
        <v>#REF!</v>
      </c>
      <c r="E234" s="25" t="e">
        <f>INDEX(Entrainement!#REF!,14)</f>
        <v>#REF!</v>
      </c>
    </row>
    <row r="235" spans="2:5">
      <c r="B235" s="133" t="str">
        <f>INDEX(Tableau6[Nom Prénom],15)</f>
        <v>MASSOUSSI Elie</v>
      </c>
      <c r="C235" s="25" t="e">
        <f>INDEX(Entrainement!#REF!,15)</f>
        <v>#REF!</v>
      </c>
      <c r="D235" s="25" t="e">
        <f>SUM(INDEX(Entrainement!#REF!,15),INDEX(Entrainement!#REF!,15),INDEX(Entrainement!#REF!,15),INDEX(Entrainement!#REF!,15),INDEX(Entrainement!#REF!,15))</f>
        <v>#REF!</v>
      </c>
      <c r="E235" s="25" t="e">
        <f>INDEX(Entrainement!#REF!,15)</f>
        <v>#REF!</v>
      </c>
    </row>
    <row r="236" spans="2:5">
      <c r="B236" s="133" t="str">
        <f>INDEX(Tableau6[Nom Prénom],16)</f>
        <v>NGOUABI Yoann</v>
      </c>
      <c r="C236" s="25" t="e">
        <f>INDEX(Entrainement!#REF!,16)</f>
        <v>#REF!</v>
      </c>
      <c r="D236" s="25" t="e">
        <f>SUM(INDEX(Entrainement!#REF!,16),INDEX(Entrainement!#REF!,16),INDEX(Entrainement!#REF!,16),INDEX(Entrainement!#REF!,16),INDEX(Entrainement!#REF!,16))</f>
        <v>#REF!</v>
      </c>
      <c r="E236" s="25" t="e">
        <f>INDEX(Entrainement!#REF!,16)</f>
        <v>#REF!</v>
      </c>
    </row>
    <row r="237" spans="2:5">
      <c r="B237" s="133" t="str">
        <f>INDEX(Tableau6[Nom Prénom],17)</f>
        <v>PLANET Mathis</v>
      </c>
      <c r="C237" s="25" t="e">
        <f>INDEX(Entrainement!#REF!,17)</f>
        <v>#REF!</v>
      </c>
      <c r="D237" s="25" t="e">
        <f>SUM(INDEX(Entrainement!#REF!,17),INDEX(Entrainement!#REF!,17),INDEX(Entrainement!#REF!,17),INDEX(Entrainement!#REF!,17),INDEX(Entrainement!#REF!,17))</f>
        <v>#REF!</v>
      </c>
      <c r="E237" s="25" t="e">
        <f>INDEX(Entrainement!#REF!,17)</f>
        <v>#REF!</v>
      </c>
    </row>
    <row r="238" spans="2:5">
      <c r="B238" s="133" t="str">
        <f>INDEX(Tableau6[Nom Prénom],18)</f>
        <v>PRONNIER Nicolas</v>
      </c>
      <c r="C238" s="25" t="e">
        <f>INDEX(Entrainement!#REF!,18)</f>
        <v>#REF!</v>
      </c>
      <c r="D238" s="25" t="e">
        <f>SUM(INDEX(Entrainement!#REF!,18),INDEX(Entrainement!#REF!,18),INDEX(Entrainement!#REF!,18),INDEX(Entrainement!#REF!,18),INDEX(Entrainement!#REF!,18))</f>
        <v>#REF!</v>
      </c>
      <c r="E238" s="25" t="e">
        <f>INDEX(Entrainement!#REF!,18)</f>
        <v>#REF!</v>
      </c>
    </row>
    <row r="239" spans="2:5">
      <c r="B239" s="133" t="str">
        <f>INDEX(Tableau6[Nom Prénom],19)</f>
        <v>STIOUET Reda</v>
      </c>
      <c r="C239" s="25" t="e">
        <f>INDEX(Entrainement!#REF!,19)</f>
        <v>#REF!</v>
      </c>
      <c r="D239" s="25" t="e">
        <f>SUM(INDEX(Entrainement!#REF!,19),INDEX(Entrainement!#REF!,19),INDEX(Entrainement!#REF!,19),INDEX(Entrainement!#REF!,19),INDEX(Entrainement!#REF!,19))</f>
        <v>#REF!</v>
      </c>
      <c r="E239" s="25" t="e">
        <f>INDEX(Entrainement!#REF!,19)</f>
        <v>#REF!</v>
      </c>
    </row>
    <row r="240" spans="2:5">
      <c r="B240" s="133" t="str">
        <f>INDEX(Tableau6[Nom Prénom],20)</f>
        <v>ZERDEB Said</v>
      </c>
      <c r="C240" s="25" t="e">
        <f>INDEX(Entrainement!#REF!,20)</f>
        <v>#REF!</v>
      </c>
      <c r="D240" s="25" t="e">
        <f>SUM(INDEX(Entrainement!#REF!,20),INDEX(Entrainement!#REF!,20),INDEX(Entrainement!#REF!,20),INDEX(Entrainement!#REF!,20),INDEX(Entrainement!#REF!,20))</f>
        <v>#REF!</v>
      </c>
      <c r="E240" s="25" t="e">
        <f>INDEX(Entrainement!#REF!,20)</f>
        <v>#REF!</v>
      </c>
    </row>
    <row r="241" spans="2:18">
      <c r="B241" s="133" t="str">
        <f>INDEX(Tableau6[Nom Prénom],21)</f>
        <v>OSSENI Farouk</v>
      </c>
      <c r="C241" s="25" t="e">
        <f>INDEX(Entrainement!#REF!,21)</f>
        <v>#REF!</v>
      </c>
      <c r="D241" s="25" t="e">
        <f>SUM(INDEX(Entrainement!#REF!,21),INDEX(Entrainement!#REF!,21),INDEX(Entrainement!#REF!,21),INDEX(Entrainement!#REF!,21),INDEX(Entrainement!#REF!,21))</f>
        <v>#REF!</v>
      </c>
      <c r="E241" s="25" t="e">
        <f>INDEX(Entrainement!#REF!,21)</f>
        <v>#REF!</v>
      </c>
    </row>
    <row r="242" spans="2:18">
      <c r="B242" s="133">
        <f>INDEX(Tableau6[Nom Prénom],22)</f>
        <v>0</v>
      </c>
      <c r="C242" s="25" t="e">
        <f>INDEX(Entrainement!#REF!,22)</f>
        <v>#REF!</v>
      </c>
      <c r="D242" s="25" t="e">
        <f>SUM(INDEX(Entrainement!#REF!,22),INDEX(Entrainement!#REF!,22),INDEX(Entrainement!#REF!,22),INDEX(Entrainement!#REF!,22),INDEX(Entrainement!#REF!,22))</f>
        <v>#REF!</v>
      </c>
      <c r="E242" s="25" t="e">
        <f>INDEX(Entrainement!#REF!,22)</f>
        <v>#REF!</v>
      </c>
    </row>
    <row r="243" spans="2:18">
      <c r="B243" s="133">
        <f>INDEX(Tableau6[Nom Prénom],23)</f>
        <v>0</v>
      </c>
      <c r="C243" s="25" t="e">
        <f>INDEX(Entrainement!#REF!,23)</f>
        <v>#REF!</v>
      </c>
      <c r="D243" s="25" t="e">
        <f>SUM(INDEX(Entrainement!#REF!,23),INDEX(Entrainement!#REF!,23),INDEX(Entrainement!#REF!,23),INDEX(Entrainement!#REF!,23),INDEX(Entrainement!#REF!,23))</f>
        <v>#REF!</v>
      </c>
      <c r="E243" s="25" t="e">
        <f>INDEX(Entrainement!#REF!,23)</f>
        <v>#REF!</v>
      </c>
    </row>
    <row r="244" spans="2:18">
      <c r="B244" s="133">
        <f>INDEX(Tableau6[Nom Prénom],24)</f>
        <v>0</v>
      </c>
      <c r="C244" s="25" t="e">
        <f>INDEX(Entrainement!#REF!,24)</f>
        <v>#REF!</v>
      </c>
      <c r="D244" s="25" t="e">
        <f>SUM(INDEX(Entrainement!#REF!,24),INDEX(Entrainement!#REF!,24),INDEX(Entrainement!#REF!,24),INDEX(Entrainement!#REF!,24),INDEX(Entrainement!#REF!,24))</f>
        <v>#REF!</v>
      </c>
      <c r="E244" s="25" t="e">
        <f>INDEX(Entrainement!#REF!,24)</f>
        <v>#REF!</v>
      </c>
    </row>
    <row r="245" spans="2:18">
      <c r="B245" s="133">
        <f>INDEX(Tableau6[Nom Prénom],25)</f>
        <v>0</v>
      </c>
      <c r="C245" s="25" t="e">
        <f>INDEX(Entrainement!#REF!,25)</f>
        <v>#REF!</v>
      </c>
      <c r="D245" s="25" t="e">
        <f>SUM(INDEX(Entrainement!#REF!,25),INDEX(Entrainement!#REF!,25),INDEX(Entrainement!#REF!,25),INDEX(Entrainement!#REF!,25),INDEX(Entrainement!#REF!,25))</f>
        <v>#REF!</v>
      </c>
      <c r="E245" s="25" t="e">
        <f>INDEX(Entrainement!#REF!,25)</f>
        <v>#REF!</v>
      </c>
    </row>
    <row r="246" spans="2:18">
      <c r="B246" s="133">
        <f>INDEX(Tableau6[Nom Prénom],26)</f>
        <v>0</v>
      </c>
      <c r="C246" s="25" t="e">
        <f>INDEX(Entrainement!#REF!,26)</f>
        <v>#REF!</v>
      </c>
      <c r="D246" s="25" t="e">
        <f>SUM(INDEX(Entrainement!#REF!,26),INDEX(Entrainement!#REF!,26),INDEX(Entrainement!#REF!,26),INDEX(Entrainement!#REF!,26),INDEX(Entrainement!#REF!,26))</f>
        <v>#REF!</v>
      </c>
      <c r="E246" s="25" t="e">
        <f>INDEX(Entrainement!#REF!,26)</f>
        <v>#REF!</v>
      </c>
    </row>
    <row r="247" spans="2:18">
      <c r="B247" s="133">
        <f>INDEX(Tableau6[Nom Prénom],27)</f>
        <v>0</v>
      </c>
      <c r="C247" s="25" t="e">
        <f>INDEX(Entrainement!#REF!,27)</f>
        <v>#REF!</v>
      </c>
      <c r="D247" s="25" t="e">
        <f>SUM(INDEX(Entrainement!#REF!,27),INDEX(Entrainement!#REF!,27),INDEX(Entrainement!#REF!,27),INDEX(Entrainement!#REF!,27),INDEX(Entrainement!#REF!,27))</f>
        <v>#REF!</v>
      </c>
      <c r="E247" s="25" t="e">
        <f>INDEX(Entrainement!#REF!,27)</f>
        <v>#REF!</v>
      </c>
    </row>
    <row r="248" spans="2:18">
      <c r="B248" s="133">
        <f>INDEX(Tableau6[Nom Prénom],28)</f>
        <v>0</v>
      </c>
      <c r="C248" s="25" t="e">
        <f>INDEX(Entrainement!#REF!,28)</f>
        <v>#REF!</v>
      </c>
      <c r="D248" s="25" t="e">
        <f>SUM(INDEX(Entrainement!#REF!,28),INDEX(Entrainement!#REF!,28),INDEX(Entrainement!#REF!,28),INDEX(Entrainement!#REF!,28),INDEX(Entrainement!#REF!,28))</f>
        <v>#REF!</v>
      </c>
      <c r="E248" s="25" t="e">
        <f>INDEX(Entrainement!#REF!,28)</f>
        <v>#REF!</v>
      </c>
    </row>
    <row r="249" spans="2:18">
      <c r="B249" s="133">
        <f>INDEX(Tableau6[Nom Prénom],29)</f>
        <v>0</v>
      </c>
      <c r="C249" s="25" t="e">
        <f>INDEX(Entrainement!#REF!,29)</f>
        <v>#REF!</v>
      </c>
      <c r="D249" s="25" t="e">
        <f>SUM(INDEX(Entrainement!#REF!,29),INDEX(Entrainement!#REF!,29),INDEX(Entrainement!#REF!,29),INDEX(Entrainement!#REF!,29),INDEX(Entrainement!#REF!,29))</f>
        <v>#REF!</v>
      </c>
      <c r="E249" s="25" t="e">
        <f>INDEX(Entrainement!#REF!,29)</f>
        <v>#REF!</v>
      </c>
    </row>
    <row r="250" spans="2:18">
      <c r="B250" s="133">
        <f>INDEX(Tableau6[Nom Prénom],30)</f>
        <v>0</v>
      </c>
      <c r="C250" s="25" t="e">
        <f>INDEX(Entrainement!#REF!,30)</f>
        <v>#REF!</v>
      </c>
      <c r="D250" s="25" t="e">
        <f>SUM(INDEX(Entrainement!#REF!,30),INDEX(Entrainement!#REF!,30),INDEX(Entrainement!#REF!,30),INDEX(Entrainement!#REF!,30),INDEX(Entrainement!#REF!,30))</f>
        <v>#REF!</v>
      </c>
      <c r="E250" s="25" t="e">
        <f>INDEX(Entrainement!#REF!,30)</f>
        <v>#REF!</v>
      </c>
    </row>
    <row r="251" spans="2:18">
      <c r="B251" s="178"/>
      <c r="C251" s="25"/>
      <c r="D251" s="25"/>
      <c r="E251" s="25"/>
    </row>
    <row r="252" spans="2:18" ht="30.95" customHeight="1"/>
    <row r="253" spans="2:18" ht="30.95" customHeight="1">
      <c r="B253" s="574" t="s">
        <v>264</v>
      </c>
      <c r="C253" s="574"/>
      <c r="D253" s="574"/>
      <c r="E253" s="574"/>
      <c r="F253" s="574"/>
      <c r="G253" s="574"/>
      <c r="H253" s="574"/>
      <c r="I253" s="574"/>
      <c r="J253" s="574"/>
      <c r="K253" s="574"/>
      <c r="L253" s="574"/>
      <c r="M253" s="574"/>
      <c r="N253" s="574"/>
      <c r="O253" s="574"/>
      <c r="P253" s="574"/>
      <c r="Q253" s="574"/>
      <c r="R253" s="574"/>
    </row>
    <row r="256" spans="2:18">
      <c r="B256" s="241"/>
      <c r="C256" s="44"/>
      <c r="D256" s="44"/>
    </row>
    <row r="257" spans="2:4">
      <c r="B257" s="241"/>
      <c r="C257" s="44"/>
      <c r="D257" s="44"/>
    </row>
    <row r="258" spans="2:4">
      <c r="B258" s="241"/>
      <c r="C258" s="44"/>
      <c r="D258" s="44"/>
    </row>
    <row r="259" spans="2:4">
      <c r="B259" s="241"/>
      <c r="C259" s="44"/>
      <c r="D259" s="44"/>
    </row>
    <row r="260" spans="2:4">
      <c r="B260" s="241"/>
      <c r="C260" s="44"/>
      <c r="D260" s="44"/>
    </row>
    <row r="261" spans="2:4">
      <c r="B261" s="241"/>
      <c r="C261" s="44"/>
      <c r="D261" s="44"/>
    </row>
    <row r="262" spans="2:4">
      <c r="B262" s="241"/>
      <c r="C262" s="44"/>
      <c r="D262" s="44"/>
    </row>
    <row r="263" spans="2:4">
      <c r="B263" s="241"/>
      <c r="C263" s="44"/>
      <c r="D263" s="44"/>
    </row>
    <row r="264" spans="2:4">
      <c r="B264" s="241"/>
      <c r="C264" s="44"/>
      <c r="D264" s="44"/>
    </row>
    <row r="265" spans="2:4">
      <c r="B265" s="241"/>
      <c r="C265" s="44"/>
      <c r="D265" s="44"/>
    </row>
    <row r="266" spans="2:4">
      <c r="B266" s="241"/>
      <c r="C266" s="44"/>
      <c r="D266" s="44"/>
    </row>
    <row r="267" spans="2:4">
      <c r="B267" s="241"/>
      <c r="C267" s="44"/>
      <c r="D267" s="44"/>
    </row>
    <row r="268" spans="2:4">
      <c r="B268" s="241"/>
      <c r="C268" s="44"/>
      <c r="D268" s="44"/>
    </row>
    <row r="269" spans="2:4">
      <c r="B269" s="241"/>
      <c r="C269" s="44"/>
      <c r="D269" s="44"/>
    </row>
    <row r="270" spans="2:4">
      <c r="B270" s="241"/>
      <c r="C270" s="44"/>
      <c r="D270" s="44"/>
    </row>
    <row r="271" spans="2:4">
      <c r="B271" s="241"/>
      <c r="C271" s="44"/>
      <c r="D271" s="44"/>
    </row>
    <row r="272" spans="2:4">
      <c r="B272" s="241"/>
      <c r="C272" s="44"/>
      <c r="D272" s="44"/>
    </row>
    <row r="273" spans="2:4">
      <c r="B273" s="241"/>
      <c r="C273" s="44"/>
      <c r="D273" s="44"/>
    </row>
    <row r="274" spans="2:4">
      <c r="B274" s="241"/>
      <c r="C274" s="44"/>
      <c r="D274" s="44"/>
    </row>
    <row r="275" spans="2:4">
      <c r="B275" s="241"/>
      <c r="C275" s="44"/>
      <c r="D275" s="44"/>
    </row>
    <row r="276" spans="2:4">
      <c r="B276" s="241"/>
      <c r="C276" s="44"/>
      <c r="D276" s="44"/>
    </row>
    <row r="277" spans="2:4">
      <c r="B277" s="241"/>
      <c r="C277" s="44"/>
      <c r="D277" s="44"/>
    </row>
    <row r="278" spans="2:4">
      <c r="B278" s="241"/>
      <c r="C278" s="44"/>
      <c r="D278" s="44"/>
    </row>
    <row r="279" spans="2:4">
      <c r="B279" s="241"/>
      <c r="C279" s="44"/>
      <c r="D279" s="44"/>
    </row>
    <row r="280" spans="2:4">
      <c r="B280" s="241"/>
      <c r="C280" s="44"/>
      <c r="D280" s="44"/>
    </row>
    <row r="281" spans="2:4">
      <c r="B281" s="241"/>
      <c r="C281" s="44"/>
      <c r="D281" s="44"/>
    </row>
    <row r="282" spans="2:4">
      <c r="B282" s="241"/>
      <c r="C282" s="44"/>
      <c r="D282" s="44"/>
    </row>
    <row r="283" spans="2:4">
      <c r="B283" s="241"/>
      <c r="C283" s="44"/>
      <c r="D283" s="44"/>
    </row>
    <row r="284" spans="2:4">
      <c r="B284" s="241"/>
      <c r="C284" s="44"/>
      <c r="D284" s="44"/>
    </row>
    <row r="285" spans="2:4">
      <c r="B285" s="241"/>
      <c r="C285" s="44"/>
      <c r="D285" s="44"/>
    </row>
    <row r="286" spans="2:4">
      <c r="B286" s="241"/>
      <c r="C286" s="44"/>
      <c r="D286" s="44"/>
    </row>
    <row r="287" spans="2:4">
      <c r="B287" s="241"/>
      <c r="C287" s="44"/>
      <c r="D287" s="44"/>
    </row>
    <row r="288" spans="2:4">
      <c r="B288" s="241"/>
      <c r="C288" s="44"/>
      <c r="D288" s="44"/>
    </row>
    <row r="289" spans="2:18">
      <c r="B289" s="241"/>
      <c r="C289" s="44"/>
      <c r="D289" s="44"/>
    </row>
    <row r="290" spans="2:18">
      <c r="B290" s="178"/>
      <c r="C290" s="25"/>
      <c r="D290" s="25"/>
      <c r="E290" s="25"/>
    </row>
    <row r="291" spans="2:18" ht="30.95" customHeight="1"/>
    <row r="292" spans="2:18" ht="30.95" customHeight="1">
      <c r="B292" s="574" t="s">
        <v>267</v>
      </c>
      <c r="C292" s="574"/>
      <c r="D292" s="574"/>
      <c r="E292" s="574"/>
      <c r="F292" s="574"/>
      <c r="G292" s="574"/>
      <c r="H292" s="574"/>
      <c r="I292" s="574"/>
      <c r="J292" s="574"/>
      <c r="K292" s="574"/>
      <c r="L292" s="574"/>
      <c r="M292" s="574"/>
      <c r="N292" s="574"/>
      <c r="O292" s="574"/>
      <c r="P292" s="574"/>
      <c r="Q292" s="574"/>
      <c r="R292" s="574"/>
    </row>
    <row r="294" spans="2:18">
      <c r="B294" s="241"/>
      <c r="C294" s="44"/>
      <c r="D294" s="44"/>
    </row>
    <row r="295" spans="2:18">
      <c r="B295" s="241"/>
      <c r="C295" s="44"/>
      <c r="D295" s="44"/>
    </row>
    <row r="296" spans="2:18">
      <c r="B296" s="241"/>
      <c r="C296" s="44"/>
      <c r="D296" s="44"/>
    </row>
    <row r="297" spans="2:18">
      <c r="B297" s="241"/>
      <c r="C297" s="44"/>
      <c r="D297" s="44"/>
    </row>
    <row r="298" spans="2:18">
      <c r="B298" s="241"/>
      <c r="C298" s="44"/>
      <c r="D298" s="44"/>
    </row>
    <row r="299" spans="2:18">
      <c r="B299" s="241"/>
      <c r="C299" s="44"/>
      <c r="D299" s="44"/>
    </row>
    <row r="300" spans="2:18">
      <c r="B300" s="241"/>
      <c r="C300" s="44"/>
      <c r="D300" s="44"/>
    </row>
    <row r="301" spans="2:18">
      <c r="B301" s="241"/>
      <c r="C301" s="44"/>
      <c r="D301" s="44"/>
    </row>
    <row r="302" spans="2:18">
      <c r="B302" s="241"/>
      <c r="C302" s="44"/>
      <c r="D302" s="44"/>
    </row>
    <row r="303" spans="2:18">
      <c r="B303" s="241"/>
      <c r="C303" s="44"/>
      <c r="D303" s="44"/>
    </row>
    <row r="304" spans="2:18">
      <c r="B304" s="241"/>
      <c r="C304" s="44"/>
      <c r="D304" s="44"/>
    </row>
    <row r="305" spans="2:4">
      <c r="B305" s="241"/>
      <c r="C305" s="44"/>
      <c r="D305" s="44"/>
    </row>
    <row r="306" spans="2:4">
      <c r="B306" s="241"/>
      <c r="C306" s="44"/>
      <c r="D306" s="44"/>
    </row>
    <row r="307" spans="2:4">
      <c r="B307" s="241"/>
      <c r="C307" s="44"/>
      <c r="D307" s="44"/>
    </row>
    <row r="308" spans="2:4">
      <c r="B308" s="241"/>
      <c r="C308" s="44"/>
      <c r="D308" s="44"/>
    </row>
    <row r="309" spans="2:4">
      <c r="B309" s="241"/>
      <c r="C309" s="44"/>
      <c r="D309" s="44"/>
    </row>
    <row r="310" spans="2:4">
      <c r="B310" s="241"/>
      <c r="C310" s="44"/>
      <c r="D310" s="44"/>
    </row>
    <row r="311" spans="2:4">
      <c r="B311" s="241"/>
      <c r="C311" s="44"/>
      <c r="D311" s="44"/>
    </row>
    <row r="312" spans="2:4">
      <c r="B312" s="241"/>
      <c r="C312" s="44"/>
      <c r="D312" s="44"/>
    </row>
    <row r="313" spans="2:4">
      <c r="B313" s="241"/>
      <c r="C313" s="44"/>
      <c r="D313" s="44"/>
    </row>
    <row r="314" spans="2:4">
      <c r="B314" s="241"/>
      <c r="C314" s="44"/>
      <c r="D314" s="44"/>
    </row>
    <row r="315" spans="2:4">
      <c r="B315" s="241"/>
      <c r="C315" s="44"/>
      <c r="D315" s="44"/>
    </row>
    <row r="316" spans="2:4">
      <c r="B316" s="241"/>
      <c r="C316" s="44"/>
      <c r="D316" s="44"/>
    </row>
    <row r="317" spans="2:4">
      <c r="B317" s="241"/>
      <c r="C317" s="44"/>
      <c r="D317" s="44"/>
    </row>
    <row r="318" spans="2:4">
      <c r="B318" s="241"/>
      <c r="C318" s="44"/>
      <c r="D318" s="44"/>
    </row>
    <row r="319" spans="2:4">
      <c r="B319" s="241"/>
      <c r="C319" s="44"/>
      <c r="D319" s="44"/>
    </row>
    <row r="320" spans="2:4">
      <c r="B320" s="241"/>
      <c r="C320" s="44"/>
      <c r="D320" s="44"/>
    </row>
    <row r="321" spans="2:4">
      <c r="B321" s="241"/>
      <c r="C321" s="44"/>
      <c r="D321" s="44"/>
    </row>
    <row r="322" spans="2:4">
      <c r="B322" s="241"/>
      <c r="C322" s="44"/>
      <c r="D322" s="44"/>
    </row>
    <row r="323" spans="2:4">
      <c r="B323" s="241"/>
      <c r="C323" s="44"/>
      <c r="D323" s="44"/>
    </row>
    <row r="324" spans="2:4">
      <c r="B324" s="241"/>
      <c r="C324" s="44"/>
      <c r="D324" s="44"/>
    </row>
    <row r="325" spans="2:4">
      <c r="B325" s="241"/>
      <c r="C325" s="44"/>
      <c r="D325" s="44"/>
    </row>
    <row r="326" spans="2:4">
      <c r="B326" s="241"/>
      <c r="C326" s="44"/>
      <c r="D326" s="44"/>
    </row>
    <row r="327" spans="2:4">
      <c r="B327" s="241"/>
      <c r="C327" s="44"/>
      <c r="D327" s="44"/>
    </row>
    <row r="328" spans="2:4">
      <c r="B328" s="241"/>
      <c r="C328" s="44"/>
      <c r="D328" s="44"/>
    </row>
    <row r="329" spans="2:4">
      <c r="B329" s="241"/>
      <c r="C329" s="44"/>
      <c r="D329" s="44"/>
    </row>
    <row r="330" spans="2:4">
      <c r="B330" s="241"/>
      <c r="C330" s="44"/>
      <c r="D330" s="44"/>
    </row>
    <row r="331" spans="2:4">
      <c r="B331" s="241"/>
      <c r="C331" s="44"/>
      <c r="D331" s="44"/>
    </row>
    <row r="332" spans="2:4">
      <c r="B332" s="241"/>
      <c r="C332" s="44"/>
      <c r="D332" s="44"/>
    </row>
  </sheetData>
  <sheetProtection formatCells="0" formatColumns="0" formatRows="0" insertColumns="0" insertRows="0" insertHyperlinks="0" deleteColumns="0" deleteRows="0" sort="0" autoFilter="0" pivotTables="0"/>
  <mergeCells count="17">
    <mergeCell ref="P4:Q4"/>
    <mergeCell ref="B78:Q78"/>
    <mergeCell ref="G4:H4"/>
    <mergeCell ref="B113:R113"/>
    <mergeCell ref="J4:K4"/>
    <mergeCell ref="M4:N4"/>
    <mergeCell ref="B8:Q8"/>
    <mergeCell ref="B43:Q43"/>
    <mergeCell ref="D4:E4"/>
    <mergeCell ref="D6:E6"/>
    <mergeCell ref="G6:H6"/>
    <mergeCell ref="J6:K6"/>
    <mergeCell ref="B292:R292"/>
    <mergeCell ref="B253:R253"/>
    <mergeCell ref="B218:R218"/>
    <mergeCell ref="B183:R183"/>
    <mergeCell ref="B148:R148"/>
  </mergeCells>
  <hyperlinks>
    <hyperlink ref="B4" location="'Fiche collective'!B40" display="Les buteurs" xr:uid="{00000000-0004-0000-0D00-000000000000}"/>
    <hyperlink ref="D4" location="'Fiche collective'!B75" display="Les passeur" xr:uid="{00000000-0004-0000-0D00-000001000000}"/>
    <hyperlink ref="E4" location="'Fiche collective'!B75" display="'Fiche collective'!B75" xr:uid="{00000000-0004-0000-0D00-000002000000}"/>
    <hyperlink ref="G4" location="'Fiche collective'!B110" display="Convocation par équipe" xr:uid="{00000000-0004-0000-0D00-000003000000}"/>
    <hyperlink ref="H4" location="'Fiche collective'!B110" display="'Fiche collective'!B110" xr:uid="{00000000-0004-0000-0D00-000004000000}"/>
    <hyperlink ref="J4" location="'Fiche collective'!B145" display="Temps jeu" xr:uid="{00000000-0004-0000-0D00-000005000000}"/>
    <hyperlink ref="K4" location="'Fiche collective'!B145" display="'Fiche collective'!B145" xr:uid="{00000000-0004-0000-0D00-000006000000}"/>
    <hyperlink ref="M4" location="'Fiche collective'!B181" display="Temps de jeu moyen" xr:uid="{00000000-0004-0000-0D00-000007000000}"/>
    <hyperlink ref="N4" location="'Fiche collective'!B181" display="'Fiche collective'!B181" xr:uid="{00000000-0004-0000-0D00-000008000000}"/>
    <hyperlink ref="P4" location="'Fiche collective'!B215" display="Les cartons" xr:uid="{00000000-0004-0000-0D00-000009000000}"/>
    <hyperlink ref="Q4" location="'Fiche collective'!B215" display="'Fiche collective'!B215" xr:uid="{00000000-0004-0000-0D00-00000A000000}"/>
    <hyperlink ref="B6" location="'Fiche collective'!A251" display="Présence aux entrainements" xr:uid="{00000000-0004-0000-0D00-00000B000000}"/>
    <hyperlink ref="J6:K6" location="'Fiche collective'!A333" display="Charge" xr:uid="{00000000-0004-0000-0D00-00000C000000}"/>
  </hyperlinks>
  <pageMargins left="0.7" right="0.7" top="0.75" bottom="0.75" header="0.3" footer="0.3"/>
  <pageSetup paperSize="9" orientation="portrait" verticalDpi="0" r:id="rId1"/>
  <ignoredErrors>
    <ignoredError sqref="B41:C41 B222:B250 C222:C250 C221:E221 D222:E250 B186:D215" calculatedColumn="1"/>
  </ignoredErrors>
  <drawing r:id="rId2"/>
  <tableParts count="7">
    <tablePart r:id="rId3"/>
    <tablePart r:id="rId4"/>
    <tablePart r:id="rId5"/>
    <tablePart r:id="rId6"/>
    <tablePart r:id="rId7"/>
    <tablePart r:id="rId8"/>
    <tablePart r:id="rId9"/>
  </tableParts>
</worksheet>
</file>

<file path=xl/worksheets/sheet2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sheetPr codeName="Feuil17">
    <tabColor theme="6"/>
  </sheetPr>
  <dimension ref="A2:L30"/>
  <sheetViews>
    <sheetView topLeftCell="I1" workbookViewId="0">
      <selection activeCell="B3" sqref="B3"/>
    </sheetView>
  </sheetViews>
  <sheetFormatPr baseColWidth="10" defaultRowHeight="12.75"/>
  <cols>
    <col min="1" max="1" width="2.85546875" style="25" customWidth="1"/>
    <col min="2" max="2" width="17.140625" bestFit="1" customWidth="1"/>
    <col min="3" max="3" width="7" bestFit="1" customWidth="1"/>
    <col min="4" max="12" width="50.85546875" customWidth="1"/>
  </cols>
  <sheetData>
    <row r="2" spans="1:12">
      <c r="B2" t="s">
        <v>192</v>
      </c>
      <c r="C2" t="s">
        <v>75</v>
      </c>
      <c r="D2" t="s">
        <v>253</v>
      </c>
      <c r="E2" t="s">
        <v>295</v>
      </c>
      <c r="F2" t="s">
        <v>296</v>
      </c>
      <c r="G2" t="s">
        <v>297</v>
      </c>
      <c r="H2" t="s">
        <v>298</v>
      </c>
      <c r="I2" t="s">
        <v>299</v>
      </c>
      <c r="J2" t="s">
        <v>300</v>
      </c>
      <c r="K2" t="s">
        <v>306</v>
      </c>
      <c r="L2" t="s">
        <v>301</v>
      </c>
    </row>
    <row r="3" spans="1:12" ht="80.099999999999994" customHeight="1">
      <c r="B3" s="339" t="str">
        <f>'BDD - Joueurs'!B2</f>
        <v>ADDA Matteo</v>
      </c>
      <c r="C3" s="346">
        <v>43090</v>
      </c>
      <c r="D3" s="337">
        <v>0.89</v>
      </c>
      <c r="E3" s="337">
        <v>0.9</v>
      </c>
      <c r="F3" s="337">
        <v>0.75</v>
      </c>
      <c r="G3" s="337">
        <v>0.75</v>
      </c>
      <c r="H3" s="337">
        <v>0.79</v>
      </c>
      <c r="I3" s="337">
        <v>0.66</v>
      </c>
      <c r="J3" s="338"/>
      <c r="K3" s="338"/>
      <c r="L3" s="338"/>
    </row>
    <row r="4" spans="1:12" ht="80.099999999999994" customHeight="1">
      <c r="B4" s="339" t="str">
        <f>'BDD - Joueurs'!B3</f>
        <v>ALFONSO Joao</v>
      </c>
      <c r="C4" s="346">
        <v>43090</v>
      </c>
      <c r="D4" s="337">
        <v>0.83</v>
      </c>
      <c r="E4" s="337">
        <v>0.79</v>
      </c>
      <c r="F4" s="337">
        <v>0.75</v>
      </c>
      <c r="G4" s="337">
        <v>0.69</v>
      </c>
      <c r="H4" s="337">
        <v>0.54</v>
      </c>
      <c r="I4" s="337">
        <v>0.63</v>
      </c>
      <c r="J4" s="338"/>
      <c r="K4" s="338"/>
      <c r="L4" s="338"/>
    </row>
    <row r="5" spans="1:12" ht="80.099999999999994" customHeight="1">
      <c r="A5" s="25" t="s">
        <v>278</v>
      </c>
      <c r="B5" s="339" t="str">
        <f>'BDD - Joueurs'!B4</f>
        <v>BERDAH Matis</v>
      </c>
      <c r="C5" s="346">
        <v>43092</v>
      </c>
      <c r="D5" s="337" t="s">
        <v>321</v>
      </c>
      <c r="E5" s="337" t="s">
        <v>322</v>
      </c>
      <c r="F5" s="337" t="s">
        <v>323</v>
      </c>
      <c r="G5" s="337" t="s">
        <v>324</v>
      </c>
      <c r="H5" s="337" t="s">
        <v>325</v>
      </c>
      <c r="I5" s="337" t="s">
        <v>326</v>
      </c>
      <c r="J5" s="337" t="s">
        <v>327</v>
      </c>
      <c r="K5" s="337" t="s">
        <v>328</v>
      </c>
      <c r="L5" s="337" t="s">
        <v>330</v>
      </c>
    </row>
    <row r="6" spans="1:12" ht="80.099999999999994" customHeight="1">
      <c r="B6" s="339" t="str">
        <f>'BDD - Joueurs'!B5</f>
        <v>CAMARA Bandiougou</v>
      </c>
      <c r="C6" s="347"/>
      <c r="D6" s="337">
        <v>0.75</v>
      </c>
      <c r="E6" s="337">
        <v>0.77</v>
      </c>
      <c r="F6" s="337">
        <v>0.75</v>
      </c>
      <c r="G6" s="337">
        <v>0.56000000000000005</v>
      </c>
      <c r="H6" s="337">
        <v>0.75</v>
      </c>
      <c r="I6" s="337">
        <v>0.75</v>
      </c>
      <c r="J6" s="338"/>
      <c r="K6" s="338"/>
      <c r="L6" s="338"/>
    </row>
    <row r="7" spans="1:12" ht="80.099999999999994" customHeight="1">
      <c r="B7" s="339" t="str">
        <f>'BDD - Joueurs'!B6</f>
        <v>CAMARA Moussa</v>
      </c>
      <c r="C7" s="346">
        <v>43096</v>
      </c>
      <c r="D7" s="337">
        <v>0.75</v>
      </c>
      <c r="E7" s="337">
        <v>0.77</v>
      </c>
      <c r="F7" s="337">
        <v>0.5</v>
      </c>
      <c r="G7" s="337">
        <v>0.63</v>
      </c>
      <c r="H7" s="337">
        <v>0.5</v>
      </c>
      <c r="I7" s="337">
        <v>0.75</v>
      </c>
      <c r="J7" s="338"/>
      <c r="K7" s="338"/>
      <c r="L7" s="338"/>
    </row>
    <row r="8" spans="1:12" ht="80.099999999999994" customHeight="1">
      <c r="B8" s="339" t="str">
        <f>'BDD - Joueurs'!B7</f>
        <v>CARREAU Ethan</v>
      </c>
      <c r="C8" s="346">
        <v>43092</v>
      </c>
      <c r="D8" s="337" t="s">
        <v>331</v>
      </c>
      <c r="E8" s="337" t="s">
        <v>332</v>
      </c>
      <c r="F8" s="337" t="s">
        <v>334</v>
      </c>
      <c r="G8" s="337" t="s">
        <v>333</v>
      </c>
      <c r="H8" s="337" t="s">
        <v>339</v>
      </c>
      <c r="I8" s="337" t="s">
        <v>336</v>
      </c>
      <c r="J8" s="337" t="s">
        <v>335</v>
      </c>
      <c r="K8" s="337" t="s">
        <v>337</v>
      </c>
      <c r="L8" s="337" t="s">
        <v>338</v>
      </c>
    </row>
    <row r="9" spans="1:12" ht="80.099999999999994" customHeight="1">
      <c r="B9" s="339" t="str">
        <f>'BDD - Joueurs'!B8</f>
        <v>CHEROD Alexis</v>
      </c>
      <c r="C9" s="346">
        <v>43096</v>
      </c>
      <c r="D9" s="337">
        <v>0.92</v>
      </c>
      <c r="E9" s="337">
        <v>0.88</v>
      </c>
      <c r="F9" s="337">
        <v>0.69</v>
      </c>
      <c r="G9" s="337">
        <v>0.69</v>
      </c>
      <c r="H9" s="337">
        <v>0.67</v>
      </c>
      <c r="I9" s="337">
        <v>0.91</v>
      </c>
      <c r="J9" s="338"/>
      <c r="K9" s="338"/>
      <c r="L9" s="338"/>
    </row>
    <row r="10" spans="1:12" ht="80.099999999999994" customHeight="1">
      <c r="B10" s="339" t="str">
        <f>'BDD - Joueurs'!B9</f>
        <v>DJEHICHE Ramzi</v>
      </c>
      <c r="C10" s="346">
        <v>43090</v>
      </c>
      <c r="D10" s="337" t="s">
        <v>321</v>
      </c>
      <c r="E10" s="337" t="s">
        <v>340</v>
      </c>
      <c r="F10" s="337" t="s">
        <v>343</v>
      </c>
      <c r="G10" s="337" t="s">
        <v>341</v>
      </c>
      <c r="H10" s="337" t="s">
        <v>342</v>
      </c>
      <c r="I10" s="337" t="s">
        <v>344</v>
      </c>
      <c r="J10" s="337" t="s">
        <v>327</v>
      </c>
      <c r="K10" s="337" t="s">
        <v>345</v>
      </c>
      <c r="L10" s="337" t="s">
        <v>346</v>
      </c>
    </row>
    <row r="11" spans="1:12" ht="80.099999999999994" customHeight="1">
      <c r="B11" s="339" t="str">
        <f>'BDD - Joueurs'!B10</f>
        <v>DOSIERE Baptiste</v>
      </c>
      <c r="C11" s="347"/>
      <c r="D11" s="337">
        <v>0.81</v>
      </c>
      <c r="E11" s="337">
        <v>0.88</v>
      </c>
      <c r="F11" s="337">
        <v>0.38</v>
      </c>
      <c r="G11" s="337">
        <v>0.88</v>
      </c>
      <c r="H11" s="337">
        <v>0.75</v>
      </c>
      <c r="I11" s="337">
        <v>0.91</v>
      </c>
      <c r="J11" s="338"/>
      <c r="K11" s="338"/>
      <c r="L11" s="338"/>
    </row>
    <row r="12" spans="1:12" ht="80.099999999999994" customHeight="1">
      <c r="B12" s="339" t="str">
        <f>'BDD - Joueurs'!B11</f>
        <v>DUQUENOY Thomas</v>
      </c>
      <c r="C12" s="346">
        <v>43096</v>
      </c>
      <c r="D12" s="337">
        <v>0.78</v>
      </c>
      <c r="E12" s="337">
        <v>0.73</v>
      </c>
      <c r="F12" s="337">
        <v>0.5</v>
      </c>
      <c r="G12" s="337">
        <v>0.63</v>
      </c>
      <c r="H12" s="337">
        <v>0.79</v>
      </c>
      <c r="I12" s="337">
        <v>0.75</v>
      </c>
      <c r="J12" s="338"/>
      <c r="K12" s="338"/>
      <c r="L12" s="338"/>
    </row>
    <row r="13" spans="1:12" ht="80.099999999999994" customHeight="1">
      <c r="B13" s="339" t="str">
        <f>'BDD - Joueurs'!B12</f>
        <v>KIPRE Jordan</v>
      </c>
      <c r="C13" s="346">
        <v>43092</v>
      </c>
      <c r="D13" s="337">
        <v>0.92</v>
      </c>
      <c r="E13" s="337">
        <v>0.9</v>
      </c>
      <c r="F13" s="337">
        <v>0.88</v>
      </c>
      <c r="G13" s="337">
        <v>0.56000000000000005</v>
      </c>
      <c r="H13" s="337">
        <v>0.96</v>
      </c>
      <c r="I13" s="337">
        <v>0.88</v>
      </c>
      <c r="J13" s="338"/>
      <c r="K13" s="338"/>
      <c r="L13" s="338"/>
    </row>
    <row r="14" spans="1:12" ht="80.099999999999994" customHeight="1">
      <c r="B14" s="339" t="str">
        <f>'BDD - Joueurs'!B13</f>
        <v>KONATE Mamadou</v>
      </c>
      <c r="C14" s="347"/>
      <c r="D14" s="337">
        <v>0.81</v>
      </c>
      <c r="E14" s="337">
        <v>0.96</v>
      </c>
      <c r="F14" s="337">
        <v>0.88</v>
      </c>
      <c r="G14" s="337">
        <v>0.63</v>
      </c>
      <c r="H14" s="337">
        <v>0.79</v>
      </c>
      <c r="I14" s="337">
        <v>0.84</v>
      </c>
      <c r="J14" s="338"/>
      <c r="K14" s="338"/>
      <c r="L14" s="338"/>
    </row>
    <row r="15" spans="1:12" ht="80.099999999999994" customHeight="1">
      <c r="B15" s="339" t="str">
        <f>'BDD - Joueurs'!B14</f>
        <v>LECOUFFE Hugo</v>
      </c>
      <c r="C15" s="347"/>
      <c r="D15" s="337">
        <v>0.81</v>
      </c>
      <c r="E15" s="337">
        <v>0.85</v>
      </c>
      <c r="F15" s="337">
        <v>0.63</v>
      </c>
      <c r="G15" s="337">
        <v>0.69</v>
      </c>
      <c r="H15" s="337">
        <v>0.79</v>
      </c>
      <c r="I15" s="337">
        <v>0.81</v>
      </c>
      <c r="J15" s="338"/>
      <c r="K15" s="338"/>
      <c r="L15" s="338"/>
    </row>
    <row r="16" spans="1:12" ht="80.099999999999994" customHeight="1">
      <c r="B16" s="339" t="str">
        <f>'BDD - Joueurs'!B15</f>
        <v>LEFRANC Nathan</v>
      </c>
      <c r="C16" s="347"/>
      <c r="D16" s="337">
        <v>0.83</v>
      </c>
      <c r="E16" s="337">
        <v>0.79</v>
      </c>
      <c r="F16" s="337">
        <v>0.81</v>
      </c>
      <c r="G16" s="337">
        <v>0.81</v>
      </c>
      <c r="H16" s="337">
        <v>0.79</v>
      </c>
      <c r="I16" s="337">
        <v>0.88</v>
      </c>
      <c r="J16" s="338"/>
      <c r="K16" s="338"/>
      <c r="L16" s="338"/>
    </row>
    <row r="17" spans="1:12" ht="80.099999999999994" customHeight="1">
      <c r="B17" s="339" t="str">
        <f>'BDD - Joueurs'!B16</f>
        <v>MASSOUSSI Elie</v>
      </c>
      <c r="C17" s="347"/>
      <c r="D17" s="337">
        <v>0.86</v>
      </c>
      <c r="E17" s="337">
        <v>0.88</v>
      </c>
      <c r="F17" s="337">
        <v>0.94</v>
      </c>
      <c r="G17" s="337">
        <v>0.5</v>
      </c>
      <c r="H17" s="337">
        <v>0.83</v>
      </c>
      <c r="I17" s="337">
        <v>0.91</v>
      </c>
      <c r="J17" s="338"/>
      <c r="K17" s="338"/>
      <c r="L17" s="338"/>
    </row>
    <row r="18" spans="1:12" ht="80.099999999999994" customHeight="1">
      <c r="B18" s="339" t="str">
        <f>'BDD - Joueurs'!B17</f>
        <v>NGOUABI Yoann</v>
      </c>
      <c r="C18" s="347"/>
      <c r="D18" s="337">
        <v>0.89</v>
      </c>
      <c r="E18" s="337">
        <v>0.81</v>
      </c>
      <c r="F18" s="337">
        <v>0.81</v>
      </c>
      <c r="G18" s="337">
        <v>0.56000000000000005</v>
      </c>
      <c r="H18" s="337">
        <v>0.75</v>
      </c>
      <c r="I18" s="337">
        <v>0.72</v>
      </c>
      <c r="J18" s="338"/>
      <c r="K18" s="338"/>
      <c r="L18" s="338"/>
    </row>
    <row r="19" spans="1:12" ht="80.099999999999994" customHeight="1">
      <c r="B19" s="339" t="str">
        <f>'BDD - Joueurs'!B18</f>
        <v>PLANET Mathis</v>
      </c>
      <c r="C19" s="347"/>
      <c r="D19" s="337">
        <v>0.92</v>
      </c>
      <c r="E19" s="337">
        <v>0.69</v>
      </c>
      <c r="F19" s="337">
        <v>0.81</v>
      </c>
      <c r="G19" s="337">
        <v>0.81</v>
      </c>
      <c r="H19" s="337">
        <v>0.83</v>
      </c>
      <c r="I19" s="337">
        <v>0.78</v>
      </c>
      <c r="J19" s="338"/>
      <c r="K19" s="338"/>
      <c r="L19" s="338"/>
    </row>
    <row r="20" spans="1:12" ht="80.099999999999994" customHeight="1">
      <c r="B20" s="339" t="str">
        <f>'BDD - Joueurs'!B19</f>
        <v>PRONNIER Nicolas</v>
      </c>
      <c r="C20" s="347"/>
      <c r="D20" s="337">
        <v>0.92</v>
      </c>
      <c r="E20" s="337">
        <v>0.94</v>
      </c>
      <c r="F20" s="337">
        <v>0.94</v>
      </c>
      <c r="G20" s="337">
        <v>0.75</v>
      </c>
      <c r="H20" s="337">
        <v>0.88</v>
      </c>
      <c r="I20" s="337">
        <v>0.84</v>
      </c>
      <c r="J20" s="338"/>
      <c r="K20" s="338"/>
      <c r="L20" s="338"/>
    </row>
    <row r="21" spans="1:12" ht="80.099999999999994" customHeight="1">
      <c r="B21" s="339" t="str">
        <f>'BDD - Joueurs'!B20</f>
        <v>STIOUET Reda</v>
      </c>
      <c r="C21" s="347"/>
      <c r="D21" s="337">
        <v>0.83</v>
      </c>
      <c r="E21" s="337">
        <v>0.98</v>
      </c>
      <c r="F21" s="337">
        <v>0.81</v>
      </c>
      <c r="G21" s="337">
        <v>0.94</v>
      </c>
      <c r="H21" s="337">
        <v>1</v>
      </c>
      <c r="I21" s="337">
        <v>0.94</v>
      </c>
      <c r="J21" s="338"/>
      <c r="K21" s="338"/>
      <c r="L21" s="338"/>
    </row>
    <row r="22" spans="1:12" ht="80.099999999999994" customHeight="1">
      <c r="A22" s="25" t="s">
        <v>278</v>
      </c>
      <c r="B22" s="339" t="str">
        <f>'BDD - Joueurs'!B21</f>
        <v>ZERDEB Said</v>
      </c>
      <c r="C22" s="346">
        <v>43090</v>
      </c>
      <c r="D22" s="337" t="s">
        <v>302</v>
      </c>
      <c r="E22" s="337" t="s">
        <v>316</v>
      </c>
      <c r="F22" s="337" t="s">
        <v>317</v>
      </c>
      <c r="G22" s="337" t="s">
        <v>303</v>
      </c>
      <c r="H22" s="337" t="s">
        <v>318</v>
      </c>
      <c r="I22" s="337" t="s">
        <v>304</v>
      </c>
      <c r="J22" s="337" t="s">
        <v>305</v>
      </c>
      <c r="K22" s="337" t="s">
        <v>319</v>
      </c>
      <c r="L22" s="337" t="s">
        <v>320</v>
      </c>
    </row>
    <row r="23" spans="1:12" ht="80.099999999999994" customHeight="1">
      <c r="B23" s="339" t="str">
        <f>'BDD - Joueurs'!B22</f>
        <v>OSSENI Farouk</v>
      </c>
      <c r="C23" s="347"/>
      <c r="D23" s="337"/>
      <c r="E23" s="337"/>
      <c r="F23" s="337"/>
      <c r="G23" s="337"/>
      <c r="H23" s="337"/>
      <c r="I23" s="337"/>
      <c r="J23" s="338"/>
      <c r="K23" s="338"/>
      <c r="L23" s="338"/>
    </row>
    <row r="24" spans="1:12" ht="80.099999999999994" customHeight="1">
      <c r="B24" s="339">
        <f>'BDD - Joueurs'!B23</f>
        <v>0</v>
      </c>
      <c r="C24" s="346">
        <v>43092</v>
      </c>
      <c r="D24" s="337"/>
      <c r="E24" s="337"/>
      <c r="F24" s="337"/>
      <c r="G24" s="337"/>
      <c r="H24" s="337"/>
      <c r="I24" s="337"/>
      <c r="J24" s="338"/>
      <c r="K24" s="338"/>
      <c r="L24" s="338"/>
    </row>
    <row r="25" spans="1:12" ht="80.099999999999994" customHeight="1">
      <c r="B25" s="339">
        <f>'BDD - Joueurs'!B24</f>
        <v>0</v>
      </c>
      <c r="C25" s="347"/>
      <c r="D25" s="337"/>
      <c r="E25" s="337"/>
      <c r="F25" s="337"/>
      <c r="G25" s="337"/>
      <c r="H25" s="337"/>
      <c r="I25" s="337"/>
      <c r="J25" s="338"/>
      <c r="K25" s="338"/>
      <c r="L25" s="338"/>
    </row>
    <row r="26" spans="1:12" ht="80.099999999999994" customHeight="1">
      <c r="B26" s="339">
        <f>'BDD - Joueurs'!B25</f>
        <v>0</v>
      </c>
      <c r="C26" s="347"/>
      <c r="D26" s="337"/>
      <c r="E26" s="337"/>
      <c r="F26" s="337"/>
      <c r="G26" s="337"/>
      <c r="H26" s="337"/>
      <c r="I26" s="337"/>
      <c r="J26" s="338"/>
      <c r="K26" s="338"/>
      <c r="L26" s="338"/>
    </row>
    <row r="27" spans="1:12" ht="80.099999999999994" customHeight="1">
      <c r="B27" s="339">
        <f>'BDD - Joueurs'!B26</f>
        <v>0</v>
      </c>
      <c r="C27" s="347"/>
      <c r="D27" s="337"/>
      <c r="E27" s="337"/>
      <c r="F27" s="337"/>
      <c r="G27" s="337"/>
      <c r="H27" s="337"/>
      <c r="I27" s="337"/>
      <c r="J27" s="338"/>
      <c r="K27" s="338"/>
      <c r="L27" s="338"/>
    </row>
    <row r="28" spans="1:12" ht="80.099999999999994" customHeight="1">
      <c r="B28" s="339">
        <f>'BDD - Joueurs'!B27</f>
        <v>0</v>
      </c>
      <c r="C28" s="347"/>
      <c r="D28" s="337"/>
      <c r="E28" s="337"/>
      <c r="F28" s="337"/>
      <c r="G28" s="337"/>
      <c r="H28" s="337"/>
      <c r="I28" s="337"/>
      <c r="J28" s="338"/>
      <c r="K28" s="338"/>
      <c r="L28" s="338"/>
    </row>
    <row r="29" spans="1:12" ht="80.099999999999994" customHeight="1">
      <c r="B29" s="339">
        <f>'BDD - Joueurs'!B28</f>
        <v>0</v>
      </c>
      <c r="C29" s="347"/>
      <c r="D29" s="337"/>
      <c r="E29" s="337"/>
      <c r="F29" s="337"/>
      <c r="G29" s="337"/>
      <c r="H29" s="337"/>
      <c r="I29" s="337"/>
      <c r="J29" s="338"/>
      <c r="K29" s="338"/>
      <c r="L29" s="338"/>
    </row>
    <row r="30" spans="1:12" ht="80.099999999999994" customHeight="1">
      <c r="B30" s="339">
        <f>'BDD - Joueurs'!B29</f>
        <v>0</v>
      </c>
      <c r="C30" s="347"/>
      <c r="D30" s="337"/>
      <c r="E30" s="337"/>
      <c r="F30" s="337"/>
      <c r="G30" s="337"/>
      <c r="H30" s="337"/>
      <c r="I30" s="337"/>
      <c r="J30" s="338"/>
      <c r="K30" s="338"/>
      <c r="L30" s="338"/>
    </row>
  </sheetData>
  <pageMargins left="0.7" right="0.7" top="0.75" bottom="0.75" header="0.3" footer="0.3"/>
  <pageSetup paperSize="9" orientation="portrait" verticalDpi="0" r:id="rId1"/>
  <ignoredErrors>
    <ignoredError sqref="B3:B30" calculatedColumn="1"/>
  </ignoredErrors>
  <drawing r:id="rId2"/>
  <legacyDrawing r:id="rId3"/>
  <mc:AlternateContent xmlns:mc="http://schemas.openxmlformats.org/markup-compatibility/2006">
    <mc:Choice Requires="x14">
      <controls>
        <mc:AlternateContent xmlns:mc="http://schemas.openxmlformats.org/markup-compatibility/2006">
          <mc:Choice Requires="x14">
            <control shapeId="26626" r:id="rId4" name="Button 2">
              <controlPr defaultSize="0" print="0" autoFill="0" autoPict="0" macro="[0]!CloseOnglet">
                <anchor moveWithCells="1" sizeWithCells="1">
                  <from>
                    <xdr:col>12</xdr:col>
                    <xdr:colOff>304800</xdr:colOff>
                    <xdr:row>1</xdr:row>
                    <xdr:rowOff>0</xdr:rowOff>
                  </from>
                  <to>
                    <xdr:col>14</xdr:col>
                    <xdr:colOff>428625</xdr:colOff>
                    <xdr:row>2</xdr:row>
                    <xdr:rowOff>200025</xdr:rowOff>
                  </to>
                </anchor>
              </controlPr>
            </control>
          </mc:Choice>
        </mc:AlternateContent>
      </controls>
    </mc:Choice>
  </mc:AlternateContent>
  <tableParts count="1">
    <tablePart r:id="rId5"/>
  </tableParts>
</worksheet>
</file>

<file path=xl/worksheets/sheet2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sheetPr codeName="Feuil18"/>
  <dimension ref="B1:S50"/>
  <sheetViews>
    <sheetView showGridLines="0" zoomScale="120" zoomScaleNormal="120" workbookViewId="0">
      <selection activeCell="P4" sqref="P4"/>
    </sheetView>
  </sheetViews>
  <sheetFormatPr baseColWidth="10" defaultRowHeight="12.75"/>
  <cols>
    <col min="1" max="1" width="2.85546875" customWidth="1"/>
    <col min="5" max="5" width="8.140625" customWidth="1"/>
    <col min="6" max="6" width="8.85546875" customWidth="1"/>
    <col min="7" max="7" width="8.85546875" style="73" customWidth="1"/>
    <col min="11" max="11" width="10.42578125" customWidth="1"/>
    <col min="12" max="12" width="3.140625" customWidth="1"/>
    <col min="18" max="18" width="2.85546875" customWidth="1"/>
  </cols>
  <sheetData>
    <row r="1" spans="2:19" ht="17.25">
      <c r="B1" s="665" t="s">
        <v>361</v>
      </c>
      <c r="C1" s="665"/>
      <c r="D1" s="665"/>
      <c r="E1" s="342" t="s">
        <v>43</v>
      </c>
      <c r="F1" s="336">
        <f xml:space="preserve"> MATCH(B1,Tableau6[Nom Prénom],0)</f>
        <v>3</v>
      </c>
      <c r="I1" s="659" t="s">
        <v>314</v>
      </c>
      <c r="J1" s="659"/>
      <c r="K1" s="659"/>
    </row>
    <row r="2" spans="2:19" ht="22.5" customHeight="1">
      <c r="B2" s="664">
        <f>INDEX('BDD - Joueurs'!C2:C31,F1)</f>
        <v>37636</v>
      </c>
      <c r="C2" s="664"/>
      <c r="D2" s="343"/>
      <c r="E2" s="343"/>
      <c r="F2" s="345" t="str">
        <f>INDEX('BDD - Joueurs'!F2:F31,F1)</f>
        <v>Défenseur</v>
      </c>
      <c r="G2" s="341"/>
      <c r="I2" s="660">
        <f>INDEX('Bilan entretiens'!B2:L30,F1+1,2)</f>
        <v>43092</v>
      </c>
      <c r="J2" s="660"/>
      <c r="K2" s="660"/>
      <c r="L2" s="340"/>
      <c r="M2" s="340"/>
      <c r="N2" s="340"/>
      <c r="O2" s="340"/>
      <c r="P2" s="340"/>
      <c r="Q2" s="340"/>
      <c r="R2" s="340"/>
      <c r="S2" s="340"/>
    </row>
    <row r="3" spans="2:19" ht="18" customHeight="1">
      <c r="B3" s="41"/>
      <c r="C3" s="42"/>
      <c r="D3" s="43"/>
      <c r="E3" s="43"/>
      <c r="F3" s="43"/>
      <c r="G3" s="43"/>
      <c r="J3" s="340"/>
      <c r="K3" s="340"/>
      <c r="L3" s="340"/>
      <c r="M3" s="340"/>
      <c r="N3" s="340"/>
      <c r="O3" s="340"/>
      <c r="P3" s="340"/>
      <c r="Q3" s="340"/>
      <c r="R3" s="340"/>
      <c r="S3" s="340"/>
    </row>
    <row r="4" spans="2:19" s="344" customFormat="1" ht="15">
      <c r="B4" s="662" t="s">
        <v>307</v>
      </c>
      <c r="C4" s="662"/>
      <c r="D4" s="662"/>
      <c r="E4" s="662"/>
      <c r="F4" s="662"/>
      <c r="G4" s="662"/>
      <c r="H4" s="662"/>
      <c r="I4" s="662"/>
      <c r="J4" s="662"/>
      <c r="K4" s="662"/>
    </row>
    <row r="5" spans="2:19">
      <c r="B5" s="661" t="str">
        <f>INDEX('Bilan entretiens'!B2:L30,F1+1,3)</f>
        <v>Bonne ambiance dans le groupe. Le groupe vie bien comme la saison passée.</v>
      </c>
      <c r="C5" s="661"/>
      <c r="D5" s="661"/>
      <c r="E5" s="661"/>
      <c r="F5" s="661"/>
      <c r="G5" s="661"/>
      <c r="H5" s="661"/>
      <c r="I5" s="661"/>
      <c r="J5" s="661"/>
      <c r="K5" s="661"/>
    </row>
    <row r="6" spans="2:19">
      <c r="B6" s="661"/>
      <c r="C6" s="661"/>
      <c r="D6" s="661"/>
      <c r="E6" s="661"/>
      <c r="F6" s="661"/>
      <c r="G6" s="661"/>
      <c r="H6" s="661"/>
      <c r="I6" s="661"/>
      <c r="J6" s="661"/>
      <c r="K6" s="661"/>
    </row>
    <row r="7" spans="2:19">
      <c r="B7" s="661"/>
      <c r="C7" s="661"/>
      <c r="D7" s="661"/>
      <c r="E7" s="661"/>
      <c r="F7" s="661"/>
      <c r="G7" s="661"/>
      <c r="H7" s="661"/>
      <c r="I7" s="661"/>
      <c r="J7" s="661"/>
      <c r="K7" s="661"/>
    </row>
    <row r="9" spans="2:19" ht="15">
      <c r="B9" s="662" t="s">
        <v>308</v>
      </c>
      <c r="C9" s="662"/>
      <c r="D9" s="662"/>
      <c r="E9" s="662"/>
      <c r="F9" s="662"/>
      <c r="G9" s="662"/>
      <c r="H9" s="662"/>
      <c r="I9" s="662"/>
      <c r="J9" s="662"/>
      <c r="K9" s="662"/>
    </row>
    <row r="10" spans="2:19">
      <c r="B10" s="661" t="str">
        <f>INDEX('Bilan entretiens'!B2:L30,F1+1,4)</f>
        <v>Meilleure utilisation de mon pied faible. Je suis plus impliqué dans l'animation offensive et notamment dans les actions décisives de mon équipe (notamment 2 buts et 1 passe dès)</v>
      </c>
      <c r="C10" s="661"/>
      <c r="D10" s="661"/>
      <c r="E10" s="661"/>
      <c r="F10" s="661"/>
      <c r="G10" s="661"/>
      <c r="H10" s="661"/>
      <c r="I10" s="661"/>
      <c r="J10" s="661"/>
      <c r="K10" s="661"/>
    </row>
    <row r="11" spans="2:19">
      <c r="B11" s="661"/>
      <c r="C11" s="661"/>
      <c r="D11" s="661"/>
      <c r="E11" s="661"/>
      <c r="F11" s="661"/>
      <c r="G11" s="661"/>
      <c r="H11" s="661"/>
      <c r="I11" s="661"/>
      <c r="J11" s="661"/>
      <c r="K11" s="661"/>
    </row>
    <row r="12" spans="2:19">
      <c r="B12" s="661"/>
      <c r="C12" s="661"/>
      <c r="D12" s="661"/>
      <c r="E12" s="661"/>
      <c r="F12" s="661"/>
      <c r="G12" s="661"/>
      <c r="H12" s="661"/>
      <c r="I12" s="661"/>
      <c r="J12" s="661"/>
      <c r="K12" s="661"/>
    </row>
    <row r="13" spans="2:19">
      <c r="B13" s="661"/>
      <c r="C13" s="661"/>
      <c r="D13" s="661"/>
      <c r="E13" s="661"/>
      <c r="F13" s="661"/>
      <c r="G13" s="661"/>
      <c r="H13" s="661"/>
      <c r="I13" s="661"/>
      <c r="J13" s="661"/>
      <c r="K13" s="661"/>
    </row>
    <row r="14" spans="2:19">
      <c r="B14" s="661"/>
      <c r="C14" s="661"/>
      <c r="D14" s="661"/>
      <c r="E14" s="661"/>
      <c r="F14" s="661"/>
      <c r="G14" s="661"/>
      <c r="H14" s="661"/>
      <c r="I14" s="661"/>
      <c r="J14" s="661"/>
      <c r="K14" s="661"/>
    </row>
    <row r="15" spans="2:19" s="210" customFormat="1" ht="12">
      <c r="B15" s="666" t="s">
        <v>329</v>
      </c>
      <c r="C15" s="666"/>
      <c r="D15" s="666"/>
      <c r="E15" s="666"/>
      <c r="F15" s="666"/>
      <c r="G15" s="666"/>
      <c r="H15" s="666"/>
      <c r="I15" s="666"/>
      <c r="J15" s="666"/>
      <c r="K15" s="666"/>
    </row>
    <row r="16" spans="2:19">
      <c r="B16" s="661" t="str">
        <f>INDEX('Bilan entretiens'!B2:L30,F1+1,5)</f>
        <v>Je constante un réel changement dans ton jeu, avec beaucoup plus implication et de prise risque. Elle est due à une prise de conscience de tes qualités (confiance en soi) et une meilleure utilisation de celle-ci (maitrise de soi). Malgré un déficit athlétique tu te bats sur chaque ballon pour aider l'équipe à le récupérer. Continu</v>
      </c>
      <c r="C16" s="661"/>
      <c r="D16" s="661"/>
      <c r="E16" s="661"/>
      <c r="F16" s="661"/>
      <c r="G16" s="661"/>
      <c r="H16" s="661"/>
      <c r="I16" s="661"/>
      <c r="J16" s="661"/>
      <c r="K16" s="661"/>
    </row>
    <row r="17" spans="2:11">
      <c r="B17" s="661"/>
      <c r="C17" s="661"/>
      <c r="D17" s="661"/>
      <c r="E17" s="661"/>
      <c r="F17" s="661"/>
      <c r="G17" s="661"/>
      <c r="H17" s="661"/>
      <c r="I17" s="661"/>
      <c r="J17" s="661"/>
      <c r="K17" s="661"/>
    </row>
    <row r="18" spans="2:11">
      <c r="B18" s="661"/>
      <c r="C18" s="661"/>
      <c r="D18" s="661"/>
      <c r="E18" s="661"/>
      <c r="F18" s="661"/>
      <c r="G18" s="661"/>
      <c r="H18" s="661"/>
      <c r="I18" s="661"/>
      <c r="J18" s="661"/>
      <c r="K18" s="661"/>
    </row>
    <row r="19" spans="2:11">
      <c r="B19" s="661"/>
      <c r="C19" s="661"/>
      <c r="D19" s="661"/>
      <c r="E19" s="661"/>
      <c r="F19" s="661"/>
      <c r="G19" s="661"/>
      <c r="H19" s="661"/>
      <c r="I19" s="661"/>
      <c r="J19" s="661"/>
      <c r="K19" s="661"/>
    </row>
    <row r="21" spans="2:11" ht="15">
      <c r="B21" s="662" t="s">
        <v>309</v>
      </c>
      <c r="C21" s="662"/>
      <c r="D21" s="662"/>
      <c r="E21" s="662"/>
      <c r="F21" s="662"/>
      <c r="G21" s="662"/>
      <c r="H21" s="662"/>
      <c r="I21" s="662"/>
      <c r="J21" s="662"/>
      <c r="K21" s="662"/>
    </row>
    <row r="22" spans="2:11">
      <c r="B22" s="661" t="str">
        <f>INDEX('Bilan entretiens'!B2:L30,F1+1,6)</f>
        <v xml:space="preserve">Moins de temps de jeu en debut de saison. </v>
      </c>
      <c r="C22" s="661"/>
      <c r="D22" s="661"/>
      <c r="E22" s="661"/>
      <c r="F22" s="661"/>
      <c r="G22" s="661"/>
      <c r="H22" s="661"/>
      <c r="I22" s="661"/>
      <c r="J22" s="661"/>
      <c r="K22" s="661"/>
    </row>
    <row r="23" spans="2:11">
      <c r="B23" s="661"/>
      <c r="C23" s="661"/>
      <c r="D23" s="661"/>
      <c r="E23" s="661"/>
      <c r="F23" s="661"/>
      <c r="G23" s="661"/>
      <c r="H23" s="661"/>
      <c r="I23" s="661"/>
      <c r="J23" s="661"/>
      <c r="K23" s="661"/>
    </row>
    <row r="24" spans="2:11">
      <c r="B24" s="661"/>
      <c r="C24" s="661"/>
      <c r="D24" s="661"/>
      <c r="E24" s="661"/>
      <c r="F24" s="661"/>
      <c r="G24" s="661"/>
      <c r="H24" s="661"/>
      <c r="I24" s="661"/>
      <c r="J24" s="661"/>
      <c r="K24" s="661"/>
    </row>
    <row r="25" spans="2:11">
      <c r="B25" s="661"/>
      <c r="C25" s="661"/>
      <c r="D25" s="661"/>
      <c r="E25" s="661"/>
      <c r="F25" s="661"/>
      <c r="G25" s="661"/>
      <c r="H25" s="661"/>
      <c r="I25" s="661"/>
      <c r="J25" s="661"/>
      <c r="K25" s="661"/>
    </row>
    <row r="26" spans="2:11">
      <c r="B26" s="661"/>
      <c r="C26" s="661"/>
      <c r="D26" s="661"/>
      <c r="E26" s="661"/>
      <c r="F26" s="661"/>
      <c r="G26" s="661"/>
      <c r="H26" s="661"/>
      <c r="I26" s="661"/>
      <c r="J26" s="661"/>
      <c r="K26" s="661"/>
    </row>
    <row r="27" spans="2:11">
      <c r="B27" s="666" t="s">
        <v>329</v>
      </c>
      <c r="C27" s="666"/>
      <c r="D27" s="666"/>
      <c r="E27" s="666"/>
      <c r="F27" s="666"/>
      <c r="G27" s="666"/>
      <c r="H27" s="666"/>
      <c r="I27" s="666"/>
      <c r="J27" s="666"/>
      <c r="K27" s="666"/>
    </row>
    <row r="28" spans="2:11">
      <c r="B28" s="661" t="str">
        <f>INDEX('Bilan entretiens'!B2:L30,F1+1,7)</f>
        <v>Effectivement, tu avais moins de temps de jeu en tout début de saison mais, ton attitude à l'entrainement et tes prestations à chaque fois que j'ai fait appel à toi ton permis de regagner du temps de jeu et d'enchainer les derniers match comme titulaire. Tu sais ce qu'il te reste à faire.</v>
      </c>
      <c r="C28" s="661"/>
      <c r="D28" s="661"/>
      <c r="E28" s="661"/>
      <c r="F28" s="661"/>
      <c r="G28" s="661"/>
      <c r="H28" s="661"/>
      <c r="I28" s="661"/>
      <c r="J28" s="661"/>
      <c r="K28" s="661"/>
    </row>
    <row r="29" spans="2:11">
      <c r="B29" s="661"/>
      <c r="C29" s="661"/>
      <c r="D29" s="661"/>
      <c r="E29" s="661"/>
      <c r="F29" s="661"/>
      <c r="G29" s="661"/>
      <c r="H29" s="661"/>
      <c r="I29" s="661"/>
      <c r="J29" s="661"/>
      <c r="K29" s="661"/>
    </row>
    <row r="30" spans="2:11">
      <c r="B30" s="661"/>
      <c r="C30" s="661"/>
      <c r="D30" s="661"/>
      <c r="E30" s="661"/>
      <c r="F30" s="661"/>
      <c r="G30" s="661"/>
      <c r="H30" s="661"/>
      <c r="I30" s="661"/>
      <c r="J30" s="661"/>
      <c r="K30" s="661"/>
    </row>
    <row r="31" spans="2:11">
      <c r="B31" s="661"/>
      <c r="C31" s="661"/>
      <c r="D31" s="661"/>
      <c r="E31" s="661"/>
      <c r="F31" s="661"/>
      <c r="G31" s="661"/>
      <c r="H31" s="661"/>
      <c r="I31" s="661"/>
      <c r="J31" s="661"/>
      <c r="K31" s="661"/>
    </row>
    <row r="33" spans="2:11" ht="15">
      <c r="B33" s="662" t="s">
        <v>312</v>
      </c>
      <c r="C33" s="662"/>
      <c r="D33" s="662"/>
      <c r="E33" s="662"/>
      <c r="F33" s="662"/>
      <c r="G33" s="662"/>
      <c r="H33" s="662"/>
      <c r="I33" s="662"/>
      <c r="J33" s="662"/>
      <c r="K33" s="662"/>
    </row>
    <row r="34" spans="2:11">
      <c r="B34" s="663" t="s">
        <v>311</v>
      </c>
      <c r="C34" s="663"/>
      <c r="D34" s="663"/>
      <c r="E34" s="663"/>
      <c r="F34" s="663"/>
      <c r="G34" s="663" t="s">
        <v>310</v>
      </c>
      <c r="H34" s="663"/>
      <c r="I34" s="663"/>
      <c r="J34" s="663"/>
      <c r="K34" s="663"/>
    </row>
    <row r="35" spans="2:11">
      <c r="B35" s="661" t="str">
        <f>INDEX('Bilan entretiens'!B2:L30,F1+1,9)</f>
        <v>Jouer la montée en U17</v>
      </c>
      <c r="C35" s="661"/>
      <c r="D35" s="661"/>
      <c r="E35" s="661"/>
      <c r="F35" s="348"/>
      <c r="G35" s="348"/>
      <c r="H35" s="661" t="str">
        <f>INDEX('Bilan entretiens'!B2:L30,F1+1,8)</f>
        <v>Améliorer ma finition (choix face au but) et mes choix de jeu (comment organiser le jeu de mon équipe)</v>
      </c>
      <c r="I35" s="661"/>
      <c r="J35" s="661"/>
      <c r="K35" s="661"/>
    </row>
    <row r="36" spans="2:11">
      <c r="B36" s="661"/>
      <c r="C36" s="661"/>
      <c r="D36" s="661"/>
      <c r="E36" s="661"/>
      <c r="F36" s="348"/>
      <c r="G36" s="348"/>
      <c r="H36" s="661"/>
      <c r="I36" s="661"/>
      <c r="J36" s="661"/>
      <c r="K36" s="661"/>
    </row>
    <row r="37" spans="2:11">
      <c r="B37" s="661"/>
      <c r="C37" s="661"/>
      <c r="D37" s="661"/>
      <c r="E37" s="661"/>
      <c r="F37" s="348"/>
      <c r="G37" s="348"/>
      <c r="H37" s="661"/>
      <c r="I37" s="661"/>
      <c r="J37" s="661"/>
      <c r="K37" s="661"/>
    </row>
    <row r="38" spans="2:11">
      <c r="B38" s="661"/>
      <c r="C38" s="661"/>
      <c r="D38" s="661"/>
      <c r="E38" s="661"/>
      <c r="F38" s="348"/>
      <c r="G38" s="348"/>
      <c r="H38" s="661"/>
      <c r="I38" s="661"/>
      <c r="J38" s="661"/>
      <c r="K38" s="661"/>
    </row>
    <row r="39" spans="2:11">
      <c r="B39" s="666" t="s">
        <v>315</v>
      </c>
      <c r="C39" s="666"/>
      <c r="D39" s="666"/>
      <c r="E39" s="666"/>
      <c r="F39" s="666"/>
      <c r="G39" s="666"/>
      <c r="H39" s="666"/>
      <c r="I39" s="666"/>
      <c r="J39" s="666"/>
      <c r="K39" s="666"/>
    </row>
    <row r="40" spans="2:11">
      <c r="B40" s="661" t="str">
        <f>INDEX('Bilan entretiens'!B2:L30,F1+1,10)</f>
        <v xml:space="preserve">Etre plus à l'écoute et concentrer sur le travail de finition et des choix offensif durant les séances d'entraînements </v>
      </c>
      <c r="C40" s="661"/>
      <c r="D40" s="661"/>
      <c r="E40" s="661"/>
      <c r="F40" s="661"/>
      <c r="G40" s="661"/>
      <c r="H40" s="661"/>
      <c r="I40" s="661"/>
      <c r="J40" s="661"/>
      <c r="K40" s="661"/>
    </row>
    <row r="41" spans="2:11">
      <c r="B41" s="661"/>
      <c r="C41" s="661"/>
      <c r="D41" s="661"/>
      <c r="E41" s="661"/>
      <c r="F41" s="661"/>
      <c r="G41" s="661"/>
      <c r="H41" s="661"/>
      <c r="I41" s="661"/>
      <c r="J41" s="661"/>
      <c r="K41" s="661"/>
    </row>
    <row r="42" spans="2:11">
      <c r="B42" s="661"/>
      <c r="C42" s="661"/>
      <c r="D42" s="661"/>
      <c r="E42" s="661"/>
      <c r="F42" s="661"/>
      <c r="G42" s="661"/>
      <c r="H42" s="661"/>
      <c r="I42" s="661"/>
      <c r="J42" s="661"/>
      <c r="K42" s="661"/>
    </row>
    <row r="43" spans="2:11">
      <c r="B43" s="661"/>
      <c r="C43" s="661"/>
      <c r="D43" s="661"/>
      <c r="E43" s="661"/>
      <c r="F43" s="661"/>
      <c r="G43" s="661"/>
      <c r="H43" s="661"/>
      <c r="I43" s="661"/>
      <c r="J43" s="661"/>
      <c r="K43" s="661"/>
    </row>
    <row r="45" spans="2:11" ht="15">
      <c r="B45" s="662" t="s">
        <v>313</v>
      </c>
      <c r="C45" s="662"/>
      <c r="D45" s="662"/>
      <c r="E45" s="662"/>
      <c r="F45" s="662"/>
      <c r="G45" s="662"/>
      <c r="H45" s="662"/>
      <c r="I45" s="662"/>
      <c r="J45" s="662"/>
      <c r="K45" s="662"/>
    </row>
    <row r="46" spans="2:11">
      <c r="B46" s="667" t="str">
        <f>INDEX('Bilan entretiens'!B2:L30,F1+1,11)</f>
        <v>Nous avons constaté une progression par rapport aux objectifs fixés en U15 grâce à ton implication et ton travail. Continu d'être sérieux, ne te décourage pas au premier échec (ex : je ne m'énerve pas ou ne me démotive pas après une passe ratée...). A partir de là si tu restes à l'écoute et impliqué pendant l'entrainement, tu ne pourras que progresser.</v>
      </c>
      <c r="C46" s="667"/>
      <c r="D46" s="667"/>
      <c r="E46" s="667"/>
      <c r="F46" s="667"/>
      <c r="G46" s="667"/>
      <c r="H46" s="667"/>
      <c r="I46" s="667"/>
      <c r="J46" s="667"/>
      <c r="K46" s="667"/>
    </row>
    <row r="47" spans="2:11">
      <c r="B47" s="667"/>
      <c r="C47" s="667"/>
      <c r="D47" s="667"/>
      <c r="E47" s="667"/>
      <c r="F47" s="667"/>
      <c r="G47" s="667"/>
      <c r="H47" s="667"/>
      <c r="I47" s="667"/>
      <c r="J47" s="667"/>
      <c r="K47" s="667"/>
    </row>
    <row r="48" spans="2:11">
      <c r="B48" s="667"/>
      <c r="C48" s="667"/>
      <c r="D48" s="667"/>
      <c r="E48" s="667"/>
      <c r="F48" s="667"/>
      <c r="G48" s="667"/>
      <c r="H48" s="667"/>
      <c r="I48" s="667"/>
      <c r="J48" s="667"/>
      <c r="K48" s="667"/>
    </row>
    <row r="49" spans="2:11">
      <c r="B49" s="667"/>
      <c r="C49" s="667"/>
      <c r="D49" s="667"/>
      <c r="E49" s="667"/>
      <c r="F49" s="667"/>
      <c r="G49" s="667"/>
      <c r="H49" s="667"/>
      <c r="I49" s="667"/>
      <c r="J49" s="667"/>
      <c r="K49" s="667"/>
    </row>
    <row r="50" spans="2:11">
      <c r="B50" s="667"/>
      <c r="C50" s="667"/>
      <c r="D50" s="667"/>
      <c r="E50" s="667"/>
      <c r="F50" s="667"/>
      <c r="G50" s="667"/>
      <c r="H50" s="667"/>
      <c r="I50" s="667"/>
      <c r="J50" s="667"/>
      <c r="K50" s="667"/>
    </row>
  </sheetData>
  <mergeCells count="23">
    <mergeCell ref="B4:K4"/>
    <mergeCell ref="B46:K50"/>
    <mergeCell ref="H35:K38"/>
    <mergeCell ref="B39:K39"/>
    <mergeCell ref="B35:E38"/>
    <mergeCell ref="B40:K43"/>
    <mergeCell ref="B45:K45"/>
    <mergeCell ref="I1:K1"/>
    <mergeCell ref="I2:K2"/>
    <mergeCell ref="B28:K31"/>
    <mergeCell ref="B33:K33"/>
    <mergeCell ref="B34:F34"/>
    <mergeCell ref="G34:K34"/>
    <mergeCell ref="B16:K19"/>
    <mergeCell ref="B21:K21"/>
    <mergeCell ref="B2:C2"/>
    <mergeCell ref="B1:D1"/>
    <mergeCell ref="B5:K7"/>
    <mergeCell ref="B9:K9"/>
    <mergeCell ref="B10:K14"/>
    <mergeCell ref="B22:K26"/>
    <mergeCell ref="B27:K27"/>
    <mergeCell ref="B15:K15"/>
  </mergeCells>
  <pageMargins left="0.25" right="0.25" top="0.75" bottom="0.75" header="0.3" footer="0.3"/>
  <pageSetup paperSize="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20487" r:id="rId4" name="Button 7">
              <controlPr defaultSize="0" print="0" autoFill="0" autoPict="0" macro="[0]!CloseOnglet">
                <anchor moveWithCells="1" sizeWithCells="1">
                  <from>
                    <xdr:col>12</xdr:col>
                    <xdr:colOff>9525</xdr:colOff>
                    <xdr:row>0</xdr:row>
                    <xdr:rowOff>66675</xdr:rowOff>
                  </from>
                  <to>
                    <xdr:col>14</xdr:col>
                    <xdr:colOff>142875</xdr:colOff>
                    <xdr:row>1</xdr:row>
                    <xdr:rowOff>238125</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1300-000000000000}">
          <x14:formula1>
            <xm:f>'BDD - Joueurs'!$B$2:$B$31</xm:f>
          </x14:formula1>
          <xm:sqref>B1</xm:sqref>
        </x14:dataValidation>
      </x14:dataValidations>
    </ext>
  </extLst>
</worksheet>
</file>

<file path=xl/worksheets/sheet2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sheetPr codeName="Feuil19">
    <tabColor theme="3"/>
  </sheetPr>
  <dimension ref="A1:V31"/>
  <sheetViews>
    <sheetView zoomScale="98" workbookViewId="0">
      <selection activeCell="L13" sqref="L13"/>
    </sheetView>
  </sheetViews>
  <sheetFormatPr baseColWidth="10" defaultRowHeight="12.75"/>
  <cols>
    <col min="1" max="1" width="8.42578125" customWidth="1"/>
    <col min="2" max="2" width="22" customWidth="1"/>
    <col min="3" max="3" width="19.42578125" customWidth="1"/>
    <col min="4" max="4" width="7.140625" hidden="1" customWidth="1"/>
    <col min="5" max="5" width="16.85546875" customWidth="1"/>
    <col min="6" max="6" width="17" customWidth="1"/>
    <col min="7" max="7" width="40" customWidth="1"/>
    <col min="9" max="9" width="23" customWidth="1"/>
    <col min="10" max="11" width="15" customWidth="1"/>
    <col min="12" max="12" width="17.42578125" bestFit="1" customWidth="1"/>
    <col min="13" max="13" width="13" bestFit="1" customWidth="1"/>
    <col min="19" max="19" width="15.85546875" bestFit="1" customWidth="1"/>
  </cols>
  <sheetData>
    <row r="1" spans="1:22">
      <c r="A1" t="s">
        <v>29</v>
      </c>
      <c r="B1" s="119" t="s">
        <v>30</v>
      </c>
      <c r="C1" s="119" t="s">
        <v>31</v>
      </c>
      <c r="D1" s="119" t="s">
        <v>491</v>
      </c>
      <c r="E1" s="119" t="s">
        <v>36</v>
      </c>
      <c r="F1" s="119" t="s">
        <v>32</v>
      </c>
      <c r="G1" s="119" t="s">
        <v>118</v>
      </c>
      <c r="H1" s="119" t="s">
        <v>119</v>
      </c>
      <c r="I1" s="119" t="s">
        <v>120</v>
      </c>
      <c r="J1" s="119" t="s">
        <v>352</v>
      </c>
      <c r="K1" s="119" t="s">
        <v>353</v>
      </c>
      <c r="L1" s="119" t="s">
        <v>549</v>
      </c>
      <c r="M1" s="119" t="s">
        <v>445</v>
      </c>
      <c r="N1" t="s">
        <v>217</v>
      </c>
      <c r="O1" t="s">
        <v>245</v>
      </c>
      <c r="P1" t="s">
        <v>253</v>
      </c>
      <c r="Q1" t="s">
        <v>277</v>
      </c>
      <c r="R1" t="s">
        <v>356</v>
      </c>
      <c r="S1" t="s">
        <v>358</v>
      </c>
    </row>
    <row r="2" spans="1:22">
      <c r="A2" s="25">
        <v>1</v>
      </c>
      <c r="B2" s="119" t="s">
        <v>350</v>
      </c>
      <c r="C2" s="120">
        <v>37681</v>
      </c>
      <c r="D2" s="439">
        <f>IF(Tableau6[[#This Row],[Date de naissance]]&lt;&gt;"",MONTH(Tableau6[[#This Row],[Date de naissance]]),"")</f>
        <v>3</v>
      </c>
      <c r="E2" s="121" t="s">
        <v>66</v>
      </c>
      <c r="F2" s="121" t="s">
        <v>40</v>
      </c>
      <c r="G2" s="121" t="s">
        <v>351</v>
      </c>
      <c r="H2" s="121">
        <v>60880</v>
      </c>
      <c r="I2" s="121" t="s">
        <v>122</v>
      </c>
      <c r="J2" s="121" t="s">
        <v>354</v>
      </c>
      <c r="K2" s="121" t="s">
        <v>355</v>
      </c>
      <c r="L2" s="121" t="s">
        <v>550</v>
      </c>
      <c r="M2" s="365">
        <v>16</v>
      </c>
      <c r="N2" s="365">
        <v>16</v>
      </c>
      <c r="O2" s="370">
        <v>20.5</v>
      </c>
      <c r="P2" s="121"/>
      <c r="Q2" s="302"/>
      <c r="R2" s="121" t="s">
        <v>357</v>
      </c>
      <c r="S2" s="121" t="s">
        <v>359</v>
      </c>
      <c r="T2" s="121"/>
      <c r="U2" s="121"/>
      <c r="V2" s="121"/>
    </row>
    <row r="3" spans="1:22">
      <c r="A3" s="25">
        <v>2</v>
      </c>
      <c r="B3" s="119" t="s">
        <v>360</v>
      </c>
      <c r="C3" s="120">
        <v>37797</v>
      </c>
      <c r="D3" s="439">
        <f>IF(Tableau6[[#This Row],[Date de naissance]]&lt;&gt;"",MONTH(Tableau6[[#This Row],[Date de naissance]]),"")</f>
        <v>6</v>
      </c>
      <c r="E3" s="121" t="s">
        <v>66</v>
      </c>
      <c r="F3" s="121" t="s">
        <v>41</v>
      </c>
      <c r="G3" s="121" t="s">
        <v>463</v>
      </c>
      <c r="H3" s="121">
        <v>60200</v>
      </c>
      <c r="I3" s="121" t="s">
        <v>121</v>
      </c>
      <c r="J3" s="121"/>
      <c r="K3" s="121"/>
      <c r="L3" s="121" t="s">
        <v>551</v>
      </c>
      <c r="M3" s="365">
        <v>12</v>
      </c>
      <c r="N3" s="365">
        <v>14</v>
      </c>
      <c r="O3" s="365"/>
      <c r="P3" s="121"/>
      <c r="Q3" s="302"/>
      <c r="R3" s="121" t="s">
        <v>364</v>
      </c>
      <c r="S3" s="121" t="s">
        <v>365</v>
      </c>
      <c r="T3" s="121"/>
      <c r="U3" s="121"/>
      <c r="V3" s="121"/>
    </row>
    <row r="4" spans="1:22">
      <c r="A4" s="25">
        <v>3</v>
      </c>
      <c r="B4" s="119" t="s">
        <v>361</v>
      </c>
      <c r="C4" s="120">
        <v>37636</v>
      </c>
      <c r="D4" s="439">
        <f>IF(Tableau6[[#This Row],[Date de naissance]]&lt;&gt;"",MONTH(Tableau6[[#This Row],[Date de naissance]]),"")</f>
        <v>1</v>
      </c>
      <c r="E4" s="121" t="s">
        <v>42</v>
      </c>
      <c r="F4" s="121" t="s">
        <v>39</v>
      </c>
      <c r="G4" s="121" t="s">
        <v>440</v>
      </c>
      <c r="H4" s="121">
        <v>60280</v>
      </c>
      <c r="I4" s="121" t="s">
        <v>441</v>
      </c>
      <c r="J4" s="173" t="s">
        <v>362</v>
      </c>
      <c r="K4" s="173" t="s">
        <v>363</v>
      </c>
      <c r="L4" s="173" t="s">
        <v>552</v>
      </c>
      <c r="M4" s="366"/>
      <c r="N4" s="365"/>
      <c r="O4" s="370">
        <v>18.5</v>
      </c>
      <c r="P4" s="121"/>
      <c r="Q4" s="302"/>
      <c r="R4" s="121" t="s">
        <v>364</v>
      </c>
      <c r="S4" s="121" t="s">
        <v>365</v>
      </c>
      <c r="T4" s="121"/>
      <c r="U4" s="121"/>
      <c r="V4" s="121"/>
    </row>
    <row r="5" spans="1:22">
      <c r="A5" s="25">
        <v>4</v>
      </c>
      <c r="B5" s="119" t="s">
        <v>366</v>
      </c>
      <c r="C5" s="120">
        <v>37657</v>
      </c>
      <c r="D5" s="439">
        <f>IF(Tableau6[[#This Row],[Date de naissance]]&lt;&gt;"",MONTH(Tableau6[[#This Row],[Date de naissance]]),"")</f>
        <v>2</v>
      </c>
      <c r="E5" s="121" t="s">
        <v>66</v>
      </c>
      <c r="F5" s="121" t="s">
        <v>40</v>
      </c>
      <c r="G5" s="121" t="s">
        <v>367</v>
      </c>
      <c r="H5" s="121">
        <v>60200</v>
      </c>
      <c r="I5" s="121" t="s">
        <v>121</v>
      </c>
      <c r="J5" s="173" t="s">
        <v>368</v>
      </c>
      <c r="K5" s="173" t="s">
        <v>369</v>
      </c>
      <c r="L5" s="173" t="s">
        <v>551</v>
      </c>
      <c r="M5" s="366">
        <v>9</v>
      </c>
      <c r="N5" s="370">
        <v>12.5</v>
      </c>
      <c r="O5" s="370">
        <v>17.5</v>
      </c>
      <c r="P5" s="121"/>
      <c r="Q5" s="302"/>
      <c r="R5" s="121" t="s">
        <v>423</v>
      </c>
      <c r="S5" s="121" t="s">
        <v>359</v>
      </c>
      <c r="T5" s="121"/>
      <c r="U5" s="121"/>
      <c r="V5" s="121"/>
    </row>
    <row r="6" spans="1:22">
      <c r="A6" s="25">
        <v>5</v>
      </c>
      <c r="B6" s="119" t="s">
        <v>370</v>
      </c>
      <c r="C6" s="120">
        <v>37898</v>
      </c>
      <c r="D6" s="439">
        <f>IF(Tableau6[[#This Row],[Date de naissance]]&lt;&gt;"",MONTH(Tableau6[[#This Row],[Date de naissance]]),"")</f>
        <v>10</v>
      </c>
      <c r="E6" s="121" t="s">
        <v>42</v>
      </c>
      <c r="F6" s="121" t="s">
        <v>41</v>
      </c>
      <c r="G6" s="121" t="s">
        <v>374</v>
      </c>
      <c r="H6" s="121">
        <v>60200</v>
      </c>
      <c r="I6" s="121" t="s">
        <v>121</v>
      </c>
      <c r="J6" s="173"/>
      <c r="K6" s="173" t="s">
        <v>371</v>
      </c>
      <c r="L6" s="173" t="s">
        <v>551</v>
      </c>
      <c r="M6" s="366"/>
      <c r="N6" s="365"/>
      <c r="O6" s="365"/>
      <c r="P6" s="121"/>
      <c r="Q6" s="302"/>
      <c r="R6" s="121" t="s">
        <v>372</v>
      </c>
      <c r="S6" s="121" t="s">
        <v>359</v>
      </c>
      <c r="T6" s="121"/>
      <c r="U6" s="121"/>
      <c r="V6" s="121"/>
    </row>
    <row r="7" spans="1:22">
      <c r="A7" s="25">
        <v>6</v>
      </c>
      <c r="B7" s="119" t="s">
        <v>373</v>
      </c>
      <c r="C7" s="120">
        <v>37829</v>
      </c>
      <c r="D7" s="439">
        <f>IF(Tableau6[[#This Row],[Date de naissance]]&lt;&gt;"",MONTH(Tableau6[[#This Row],[Date de naissance]]),"")</f>
        <v>7</v>
      </c>
      <c r="E7" s="121" t="s">
        <v>66</v>
      </c>
      <c r="F7" s="121" t="s">
        <v>39</v>
      </c>
      <c r="G7" s="121" t="s">
        <v>375</v>
      </c>
      <c r="H7" s="121">
        <v>60710</v>
      </c>
      <c r="I7" s="121" t="s">
        <v>376</v>
      </c>
      <c r="J7" s="173" t="s">
        <v>377</v>
      </c>
      <c r="K7" s="173" t="s">
        <v>378</v>
      </c>
      <c r="L7" s="173" t="s">
        <v>550</v>
      </c>
      <c r="M7" s="366">
        <v>12</v>
      </c>
      <c r="N7" s="365">
        <v>14</v>
      </c>
      <c r="O7" s="365"/>
      <c r="P7" s="121"/>
      <c r="Q7" s="302"/>
      <c r="R7" s="121" t="s">
        <v>357</v>
      </c>
      <c r="S7" s="121" t="s">
        <v>365</v>
      </c>
      <c r="T7" s="121"/>
      <c r="U7" s="121"/>
      <c r="V7" s="121"/>
    </row>
    <row r="8" spans="1:22">
      <c r="A8" s="25">
        <v>7</v>
      </c>
      <c r="B8" s="119" t="s">
        <v>379</v>
      </c>
      <c r="C8" s="120">
        <v>37925</v>
      </c>
      <c r="D8" s="439">
        <f>IF(Tableau6[[#This Row],[Date de naissance]]&lt;&gt;"",MONTH(Tableau6[[#This Row],[Date de naissance]]),"")</f>
        <v>10</v>
      </c>
      <c r="E8" s="121" t="s">
        <v>66</v>
      </c>
      <c r="F8" s="121" t="s">
        <v>39</v>
      </c>
      <c r="G8" s="121" t="s">
        <v>380</v>
      </c>
      <c r="H8" s="121">
        <v>60100</v>
      </c>
      <c r="I8" s="121" t="s">
        <v>381</v>
      </c>
      <c r="J8" s="173"/>
      <c r="K8" s="251" t="s">
        <v>382</v>
      </c>
      <c r="L8" s="251" t="s">
        <v>552</v>
      </c>
      <c r="M8" s="367"/>
      <c r="N8" s="365"/>
      <c r="O8" s="370">
        <v>17.5</v>
      </c>
      <c r="P8" s="121"/>
      <c r="Q8" s="302"/>
      <c r="R8" s="121"/>
      <c r="S8" s="121"/>
      <c r="T8" s="121"/>
      <c r="U8" s="121"/>
      <c r="V8" s="121"/>
    </row>
    <row r="9" spans="1:22">
      <c r="A9" s="25">
        <v>8</v>
      </c>
      <c r="B9" s="119" t="s">
        <v>383</v>
      </c>
      <c r="C9" s="120">
        <v>37856</v>
      </c>
      <c r="D9" s="439">
        <f>IF(Tableau6[[#This Row],[Date de naissance]]&lt;&gt;"",MONTH(Tableau6[[#This Row],[Date de naissance]]),"")</f>
        <v>8</v>
      </c>
      <c r="E9" s="121" t="s">
        <v>66</v>
      </c>
      <c r="F9" s="121" t="s">
        <v>39</v>
      </c>
      <c r="G9" s="121" t="s">
        <v>384</v>
      </c>
      <c r="H9" s="121">
        <v>60200</v>
      </c>
      <c r="I9" s="121" t="s">
        <v>121</v>
      </c>
      <c r="J9" s="173" t="s">
        <v>385</v>
      </c>
      <c r="K9" s="173" t="s">
        <v>386</v>
      </c>
      <c r="L9" s="173" t="s">
        <v>551</v>
      </c>
      <c r="M9" s="366">
        <v>14</v>
      </c>
      <c r="N9" s="370">
        <v>15.5</v>
      </c>
      <c r="O9" s="365">
        <v>20</v>
      </c>
      <c r="P9" s="121"/>
      <c r="Q9" s="302"/>
      <c r="R9" s="121" t="s">
        <v>357</v>
      </c>
      <c r="S9" s="121" t="s">
        <v>359</v>
      </c>
      <c r="T9" s="121"/>
      <c r="U9" s="121"/>
      <c r="V9" s="121"/>
    </row>
    <row r="10" spans="1:22">
      <c r="A10" s="25">
        <v>9</v>
      </c>
      <c r="B10" s="119" t="s">
        <v>387</v>
      </c>
      <c r="C10" s="120">
        <v>37887</v>
      </c>
      <c r="D10" s="439">
        <f>IF(Tableau6[[#This Row],[Date de naissance]]&lt;&gt;"",MONTH(Tableau6[[#This Row],[Date de naissance]]),"")</f>
        <v>9</v>
      </c>
      <c r="E10" s="121" t="s">
        <v>66</v>
      </c>
      <c r="F10" s="121" t="s">
        <v>40</v>
      </c>
      <c r="G10" s="121" t="s">
        <v>388</v>
      </c>
      <c r="H10" s="121">
        <v>60700</v>
      </c>
      <c r="I10" s="121" t="s">
        <v>389</v>
      </c>
      <c r="J10" s="173" t="s">
        <v>390</v>
      </c>
      <c r="K10" s="173" t="s">
        <v>391</v>
      </c>
      <c r="L10" s="173" t="s">
        <v>550</v>
      </c>
      <c r="M10" s="366"/>
      <c r="N10" s="365"/>
      <c r="O10" s="365"/>
      <c r="P10" s="121"/>
      <c r="Q10" s="302"/>
      <c r="R10" s="121" t="s">
        <v>392</v>
      </c>
      <c r="S10" s="121" t="s">
        <v>365</v>
      </c>
      <c r="T10" s="121"/>
      <c r="U10" s="121"/>
      <c r="V10" s="121"/>
    </row>
    <row r="11" spans="1:22">
      <c r="A11" s="25">
        <v>10</v>
      </c>
      <c r="B11" s="119" t="s">
        <v>393</v>
      </c>
      <c r="C11" s="120">
        <v>37802</v>
      </c>
      <c r="D11" s="439">
        <f>IF(Tableau6[[#This Row],[Date de naissance]]&lt;&gt;"",MONTH(Tableau6[[#This Row],[Date de naissance]]),"")</f>
        <v>6</v>
      </c>
      <c r="E11" s="121" t="s">
        <v>66</v>
      </c>
      <c r="F11" s="121" t="s">
        <v>39</v>
      </c>
      <c r="G11" s="121"/>
      <c r="H11" s="121"/>
      <c r="I11" s="121"/>
      <c r="J11" s="173" t="s">
        <v>462</v>
      </c>
      <c r="K11" s="173"/>
      <c r="L11" s="173" t="s">
        <v>550</v>
      </c>
      <c r="M11" s="366">
        <v>12</v>
      </c>
      <c r="N11" s="365">
        <v>14</v>
      </c>
      <c r="O11" s="365"/>
      <c r="P11" s="121"/>
      <c r="Q11" s="302"/>
      <c r="R11" s="121" t="s">
        <v>417</v>
      </c>
      <c r="S11" s="121" t="s">
        <v>365</v>
      </c>
      <c r="T11" s="121"/>
      <c r="U11" s="121"/>
      <c r="V11" s="121"/>
    </row>
    <row r="12" spans="1:22">
      <c r="A12" s="25">
        <v>11</v>
      </c>
      <c r="B12" s="119" t="s">
        <v>394</v>
      </c>
      <c r="C12" s="120">
        <v>37632</v>
      </c>
      <c r="D12" s="439">
        <f>IF(Tableau6[[#This Row],[Date de naissance]]&lt;&gt;"",MONTH(Tableau6[[#This Row],[Date de naissance]]),"")</f>
        <v>1</v>
      </c>
      <c r="E12" s="121" t="s">
        <v>66</v>
      </c>
      <c r="F12" s="121" t="s">
        <v>40</v>
      </c>
      <c r="G12" s="121" t="s">
        <v>468</v>
      </c>
      <c r="H12" s="121">
        <v>60200</v>
      </c>
      <c r="I12" s="121" t="s">
        <v>121</v>
      </c>
      <c r="J12" s="173" t="s">
        <v>466</v>
      </c>
      <c r="K12" s="173" t="s">
        <v>467</v>
      </c>
      <c r="L12" s="173" t="s">
        <v>551</v>
      </c>
      <c r="M12" s="366"/>
      <c r="N12" s="365"/>
      <c r="O12" s="365"/>
      <c r="P12" s="121"/>
      <c r="Q12" s="302"/>
      <c r="R12" s="121" t="s">
        <v>364</v>
      </c>
      <c r="S12" s="121" t="s">
        <v>365</v>
      </c>
      <c r="T12" s="121"/>
      <c r="U12" s="121"/>
      <c r="V12" s="121"/>
    </row>
    <row r="13" spans="1:22">
      <c r="A13" s="25">
        <v>12</v>
      </c>
      <c r="B13" s="119" t="s">
        <v>395</v>
      </c>
      <c r="C13" s="120">
        <v>37945</v>
      </c>
      <c r="D13" s="439">
        <f>IF(Tableau6[[#This Row],[Date de naissance]]&lt;&gt;"",MONTH(Tableau6[[#This Row],[Date de naissance]]),"")</f>
        <v>11</v>
      </c>
      <c r="E13" s="121" t="s">
        <v>66</v>
      </c>
      <c r="F13" s="121" t="s">
        <v>41</v>
      </c>
      <c r="G13" s="121" t="s">
        <v>396</v>
      </c>
      <c r="H13" s="121">
        <v>60200</v>
      </c>
      <c r="I13" s="121" t="s">
        <v>121</v>
      </c>
      <c r="J13" s="173" t="s">
        <v>397</v>
      </c>
      <c r="K13" s="173" t="s">
        <v>398</v>
      </c>
      <c r="L13" s="173" t="s">
        <v>551</v>
      </c>
      <c r="M13" s="366"/>
      <c r="N13" s="365"/>
      <c r="O13" s="365">
        <v>16</v>
      </c>
      <c r="P13" s="121"/>
      <c r="Q13" s="302"/>
      <c r="R13" s="121" t="s">
        <v>372</v>
      </c>
      <c r="S13" s="121" t="s">
        <v>365</v>
      </c>
      <c r="T13" s="121"/>
      <c r="U13" s="121"/>
      <c r="V13" s="121"/>
    </row>
    <row r="14" spans="1:22">
      <c r="A14" s="25">
        <v>13</v>
      </c>
      <c r="B14" s="119" t="s">
        <v>399</v>
      </c>
      <c r="C14" s="120">
        <v>37869</v>
      </c>
      <c r="D14" s="439">
        <f>IF(Tableau6[[#This Row],[Date de naissance]]&lt;&gt;"",MONTH(Tableau6[[#This Row],[Date de naissance]]),"")</f>
        <v>9</v>
      </c>
      <c r="E14" s="121" t="s">
        <v>66</v>
      </c>
      <c r="F14" s="121" t="s">
        <v>40</v>
      </c>
      <c r="G14" s="121" t="s">
        <v>400</v>
      </c>
      <c r="H14" s="121">
        <v>60310</v>
      </c>
      <c r="I14" s="121" t="s">
        <v>401</v>
      </c>
      <c r="J14" s="173"/>
      <c r="K14" s="173" t="s">
        <v>415</v>
      </c>
      <c r="L14" s="173" t="s">
        <v>550</v>
      </c>
      <c r="M14" s="366"/>
      <c r="N14" s="365"/>
      <c r="O14" s="365"/>
      <c r="P14" s="121"/>
      <c r="Q14" s="302"/>
      <c r="R14" s="121" t="s">
        <v>392</v>
      </c>
      <c r="S14" s="121" t="s">
        <v>359</v>
      </c>
      <c r="T14" s="121"/>
      <c r="U14" s="121"/>
      <c r="V14" s="121"/>
    </row>
    <row r="15" spans="1:22">
      <c r="A15" s="25">
        <v>14</v>
      </c>
      <c r="B15" s="119" t="s">
        <v>407</v>
      </c>
      <c r="C15" s="120">
        <v>37898</v>
      </c>
      <c r="D15" s="439">
        <f>IF(Tableau6[[#This Row],[Date de naissance]]&lt;&gt;"",MONTH(Tableau6[[#This Row],[Date de naissance]]),"")</f>
        <v>10</v>
      </c>
      <c r="E15" s="121" t="s">
        <v>42</v>
      </c>
      <c r="F15" s="121" t="s">
        <v>38</v>
      </c>
      <c r="G15" s="121" t="s">
        <v>403</v>
      </c>
      <c r="H15" s="121">
        <v>60410</v>
      </c>
      <c r="I15" s="121" t="s">
        <v>404</v>
      </c>
      <c r="J15" s="173" t="s">
        <v>405</v>
      </c>
      <c r="K15" s="173" t="s">
        <v>406</v>
      </c>
      <c r="L15" s="173" t="s">
        <v>551</v>
      </c>
      <c r="M15" s="366">
        <v>12</v>
      </c>
      <c r="N15" s="365">
        <v>14</v>
      </c>
      <c r="O15" s="370">
        <v>16.5</v>
      </c>
      <c r="P15" s="121"/>
      <c r="Q15" s="302"/>
      <c r="R15" s="121" t="s">
        <v>372</v>
      </c>
      <c r="S15" s="121" t="s">
        <v>402</v>
      </c>
      <c r="T15" s="121"/>
      <c r="U15" s="121"/>
      <c r="V15" s="121"/>
    </row>
    <row r="16" spans="1:22">
      <c r="A16" s="25">
        <v>15</v>
      </c>
      <c r="B16" s="119" t="s">
        <v>408</v>
      </c>
      <c r="C16" s="120">
        <v>37794</v>
      </c>
      <c r="D16" s="439">
        <f>IF(Tableau6[[#This Row],[Date de naissance]]&lt;&gt;"",MONTH(Tableau6[[#This Row],[Date de naissance]]),"")</f>
        <v>6</v>
      </c>
      <c r="E16" s="121" t="s">
        <v>66</v>
      </c>
      <c r="F16" s="121" t="s">
        <v>39</v>
      </c>
      <c r="G16" s="121" t="s">
        <v>409</v>
      </c>
      <c r="H16" s="121">
        <v>60750</v>
      </c>
      <c r="I16" s="121" t="s">
        <v>410</v>
      </c>
      <c r="J16" s="173"/>
      <c r="K16" s="173" t="s">
        <v>416</v>
      </c>
      <c r="L16" s="173" t="s">
        <v>550</v>
      </c>
      <c r="M16" s="366">
        <v>17</v>
      </c>
      <c r="N16" s="370">
        <v>16.5</v>
      </c>
      <c r="O16" s="365">
        <v>21</v>
      </c>
      <c r="P16" s="121"/>
      <c r="Q16" s="302"/>
      <c r="R16" s="121"/>
      <c r="S16" s="121"/>
      <c r="T16" s="121"/>
      <c r="U16" s="121"/>
      <c r="V16" s="121"/>
    </row>
    <row r="17" spans="1:22">
      <c r="A17" s="25">
        <v>16</v>
      </c>
      <c r="B17" s="119" t="s">
        <v>411</v>
      </c>
      <c r="C17" s="120">
        <v>37820</v>
      </c>
      <c r="D17" s="439">
        <f>IF(Tableau6[[#This Row],[Date de naissance]]&lt;&gt;"",MONTH(Tableau6[[#This Row],[Date de naissance]]),"")</f>
        <v>7</v>
      </c>
      <c r="E17" s="121" t="s">
        <v>37</v>
      </c>
      <c r="F17" s="121" t="s">
        <v>39</v>
      </c>
      <c r="G17" s="121" t="s">
        <v>412</v>
      </c>
      <c r="H17" s="121">
        <v>60700</v>
      </c>
      <c r="I17" s="121" t="s">
        <v>413</v>
      </c>
      <c r="J17" s="173"/>
      <c r="K17" s="173" t="s">
        <v>414</v>
      </c>
      <c r="L17" s="173" t="s">
        <v>551</v>
      </c>
      <c r="M17" s="366">
        <v>12</v>
      </c>
      <c r="N17" s="365">
        <v>14</v>
      </c>
      <c r="O17" s="365"/>
      <c r="P17" s="121"/>
      <c r="Q17" s="302"/>
      <c r="R17" s="121" t="s">
        <v>417</v>
      </c>
      <c r="S17" s="121" t="s">
        <v>359</v>
      </c>
      <c r="T17" s="121"/>
      <c r="U17" s="121"/>
      <c r="V17" s="121"/>
    </row>
    <row r="18" spans="1:22">
      <c r="A18" s="25">
        <v>17</v>
      </c>
      <c r="B18" s="119" t="s">
        <v>418</v>
      </c>
      <c r="C18" s="120">
        <v>37701</v>
      </c>
      <c r="D18" s="439">
        <f>IF(Tableau6[[#This Row],[Date de naissance]]&lt;&gt;"",MONTH(Tableau6[[#This Row],[Date de naissance]]),"")</f>
        <v>3</v>
      </c>
      <c r="E18" s="121" t="s">
        <v>66</v>
      </c>
      <c r="F18" s="121" t="s">
        <v>41</v>
      </c>
      <c r="G18" s="121" t="s">
        <v>419</v>
      </c>
      <c r="H18" s="121">
        <v>60126</v>
      </c>
      <c r="I18" s="121" t="s">
        <v>420</v>
      </c>
      <c r="J18" s="173" t="s">
        <v>421</v>
      </c>
      <c r="K18" s="173" t="s">
        <v>422</v>
      </c>
      <c r="L18" s="173" t="s">
        <v>550</v>
      </c>
      <c r="M18" s="366">
        <v>15</v>
      </c>
      <c r="N18" s="370">
        <v>15.5</v>
      </c>
      <c r="O18" s="365"/>
      <c r="P18" s="121"/>
      <c r="Q18" s="302"/>
      <c r="R18" s="121" t="s">
        <v>423</v>
      </c>
      <c r="S18" s="121" t="s">
        <v>402</v>
      </c>
      <c r="T18" s="121"/>
      <c r="U18" s="121"/>
      <c r="V18" s="121"/>
    </row>
    <row r="19" spans="1:22">
      <c r="A19" s="25">
        <v>18</v>
      </c>
      <c r="B19" s="119" t="s">
        <v>424</v>
      </c>
      <c r="C19" s="120">
        <v>37904</v>
      </c>
      <c r="D19" s="439">
        <f>IF(Tableau6[[#This Row],[Date de naissance]]&lt;&gt;"",MONTH(Tableau6[[#This Row],[Date de naissance]]),"")</f>
        <v>10</v>
      </c>
      <c r="E19" s="121" t="s">
        <v>66</v>
      </c>
      <c r="F19" s="121" t="s">
        <v>38</v>
      </c>
      <c r="G19" s="121" t="s">
        <v>425</v>
      </c>
      <c r="H19" s="362" t="s">
        <v>431</v>
      </c>
      <c r="I19" s="121" t="s">
        <v>426</v>
      </c>
      <c r="J19" s="173" t="s">
        <v>427</v>
      </c>
      <c r="K19" s="173" t="s">
        <v>428</v>
      </c>
      <c r="L19" s="173" t="s">
        <v>550</v>
      </c>
      <c r="M19" s="366">
        <v>15</v>
      </c>
      <c r="N19" s="370">
        <v>15.5</v>
      </c>
      <c r="O19" s="370">
        <v>19.5</v>
      </c>
      <c r="P19" s="121"/>
      <c r="Q19" s="302"/>
      <c r="R19" s="121" t="s">
        <v>357</v>
      </c>
      <c r="S19" s="121" t="s">
        <v>359</v>
      </c>
      <c r="T19" s="121"/>
      <c r="U19" s="121"/>
      <c r="V19" s="121"/>
    </row>
    <row r="20" spans="1:22">
      <c r="A20" s="25">
        <v>19</v>
      </c>
      <c r="B20" s="119" t="s">
        <v>429</v>
      </c>
      <c r="C20" s="120">
        <v>37654</v>
      </c>
      <c r="D20" s="439">
        <f>IF(Tableau6[[#This Row],[Date de naissance]]&lt;&gt;"",MONTH(Tableau6[[#This Row],[Date de naissance]]),"")</f>
        <v>2</v>
      </c>
      <c r="E20" s="121" t="s">
        <v>66</v>
      </c>
      <c r="F20" s="121" t="s">
        <v>41</v>
      </c>
      <c r="G20" s="121" t="s">
        <v>430</v>
      </c>
      <c r="H20" s="362" t="s">
        <v>433</v>
      </c>
      <c r="I20" s="121" t="s">
        <v>432</v>
      </c>
      <c r="J20" s="173" t="s">
        <v>434</v>
      </c>
      <c r="K20" s="173" t="s">
        <v>435</v>
      </c>
      <c r="L20" s="173" t="s">
        <v>550</v>
      </c>
      <c r="M20" s="366"/>
      <c r="N20" s="365"/>
      <c r="O20" s="365"/>
      <c r="P20" s="121"/>
      <c r="Q20" s="302"/>
      <c r="R20" s="121" t="s">
        <v>364</v>
      </c>
      <c r="S20" s="121" t="s">
        <v>359</v>
      </c>
      <c r="T20" s="121"/>
      <c r="U20" s="121"/>
      <c r="V20" s="121"/>
    </row>
    <row r="21" spans="1:22">
      <c r="A21" s="25">
        <v>20</v>
      </c>
      <c r="B21" s="119" t="s">
        <v>436</v>
      </c>
      <c r="C21" s="120">
        <v>37903</v>
      </c>
      <c r="D21" s="439">
        <f>IF(Tableau6[[#This Row],[Date de naissance]]&lt;&gt;"",MONTH(Tableau6[[#This Row],[Date de naissance]]),"")</f>
        <v>10</v>
      </c>
      <c r="E21" s="121" t="s">
        <v>66</v>
      </c>
      <c r="F21" s="121" t="s">
        <v>41</v>
      </c>
      <c r="G21" s="121" t="s">
        <v>437</v>
      </c>
      <c r="H21" s="121">
        <v>60320</v>
      </c>
      <c r="I21" s="121" t="s">
        <v>438</v>
      </c>
      <c r="J21" s="173"/>
      <c r="K21" s="173" t="s">
        <v>439</v>
      </c>
      <c r="L21" s="173" t="s">
        <v>551</v>
      </c>
      <c r="M21" s="366"/>
      <c r="N21" s="365"/>
      <c r="O21" s="365"/>
      <c r="P21" s="121"/>
      <c r="Q21" s="302"/>
      <c r="R21" s="121" t="s">
        <v>392</v>
      </c>
      <c r="S21" s="121" t="s">
        <v>365</v>
      </c>
      <c r="T21" s="121"/>
      <c r="U21" s="121"/>
      <c r="V21" s="121"/>
    </row>
    <row r="22" spans="1:22">
      <c r="A22" s="25">
        <v>21</v>
      </c>
      <c r="B22" s="119" t="s">
        <v>446</v>
      </c>
      <c r="C22" s="120">
        <v>37968</v>
      </c>
      <c r="D22" s="439">
        <f>IF(Tableau6[[#This Row],[Date de naissance]]&lt;&gt;"",MONTH(Tableau6[[#This Row],[Date de naissance]]),"")</f>
        <v>12</v>
      </c>
      <c r="E22" s="121" t="s">
        <v>66</v>
      </c>
      <c r="F22" s="121" t="s">
        <v>39</v>
      </c>
      <c r="G22" s="121"/>
      <c r="H22" s="121"/>
      <c r="I22" s="121"/>
      <c r="J22" s="173"/>
      <c r="K22" s="173"/>
      <c r="L22" s="173"/>
      <c r="M22" s="366">
        <v>4</v>
      </c>
      <c r="N22" s="365">
        <v>10</v>
      </c>
      <c r="O22" s="365">
        <v>13</v>
      </c>
      <c r="P22" s="121"/>
      <c r="Q22" s="302"/>
      <c r="R22" s="121"/>
      <c r="S22" s="121"/>
      <c r="T22" s="121"/>
      <c r="U22" s="121"/>
      <c r="V22" s="121"/>
    </row>
    <row r="23" spans="1:22">
      <c r="A23" s="25"/>
      <c r="B23" s="119"/>
      <c r="C23" s="120"/>
      <c r="D23" s="439" t="str">
        <f>IF(Tableau6[[#This Row],[Date de naissance]]&lt;&gt;"",MONTH(Tableau6[[#This Row],[Date de naissance]]),"")</f>
        <v/>
      </c>
      <c r="E23" s="121"/>
      <c r="F23" s="121"/>
      <c r="G23" s="121"/>
      <c r="H23" s="121"/>
      <c r="I23" s="121"/>
      <c r="J23" s="173"/>
      <c r="K23" s="173"/>
      <c r="L23" s="173"/>
      <c r="M23" s="368"/>
      <c r="N23" s="369"/>
      <c r="O23" s="369"/>
      <c r="P23" s="121"/>
      <c r="Q23" s="302"/>
      <c r="R23" s="121"/>
      <c r="S23" s="121"/>
      <c r="T23" s="121"/>
      <c r="U23" s="121"/>
      <c r="V23" s="121"/>
    </row>
    <row r="24" spans="1:22">
      <c r="A24" s="25"/>
      <c r="B24" s="119"/>
      <c r="C24" s="120"/>
      <c r="D24" s="439" t="str">
        <f>IF(Tableau6[[#This Row],[Date de naissance]]&lt;&gt;"",MONTH(Tableau6[[#This Row],[Date de naissance]]),"")</f>
        <v/>
      </c>
      <c r="E24" s="121"/>
      <c r="F24" s="121"/>
      <c r="G24" s="121"/>
      <c r="H24" s="121"/>
      <c r="I24" s="121"/>
      <c r="J24" s="121"/>
      <c r="K24" s="121"/>
      <c r="L24" s="121"/>
      <c r="M24" s="369"/>
      <c r="N24" s="369"/>
      <c r="O24" s="369"/>
      <c r="P24" s="121"/>
      <c r="Q24" s="302"/>
      <c r="R24" s="121"/>
      <c r="S24" s="121"/>
      <c r="T24" s="121"/>
      <c r="U24" s="121"/>
      <c r="V24" s="121"/>
    </row>
    <row r="25" spans="1:22">
      <c r="A25" s="25"/>
      <c r="B25" s="119"/>
      <c r="C25" s="120"/>
      <c r="D25" s="439" t="str">
        <f>IF(Tableau6[[#This Row],[Date de naissance]]&lt;&gt;"",MONTH(Tableau6[[#This Row],[Date de naissance]]),"")</f>
        <v/>
      </c>
      <c r="E25" s="121"/>
      <c r="F25" s="121"/>
      <c r="G25" s="121"/>
      <c r="H25" s="121"/>
      <c r="I25" s="121"/>
      <c r="J25" s="121"/>
      <c r="K25" s="121"/>
      <c r="L25" s="121"/>
      <c r="M25" s="369"/>
      <c r="N25" s="369"/>
      <c r="O25" s="369"/>
      <c r="P25" s="121"/>
      <c r="Q25" s="302"/>
      <c r="R25" s="121"/>
      <c r="S25" s="121"/>
      <c r="T25" s="121"/>
      <c r="U25" s="121"/>
      <c r="V25" s="121"/>
    </row>
    <row r="26" spans="1:22">
      <c r="A26" s="25"/>
      <c r="B26" s="119"/>
      <c r="C26" s="120"/>
      <c r="D26" s="439" t="str">
        <f>IF(Tableau6[[#This Row],[Date de naissance]]&lt;&gt;"",MONTH(Tableau6[[#This Row],[Date de naissance]]),"")</f>
        <v/>
      </c>
      <c r="E26" s="121"/>
      <c r="F26" s="121"/>
      <c r="G26" s="121"/>
      <c r="H26" s="121"/>
      <c r="I26" s="121"/>
      <c r="J26" s="121"/>
      <c r="K26" s="121"/>
      <c r="L26" s="121"/>
      <c r="M26" s="369"/>
      <c r="N26" s="369"/>
      <c r="O26" s="369"/>
      <c r="P26" s="121"/>
      <c r="Q26" s="302"/>
      <c r="R26" s="121"/>
      <c r="S26" s="121"/>
      <c r="T26" s="121"/>
      <c r="U26" s="121"/>
      <c r="V26" s="121"/>
    </row>
    <row r="27" spans="1:22">
      <c r="A27" s="25"/>
      <c r="B27" s="119"/>
      <c r="C27" s="120"/>
      <c r="D27" s="439" t="str">
        <f>IF(Tableau6[[#This Row],[Date de naissance]]&lt;&gt;"",MONTH(Tableau6[[#This Row],[Date de naissance]]),"")</f>
        <v/>
      </c>
      <c r="E27" s="121"/>
      <c r="F27" s="121"/>
      <c r="G27" s="121"/>
      <c r="H27" s="121"/>
      <c r="I27" s="121"/>
      <c r="J27" s="121"/>
      <c r="K27" s="121"/>
      <c r="L27" s="121"/>
      <c r="M27" s="369"/>
      <c r="N27" s="369"/>
      <c r="O27" s="369"/>
      <c r="P27" s="121"/>
      <c r="Q27" s="302"/>
      <c r="R27" s="121"/>
      <c r="S27" s="121"/>
      <c r="T27" s="121"/>
      <c r="U27" s="121"/>
      <c r="V27" s="121"/>
    </row>
    <row r="28" spans="1:22">
      <c r="A28" s="25"/>
      <c r="B28" s="119"/>
      <c r="C28" s="120"/>
      <c r="D28" s="439" t="str">
        <f>IF(Tableau6[[#This Row],[Date de naissance]]&lt;&gt;"",MONTH(Tableau6[[#This Row],[Date de naissance]]),"")</f>
        <v/>
      </c>
      <c r="E28" s="121"/>
      <c r="F28" s="121"/>
      <c r="G28" s="121"/>
      <c r="H28" s="121"/>
      <c r="I28" s="121"/>
      <c r="J28" s="121"/>
      <c r="K28" s="121"/>
      <c r="L28" s="121"/>
      <c r="M28" s="369"/>
      <c r="N28" s="369"/>
      <c r="O28" s="369"/>
      <c r="P28" s="121"/>
      <c r="Q28" s="302"/>
      <c r="R28" s="121"/>
      <c r="S28" s="121"/>
      <c r="T28" s="121"/>
      <c r="U28" s="121"/>
      <c r="V28" s="121"/>
    </row>
    <row r="29" spans="1:22">
      <c r="A29" s="25"/>
      <c r="B29" s="119"/>
      <c r="C29" s="120"/>
      <c r="D29" s="439" t="str">
        <f>IF(Tableau6[[#This Row],[Date de naissance]]&lt;&gt;"",MONTH(Tableau6[[#This Row],[Date de naissance]]),"")</f>
        <v/>
      </c>
      <c r="E29" s="121"/>
      <c r="F29" s="121"/>
      <c r="G29" s="121"/>
      <c r="H29" s="121"/>
      <c r="I29" s="121"/>
      <c r="J29" s="121"/>
      <c r="K29" s="121"/>
      <c r="L29" s="121"/>
      <c r="M29" s="369"/>
      <c r="N29" s="369"/>
      <c r="O29" s="369"/>
      <c r="P29" s="121"/>
      <c r="Q29" s="302"/>
      <c r="R29" s="121"/>
      <c r="S29" s="121"/>
      <c r="T29" s="121"/>
      <c r="U29" s="121"/>
      <c r="V29" s="121"/>
    </row>
    <row r="30" spans="1:22">
      <c r="A30" s="25"/>
      <c r="B30" s="119"/>
      <c r="C30" s="120"/>
      <c r="D30" s="439" t="str">
        <f>IF(Tableau6[[#This Row],[Date de naissance]]&lt;&gt;"",MONTH(Tableau6[[#This Row],[Date de naissance]]),"")</f>
        <v/>
      </c>
      <c r="E30" s="121"/>
      <c r="F30" s="121"/>
      <c r="G30" s="121"/>
      <c r="H30" s="121"/>
      <c r="I30" s="121"/>
      <c r="J30" s="121"/>
      <c r="K30" s="121"/>
      <c r="L30" s="121"/>
      <c r="M30" s="369"/>
      <c r="N30" s="369"/>
      <c r="O30" s="369"/>
      <c r="P30" s="121"/>
      <c r="Q30" s="302"/>
      <c r="R30" s="121"/>
      <c r="S30" s="121"/>
      <c r="T30" s="121"/>
      <c r="U30" s="121"/>
      <c r="V30" s="121"/>
    </row>
    <row r="31" spans="1:22">
      <c r="A31" s="25"/>
      <c r="B31" s="119"/>
      <c r="C31" s="120"/>
      <c r="D31" s="439" t="str">
        <f>IF(Tableau6[[#This Row],[Date de naissance]]&lt;&gt;"",MONTH(Tableau6[[#This Row],[Date de naissance]]),"")</f>
        <v/>
      </c>
      <c r="E31" s="121"/>
      <c r="F31" s="121"/>
      <c r="G31" s="121"/>
      <c r="H31" s="121"/>
      <c r="I31" s="121"/>
      <c r="J31" s="121"/>
      <c r="K31" s="121"/>
      <c r="L31" s="121"/>
      <c r="M31" s="369"/>
      <c r="N31" s="369"/>
      <c r="O31" s="369"/>
      <c r="P31" s="121"/>
      <c r="Q31" s="302"/>
      <c r="R31" s="121"/>
      <c r="S31" s="121"/>
      <c r="T31" s="121"/>
      <c r="U31" s="121"/>
      <c r="V31" s="121"/>
    </row>
  </sheetData>
  <sheetProtection sort="0" autoFilter="0"/>
  <dataValidations count="1">
    <dataValidation type="date" allowBlank="1" showInputMessage="1" showErrorMessage="1" sqref="C2:D31" xr:uid="{00000000-0002-0000-1400-000000000000}">
      <formula1>1</formula1>
      <formula2>1497861</formula2>
    </dataValidation>
  </dataValidations>
  <pageMargins left="0.7" right="0.7" top="0.75" bottom="0.75" header="0.3" footer="0.3"/>
  <pageSetup orientation="portrait" verticalDpi="0" r:id="rId1"/>
  <ignoredErrors>
    <ignoredError sqref="H19:H20" numberStoredAsText="1"/>
    <ignoredError sqref="D2:D22" calculatedColumn="1"/>
    <ignoredError sqref="D23:D31" listDataValidation="1" calculatedColumn="1"/>
  </ignoredErrors>
  <drawing r:id="rId2"/>
  <legacyDrawing r:id="rId3"/>
  <mc:AlternateContent xmlns:mc="http://schemas.openxmlformats.org/markup-compatibility/2006">
    <mc:Choice Requires="x14">
      <controls>
        <mc:AlternateContent xmlns:mc="http://schemas.openxmlformats.org/markup-compatibility/2006">
          <mc:Choice Requires="x14">
            <control shapeId="27650" r:id="rId4" name="Button 2">
              <controlPr defaultSize="0" print="0" autoFill="0" autoPict="0" macro="[0]!CloseOnglet">
                <anchor moveWithCells="1" sizeWithCells="1">
                  <from>
                    <xdr:col>7</xdr:col>
                    <xdr:colOff>142875</xdr:colOff>
                    <xdr:row>31</xdr:row>
                    <xdr:rowOff>180975</xdr:rowOff>
                  </from>
                  <to>
                    <xdr:col>8</xdr:col>
                    <xdr:colOff>962025</xdr:colOff>
                    <xdr:row>34</xdr:row>
                    <xdr:rowOff>28575</xdr:rowOff>
                  </to>
                </anchor>
              </controlPr>
            </control>
          </mc:Choice>
        </mc:AlternateContent>
      </controls>
    </mc:Choice>
  </mc:AlternateContent>
  <tableParts count="1">
    <tablePart r:id="rId5"/>
  </tableParts>
  <extLst>
    <ext xmlns:x14="http://schemas.microsoft.com/office/spreadsheetml/2009/9/main" uri="{CCE6A557-97BC-4b89-ADB6-D9C93CAAB3DF}">
      <x14:dataValidations xmlns:xm="http://schemas.microsoft.com/office/excel/2006/main" count="3">
        <x14:dataValidation type="list" allowBlank="1" showInputMessage="1" showErrorMessage="1" xr:uid="{00000000-0002-0000-1400-000001000000}">
          <x14:formula1>
            <xm:f>Paramétres!$D$5:$D$7</xm:f>
          </x14:formula1>
          <xm:sqref>E2:E31</xm:sqref>
        </x14:dataValidation>
        <x14:dataValidation type="list" allowBlank="1" showInputMessage="1" showErrorMessage="1" xr:uid="{00000000-0002-0000-1400-000002000000}">
          <x14:formula1>
            <xm:f>Paramétres!$F$5:$F$8</xm:f>
          </x14:formula1>
          <xm:sqref>F2:F31</xm:sqref>
        </x14:dataValidation>
        <x14:dataValidation type="list" allowBlank="1" showInputMessage="1" showErrorMessage="1" xr:uid="{1549A0B9-CA7B-4BFE-AA64-887530AA2B87}">
          <x14:formula1>
            <xm:f>Paramétres!$V$5:$V$7</xm:f>
          </x14:formula1>
          <xm:sqref>L2:L31</xm:sqref>
        </x14:dataValidation>
      </x14:dataValidations>
    </ext>
  </extLst>
</worksheet>
</file>

<file path=xl/worksheets/sheet3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sheetPr codeName="Feuil20">
    <tabColor theme="3"/>
  </sheetPr>
  <dimension ref="B1:V32"/>
  <sheetViews>
    <sheetView zoomScale="106" zoomScaleNormal="106" workbookViewId="0">
      <selection activeCell="P5" sqref="P5:P15"/>
    </sheetView>
  </sheetViews>
  <sheetFormatPr baseColWidth="10" defaultRowHeight="12.75"/>
  <cols>
    <col min="1" max="1" width="4.85546875" customWidth="1"/>
    <col min="2" max="2" width="21.85546875" customWidth="1"/>
    <col min="3" max="3" width="6" customWidth="1"/>
    <col min="5" max="5" width="6" customWidth="1"/>
    <col min="7" max="7" width="6" customWidth="1"/>
    <col min="11" max="11" width="6" customWidth="1"/>
    <col min="14" max="14" width="17.140625" customWidth="1"/>
    <col min="15" max="15" width="6" customWidth="1"/>
    <col min="16" max="16" width="13.5703125" customWidth="1"/>
    <col min="17" max="17" width="6" customWidth="1"/>
    <col min="20" max="20" width="11.140625" customWidth="1"/>
    <col min="22" max="22" width="17.140625" bestFit="1" customWidth="1"/>
  </cols>
  <sheetData>
    <row r="1" spans="2:22" s="435" customFormat="1" ht="44.1" customHeight="1">
      <c r="B1" s="668" t="s">
        <v>542</v>
      </c>
      <c r="C1" s="668"/>
      <c r="D1" s="668"/>
      <c r="E1" s="668"/>
      <c r="F1" s="668"/>
      <c r="G1" s="668"/>
      <c r="H1" s="668"/>
      <c r="I1" s="668"/>
      <c r="J1" s="668"/>
    </row>
    <row r="2" spans="2:22" s="413" customFormat="1" ht="8.1" customHeight="1"/>
    <row r="4" spans="2:22">
      <c r="B4" s="18" t="s">
        <v>11</v>
      </c>
      <c r="D4" t="s">
        <v>36</v>
      </c>
      <c r="F4" t="s">
        <v>32</v>
      </c>
      <c r="H4" t="s">
        <v>72</v>
      </c>
      <c r="I4" t="s">
        <v>65</v>
      </c>
      <c r="J4" t="s">
        <v>71</v>
      </c>
      <c r="L4" t="s">
        <v>116</v>
      </c>
      <c r="M4" t="s">
        <v>117</v>
      </c>
      <c r="N4" t="s">
        <v>113</v>
      </c>
      <c r="P4" t="s">
        <v>81</v>
      </c>
      <c r="R4" t="s">
        <v>85</v>
      </c>
      <c r="T4" t="s">
        <v>247</v>
      </c>
      <c r="V4" t="s">
        <v>549</v>
      </c>
    </row>
    <row r="5" spans="2:22">
      <c r="B5" t="s">
        <v>10</v>
      </c>
      <c r="D5" t="s">
        <v>66</v>
      </c>
      <c r="F5" t="s">
        <v>38</v>
      </c>
      <c r="H5" s="44">
        <v>1</v>
      </c>
      <c r="L5" s="44"/>
      <c r="M5" s="44">
        <v>140</v>
      </c>
      <c r="N5" t="s">
        <v>109</v>
      </c>
      <c r="P5" t="s">
        <v>269</v>
      </c>
      <c r="R5" t="s">
        <v>124</v>
      </c>
      <c r="T5" t="s">
        <v>248</v>
      </c>
      <c r="V5" t="s">
        <v>550</v>
      </c>
    </row>
    <row r="6" spans="2:22">
      <c r="B6" t="s">
        <v>18</v>
      </c>
      <c r="D6" t="s">
        <v>42</v>
      </c>
      <c r="F6" t="s">
        <v>39</v>
      </c>
      <c r="H6" s="44">
        <v>2</v>
      </c>
      <c r="L6" s="44">
        <v>140</v>
      </c>
      <c r="M6" s="44">
        <v>210</v>
      </c>
      <c r="N6" t="s">
        <v>110</v>
      </c>
      <c r="P6" t="s">
        <v>270</v>
      </c>
      <c r="R6" t="s">
        <v>125</v>
      </c>
      <c r="T6" t="s">
        <v>249</v>
      </c>
      <c r="V6" t="s">
        <v>552</v>
      </c>
    </row>
    <row r="7" spans="2:22">
      <c r="B7" t="s">
        <v>12</v>
      </c>
      <c r="D7" t="s">
        <v>37</v>
      </c>
      <c r="F7" t="s">
        <v>40</v>
      </c>
      <c r="H7" s="44">
        <v>3</v>
      </c>
      <c r="L7" s="44">
        <v>210</v>
      </c>
      <c r="M7" s="44">
        <v>350</v>
      </c>
      <c r="N7" t="s">
        <v>112</v>
      </c>
      <c r="P7" t="s">
        <v>18</v>
      </c>
      <c r="R7" t="s">
        <v>126</v>
      </c>
      <c r="T7" t="s">
        <v>246</v>
      </c>
      <c r="V7" t="s">
        <v>551</v>
      </c>
    </row>
    <row r="8" spans="2:22">
      <c r="B8" t="s">
        <v>349</v>
      </c>
      <c r="F8" t="s">
        <v>41</v>
      </c>
      <c r="H8" s="44">
        <v>4</v>
      </c>
      <c r="L8" s="44">
        <v>350</v>
      </c>
      <c r="M8" s="44">
        <v>490</v>
      </c>
      <c r="N8" t="s">
        <v>111</v>
      </c>
      <c r="P8" t="s">
        <v>13</v>
      </c>
      <c r="R8" t="s">
        <v>127</v>
      </c>
    </row>
    <row r="9" spans="2:22">
      <c r="B9" t="s">
        <v>44</v>
      </c>
      <c r="H9" s="44">
        <v>5</v>
      </c>
      <c r="L9" s="44">
        <v>490</v>
      </c>
      <c r="M9" s="44">
        <v>700</v>
      </c>
      <c r="N9" t="s">
        <v>85</v>
      </c>
      <c r="P9" t="s">
        <v>12</v>
      </c>
    </row>
    <row r="10" spans="2:22">
      <c r="B10" t="s">
        <v>13</v>
      </c>
      <c r="H10" s="44">
        <v>6</v>
      </c>
      <c r="P10" t="s">
        <v>100</v>
      </c>
    </row>
    <row r="11" spans="2:22">
      <c r="B11" t="s">
        <v>15</v>
      </c>
      <c r="H11" s="44">
        <v>7</v>
      </c>
      <c r="L11" t="s">
        <v>116</v>
      </c>
      <c r="M11" t="s">
        <v>117</v>
      </c>
      <c r="N11" t="s">
        <v>113</v>
      </c>
      <c r="P11" t="s">
        <v>101</v>
      </c>
    </row>
    <row r="12" spans="2:22">
      <c r="B12" t="s">
        <v>469</v>
      </c>
      <c r="H12" s="44">
        <v>8</v>
      </c>
      <c r="L12" s="25"/>
      <c r="M12" s="25">
        <v>1100</v>
      </c>
      <c r="N12" t="s">
        <v>188</v>
      </c>
      <c r="P12" t="s">
        <v>265</v>
      </c>
    </row>
    <row r="13" spans="2:22">
      <c r="B13" t="s">
        <v>14</v>
      </c>
      <c r="H13" s="44">
        <v>9</v>
      </c>
      <c r="L13" s="25">
        <v>1100</v>
      </c>
      <c r="M13" s="25">
        <v>1300</v>
      </c>
      <c r="N13" t="s">
        <v>189</v>
      </c>
      <c r="P13" t="s">
        <v>14</v>
      </c>
    </row>
    <row r="14" spans="2:22">
      <c r="H14" s="44">
        <v>10</v>
      </c>
      <c r="L14" s="25">
        <v>1300</v>
      </c>
      <c r="M14" s="25">
        <v>1700</v>
      </c>
      <c r="N14" t="s">
        <v>190</v>
      </c>
      <c r="P14" t="s">
        <v>271</v>
      </c>
    </row>
    <row r="15" spans="2:22">
      <c r="L15" s="25">
        <v>1700</v>
      </c>
      <c r="M15" s="25"/>
      <c r="N15" t="s">
        <v>191</v>
      </c>
      <c r="P15" t="s">
        <v>15</v>
      </c>
    </row>
    <row r="16" spans="2:22">
      <c r="L16" s="44"/>
      <c r="M16" s="44"/>
    </row>
    <row r="18" spans="2:13">
      <c r="B18" t="s">
        <v>73</v>
      </c>
      <c r="H18" t="s">
        <v>35</v>
      </c>
      <c r="I18" t="s">
        <v>237</v>
      </c>
      <c r="J18" t="s">
        <v>238</v>
      </c>
      <c r="L18" t="s">
        <v>490</v>
      </c>
    </row>
    <row r="19" spans="2:13">
      <c r="B19" s="44">
        <v>10</v>
      </c>
      <c r="H19" t="s">
        <v>232</v>
      </c>
      <c r="J19">
        <v>16</v>
      </c>
      <c r="L19">
        <v>2018</v>
      </c>
    </row>
    <row r="20" spans="2:13">
      <c r="H20" t="s">
        <v>233</v>
      </c>
      <c r="I20">
        <v>16</v>
      </c>
      <c r="J20">
        <v>25</v>
      </c>
      <c r="L20">
        <v>2019</v>
      </c>
    </row>
    <row r="21" spans="2:13">
      <c r="B21" t="s">
        <v>80</v>
      </c>
      <c r="H21" t="s">
        <v>234</v>
      </c>
      <c r="I21">
        <v>18</v>
      </c>
      <c r="J21">
        <v>20</v>
      </c>
    </row>
    <row r="22" spans="2:13">
      <c r="B22" s="44">
        <v>90</v>
      </c>
      <c r="H22" t="s">
        <v>235</v>
      </c>
      <c r="I22">
        <v>25</v>
      </c>
      <c r="J22">
        <v>29</v>
      </c>
    </row>
    <row r="23" spans="2:13">
      <c r="H23" t="s">
        <v>236</v>
      </c>
      <c r="I23">
        <v>29</v>
      </c>
    </row>
    <row r="29" spans="2:13">
      <c r="L29" s="254"/>
      <c r="M29" s="255"/>
    </row>
    <row r="30" spans="2:13">
      <c r="L30" s="254"/>
      <c r="M30" s="255"/>
    </row>
    <row r="31" spans="2:13">
      <c r="L31" s="254"/>
      <c r="M31" s="255"/>
    </row>
    <row r="32" spans="2:13">
      <c r="L32" s="254"/>
      <c r="M32" s="255"/>
    </row>
  </sheetData>
  <sheetProtection selectLockedCells="1" selectUnlockedCells="1"/>
  <mergeCells count="1">
    <mergeCell ref="B1:J1"/>
  </mergeCells>
  <conditionalFormatting sqref="F13:F143">
    <cfRule type="cellIs" dxfId="12" priority="2" operator="between">
      <formula>$L$6</formula>
      <formula>$M$6</formula>
    </cfRule>
    <cfRule type="cellIs" dxfId="11" priority="3" operator="between">
      <formula>$L$6</formula>
      <formula>$M$6</formula>
    </cfRule>
  </conditionalFormatting>
  <conditionalFormatting sqref="I66:Q66">
    <cfRule type="cellIs" dxfId="10" priority="1" operator="lessThan">
      <formula>$M$12</formula>
    </cfRule>
  </conditionalFormatting>
  <pageMargins left="0.7" right="0.7" top="0.75" bottom="0.75" header="0.3" footer="0.3"/>
  <drawing r:id="rId1"/>
  <legacyDrawing r:id="rId2"/>
  <mc:AlternateContent xmlns:mc="http://schemas.openxmlformats.org/markup-compatibility/2006">
    <mc:Choice Requires="x14">
      <controls>
        <mc:AlternateContent xmlns:mc="http://schemas.openxmlformats.org/markup-compatibility/2006">
          <mc:Choice Requires="x14">
            <control shapeId="28673" r:id="rId3" name="Button 1">
              <controlPr defaultSize="0" print="0" autoFill="0" autoPict="0" macro="[0]!CloseOnglet">
                <anchor moveWithCells="1" sizeWithCells="1">
                  <from>
                    <xdr:col>15</xdr:col>
                    <xdr:colOff>447675</xdr:colOff>
                    <xdr:row>0</xdr:row>
                    <xdr:rowOff>123825</xdr:rowOff>
                  </from>
                  <to>
                    <xdr:col>17</xdr:col>
                    <xdr:colOff>752475</xdr:colOff>
                    <xdr:row>0</xdr:row>
                    <xdr:rowOff>457200</xdr:rowOff>
                  </to>
                </anchor>
              </controlPr>
            </control>
          </mc:Choice>
        </mc:AlternateContent>
      </controls>
    </mc:Choice>
  </mc:AlternateContent>
  <tableParts count="14">
    <tablePart r:id="rId4"/>
    <tablePart r:id="rId5"/>
    <tablePart r:id="rId6"/>
    <tablePart r:id="rId7"/>
    <tablePart r:id="rId8"/>
    <tablePart r:id="rId9"/>
    <tablePart r:id="rId10"/>
    <tablePart r:id="rId11"/>
    <tablePart r:id="rId12"/>
    <tablePart r:id="rId13"/>
    <tablePart r:id="rId14"/>
    <tablePart r:id="rId15"/>
    <tablePart r:id="rId16"/>
    <tablePart r:id="rId17"/>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xml version="1.0" encoding="utf-8"?>
<?mso-contentType ?>
<FormTemplates xmlns="http://schemas.microsoft.com/sharepoint/v3/contenttype/forms">
  <Display>DocumentLibraryForm</Display>
  <Edit>AssetEditForm</Edit>
  <New>DocumentLibraryForm</New>
</FormTemplates>
</file>

<file path=customXml/itemProps1.xml><?xml version="1.0" encoding="utf-8"?>
<ds:datastoreItem xmlns:ds="http://schemas.openxmlformats.org/officeDocument/2006/customXml" ds:itemID="{8CD4FA7C-C916-4038-B154-60FF9CC9F1E5}">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30</vt:i4>
      </vt:variant>
      <vt:variant>
        <vt:lpstr>Plages nommées</vt:lpstr>
      </vt:variant>
      <vt:variant>
        <vt:i4>31</vt:i4>
      </vt:variant>
    </vt:vector>
  </HeadingPairs>
  <TitlesOfParts>
    <vt:vector size="61" baseType="lpstr">
      <vt:lpstr>Guide</vt:lpstr>
      <vt:lpstr>Accueil</vt:lpstr>
      <vt:lpstr>Tableau de bord</vt:lpstr>
      <vt:lpstr>TDC Nb Tranningg</vt:lpstr>
      <vt:lpstr>Séance</vt:lpstr>
      <vt:lpstr>Parametre Model de jeu</vt:lpstr>
      <vt:lpstr>Entrainement</vt:lpstr>
      <vt:lpstr>Bilan Entrainement - Annuel</vt:lpstr>
      <vt:lpstr>Bilan Entrainement - Mensuel</vt:lpstr>
      <vt:lpstr>Forme</vt:lpstr>
      <vt:lpstr>RPE</vt:lpstr>
      <vt:lpstr>Victoire</vt:lpstr>
      <vt:lpstr>Plaisir</vt:lpstr>
      <vt:lpstr>Perfo.</vt:lpstr>
      <vt:lpstr>Bilan Victoire - Mensuel</vt:lpstr>
      <vt:lpstr>Bilan mental</vt:lpstr>
      <vt:lpstr>Charges individuel</vt:lpstr>
      <vt:lpstr>Charges collective</vt:lpstr>
      <vt:lpstr>Graphique des charges</vt:lpstr>
      <vt:lpstr>Poid - Taille</vt:lpstr>
      <vt:lpstr>Match</vt:lpstr>
      <vt:lpstr>Fiche joueur</vt:lpstr>
      <vt:lpstr>Fiche pointage</vt:lpstr>
      <vt:lpstr>VAK</vt:lpstr>
      <vt:lpstr>Mentaux</vt:lpstr>
      <vt:lpstr>Fiche collective</vt:lpstr>
      <vt:lpstr>Bilan entretiens</vt:lpstr>
      <vt:lpstr>Fiche entretien</vt:lpstr>
      <vt:lpstr>BDD - Joueurs</vt:lpstr>
      <vt:lpstr>Paramétres</vt:lpstr>
      <vt:lpstr>Anticiper_la_profondeur_quand_le_porteur_n’est_pas_cadrer</vt:lpstr>
      <vt:lpstr>Anticiper_s_ajuster_pour_intervenir</vt:lpstr>
      <vt:lpstr>Athlétique</vt:lpstr>
      <vt:lpstr>Conserver_pour_progresser</vt:lpstr>
      <vt:lpstr>Couvrir_son_partenaire_dans_l’action_défensive</vt:lpstr>
      <vt:lpstr>Créer_et_utiliser_des_espaces</vt:lpstr>
      <vt:lpstr>DEF</vt:lpstr>
      <vt:lpstr>Défendre_son_but_récupérer_ou_dégager_le_ballon</vt:lpstr>
      <vt:lpstr>Densifier_et_être_actif_dans_le_CJD</vt:lpstr>
      <vt:lpstr>Déséquilibrer_le_bloc_adverse</vt:lpstr>
      <vt:lpstr>Finir_l_action</vt:lpstr>
      <vt:lpstr>Freiner_la_progression_et_organiser_la_prise_en_charge</vt:lpstr>
      <vt:lpstr>Jeu_combiné_à_2__à_3__enchainer_les_actions</vt:lpstr>
      <vt:lpstr>Jouer_à_l’opposé_après_avoir_fixé_collectivement</vt:lpstr>
      <vt:lpstr>Jouer_combiné_pour_créer_un_surnombre</vt:lpstr>
      <vt:lpstr>Jouer_dans_l_intervalle_et_entre_les_lignes</vt:lpstr>
      <vt:lpstr>Jouer_en_profondeur_après_un_décalage</vt:lpstr>
      <vt:lpstr>MDJPhase</vt:lpstr>
      <vt:lpstr>Mental</vt:lpstr>
      <vt:lpstr>OFF</vt:lpstr>
      <vt:lpstr>Organiser_la_pression_collective_sur_le_temps_de_passe</vt:lpstr>
      <vt:lpstr>Protéger_le_CJD_et_organiser_ou_réorganiser_les_alignements</vt:lpstr>
      <vt:lpstr>Protéger_son_but</vt:lpstr>
      <vt:lpstr>Rechercher_un_joueur_lancé_en_profondeur_dans_le_dos_de_la_défense</vt:lpstr>
      <vt:lpstr>S_opposer_à_la_progression</vt:lpstr>
      <vt:lpstr>S_organiser_pour_récupérer</vt:lpstr>
      <vt:lpstr>S’ajuster_ou_se_réajuster_pour_finir</vt:lpstr>
      <vt:lpstr>S’organiser_en_déséquilibre</vt:lpstr>
      <vt:lpstr>Se_démarquer_pour_fixer_et_élimine_ou_prendre_de_la_vitesse</vt:lpstr>
      <vt:lpstr>Se_démarquer_pour_fixer_et_éliminer__passer_ou_finir</vt:lpstr>
      <vt:lpstr>Entrainement!Zone_d_impression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cp:keywords/>
  <cp:lastModifiedBy>utilisateur</cp:lastModifiedBy>
  <cp:lastPrinted>2018-09-17T14:20:23Z</cp:lastPrinted>
  <dcterms:created xsi:type="dcterms:W3CDTF">2016-07-13T14:15:38Z</dcterms:created>
  <dcterms:modified xsi:type="dcterms:W3CDTF">2018-09-17T14:45:39Z</dcterms:modified>
  <cp:version/>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TemplateID">
    <vt:lpwstr>TC028023349991</vt:lpwstr>
  </property>
</Properties>
</file>