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68EC0CDC-ED2A-4B6E-B790-7DC085E94272}" xr6:coauthVersionLast="36" xr6:coauthVersionMax="36" xr10:uidLastSave="{00000000-0000-0000-0000-000000000000}"/>
  <bookViews>
    <workbookView xWindow="32760" yWindow="32760" windowWidth="14370" windowHeight="4830" xr2:uid="{00000000-000D-0000-FFFF-FFFF00000000}"/>
  </bookViews>
  <sheets>
    <sheet name="Saisie" sheetId="2" r:id="rId1"/>
    <sheet name="Fiche fab" sheetId="1" r:id="rId2"/>
    <sheet name="Colisage" sheetId="7" r:id="rId3"/>
    <sheet name="Table modèle" sheetId="3" r:id="rId4"/>
    <sheet name="Code dispo" sheetId="4" r:id="rId5"/>
    <sheet name="Remp" sheetId="5" r:id="rId6"/>
    <sheet name="ACCESSOIRES" sheetId="6" r:id="rId7"/>
  </sheets>
  <definedNames>
    <definedName name="ACCESS">ACCESSOIRES!$B$2:$B$16</definedName>
    <definedName name="AGENCE">Remp!$L$20:$L$23</definedName>
    <definedName name="BAR">Remp!$H$20:$H$21</definedName>
    <definedName name="CO">Remp!$J$20:$J$21</definedName>
    <definedName name="CODE_FERM">Remp!$J$23:$J$25</definedName>
    <definedName name="Dispo">'Code dispo'!$A$3:$A$12</definedName>
    <definedName name="GOND">Remp!$M$20:$M$22</definedName>
    <definedName name="LAMB">Remp!$H$22:$H$26</definedName>
    <definedName name="LISSE">'Fiche fab'!$V$23:$V$94</definedName>
    <definedName name="MODELE">'Table modèle'!$A$3:$A$35</definedName>
    <definedName name="P">Colisage!$V$14:$V$17</definedName>
    <definedName name="PC">Colisage!$V$18:$V$21</definedName>
    <definedName name="PHR">Remp!$O$20:$O$22</definedName>
    <definedName name="PT">Colisage!$V$12:$V$13</definedName>
    <definedName name="REMP_B">'Table modèle'!#REF!</definedName>
    <definedName name="REMP_H">'Table modèle'!#REF!</definedName>
    <definedName name="TS_REMP">Remp!$H$20:$H$26</definedName>
    <definedName name="_xlnm.Print_Area" localSheetId="1">'Fiche fab'!$E$1:$M$56</definedName>
  </definedNames>
  <calcPr calcId="162913"/>
</workbook>
</file>

<file path=xl/calcChain.xml><?xml version="1.0" encoding="utf-8"?>
<calcChain xmlns="http://schemas.openxmlformats.org/spreadsheetml/2006/main">
  <c r="H30" i="1" l="1"/>
  <c r="H28" i="1"/>
  <c r="B19" i="1"/>
  <c r="K6" i="4" s="1"/>
  <c r="B14" i="1" l="1"/>
  <c r="K53" i="1" s="1"/>
  <c r="G3" i="4"/>
  <c r="J3" i="4"/>
  <c r="J6" i="4"/>
  <c r="H3" i="4"/>
  <c r="I6" i="4"/>
  <c r="G6" i="4"/>
  <c r="F6" i="4"/>
  <c r="F3" i="4"/>
  <c r="I3" i="4"/>
  <c r="H6" i="4"/>
  <c r="K3" i="4"/>
  <c r="E1" i="1"/>
  <c r="N14" i="7" l="1"/>
  <c r="M14" i="7"/>
  <c r="L14" i="7"/>
  <c r="K14" i="7"/>
  <c r="J14" i="7"/>
  <c r="G14" i="7"/>
  <c r="F14" i="7"/>
  <c r="E14" i="7"/>
  <c r="D14" i="7"/>
  <c r="C14" i="7"/>
  <c r="B14" i="7"/>
  <c r="J13" i="7"/>
  <c r="C13" i="7"/>
  <c r="B13" i="7"/>
  <c r="J12" i="7"/>
  <c r="C12" i="7"/>
  <c r="B12" i="7"/>
  <c r="J11" i="7"/>
  <c r="C11" i="7"/>
  <c r="B11" i="7"/>
  <c r="B10" i="7"/>
  <c r="H44" i="1" l="1"/>
  <c r="F1" i="1"/>
  <c r="B12" i="1"/>
  <c r="G39" i="1" s="1"/>
  <c r="L3" i="3"/>
  <c r="O3" i="3" s="1"/>
  <c r="H1" i="1"/>
  <c r="J21" i="1"/>
  <c r="X87" i="1"/>
  <c r="E17" i="1" l="1"/>
  <c r="E16" i="1"/>
  <c r="G38" i="1"/>
  <c r="L54" i="1"/>
  <c r="L52" i="1"/>
  <c r="E54" i="1"/>
  <c r="F52" i="1"/>
  <c r="F54" i="1"/>
  <c r="E52" i="1"/>
  <c r="B15" i="1"/>
  <c r="C15" i="7" s="1"/>
  <c r="H29" i="1"/>
  <c r="H46" i="1"/>
  <c r="H43" i="1"/>
  <c r="G36" i="1"/>
  <c r="G55" i="1"/>
  <c r="G53" i="1"/>
  <c r="L55" i="1"/>
  <c r="L53" i="1"/>
  <c r="E55" i="1"/>
  <c r="F53" i="1"/>
  <c r="E53" i="1"/>
  <c r="F55" i="1"/>
  <c r="G24" i="1"/>
  <c r="F9" i="1"/>
  <c r="B10" i="1"/>
  <c r="J13" i="1" s="1"/>
  <c r="J33" i="1" s="1"/>
  <c r="J22" i="1"/>
  <c r="B11" i="1"/>
  <c r="G22" i="1" s="1"/>
  <c r="G6" i="1"/>
  <c r="B21" i="1" s="1"/>
  <c r="F10" i="1"/>
  <c r="F33" i="1" l="1"/>
  <c r="G33" i="1"/>
  <c r="H33" i="1"/>
  <c r="J37" i="3"/>
  <c r="P37" i="3" s="1"/>
  <c r="J39" i="3"/>
  <c r="P39" i="3" s="1"/>
  <c r="I37" i="3"/>
  <c r="O37" i="3" s="1"/>
  <c r="I39" i="3"/>
  <c r="O39" i="3" s="1"/>
  <c r="J31" i="3"/>
  <c r="P31" i="3" s="1"/>
  <c r="I31" i="3"/>
  <c r="O31" i="3" s="1"/>
  <c r="I6" i="3"/>
  <c r="O6" i="3" s="1"/>
  <c r="I8" i="3"/>
  <c r="O8" i="3" s="1"/>
  <c r="J28" i="3"/>
  <c r="P28" i="3" s="1"/>
  <c r="I28" i="3"/>
  <c r="O28" i="3" s="1"/>
  <c r="J36" i="3"/>
  <c r="P36" i="3" s="1"/>
  <c r="J38" i="3"/>
  <c r="P38" i="3" s="1"/>
  <c r="I36" i="3"/>
  <c r="O36" i="3" s="1"/>
  <c r="I38" i="3"/>
  <c r="O38" i="3" s="1"/>
  <c r="J30" i="3"/>
  <c r="P30" i="3" s="1"/>
  <c r="I30" i="3"/>
  <c r="O30" i="3" s="1"/>
  <c r="I5" i="3"/>
  <c r="I7" i="3"/>
  <c r="J29" i="3"/>
  <c r="P29" i="3" s="1"/>
  <c r="I29" i="3"/>
  <c r="O29" i="3" s="1"/>
  <c r="I3" i="3"/>
  <c r="Q3" i="3" s="1"/>
  <c r="J5" i="3"/>
  <c r="P5" i="3" s="1"/>
  <c r="J7" i="3"/>
  <c r="P7" i="3" s="1"/>
  <c r="J9" i="3"/>
  <c r="O5" i="3"/>
  <c r="O7" i="3"/>
  <c r="J6" i="3"/>
  <c r="P6" i="3" s="1"/>
  <c r="J8" i="3"/>
  <c r="P8" i="3" s="1"/>
  <c r="I4" i="3"/>
  <c r="C6" i="4"/>
  <c r="C3" i="4"/>
  <c r="D6" i="4"/>
  <c r="D3" i="4"/>
  <c r="J20" i="3"/>
  <c r="G37" i="1"/>
  <c r="B16" i="1"/>
  <c r="H53" i="1"/>
  <c r="F6" i="1"/>
  <c r="H13" i="1"/>
  <c r="K13" i="1"/>
  <c r="J41" i="1" s="1"/>
  <c r="I13" i="1"/>
  <c r="H55" i="1"/>
  <c r="L12" i="3"/>
  <c r="O12" i="3" s="1"/>
  <c r="M9" i="3"/>
  <c r="P9" i="3" s="1"/>
  <c r="M13" i="3"/>
  <c r="P13" i="3" s="1"/>
  <c r="M17" i="3"/>
  <c r="P17" i="3" s="1"/>
  <c r="M21" i="3"/>
  <c r="P21" i="3" s="1"/>
  <c r="M25" i="3"/>
  <c r="P25" i="3" s="1"/>
  <c r="M33" i="3"/>
  <c r="M10" i="3"/>
  <c r="P10" i="3" s="1"/>
  <c r="M14" i="3"/>
  <c r="P14" i="3" s="1"/>
  <c r="M18" i="3"/>
  <c r="P18" i="3" s="1"/>
  <c r="M22" i="3"/>
  <c r="P22" i="3" s="1"/>
  <c r="M26" i="3"/>
  <c r="P26" i="3" s="1"/>
  <c r="M34" i="3"/>
  <c r="P34" i="3" s="1"/>
  <c r="M11" i="3"/>
  <c r="P11" i="3" s="1"/>
  <c r="M15" i="3"/>
  <c r="P15" i="3" s="1"/>
  <c r="M19" i="3"/>
  <c r="P19" i="3" s="1"/>
  <c r="M23" i="3"/>
  <c r="P23" i="3" s="1"/>
  <c r="M27" i="3"/>
  <c r="P27" i="3" s="1"/>
  <c r="M35" i="3"/>
  <c r="P35" i="3" s="1"/>
  <c r="M4" i="3"/>
  <c r="P4" i="3" s="1"/>
  <c r="M12" i="3"/>
  <c r="P12" i="3" s="1"/>
  <c r="M16" i="3"/>
  <c r="P16" i="3" s="1"/>
  <c r="M20" i="3"/>
  <c r="P20" i="3" s="1"/>
  <c r="M24" i="3"/>
  <c r="P24" i="3" s="1"/>
  <c r="M32" i="3"/>
  <c r="P32" i="3" s="1"/>
  <c r="M3" i="3"/>
  <c r="P3" i="3" s="1"/>
  <c r="H43" i="3"/>
  <c r="H42" i="3"/>
  <c r="I22" i="3"/>
  <c r="D8" i="4"/>
  <c r="L35" i="3"/>
  <c r="O35" i="3" s="1"/>
  <c r="L15" i="3"/>
  <c r="O15" i="3" s="1"/>
  <c r="L14" i="3"/>
  <c r="O14" i="3" s="1"/>
  <c r="J34" i="3"/>
  <c r="I14" i="3"/>
  <c r="L23" i="3"/>
  <c r="O23" i="3" s="1"/>
  <c r="L34" i="3"/>
  <c r="O34" i="3" s="1"/>
  <c r="I26" i="3"/>
  <c r="I18" i="3"/>
  <c r="I10" i="3"/>
  <c r="L11" i="3"/>
  <c r="O11" i="3" s="1"/>
  <c r="L19" i="3"/>
  <c r="O19" i="3" s="1"/>
  <c r="L27" i="3"/>
  <c r="O27" i="3" s="1"/>
  <c r="L22" i="3"/>
  <c r="O22" i="3" s="1"/>
  <c r="L16" i="3"/>
  <c r="O16" i="3" s="1"/>
  <c r="I32" i="3"/>
  <c r="I24" i="3"/>
  <c r="I20" i="3"/>
  <c r="I16" i="3"/>
  <c r="I12" i="3"/>
  <c r="L9" i="3"/>
  <c r="O9" i="3" s="1"/>
  <c r="L13" i="3"/>
  <c r="O13" i="3" s="1"/>
  <c r="L17" i="3"/>
  <c r="O17" i="3" s="1"/>
  <c r="L21" i="3"/>
  <c r="O21" i="3" s="1"/>
  <c r="L25" i="3"/>
  <c r="O25" i="3" s="1"/>
  <c r="L33" i="3"/>
  <c r="L10" i="3"/>
  <c r="O10" i="3" s="1"/>
  <c r="L18" i="3"/>
  <c r="O18" i="3" s="1"/>
  <c r="L26" i="3"/>
  <c r="O26" i="3" s="1"/>
  <c r="L4" i="3"/>
  <c r="O4" i="3" s="1"/>
  <c r="L24" i="3"/>
  <c r="O24" i="3" s="1"/>
  <c r="L20" i="3"/>
  <c r="O20" i="3" s="1"/>
  <c r="J33" i="3"/>
  <c r="I27" i="3"/>
  <c r="I25" i="3"/>
  <c r="I23" i="3"/>
  <c r="I21" i="3"/>
  <c r="I19" i="3"/>
  <c r="I17" i="3"/>
  <c r="Q17" i="3" s="1"/>
  <c r="I15" i="3"/>
  <c r="I13" i="3"/>
  <c r="I11" i="3"/>
  <c r="I9" i="3"/>
  <c r="C8" i="4"/>
  <c r="B22" i="1"/>
  <c r="C4" i="4" s="1"/>
  <c r="C5" i="4"/>
  <c r="A45" i="1"/>
  <c r="B4" i="1"/>
  <c r="G7" i="1" s="1"/>
  <c r="D5" i="4"/>
  <c r="F13" i="1"/>
  <c r="B3" i="1"/>
  <c r="I35" i="3"/>
  <c r="I34" i="3"/>
  <c r="J27" i="3"/>
  <c r="J25" i="3"/>
  <c r="J23" i="3"/>
  <c r="J21" i="3"/>
  <c r="J19" i="3"/>
  <c r="J17" i="3"/>
  <c r="J13" i="3"/>
  <c r="J11" i="3"/>
  <c r="J3" i="3"/>
  <c r="J35" i="3"/>
  <c r="I33" i="3"/>
  <c r="J32" i="3"/>
  <c r="J26" i="3"/>
  <c r="J24" i="3"/>
  <c r="J22" i="3"/>
  <c r="J18" i="3"/>
  <c r="J16" i="3"/>
  <c r="J14" i="3"/>
  <c r="J12" i="3"/>
  <c r="J10" i="3"/>
  <c r="J4" i="3"/>
  <c r="J15" i="3"/>
  <c r="L32" i="3"/>
  <c r="O32" i="3" s="1"/>
  <c r="F14" i="1" l="1"/>
  <c r="J40" i="1"/>
  <c r="E41" i="1"/>
  <c r="I41" i="1"/>
  <c r="F41" i="1"/>
  <c r="H41" i="1"/>
  <c r="O33" i="3"/>
  <c r="K17" i="1"/>
  <c r="F17" i="1"/>
  <c r="F18" i="1" s="1"/>
  <c r="P33" i="3"/>
  <c r="H17" i="1"/>
  <c r="I17" i="1"/>
  <c r="R23" i="3"/>
  <c r="Q11" i="3"/>
  <c r="R11" i="3"/>
  <c r="K14" i="1"/>
  <c r="B27" i="1" s="1"/>
  <c r="I14" i="1"/>
  <c r="B26" i="1" s="1"/>
  <c r="R14" i="3"/>
  <c r="R9" i="3"/>
  <c r="G13" i="1"/>
  <c r="J32" i="1" s="1"/>
  <c r="H54" i="1"/>
  <c r="H52" i="1"/>
  <c r="I19" i="1"/>
  <c r="B35" i="1"/>
  <c r="I50" i="1" s="1"/>
  <c r="R4" i="3"/>
  <c r="R24" i="3"/>
  <c r="R17" i="3"/>
  <c r="Q35" i="3"/>
  <c r="R18" i="3"/>
  <c r="R3" i="3"/>
  <c r="R27" i="3"/>
  <c r="R15" i="3"/>
  <c r="R22" i="3"/>
  <c r="Q33" i="3"/>
  <c r="R13" i="3"/>
  <c r="Q14" i="3"/>
  <c r="R16" i="3"/>
  <c r="R25" i="3"/>
  <c r="Q9" i="3"/>
  <c r="Q25" i="3"/>
  <c r="R26" i="3"/>
  <c r="R10" i="3"/>
  <c r="R19" i="3"/>
  <c r="Q27" i="3"/>
  <c r="Q16" i="3"/>
  <c r="R12" i="3"/>
  <c r="R20" i="3"/>
  <c r="R32" i="3"/>
  <c r="R35" i="3"/>
  <c r="R21" i="3"/>
  <c r="Q34" i="3"/>
  <c r="Q13" i="3"/>
  <c r="Q21" i="3"/>
  <c r="R33" i="3"/>
  <c r="Q12" i="3"/>
  <c r="Q20" i="3"/>
  <c r="Q32" i="3"/>
  <c r="R34" i="3"/>
  <c r="Q10" i="3"/>
  <c r="Q26" i="3"/>
  <c r="Q15" i="3"/>
  <c r="Q19" i="3"/>
  <c r="Q23" i="3"/>
  <c r="Q4" i="3"/>
  <c r="Q24" i="3"/>
  <c r="Q18" i="3"/>
  <c r="Q22" i="3"/>
  <c r="I29" i="1"/>
  <c r="I28" i="1"/>
  <c r="K19" i="1"/>
  <c r="E11" i="3"/>
  <c r="D4" i="3"/>
  <c r="D12" i="3"/>
  <c r="D16" i="3"/>
  <c r="D20" i="3"/>
  <c r="D24" i="3"/>
  <c r="D32" i="3"/>
  <c r="D35" i="3"/>
  <c r="E3" i="3"/>
  <c r="E14" i="3"/>
  <c r="D9" i="3"/>
  <c r="D13" i="3"/>
  <c r="D17" i="3"/>
  <c r="D21" i="3"/>
  <c r="D25" i="3"/>
  <c r="D33" i="3"/>
  <c r="E13" i="3"/>
  <c r="D3" i="3"/>
  <c r="B32" i="1" s="1"/>
  <c r="D10" i="3"/>
  <c r="D14" i="3"/>
  <c r="D18" i="3"/>
  <c r="D22" i="3"/>
  <c r="D26" i="3"/>
  <c r="D34" i="3"/>
  <c r="E4" i="3"/>
  <c r="E12" i="3"/>
  <c r="D11" i="3"/>
  <c r="D15" i="3"/>
  <c r="D19" i="3"/>
  <c r="D23" i="3"/>
  <c r="D27" i="3"/>
  <c r="F19" i="1"/>
  <c r="H19" i="1"/>
  <c r="H14" i="1"/>
  <c r="D7" i="4"/>
  <c r="J14" i="1" s="1"/>
  <c r="D4" i="4"/>
  <c r="C7" i="4"/>
  <c r="G14" i="1" s="1"/>
  <c r="I36" i="1" l="1"/>
  <c r="H4" i="5"/>
  <c r="H12" i="5"/>
  <c r="J17" i="1"/>
  <c r="R4" i="5"/>
  <c r="R18" i="5"/>
  <c r="R14" i="5"/>
  <c r="R12" i="5"/>
  <c r="R13" i="5"/>
  <c r="R15" i="5"/>
  <c r="I33" i="1"/>
  <c r="F32" i="1"/>
  <c r="G32" i="1"/>
  <c r="H32" i="1"/>
  <c r="I32" i="1"/>
  <c r="F40" i="1"/>
  <c r="H40" i="1"/>
  <c r="E40" i="1"/>
  <c r="I40" i="1"/>
  <c r="J38" i="1"/>
  <c r="J29" i="1"/>
  <c r="J28" i="1"/>
  <c r="J36" i="1" s="1"/>
  <c r="F36" i="1"/>
  <c r="H38" i="1"/>
  <c r="B20" i="1"/>
  <c r="G23" i="1" s="1"/>
  <c r="G17" i="1"/>
  <c r="G19" i="1"/>
  <c r="G15" i="1"/>
  <c r="F16" i="1"/>
  <c r="B30" i="1"/>
  <c r="B31" i="1"/>
  <c r="I18" i="1"/>
  <c r="I16" i="1" s="1"/>
  <c r="B25" i="1"/>
  <c r="E38" i="1"/>
  <c r="I38" i="1"/>
  <c r="F38" i="1"/>
  <c r="H18" i="1"/>
  <c r="H16" i="1" s="1"/>
  <c r="B24" i="1"/>
  <c r="K18" i="1"/>
  <c r="K16" i="1" s="1"/>
  <c r="I35" i="1"/>
  <c r="H35" i="1"/>
  <c r="F35" i="1"/>
  <c r="E35" i="1"/>
  <c r="I37" i="1"/>
  <c r="H36" i="1"/>
  <c r="F39" i="1"/>
  <c r="H37" i="1"/>
  <c r="J39" i="1"/>
  <c r="I39" i="1"/>
  <c r="F37" i="1"/>
  <c r="I34" i="1"/>
  <c r="H34" i="1"/>
  <c r="F34" i="1"/>
  <c r="E34" i="1"/>
  <c r="E36" i="1"/>
  <c r="H39" i="1"/>
  <c r="E37" i="1"/>
  <c r="E39" i="1"/>
  <c r="E14" i="5"/>
  <c r="H15" i="5"/>
  <c r="H7" i="5"/>
  <c r="H18" i="5"/>
  <c r="H13" i="5"/>
  <c r="H5" i="5"/>
  <c r="H10" i="5"/>
  <c r="H14" i="5"/>
  <c r="H6" i="5"/>
  <c r="H15" i="1"/>
  <c r="I15" i="1"/>
  <c r="I46" i="1"/>
  <c r="F15" i="1"/>
  <c r="K15" i="1"/>
  <c r="J37" i="1" l="1"/>
  <c r="J35" i="1"/>
  <c r="P7" i="5"/>
  <c r="P9" i="5"/>
  <c r="P8" i="5"/>
  <c r="O2" i="5" s="1"/>
  <c r="Q8" i="5" s="1"/>
  <c r="F17" i="5"/>
  <c r="F16" i="5"/>
  <c r="P17" i="5"/>
  <c r="P15" i="5"/>
  <c r="P16" i="5"/>
  <c r="P18" i="5"/>
  <c r="F9" i="5"/>
  <c r="F8" i="5"/>
  <c r="F2" i="5" s="1"/>
  <c r="J30" i="1"/>
  <c r="I30" i="1" s="1"/>
  <c r="I43" i="1" s="1"/>
  <c r="J34" i="1"/>
  <c r="K52" i="1"/>
  <c r="T14" i="5"/>
  <c r="J18" i="5"/>
  <c r="J14" i="5"/>
  <c r="J12" i="5"/>
  <c r="E15" i="5" s="1"/>
  <c r="J13" i="5"/>
  <c r="T18" i="5"/>
  <c r="T12" i="5"/>
  <c r="J15" i="5"/>
  <c r="T13" i="5"/>
  <c r="T15" i="5"/>
  <c r="M55" i="1" s="1"/>
  <c r="K55" i="1"/>
  <c r="J19" i="1"/>
  <c r="R5" i="5"/>
  <c r="R10" i="5"/>
  <c r="P10" i="5" s="1"/>
  <c r="R7" i="5"/>
  <c r="R6" i="5"/>
  <c r="E4" i="5"/>
  <c r="G8" i="5"/>
  <c r="G52" i="1" s="1"/>
  <c r="J5" i="5"/>
  <c r="J10" i="5"/>
  <c r="J7" i="5"/>
  <c r="J6" i="5"/>
  <c r="O14" i="5"/>
  <c r="T6" i="5"/>
  <c r="T5" i="5"/>
  <c r="P5" i="5" s="1"/>
  <c r="T7" i="5"/>
  <c r="T10" i="5"/>
  <c r="O12" i="5"/>
  <c r="J4" i="5"/>
  <c r="E7" i="5" s="1"/>
  <c r="F18" i="5"/>
  <c r="C12" i="1"/>
  <c r="O13" i="5"/>
  <c r="E5" i="5"/>
  <c r="F10" i="5"/>
  <c r="F7" i="5"/>
  <c r="J52" i="1" s="1"/>
  <c r="E6" i="5"/>
  <c r="J15" i="1"/>
  <c r="F15" i="5"/>
  <c r="O5" i="5"/>
  <c r="E12" i="5"/>
  <c r="E13" i="5"/>
  <c r="T4" i="5"/>
  <c r="O7" i="5" l="1"/>
  <c r="P4" i="5"/>
  <c r="P6" i="5"/>
  <c r="O15" i="5"/>
  <c r="P13" i="5"/>
  <c r="P14" i="5"/>
  <c r="P12" i="5"/>
  <c r="J31" i="1"/>
  <c r="E44" i="1" s="1"/>
  <c r="F44" i="1"/>
  <c r="M54" i="1"/>
  <c r="K54" i="1"/>
  <c r="M52" i="1"/>
  <c r="M53" i="1"/>
  <c r="E17" i="5"/>
  <c r="E16" i="5"/>
  <c r="F14" i="5"/>
  <c r="F12" i="5"/>
  <c r="E18" i="5"/>
  <c r="I53" i="1" s="1"/>
  <c r="F13" i="5"/>
  <c r="O17" i="5"/>
  <c r="O16" i="5"/>
  <c r="O18" i="5"/>
  <c r="I55" i="1" s="1"/>
  <c r="J53" i="1"/>
  <c r="B17" i="1"/>
  <c r="B18" i="1"/>
  <c r="J55" i="1"/>
  <c r="F4" i="5"/>
  <c r="G9" i="5"/>
  <c r="F6" i="5"/>
  <c r="E10" i="5"/>
  <c r="E8" i="5"/>
  <c r="E9" i="5"/>
  <c r="F5" i="5"/>
  <c r="O4" i="5"/>
  <c r="J54" i="1"/>
  <c r="O6" i="5"/>
  <c r="O8" i="5"/>
  <c r="O10" i="5"/>
  <c r="O9" i="5"/>
  <c r="F31" i="1" l="1"/>
  <c r="H31" i="1"/>
  <c r="I31" i="1"/>
  <c r="I44" i="1" s="1"/>
  <c r="E31" i="1"/>
  <c r="I52" i="1"/>
  <c r="I54" i="1"/>
  <c r="J48" i="1"/>
  <c r="I48" i="1"/>
  <c r="J49" i="1"/>
  <c r="I49" i="1"/>
  <c r="Q16" i="5"/>
  <c r="Q9" i="5"/>
  <c r="Q17" i="5"/>
  <c r="G54" i="1"/>
  <c r="G16" i="5"/>
  <c r="G17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Portable MH36</author>
  </authors>
  <commentList>
    <comment ref="C12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H SERRURE MINI ENTRE TRAVERSES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Portable MH36</author>
  </authors>
  <commentList>
    <comment ref="I2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Extrémité haut gond
</t>
        </r>
      </text>
    </comment>
    <comment ref="J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Extrémité haut central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Traverse inter gond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 shapeId="0" xr:uid="{50BF4303-AD51-411A-94BA-CB5D5E547ED6}">
      <text>
        <r>
          <rPr>
            <b/>
            <sz val="9"/>
            <color indexed="81"/>
            <rFont val="Tahoma"/>
            <family val="2"/>
          </rPr>
          <t>Traverse inter central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<sst xmlns="http://schemas.openxmlformats.org/spreadsheetml/2006/main" count="714" uniqueCount="247">
  <si>
    <t xml:space="preserve">Ref: </t>
  </si>
  <si>
    <t>Intérieure</t>
  </si>
  <si>
    <t>DROIT</t>
  </si>
  <si>
    <t>Dim panneau</t>
  </si>
  <si>
    <t>Forme:</t>
  </si>
  <si>
    <t>Découpe lisses</t>
  </si>
  <si>
    <t>Nbre/vtl</t>
  </si>
  <si>
    <t>Largeur</t>
  </si>
  <si>
    <t>Hauteur</t>
  </si>
  <si>
    <t>*</t>
  </si>
  <si>
    <t>LC:</t>
  </si>
  <si>
    <t>mm</t>
  </si>
  <si>
    <t>HR:</t>
  </si>
  <si>
    <t>VANTAIL GAUCHE</t>
  </si>
  <si>
    <t>VANTAIL DROIT</t>
  </si>
  <si>
    <t>Dims</t>
  </si>
  <si>
    <t>E 1-2</t>
  </si>
  <si>
    <t>T1</t>
  </si>
  <si>
    <t>Ouverture:</t>
  </si>
  <si>
    <t>Position de la serrure:</t>
  </si>
  <si>
    <t>ref:</t>
  </si>
  <si>
    <t>Désignation</t>
  </si>
  <si>
    <t>Coloris</t>
  </si>
  <si>
    <t>Débit</t>
  </si>
  <si>
    <t>Qté</t>
  </si>
  <si>
    <t>Observations</t>
  </si>
  <si>
    <t>011</t>
  </si>
  <si>
    <t>12571W</t>
  </si>
  <si>
    <t>Traverse PVC+ALU 96*50</t>
  </si>
  <si>
    <t>Clé de traverse 96*50</t>
  </si>
  <si>
    <t>Battement</t>
  </si>
  <si>
    <t>LISTE DE COLISAGE</t>
  </si>
  <si>
    <t>P</t>
  </si>
  <si>
    <t>1006170</t>
  </si>
  <si>
    <t>005001</t>
  </si>
  <si>
    <t>Kit béquille + plaque de propreté</t>
  </si>
  <si>
    <t>03007</t>
  </si>
  <si>
    <t>Serrure + tétière inox</t>
  </si>
  <si>
    <t>03013</t>
  </si>
  <si>
    <t>Arret poussoir + tube de 320mm</t>
  </si>
  <si>
    <t>KIC001</t>
  </si>
  <si>
    <t>Gâche inox portillon</t>
  </si>
  <si>
    <t>Kit gond Tendance</t>
  </si>
  <si>
    <t>Guide articulation</t>
  </si>
  <si>
    <t>7049H</t>
  </si>
  <si>
    <t>7048G</t>
  </si>
  <si>
    <t>Gâche électrique</t>
  </si>
  <si>
    <t>Code dispo:</t>
  </si>
  <si>
    <t>Code fermeture:</t>
  </si>
  <si>
    <t>Gond:</t>
  </si>
  <si>
    <t>Régulateur</t>
  </si>
  <si>
    <t>CO Remp:</t>
  </si>
  <si>
    <t>B.A.L Inox D.F</t>
  </si>
  <si>
    <t>0314</t>
  </si>
  <si>
    <t>Gond applique Tendance</t>
  </si>
  <si>
    <t>Crapaudine à sceller</t>
  </si>
  <si>
    <t>Gond Tendance</t>
  </si>
  <si>
    <t>1006211</t>
  </si>
  <si>
    <t>Fermeture:</t>
  </si>
  <si>
    <t>Gond Applique</t>
  </si>
  <si>
    <t>Contreplaque</t>
  </si>
  <si>
    <t>13850Z</t>
  </si>
  <si>
    <t>1ere ligne</t>
  </si>
  <si>
    <t>2eme ligne</t>
  </si>
  <si>
    <t>KIC009</t>
  </si>
  <si>
    <t>Gond a œil simple+écrou</t>
  </si>
  <si>
    <t>Gond multiréglage axe 34</t>
  </si>
  <si>
    <t>03074</t>
  </si>
  <si>
    <t>3eme ligne</t>
  </si>
  <si>
    <t>03038</t>
  </si>
  <si>
    <t>Régulateur de pente</t>
  </si>
  <si>
    <t>14420BL</t>
  </si>
  <si>
    <t>Gond ouverture 180°+Bague</t>
  </si>
  <si>
    <t>KIC021</t>
  </si>
  <si>
    <t>30200BL</t>
  </si>
  <si>
    <t>Gond multiréglage axe 42mm</t>
  </si>
  <si>
    <t>4eme ligne</t>
  </si>
  <si>
    <t xml:space="preserve"> -</t>
  </si>
  <si>
    <t>Gond ULTIMATE</t>
  </si>
  <si>
    <t>B2</t>
  </si>
  <si>
    <t>B3</t>
  </si>
  <si>
    <t>B5</t>
  </si>
  <si>
    <t>B6</t>
  </si>
  <si>
    <t>F7</t>
  </si>
  <si>
    <t>GONDS</t>
  </si>
  <si>
    <t>HTI:</t>
  </si>
  <si>
    <t>Modèle:</t>
  </si>
  <si>
    <t>T3</t>
  </si>
  <si>
    <t>BOMBE</t>
  </si>
  <si>
    <t>CDG</t>
  </si>
  <si>
    <t>CDGI</t>
  </si>
  <si>
    <t>INCURVE</t>
  </si>
  <si>
    <t>Forme TI:</t>
  </si>
  <si>
    <t>Cintre</t>
  </si>
  <si>
    <t>EMBOUT PLAT</t>
  </si>
  <si>
    <t>EOS</t>
  </si>
  <si>
    <t>TH</t>
  </si>
  <si>
    <t>TI</t>
  </si>
  <si>
    <t>APOLLON D</t>
  </si>
  <si>
    <t>APOLLON V</t>
  </si>
  <si>
    <t>"V"</t>
  </si>
  <si>
    <t>ASTERIA B</t>
  </si>
  <si>
    <t>ASTERIA I</t>
  </si>
  <si>
    <t>ASTERIA CDG</t>
  </si>
  <si>
    <t>ASTERIA CDGI</t>
  </si>
  <si>
    <t>HELIOS B</t>
  </si>
  <si>
    <t>HELIOS CDG</t>
  </si>
  <si>
    <t>HELIOS CDGI</t>
  </si>
  <si>
    <t>HELIOS I</t>
  </si>
  <si>
    <t>HADES B</t>
  </si>
  <si>
    <t>HADES CDG</t>
  </si>
  <si>
    <t>HADES CDGI</t>
  </si>
  <si>
    <t>HADES I</t>
  </si>
  <si>
    <t>HERACLES B</t>
  </si>
  <si>
    <t>HERACLES CDG</t>
  </si>
  <si>
    <t>HERACLES CDGI</t>
  </si>
  <si>
    <t>HERACLES I</t>
  </si>
  <si>
    <t>SELENE B</t>
  </si>
  <si>
    <t>SELENE CDG</t>
  </si>
  <si>
    <t>SELENE CDGI</t>
  </si>
  <si>
    <t>SELENE I</t>
  </si>
  <si>
    <t>MODELE</t>
  </si>
  <si>
    <t>TRAV INTER</t>
  </si>
  <si>
    <t>L80M</t>
  </si>
  <si>
    <t>L80</t>
  </si>
  <si>
    <t>L90</t>
  </si>
  <si>
    <t>L45</t>
  </si>
  <si>
    <t>L180</t>
  </si>
  <si>
    <t>L150</t>
  </si>
  <si>
    <t>L300</t>
  </si>
  <si>
    <t>Traverse</t>
  </si>
  <si>
    <t>Remp haut</t>
  </si>
  <si>
    <t>Remp bas</t>
  </si>
  <si>
    <t>BAR</t>
  </si>
  <si>
    <t>LAMB</t>
  </si>
  <si>
    <t>Remp haut:</t>
  </si>
  <si>
    <t>Remp bas:</t>
  </si>
  <si>
    <t>Forme</t>
  </si>
  <si>
    <t>EHG</t>
  </si>
  <si>
    <t>EHC</t>
  </si>
  <si>
    <t>TIG</t>
  </si>
  <si>
    <t>TIC</t>
  </si>
  <si>
    <t>PORTILLON</t>
  </si>
  <si>
    <t>COULISSANT</t>
  </si>
  <si>
    <t>B1</t>
  </si>
  <si>
    <t>B4</t>
  </si>
  <si>
    <t>SERRURE</t>
  </si>
  <si>
    <t>REFOULEMENT</t>
  </si>
  <si>
    <t>GACHE</t>
  </si>
  <si>
    <t>CENTRE</t>
  </si>
  <si>
    <t>C1 2VTX</t>
  </si>
  <si>
    <t>C2 2VTX</t>
  </si>
  <si>
    <t>C1 1VTL</t>
  </si>
  <si>
    <t>C2 1VTL</t>
  </si>
  <si>
    <t>Type</t>
  </si>
  <si>
    <t>PORTAIL</t>
  </si>
  <si>
    <t>Trav vant droite</t>
  </si>
  <si>
    <t>Trav vant gauche</t>
  </si>
  <si>
    <t>Dispo</t>
  </si>
  <si>
    <t>&lt;2800</t>
  </si>
  <si>
    <t>ATHENA D</t>
  </si>
  <si>
    <t>ATHENA V</t>
  </si>
  <si>
    <t>Vantaux inégaux(PT)</t>
  </si>
  <si>
    <t>Lisse 100 Vertical</t>
  </si>
  <si>
    <t>Lambris 150 ALU</t>
  </si>
  <si>
    <t>Lambris 100 180°</t>
  </si>
  <si>
    <t>Lambris 300</t>
  </si>
  <si>
    <t>Lambris 100 45°</t>
  </si>
  <si>
    <t>Lisse 80</t>
  </si>
  <si>
    <t>Lisse 80 moulurée</t>
  </si>
  <si>
    <t>HAUT</t>
  </si>
  <si>
    <t>BAS</t>
  </si>
  <si>
    <t>PANNEAU GAUCHE</t>
  </si>
  <si>
    <t>PANNEAU DROIT</t>
  </si>
  <si>
    <t>Lisse 100_90°</t>
  </si>
  <si>
    <t>Lambris 100_45°</t>
  </si>
  <si>
    <t>Lambris 100_180°</t>
  </si>
  <si>
    <t>COULISSANT 1VTL</t>
  </si>
  <si>
    <t>Montant</t>
  </si>
  <si>
    <t>Montant PVC+ALU 110*80</t>
  </si>
  <si>
    <t>Nom</t>
  </si>
  <si>
    <t>Accessoire _1</t>
  </si>
  <si>
    <t>Accessoire _2</t>
  </si>
  <si>
    <t>Accessoire _3</t>
  </si>
  <si>
    <t>CO REMP</t>
  </si>
  <si>
    <t>CODE DISPO</t>
  </si>
  <si>
    <t>CODE FERMETURE</t>
  </si>
  <si>
    <t>HTI</t>
  </si>
  <si>
    <t>CODE</t>
  </si>
  <si>
    <t>Accessoires</t>
  </si>
  <si>
    <t>CO Cadre</t>
  </si>
  <si>
    <t>023</t>
  </si>
  <si>
    <t>F2</t>
  </si>
  <si>
    <t>F5</t>
  </si>
  <si>
    <t/>
  </si>
  <si>
    <t>Agence</t>
  </si>
  <si>
    <t>Code client</t>
  </si>
  <si>
    <t>KB</t>
  </si>
  <si>
    <t>KQ</t>
  </si>
  <si>
    <t>KV</t>
  </si>
  <si>
    <t>KA</t>
  </si>
  <si>
    <t>GOND ULTIMATE</t>
  </si>
  <si>
    <t>GOND APPLIQUE</t>
  </si>
  <si>
    <t>GOND REGULATEUR</t>
  </si>
  <si>
    <t>KIT VIDEO AIPHONE</t>
  </si>
  <si>
    <t>KIT AUDIO AIPHONE</t>
  </si>
  <si>
    <t>KIT VIDEO PREMIUM</t>
  </si>
  <si>
    <t>KIT AUDIO DAITEM</t>
  </si>
  <si>
    <t>918 555</t>
  </si>
  <si>
    <t>19330K</t>
  </si>
  <si>
    <t>CLE BASSE</t>
  </si>
  <si>
    <t>CLE HAUTE</t>
  </si>
  <si>
    <t>Renfort moteur</t>
  </si>
  <si>
    <t>Joint+porte joint</t>
  </si>
  <si>
    <t>REMP HAUT</t>
  </si>
  <si>
    <t>REMP BAS</t>
  </si>
  <si>
    <t>CO CADRE</t>
  </si>
  <si>
    <t>GOND</t>
  </si>
  <si>
    <t>SEMI_FIXE</t>
  </si>
  <si>
    <t>OUVRANT</t>
  </si>
  <si>
    <t>Traverse ouvrant</t>
  </si>
  <si>
    <t>Traverse semi_fixe</t>
  </si>
  <si>
    <t>LETO D</t>
  </si>
  <si>
    <t>NON</t>
  </si>
  <si>
    <t>LETO V</t>
  </si>
  <si>
    <t>918 888</t>
  </si>
  <si>
    <t>ESSAI</t>
  </si>
  <si>
    <t>essai portillon</t>
  </si>
  <si>
    <t>PHR</t>
  </si>
  <si>
    <t>H SERRURE</t>
  </si>
  <si>
    <t>ESSAI 2VTX</t>
  </si>
  <si>
    <t>ARES B</t>
  </si>
  <si>
    <t>ARES I</t>
  </si>
  <si>
    <t>ARES CDG</t>
  </si>
  <si>
    <t>ARES CDGI</t>
  </si>
  <si>
    <t>MINOS D</t>
  </si>
  <si>
    <t>MINOS V</t>
  </si>
  <si>
    <t>THEIA B</t>
  </si>
  <si>
    <t>THEIA I</t>
  </si>
  <si>
    <t>THEIA CDG</t>
  </si>
  <si>
    <t>THEIA CDGI</t>
  </si>
  <si>
    <t>CINTRE</t>
  </si>
  <si>
    <t>3500</t>
  </si>
  <si>
    <t>1600</t>
  </si>
  <si>
    <t>11</t>
  </si>
  <si>
    <t>800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</si>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</sst>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8"/>
      <name val="Arial"/>
      <family val="2"/>
    </font>
    <font>
      <sz val="16"/>
      <name val="Arial"/>
      <family val="2"/>
    </font>
    <font>
      <b/>
      <u/>
      <sz val="16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12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sz val="14"/>
      <name val="Arial"/>
      <family val="2"/>
    </font>
    <font>
      <sz val="11"/>
      <color rgb="FF30303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4">
    <xf numFmtId="0" fontId="0" fillId="0" borderId="0" xfId="0"/>
    <xf numFmtId="0" fontId="4" fillId="0" borderId="0" xfId="0" applyFont="1" applyAlignment="1"/>
    <xf numFmtId="0" fontId="0" fillId="0" borderId="0" xfId="0" applyAlignment="1">
      <alignment horizontal="center"/>
    </xf>
    <xf numFmtId="0" fontId="5" fillId="0" borderId="0" xfId="0" applyFont="1" applyProtection="1">
      <protection locked="0"/>
    </xf>
    <xf numFmtId="0" fontId="0" fillId="0" borderId="0" xfId="0" applyAlignment="1">
      <alignment horizontal="right"/>
    </xf>
    <xf numFmtId="0" fontId="6" fillId="0" borderId="0" xfId="0" applyFont="1" applyProtection="1">
      <protection locked="0"/>
    </xf>
    <xf numFmtId="0" fontId="6" fillId="0" borderId="0" xfId="0" applyFont="1" applyProtection="1"/>
    <xf numFmtId="0" fontId="0" fillId="0" borderId="0" xfId="0" applyFill="1" applyBorder="1" applyAlignment="1">
      <alignment horizontal="right"/>
    </xf>
    <xf numFmtId="0" fontId="7" fillId="0" borderId="0" xfId="0" applyFont="1"/>
    <xf numFmtId="0" fontId="0" fillId="0" borderId="0" xfId="0" applyAlignment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8" fillId="0" borderId="22" xfId="0" applyFont="1" applyBorder="1" applyAlignment="1"/>
    <xf numFmtId="0" fontId="8" fillId="0" borderId="25" xfId="0" applyFont="1" applyBorder="1" applyAlignment="1"/>
    <xf numFmtId="0" fontId="0" fillId="0" borderId="26" xfId="0" applyBorder="1" applyAlignment="1"/>
    <xf numFmtId="0" fontId="0" fillId="0" borderId="25" xfId="0" applyBorder="1" applyAlignment="1"/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/>
    <xf numFmtId="0" fontId="8" fillId="0" borderId="29" xfId="0" applyFont="1" applyBorder="1" applyAlignment="1"/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/>
    <xf numFmtId="0" fontId="0" fillId="0" borderId="1" xfId="0" applyBorder="1" applyAlignment="1"/>
    <xf numFmtId="0" fontId="0" fillId="0" borderId="31" xfId="0" applyBorder="1" applyAlignment="1"/>
    <xf numFmtId="0" fontId="8" fillId="0" borderId="2" xfId="0" applyFont="1" applyBorder="1" applyAlignment="1">
      <alignment horizontal="center"/>
    </xf>
    <xf numFmtId="0" fontId="8" fillId="0" borderId="4" xfId="0" applyFont="1" applyBorder="1" applyAlignment="1"/>
    <xf numFmtId="0" fontId="8" fillId="0" borderId="32" xfId="0" applyFont="1" applyBorder="1" applyAlignment="1"/>
    <xf numFmtId="0" fontId="8" fillId="0" borderId="33" xfId="0" applyFont="1" applyBorder="1" applyAlignment="1"/>
    <xf numFmtId="0" fontId="0" fillId="0" borderId="34" xfId="0" applyBorder="1" applyAlignment="1"/>
    <xf numFmtId="0" fontId="0" fillId="0" borderId="33" xfId="0" applyBorder="1" applyAlignment="1"/>
    <xf numFmtId="0" fontId="9" fillId="0" borderId="30" xfId="0" applyFont="1" applyBorder="1" applyAlignment="1">
      <alignment horizontal="center"/>
    </xf>
    <xf numFmtId="0" fontId="8" fillId="0" borderId="35" xfId="0" applyFont="1" applyBorder="1" applyAlignment="1"/>
    <xf numFmtId="0" fontId="8" fillId="0" borderId="36" xfId="0" applyFont="1" applyBorder="1" applyAlignment="1"/>
    <xf numFmtId="0" fontId="10" fillId="0" borderId="0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0" fillId="0" borderId="38" xfId="0" applyBorder="1" applyAlignment="1"/>
    <xf numFmtId="0" fontId="0" fillId="0" borderId="38" xfId="0" applyBorder="1" applyAlignment="1">
      <alignment horizontal="center"/>
    </xf>
    <xf numFmtId="0" fontId="0" fillId="0" borderId="38" xfId="0" applyBorder="1"/>
    <xf numFmtId="0" fontId="0" fillId="0" borderId="38" xfId="0" applyBorder="1" applyProtection="1">
      <protection locked="0"/>
    </xf>
    <xf numFmtId="0" fontId="0" fillId="0" borderId="0" xfId="0" applyProtection="1">
      <protection locked="0"/>
    </xf>
    <xf numFmtId="0" fontId="7" fillId="0" borderId="19" xfId="0" applyFont="1" applyBorder="1" applyAlignment="1">
      <alignment horizontal="center"/>
    </xf>
    <xf numFmtId="0" fontId="0" fillId="2" borderId="38" xfId="0" applyFill="1" applyBorder="1" applyAlignment="1" applyProtection="1">
      <alignment horizontal="center"/>
      <protection locked="0"/>
    </xf>
    <xf numFmtId="0" fontId="7" fillId="0" borderId="39" xfId="0" applyFont="1" applyBorder="1" applyAlignment="1">
      <alignment horizontal="center"/>
    </xf>
    <xf numFmtId="0" fontId="0" fillId="0" borderId="0" xfId="0" applyBorder="1"/>
    <xf numFmtId="0" fontId="9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10" fillId="0" borderId="40" xfId="0" applyFont="1" applyBorder="1" applyAlignment="1">
      <alignment horizontal="center"/>
    </xf>
    <xf numFmtId="49" fontId="0" fillId="0" borderId="41" xfId="0" applyNumberForma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0" fillId="0" borderId="43" xfId="0" applyBorder="1"/>
    <xf numFmtId="0" fontId="0" fillId="0" borderId="41" xfId="0" applyBorder="1" applyAlignment="1">
      <alignment horizontal="center"/>
    </xf>
    <xf numFmtId="0" fontId="0" fillId="0" borderId="44" xfId="0" applyBorder="1"/>
    <xf numFmtId="0" fontId="0" fillId="0" borderId="44" xfId="0" applyBorder="1" applyProtection="1">
      <protection locked="0"/>
    </xf>
    <xf numFmtId="49" fontId="0" fillId="0" borderId="41" xfId="0" applyNumberFormat="1" applyBorder="1" applyAlignment="1" applyProtection="1">
      <alignment horizontal="center"/>
      <protection locked="0"/>
    </xf>
    <xf numFmtId="49" fontId="0" fillId="0" borderId="45" xfId="0" applyNumberFormat="1" applyBorder="1" applyAlignment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40" xfId="0" applyBorder="1"/>
    <xf numFmtId="0" fontId="0" fillId="0" borderId="0" xfId="0" applyBorder="1" applyAlignment="1">
      <alignment horizontal="center"/>
    </xf>
    <xf numFmtId="0" fontId="0" fillId="0" borderId="44" xfId="0" applyBorder="1" applyAlignment="1">
      <alignment horizontal="center"/>
    </xf>
    <xf numFmtId="1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45" xfId="0" applyBorder="1"/>
    <xf numFmtId="0" fontId="0" fillId="0" borderId="46" xfId="0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51" xfId="0" applyFont="1" applyBorder="1"/>
    <xf numFmtId="0" fontId="11" fillId="0" borderId="0" xfId="0" applyFont="1" applyBorder="1"/>
    <xf numFmtId="0" fontId="12" fillId="0" borderId="48" xfId="0" applyFont="1" applyBorder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right"/>
    </xf>
    <xf numFmtId="0" fontId="8" fillId="0" borderId="3" xfId="0" applyNumberFormat="1" applyFont="1" applyBorder="1" applyAlignment="1">
      <alignment horizontal="center"/>
    </xf>
    <xf numFmtId="0" fontId="8" fillId="0" borderId="42" xfId="0" applyNumberFormat="1" applyFont="1" applyBorder="1" applyAlignment="1">
      <alignment horizontal="center"/>
    </xf>
    <xf numFmtId="0" fontId="9" fillId="0" borderId="0" xfId="0" applyFont="1" applyBorder="1"/>
    <xf numFmtId="0" fontId="8" fillId="0" borderId="52" xfId="0" applyFont="1" applyBorder="1" applyAlignment="1">
      <alignment horizontal="center"/>
    </xf>
    <xf numFmtId="49" fontId="0" fillId="0" borderId="0" xfId="0" applyNumberFormat="1" applyBorder="1"/>
    <xf numFmtId="0" fontId="8" fillId="0" borderId="2" xfId="0" applyNumberFormat="1" applyFont="1" applyBorder="1" applyAlignment="1">
      <alignment horizontal="center"/>
    </xf>
    <xf numFmtId="0" fontId="0" fillId="0" borderId="53" xfId="0" applyBorder="1"/>
    <xf numFmtId="0" fontId="6" fillId="0" borderId="51" xfId="0" applyFont="1" applyBorder="1" applyAlignment="1">
      <alignment horizontal="center"/>
    </xf>
    <xf numFmtId="0" fontId="0" fillId="0" borderId="0" xfId="0" applyBorder="1" applyAlignment="1"/>
    <xf numFmtId="0" fontId="8" fillId="0" borderId="4" xfId="0" applyFont="1" applyBorder="1" applyAlignment="1">
      <alignment horizontal="left"/>
    </xf>
    <xf numFmtId="0" fontId="0" fillId="0" borderId="35" xfId="0" applyBorder="1"/>
    <xf numFmtId="0" fontId="10" fillId="0" borderId="0" xfId="0" applyFont="1" applyBorder="1"/>
    <xf numFmtId="0" fontId="0" fillId="0" borderId="0" xfId="0" applyFill="1" applyBorder="1"/>
    <xf numFmtId="0" fontId="0" fillId="0" borderId="41" xfId="0" applyNumberFormat="1" applyBorder="1" applyAlignment="1">
      <alignment horizontal="center"/>
    </xf>
    <xf numFmtId="0" fontId="0" fillId="0" borderId="38" xfId="0" applyNumberFormat="1" applyBorder="1" applyAlignment="1"/>
    <xf numFmtId="0" fontId="0" fillId="2" borderId="38" xfId="0" applyNumberFormat="1" applyFill="1" applyBorder="1" applyAlignment="1" applyProtection="1">
      <alignment horizontal="center"/>
      <protection locked="0"/>
    </xf>
    <xf numFmtId="0" fontId="0" fillId="2" borderId="38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39" xfId="0" applyBorder="1"/>
    <xf numFmtId="0" fontId="0" fillId="0" borderId="40" xfId="0" applyBorder="1" applyAlignment="1">
      <alignment horizontal="right"/>
    </xf>
    <xf numFmtId="0" fontId="0" fillId="0" borderId="44" xfId="0" applyFill="1" applyBorder="1"/>
    <xf numFmtId="0" fontId="0" fillId="0" borderId="40" xfId="0" applyFill="1" applyBorder="1" applyAlignment="1">
      <alignment horizontal="center"/>
    </xf>
    <xf numFmtId="1" fontId="8" fillId="0" borderId="4" xfId="0" applyNumberFormat="1" applyFont="1" applyBorder="1" applyAlignment="1"/>
    <xf numFmtId="0" fontId="7" fillId="0" borderId="0" xfId="0" applyFont="1" applyBorder="1" applyAlignment="1">
      <alignment horizontal="center"/>
    </xf>
    <xf numFmtId="0" fontId="8" fillId="0" borderId="26" xfId="0" applyFont="1" applyBorder="1" applyAlignment="1"/>
    <xf numFmtId="0" fontId="8" fillId="0" borderId="1" xfId="0" applyFont="1" applyBorder="1" applyAlignment="1"/>
    <xf numFmtId="1" fontId="8" fillId="0" borderId="34" xfId="0" applyNumberFormat="1" applyFont="1" applyBorder="1" applyAlignment="1"/>
    <xf numFmtId="0" fontId="8" fillId="0" borderId="34" xfId="0" applyFont="1" applyBorder="1" applyAlignment="1"/>
    <xf numFmtId="0" fontId="8" fillId="0" borderId="54" xfId="0" applyFont="1" applyBorder="1" applyAlignment="1"/>
    <xf numFmtId="1" fontId="8" fillId="0" borderId="33" xfId="0" applyNumberFormat="1" applyFont="1" applyBorder="1" applyAlignment="1"/>
    <xf numFmtId="0" fontId="0" fillId="0" borderId="55" xfId="0" applyBorder="1"/>
    <xf numFmtId="0" fontId="10" fillId="0" borderId="56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 applyProtection="1">
      <protection locked="0"/>
    </xf>
    <xf numFmtId="0" fontId="10" fillId="0" borderId="49" xfId="0" applyFont="1" applyBorder="1"/>
    <xf numFmtId="0" fontId="9" fillId="0" borderId="0" xfId="0" applyFont="1" applyAlignment="1">
      <alignment horizontal="right"/>
    </xf>
    <xf numFmtId="0" fontId="6" fillId="3" borderId="0" xfId="0" applyFont="1" applyFill="1" applyAlignment="1">
      <alignment horizontal="center"/>
    </xf>
    <xf numFmtId="0" fontId="10" fillId="0" borderId="0" xfId="0" applyFont="1" applyFill="1" applyBorder="1"/>
    <xf numFmtId="0" fontId="6" fillId="4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6" fillId="0" borderId="0" xfId="0" applyFont="1" applyAlignment="1" applyProtection="1">
      <alignment horizontal="center"/>
      <protection locked="0"/>
    </xf>
    <xf numFmtId="0" fontId="0" fillId="0" borderId="51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0" fillId="0" borderId="0" xfId="0" applyFont="1" applyBorder="1" applyAlignment="1"/>
    <xf numFmtId="0" fontId="10" fillId="0" borderId="0" xfId="0" applyFont="1" applyFill="1" applyBorder="1" applyAlignment="1"/>
    <xf numFmtId="0" fontId="7" fillId="0" borderId="31" xfId="0" applyFont="1" applyBorder="1" applyAlignment="1">
      <alignment horizontal="right"/>
    </xf>
    <xf numFmtId="0" fontId="7" fillId="0" borderId="57" xfId="0" applyFont="1" applyBorder="1" applyAlignment="1">
      <alignment horizontal="left"/>
    </xf>
    <xf numFmtId="0" fontId="7" fillId="0" borderId="58" xfId="0" applyFont="1" applyBorder="1" applyAlignment="1">
      <alignment horizontal="right"/>
    </xf>
    <xf numFmtId="0" fontId="7" fillId="0" borderId="59" xfId="0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Border="1"/>
    <xf numFmtId="0" fontId="0" fillId="0" borderId="32" xfId="0" applyBorder="1"/>
    <xf numFmtId="0" fontId="10" fillId="0" borderId="9" xfId="0" applyFont="1" applyBorder="1"/>
    <xf numFmtId="0" fontId="0" fillId="0" borderId="60" xfId="0" applyBorder="1"/>
    <xf numFmtId="0" fontId="0" fillId="0" borderId="9" xfId="0" applyBorder="1" applyAlignment="1"/>
    <xf numFmtId="0" fontId="0" fillId="0" borderId="9" xfId="0" applyBorder="1"/>
    <xf numFmtId="0" fontId="10" fillId="0" borderId="9" xfId="0" applyFont="1" applyFill="1" applyBorder="1"/>
    <xf numFmtId="0" fontId="10" fillId="0" borderId="61" xfId="0" applyFont="1" applyBorder="1"/>
    <xf numFmtId="0" fontId="10" fillId="0" borderId="62" xfId="0" applyFont="1" applyFill="1" applyBorder="1"/>
    <xf numFmtId="0" fontId="0" fillId="0" borderId="62" xfId="0" applyBorder="1"/>
    <xf numFmtId="0" fontId="10" fillId="0" borderId="62" xfId="0" applyFont="1" applyBorder="1"/>
    <xf numFmtId="0" fontId="10" fillId="0" borderId="62" xfId="0" applyFont="1" applyFill="1" applyBorder="1" applyAlignment="1"/>
    <xf numFmtId="0" fontId="0" fillId="0" borderId="63" xfId="0" applyBorder="1"/>
    <xf numFmtId="0" fontId="6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7" fillId="0" borderId="0" xfId="0" applyFont="1" applyAlignment="1">
      <alignment horizontal="right"/>
    </xf>
    <xf numFmtId="0" fontId="10" fillId="0" borderId="0" xfId="0" applyFont="1" applyBorder="1" applyAlignment="1">
      <alignment horizontal="right"/>
    </xf>
    <xf numFmtId="0" fontId="0" fillId="0" borderId="0" xfId="0" applyAlignment="1">
      <alignment horizontal="left"/>
    </xf>
    <xf numFmtId="0" fontId="0" fillId="0" borderId="47" xfId="0" applyBorder="1" applyAlignment="1">
      <alignment horizontal="center"/>
    </xf>
    <xf numFmtId="0" fontId="4" fillId="0" borderId="53" xfId="0" applyFont="1" applyBorder="1" applyAlignment="1"/>
    <xf numFmtId="0" fontId="10" fillId="0" borderId="0" xfId="0" applyFont="1" applyAlignment="1">
      <alignment horizontal="center"/>
    </xf>
    <xf numFmtId="0" fontId="0" fillId="0" borderId="44" xfId="0" applyBorder="1" applyAlignment="1">
      <alignment horizontal="right"/>
    </xf>
    <xf numFmtId="0" fontId="4" fillId="0" borderId="40" xfId="0" applyFont="1" applyBorder="1" applyAlignment="1"/>
    <xf numFmtId="0" fontId="19" fillId="0" borderId="0" xfId="0" applyFont="1"/>
    <xf numFmtId="0" fontId="10" fillId="0" borderId="0" xfId="0" applyFont="1" applyBorder="1" applyAlignment="1">
      <alignment horizontal="left"/>
    </xf>
    <xf numFmtId="0" fontId="3" fillId="0" borderId="0" xfId="0" applyFont="1" applyAlignment="1" applyProtection="1">
      <protection locked="0"/>
    </xf>
    <xf numFmtId="49" fontId="10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 applyAlignment="1"/>
    <xf numFmtId="0" fontId="21" fillId="0" borderId="0" xfId="0" applyFont="1"/>
    <xf numFmtId="0" fontId="2" fillId="0" borderId="0" xfId="0" applyFont="1" applyAlignment="1">
      <alignment horizontal="right"/>
    </xf>
    <xf numFmtId="0" fontId="0" fillId="0" borderId="51" xfId="0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5" borderId="27" xfId="0" applyFont="1" applyFill="1" applyBorder="1" applyAlignment="1">
      <alignment horizontal="center"/>
    </xf>
    <xf numFmtId="0" fontId="8" fillId="5" borderId="22" xfId="0" applyFont="1" applyFill="1" applyBorder="1" applyAlignment="1"/>
    <xf numFmtId="0" fontId="8" fillId="5" borderId="23" xfId="0" applyFont="1" applyFill="1" applyBorder="1" applyAlignment="1"/>
    <xf numFmtId="0" fontId="8" fillId="5" borderId="28" xfId="0" applyFont="1" applyFill="1" applyBorder="1" applyAlignment="1"/>
    <xf numFmtId="0" fontId="8" fillId="5" borderId="29" xfId="0" applyFont="1" applyFill="1" applyBorder="1" applyAlignment="1"/>
    <xf numFmtId="0" fontId="8" fillId="5" borderId="28" xfId="0" applyFont="1" applyFill="1" applyBorder="1" applyAlignment="1">
      <alignment horizontal="left"/>
    </xf>
    <xf numFmtId="0" fontId="8" fillId="5" borderId="29" xfId="0" applyFont="1" applyFill="1" applyBorder="1" applyAlignment="1">
      <alignment horizontal="center"/>
    </xf>
    <xf numFmtId="0" fontId="8" fillId="5" borderId="24" xfId="0" applyNumberFormat="1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4" borderId="24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49" fontId="0" fillId="0" borderId="46" xfId="0" applyNumberFormat="1" applyBorder="1"/>
    <xf numFmtId="0" fontId="0" fillId="0" borderId="0" xfId="0" applyBorder="1" applyAlignment="1">
      <alignment horizontal="left"/>
    </xf>
    <xf numFmtId="0" fontId="8" fillId="5" borderId="1" xfId="0" applyFont="1" applyFill="1" applyBorder="1" applyAlignment="1"/>
    <xf numFmtId="1" fontId="0" fillId="0" borderId="44" xfId="0" applyNumberForma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8" fillId="5" borderId="2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left"/>
    </xf>
    <xf numFmtId="0" fontId="8" fillId="5" borderId="30" xfId="0" applyNumberFormat="1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8" fillId="5" borderId="34" xfId="0" applyFont="1" applyFill="1" applyBorder="1" applyAlignment="1">
      <alignment horizontal="center"/>
    </xf>
    <xf numFmtId="1" fontId="8" fillId="5" borderId="32" xfId="0" applyNumberFormat="1" applyFont="1" applyFill="1" applyBorder="1" applyAlignment="1"/>
    <xf numFmtId="1" fontId="8" fillId="5" borderId="32" xfId="0" applyNumberFormat="1" applyFont="1" applyFill="1" applyBorder="1" applyAlignment="1">
      <alignment horizontal="right"/>
    </xf>
    <xf numFmtId="1" fontId="10" fillId="0" borderId="0" xfId="0" applyNumberFormat="1" applyFont="1" applyAlignment="1">
      <alignment horizontal="center"/>
    </xf>
    <xf numFmtId="1" fontId="0" fillId="0" borderId="51" xfId="0" applyNumberFormat="1" applyBorder="1"/>
    <xf numFmtId="0" fontId="0" fillId="3" borderId="0" xfId="0" applyFill="1"/>
    <xf numFmtId="0" fontId="8" fillId="3" borderId="30" xfId="0" applyFont="1" applyFill="1" applyBorder="1" applyAlignment="1">
      <alignment horizontal="center"/>
    </xf>
    <xf numFmtId="0" fontId="8" fillId="5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17" fillId="5" borderId="1" xfId="0" applyFont="1" applyFill="1" applyBorder="1" applyAlignment="1"/>
    <xf numFmtId="0" fontId="8" fillId="5" borderId="59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left"/>
    </xf>
    <xf numFmtId="0" fontId="8" fillId="5" borderId="30" xfId="0" applyFont="1" applyFill="1" applyBorder="1" applyAlignment="1">
      <alignment horizontal="left"/>
    </xf>
    <xf numFmtId="0" fontId="8" fillId="5" borderId="4" xfId="0" applyFont="1" applyFill="1" applyBorder="1" applyAlignment="1"/>
    <xf numFmtId="0" fontId="8" fillId="5" borderId="32" xfId="0" applyFont="1" applyFill="1" applyBorder="1" applyAlignment="1"/>
    <xf numFmtId="0" fontId="8" fillId="5" borderId="3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9" fillId="5" borderId="3" xfId="0" applyNumberFormat="1" applyFont="1" applyFill="1" applyBorder="1" applyAlignment="1">
      <alignment horizontal="center"/>
    </xf>
    <xf numFmtId="1" fontId="8" fillId="5" borderId="4" xfId="0" applyNumberFormat="1" applyFont="1" applyFill="1" applyBorder="1" applyAlignment="1">
      <alignment horizontal="center"/>
    </xf>
    <xf numFmtId="1" fontId="8" fillId="5" borderId="33" xfId="0" applyNumberFormat="1" applyFon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7" xfId="0" applyNumberFormat="1" applyBorder="1" applyAlignment="1">
      <alignment horizontal="right"/>
    </xf>
    <xf numFmtId="1" fontId="0" fillId="0" borderId="9" xfId="0" applyNumberFormat="1" applyBorder="1" applyAlignment="1">
      <alignment horizontal="left"/>
    </xf>
    <xf numFmtId="1" fontId="0" fillId="0" borderId="10" xfId="0" applyNumberFormat="1" applyBorder="1" applyAlignment="1">
      <alignment horizontal="right"/>
    </xf>
    <xf numFmtId="1" fontId="0" fillId="0" borderId="11" xfId="0" applyNumberFormat="1" applyBorder="1" applyAlignment="1">
      <alignment horizontal="left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8" fillId="5" borderId="24" xfId="0" applyNumberFormat="1" applyFont="1" applyFill="1" applyBorder="1" applyAlignment="1">
      <alignment horizontal="center"/>
    </xf>
    <xf numFmtId="1" fontId="8" fillId="5" borderId="30" xfId="0" applyNumberFormat="1" applyFont="1" applyFill="1" applyBorder="1" applyAlignment="1">
      <alignment horizontal="center"/>
    </xf>
    <xf numFmtId="1" fontId="8" fillId="5" borderId="28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5" borderId="0" xfId="0" applyNumberFormat="1" applyFont="1" applyFill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22" fillId="0" borderId="0" xfId="0" applyFont="1"/>
    <xf numFmtId="0" fontId="7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49" fontId="6" fillId="3" borderId="0" xfId="0" applyNumberFormat="1" applyFont="1" applyFill="1" applyAlignment="1">
      <alignment horizontal="center"/>
    </xf>
    <xf numFmtId="0" fontId="8" fillId="4" borderId="59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/>
    <xf numFmtId="1" fontId="8" fillId="4" borderId="3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46" xfId="0" applyNumberFormat="1" applyBorder="1" applyAlignment="1">
      <alignment horizontal="center"/>
    </xf>
    <xf numFmtId="0" fontId="3" fillId="0" borderId="0" xfId="0" applyFont="1" applyAlignment="1" applyProtection="1">
      <protection locked="0"/>
    </xf>
    <xf numFmtId="0" fontId="18" fillId="0" borderId="40" xfId="0" applyFont="1" applyBorder="1" applyAlignment="1">
      <alignment vertical="center" textRotation="90"/>
    </xf>
    <xf numFmtId="0" fontId="0" fillId="0" borderId="40" xfId="0" applyBorder="1" applyAlignment="1">
      <alignment vertical="center" textRotation="90"/>
    </xf>
    <xf numFmtId="0" fontId="0" fillId="0" borderId="40" xfId="0" applyBorder="1" applyAlignment="1"/>
    <xf numFmtId="0" fontId="0" fillId="0" borderId="6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25" xfId="0" applyBorder="1" applyAlignment="1">
      <alignment horizontal="center"/>
    </xf>
    <xf numFmtId="0" fontId="13" fillId="0" borderId="40" xfId="0" applyNumberFormat="1" applyFont="1" applyBorder="1" applyAlignment="1">
      <alignment horizontal="center"/>
    </xf>
    <xf numFmtId="0" fontId="13" fillId="0" borderId="0" xfId="0" applyNumberFormat="1" applyFont="1" applyAlignment="1"/>
    <xf numFmtId="0" fontId="13" fillId="0" borderId="44" xfId="0" applyNumberFormat="1" applyFont="1" applyBorder="1" applyAlignment="1"/>
    <xf numFmtId="0" fontId="0" fillId="0" borderId="38" xfId="0" applyNumberFormat="1" applyBorder="1" applyAlignment="1"/>
    <xf numFmtId="0" fontId="7" fillId="0" borderId="53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10" fillId="0" borderId="56" xfId="0" applyFont="1" applyBorder="1" applyAlignment="1">
      <alignment horizontal="left"/>
    </xf>
    <xf numFmtId="0" fontId="0" fillId="0" borderId="56" xfId="0" applyBorder="1" applyAlignment="1"/>
    <xf numFmtId="0" fontId="0" fillId="0" borderId="38" xfId="0" applyBorder="1" applyAlignment="1"/>
    <xf numFmtId="0" fontId="7" fillId="0" borderId="0" xfId="0" applyFont="1" applyAlignment="1">
      <alignment horizontal="center"/>
    </xf>
    <xf numFmtId="0" fontId="18" fillId="0" borderId="53" xfId="0" applyFont="1" applyBorder="1" applyAlignment="1">
      <alignment vertical="center" textRotation="90"/>
    </xf>
    <xf numFmtId="0" fontId="0" fillId="0" borderId="45" xfId="0" applyBorder="1" applyAlignment="1"/>
    <xf numFmtId="0" fontId="0" fillId="0" borderId="45" xfId="0" applyBorder="1" applyAlignment="1">
      <alignment vertical="center" textRotation="90"/>
    </xf>
    <xf numFmtId="0" fontId="0" fillId="0" borderId="51" xfId="0" applyBorder="1" applyAlignment="1">
      <alignment horizontal="center"/>
    </xf>
    <xf numFmtId="0" fontId="0" fillId="0" borderId="39" xfId="0" applyBorder="1" applyAlignment="1">
      <alignment horizontal="center"/>
    </xf>
  </cellXfs>
  <cellStyles count="1">
    <cellStyle name="Normal" xfId="0" builtinId="0"/>
  </cellStyles>
  <dxfs count="9"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13</xdr:row>
          <xdr:rowOff>28575</xdr:rowOff>
        </xdr:from>
        <xdr:to>
          <xdr:col>3</xdr:col>
          <xdr:colOff>95250</xdr:colOff>
          <xdr:row>15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S5" totalsRowShown="0" headerRowDxfId="8">
  <autoFilter ref="A1:S5" xr:uid="{00000000-0009-0000-0100-000001000000}"/>
  <tableColumns count="19">
    <tableColumn id="1" xr3:uid="{00000000-0010-0000-0000-000001000000}" name="CODE"/>
    <tableColumn id="2" xr3:uid="{00000000-0010-0000-0000-000002000000}" name="Nom"/>
    <tableColumn id="3" xr3:uid="{00000000-0010-0000-0000-000003000000}" name="Modèle:"/>
    <tableColumn id="4" xr3:uid="{00000000-0010-0000-0000-000004000000}" name="LC:"/>
    <tableColumn id="5" xr3:uid="{00000000-0010-0000-0000-000005000000}" name="HR:"/>
    <tableColumn id="6" xr3:uid="{00000000-0010-0000-0000-000006000000}" name="CO Cadre"/>
    <tableColumn id="7" xr3:uid="{00000000-0010-0000-0000-000007000000}" name="CO Remp:"/>
    <tableColumn id="8" xr3:uid="{00000000-0010-0000-0000-000008000000}" name="Code dispo:"/>
    <tableColumn id="9" xr3:uid="{00000000-0010-0000-0000-000009000000}" name="Code fermeture:"/>
    <tableColumn id="10" xr3:uid="{00000000-0010-0000-0000-00000A000000}" name="Remp haut"/>
    <tableColumn id="11" xr3:uid="{00000000-0010-0000-0000-00000B000000}" name="HTI:"/>
    <tableColumn id="12" xr3:uid="{00000000-0010-0000-0000-00000C000000}" name="Remp bas"/>
    <tableColumn id="13" xr3:uid="{00000000-0010-0000-0000-00000D000000}" name="Gond:"/>
    <tableColumn id="14" xr3:uid="{00000000-0010-0000-0000-00000E000000}" name="Accessoire _1"/>
    <tableColumn id="15" xr3:uid="{00000000-0010-0000-0000-00000F000000}" name="Accessoire _2"/>
    <tableColumn id="16" xr3:uid="{00000000-0010-0000-0000-000010000000}" name="Accessoire _3"/>
    <tableColumn id="17" xr3:uid="{E4A01457-684B-4904-854E-569C02B186C5}" name="Agence"/>
    <tableColumn id="18" xr3:uid="{042361BC-E9EE-486A-87F6-B1279FD4A970}" name="Code client"/>
    <tableColumn id="19" xr3:uid="{CA387693-A37C-4E83-B1D0-05EFFC70D69A}" name="PH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5"/>
  <sheetViews>
    <sheetView tabSelected="1" workbookViewId="0">
      <selection activeCell="A5" sqref="A5"/>
    </sheetView>
  </sheetViews>
  <sheetFormatPr baseColWidth="10" defaultRowHeight="12.75" x14ac:dyDescent="0.2"/>
  <cols>
    <col min="1" max="1" width="8.42578125" customWidth="1"/>
    <col min="6" max="6" width="7.7109375" customWidth="1"/>
    <col min="7" max="7" width="6.85546875" customWidth="1"/>
    <col min="8" max="8" width="13.42578125" customWidth="1"/>
    <col min="9" max="9" width="12" customWidth="1"/>
    <col min="10" max="10" width="13" customWidth="1"/>
    <col min="11" max="11" width="15.7109375" customWidth="1"/>
    <col min="12" max="12" width="13.140625" bestFit="1" customWidth="1"/>
    <col min="13" max="13" width="7" customWidth="1"/>
    <col min="14" max="14" width="13.42578125" customWidth="1"/>
    <col min="15" max="15" width="12.85546875" bestFit="1" customWidth="1"/>
    <col min="16" max="17" width="17.5703125" customWidth="1"/>
    <col min="19" max="19" width="8.7109375" customWidth="1"/>
    <col min="20" max="21" width="17.5703125" customWidth="1"/>
    <col min="22" max="23" width="8.42578125" customWidth="1"/>
    <col min="24" max="24" width="15.7109375" customWidth="1"/>
  </cols>
  <sheetData>
    <row r="1" spans="1:21" ht="15" x14ac:dyDescent="0.2">
      <c r="A1" s="75" t="s">
        <v>188</v>
      </c>
      <c r="B1" s="75" t="s">
        <v>180</v>
      </c>
      <c r="C1" s="159" t="s">
        <v>86</v>
      </c>
      <c r="D1" s="159" t="s">
        <v>10</v>
      </c>
      <c r="E1" s="159" t="s">
        <v>12</v>
      </c>
      <c r="F1" s="159" t="s">
        <v>190</v>
      </c>
      <c r="G1" s="159" t="s">
        <v>51</v>
      </c>
      <c r="H1" s="159" t="s">
        <v>47</v>
      </c>
      <c r="I1" s="118" t="s">
        <v>48</v>
      </c>
      <c r="J1" s="159" t="s">
        <v>131</v>
      </c>
      <c r="K1" s="159" t="s">
        <v>85</v>
      </c>
      <c r="L1" s="159" t="s">
        <v>132</v>
      </c>
      <c r="M1" s="160" t="s">
        <v>49</v>
      </c>
      <c r="N1" s="160" t="s">
        <v>181</v>
      </c>
      <c r="O1" s="160" t="s">
        <v>182</v>
      </c>
      <c r="P1" s="160" t="s">
        <v>183</v>
      </c>
      <c r="Q1" s="75" t="s">
        <v>195</v>
      </c>
      <c r="R1" s="75" t="s">
        <v>196</v>
      </c>
      <c r="S1" s="75" t="s">
        <v>228</v>
      </c>
      <c r="T1" s="75"/>
      <c r="U1" s="76"/>
    </row>
    <row r="2" spans="1:21" x14ac:dyDescent="0.2">
      <c r="A2">
        <v>1</v>
      </c>
      <c r="B2" t="s">
        <v>230</v>
      </c>
      <c r="C2" t="s">
        <v>98</v>
      </c>
      <c r="D2">
        <v>3700</v>
      </c>
      <c r="E2">
        <v>1600</v>
      </c>
      <c r="F2">
        <v>11</v>
      </c>
      <c r="G2">
        <v>11</v>
      </c>
      <c r="H2" t="s">
        <v>80</v>
      </c>
      <c r="I2" t="s">
        <v>192</v>
      </c>
      <c r="J2" t="s">
        <v>124</v>
      </c>
      <c r="K2">
        <v>650</v>
      </c>
      <c r="L2" t="s">
        <v>125</v>
      </c>
      <c r="M2" t="s">
        <v>201</v>
      </c>
      <c r="Q2" t="s">
        <v>198</v>
      </c>
      <c r="R2" t="s">
        <v>208</v>
      </c>
      <c r="S2" t="s">
        <v>223</v>
      </c>
    </row>
    <row r="3" spans="1:21" x14ac:dyDescent="0.2">
      <c r="A3">
        <v>2</v>
      </c>
      <c r="B3" t="s">
        <v>226</v>
      </c>
      <c r="C3" t="s">
        <v>118</v>
      </c>
      <c r="D3">
        <v>3500</v>
      </c>
      <c r="E3">
        <v>1600</v>
      </c>
      <c r="F3">
        <v>11</v>
      </c>
      <c r="G3">
        <v>11</v>
      </c>
      <c r="H3" t="s">
        <v>81</v>
      </c>
      <c r="I3" t="s">
        <v>192</v>
      </c>
      <c r="J3" t="s">
        <v>124</v>
      </c>
      <c r="K3">
        <v>800</v>
      </c>
      <c r="L3" t="s">
        <v>125</v>
      </c>
      <c r="M3" t="s">
        <v>201</v>
      </c>
      <c r="Q3" t="s">
        <v>198</v>
      </c>
      <c r="R3" t="s">
        <v>208</v>
      </c>
      <c r="S3" t="s">
        <v>223</v>
      </c>
    </row>
    <row r="4" spans="1:21" x14ac:dyDescent="0.2">
      <c r="A4">
        <v>3</v>
      </c>
      <c r="B4" t="s">
        <v>227</v>
      </c>
      <c r="C4" t="s">
        <v>98</v>
      </c>
      <c r="D4">
        <v>890</v>
      </c>
      <c r="E4">
        <v>1870</v>
      </c>
      <c r="F4">
        <v>11</v>
      </c>
      <c r="G4">
        <v>11</v>
      </c>
      <c r="H4" t="s">
        <v>145</v>
      </c>
      <c r="I4" t="s">
        <v>192</v>
      </c>
      <c r="J4" t="s">
        <v>125</v>
      </c>
      <c r="K4">
        <v>984</v>
      </c>
      <c r="L4" t="s">
        <v>125</v>
      </c>
      <c r="M4" t="s">
        <v>201</v>
      </c>
      <c r="Q4" t="s">
        <v>200</v>
      </c>
      <c r="R4" t="s">
        <v>225</v>
      </c>
      <c r="S4" t="s">
        <v>217</v>
      </c>
    </row>
    <row r="5" spans="1:21" x14ac:dyDescent="0.2">
      <c r="A5">
        <v>2</v>
      </c>
      <c r="B5" t="s">
        <v>226</v>
      </c>
      <c r="C5" t="s">
        <v>118</v>
      </c>
      <c r="D5" t="s">
        <v>242</v>
      </c>
      <c r="E5" t="s">
        <v>243</v>
      </c>
      <c r="F5" t="s">
        <v>244</v>
      </c>
      <c r="G5" t="s">
        <v>244</v>
      </c>
      <c r="H5" t="s">
        <v>81</v>
      </c>
      <c r="I5" t="s">
        <v>192</v>
      </c>
      <c r="J5" t="s">
        <v>124</v>
      </c>
      <c r="K5" t="s">
        <v>245</v>
      </c>
      <c r="L5" t="s">
        <v>125</v>
      </c>
      <c r="M5" t="s">
        <v>201</v>
      </c>
      <c r="N5" t="s">
        <v>194</v>
      </c>
      <c r="O5" t="s">
        <v>194</v>
      </c>
      <c r="P5" t="s">
        <v>194</v>
      </c>
      <c r="Q5" t="s">
        <v>198</v>
      </c>
      <c r="R5" t="s">
        <v>208</v>
      </c>
      <c r="S5" t="s">
        <v>223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lancerFormulaire">
                <anchor moveWithCells="1">
                  <from>
                    <xdr:col>1</xdr:col>
                    <xdr:colOff>542925</xdr:colOff>
                    <xdr:row>13</xdr:row>
                    <xdr:rowOff>28575</xdr:rowOff>
                  </from>
                  <to>
                    <xdr:col>3</xdr:col>
                    <xdr:colOff>95250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105"/>
  <sheetViews>
    <sheetView topLeftCell="C1" workbookViewId="0">
      <selection activeCell="D1" sqref="D1"/>
    </sheetView>
  </sheetViews>
  <sheetFormatPr baseColWidth="10" defaultRowHeight="12.75" x14ac:dyDescent="0.2"/>
  <cols>
    <col min="1" max="1" width="22.5703125" hidden="1" customWidth="1"/>
    <col min="2" max="2" width="15.140625" hidden="1" customWidth="1"/>
    <col min="3" max="3" width="8.140625" customWidth="1"/>
    <col min="5" max="5" width="10.28515625" bestFit="1" customWidth="1"/>
    <col min="6" max="6" width="19.140625" customWidth="1"/>
    <col min="7" max="7" width="14.28515625" customWidth="1"/>
    <col min="9" max="9" width="11.5703125" bestFit="1" customWidth="1"/>
    <col min="10" max="10" width="13.5703125" customWidth="1"/>
    <col min="11" max="11" width="10.42578125" customWidth="1"/>
    <col min="12" max="12" width="2" customWidth="1"/>
    <col min="13" max="13" width="9.140625" customWidth="1"/>
    <col min="14" max="18" width="0" hidden="1" customWidth="1"/>
    <col min="19" max="20" width="5.7109375" customWidth="1"/>
    <col min="21" max="21" width="9.42578125" customWidth="1"/>
    <col min="22" max="22" width="14.85546875" bestFit="1" customWidth="1"/>
    <col min="23" max="23" width="8" customWidth="1"/>
    <col min="24" max="24" width="13.7109375" bestFit="1" customWidth="1"/>
    <col min="25" max="25" width="7.42578125" bestFit="1" customWidth="1"/>
    <col min="26" max="26" width="7.7109375" customWidth="1"/>
    <col min="27" max="27" width="3" customWidth="1"/>
    <col min="28" max="28" width="7.28515625" customWidth="1"/>
    <col min="29" max="29" width="5" customWidth="1"/>
    <col min="30" max="30" width="9.7109375" customWidth="1"/>
    <col min="31" max="31" width="17.42578125" customWidth="1"/>
    <col min="32" max="32" width="7.28515625" customWidth="1"/>
    <col min="33" max="33" width="13.140625" customWidth="1"/>
    <col min="34" max="34" width="6.28515625" bestFit="1" customWidth="1"/>
    <col min="35" max="35" width="8.7109375" customWidth="1"/>
    <col min="36" max="36" width="1.85546875" customWidth="1"/>
    <col min="37" max="37" width="7.42578125" bestFit="1" customWidth="1"/>
    <col min="38" max="38" width="2" bestFit="1" customWidth="1"/>
  </cols>
  <sheetData>
    <row r="1" spans="1:38" ht="20.25" x14ac:dyDescent="0.3">
      <c r="C1" s="113" t="s">
        <v>188</v>
      </c>
      <c r="D1" s="237" t="s">
        <v>246</v>
      </c>
      <c r="E1" s="111" t="e">
        <f>VLOOKUP($D$1,Saisie!$A$1:$S$986,17,FALSE)</f>
        <v>#N/A</v>
      </c>
      <c r="F1" s="157" t="e">
        <f>VLOOKUP($D$1,Saisie!$A$1:$S$986,18,FALSE)</f>
        <v>#N/A</v>
      </c>
      <c r="G1" s="162" t="s">
        <v>0</v>
      </c>
      <c r="H1" s="246" t="e">
        <f>VLOOKUP($D$1,Saisie!$A$1:$B$986,2,FALSE)</f>
        <v>#N/A</v>
      </c>
      <c r="I1" s="246"/>
      <c r="J1" s="246"/>
      <c r="K1" s="246"/>
      <c r="L1" s="246"/>
      <c r="M1" s="246"/>
      <c r="N1" s="1"/>
      <c r="O1" s="1"/>
      <c r="P1" s="1"/>
      <c r="Q1" s="1"/>
      <c r="R1" s="1"/>
      <c r="S1" s="1"/>
      <c r="T1" s="1"/>
    </row>
    <row r="2" spans="1:38" ht="20.25" x14ac:dyDescent="0.3">
      <c r="A2" s="76"/>
      <c r="C2" s="2"/>
      <c r="D2" s="2"/>
      <c r="E2" s="110"/>
      <c r="F2" s="110"/>
      <c r="G2" s="110"/>
      <c r="J2" s="111"/>
      <c r="K2" s="111"/>
      <c r="L2" s="111"/>
      <c r="M2" s="111"/>
      <c r="N2" s="1"/>
      <c r="O2" s="1"/>
      <c r="P2" s="1"/>
      <c r="Q2" s="1"/>
      <c r="R2" s="1"/>
      <c r="S2" s="1"/>
      <c r="T2" s="1"/>
    </row>
    <row r="3" spans="1:38" ht="20.25" x14ac:dyDescent="0.3">
      <c r="A3" s="76" t="s">
        <v>4</v>
      </c>
      <c r="B3" s="116" t="e">
        <f>VLOOKUP(G6,'Table modèle'!A3:B35,2,FALSE)</f>
        <v>#N/A</v>
      </c>
      <c r="C3" s="2"/>
      <c r="D3" s="2"/>
      <c r="E3" s="110"/>
      <c r="F3" s="110"/>
      <c r="G3" s="110"/>
      <c r="H3" s="111"/>
      <c r="I3" s="111"/>
      <c r="J3" s="111"/>
      <c r="K3" s="111"/>
      <c r="L3" s="111"/>
      <c r="M3" s="111"/>
      <c r="N3" s="1"/>
      <c r="O3" s="1"/>
      <c r="P3" s="1"/>
      <c r="Q3" s="1"/>
      <c r="R3" s="1"/>
      <c r="S3" s="1"/>
    </row>
    <row r="4" spans="1:38" ht="15.75" x14ac:dyDescent="0.25">
      <c r="A4" s="113" t="s">
        <v>92</v>
      </c>
      <c r="B4" s="116" t="e">
        <f>VLOOKUP(G6,'Table modèle'!A2:C35,3,FALSE)</f>
        <v>#N/A</v>
      </c>
    </row>
    <row r="5" spans="1:38" ht="15.75" customHeight="1" x14ac:dyDescent="0.2">
      <c r="A5" s="76"/>
      <c r="C5" s="75"/>
      <c r="S5" s="75"/>
    </row>
    <row r="6" spans="1:38" ht="18" x14ac:dyDescent="0.25">
      <c r="A6" s="76"/>
      <c r="F6" s="122" t="e">
        <f>VLOOKUP(B10,'Code dispo'!A3:K12,2,FALSE)</f>
        <v>#N/A</v>
      </c>
      <c r="G6" s="155" t="e">
        <f>VLOOKUP(D1,Saisie!A1:E986,3,FALSE)</f>
        <v>#N/A</v>
      </c>
      <c r="AL6" s="154"/>
    </row>
    <row r="7" spans="1:38" ht="18" x14ac:dyDescent="0.25">
      <c r="A7" s="76"/>
      <c r="B7" s="116"/>
      <c r="F7" s="8" t="s">
        <v>122</v>
      </c>
      <c r="G7" s="3" t="e">
        <f>B4</f>
        <v>#N/A</v>
      </c>
      <c r="I7" s="235"/>
      <c r="N7" t="s">
        <v>207</v>
      </c>
      <c r="O7" t="s">
        <v>194</v>
      </c>
      <c r="P7" t="s">
        <v>194</v>
      </c>
      <c r="Q7" t="s">
        <v>198</v>
      </c>
      <c r="R7" t="s">
        <v>208</v>
      </c>
      <c r="AL7" s="64"/>
    </row>
    <row r="8" spans="1:38" ht="18" customHeight="1" x14ac:dyDescent="0.25">
      <c r="A8" s="76" t="s">
        <v>216</v>
      </c>
      <c r="B8" s="238" t="s">
        <v>26</v>
      </c>
      <c r="I8" s="75"/>
      <c r="AL8" s="247"/>
    </row>
    <row r="9" spans="1:38" ht="15.75" x14ac:dyDescent="0.25">
      <c r="A9" s="76" t="s">
        <v>184</v>
      </c>
      <c r="B9" s="238" t="s">
        <v>26</v>
      </c>
      <c r="E9" s="4" t="s">
        <v>10</v>
      </c>
      <c r="F9" s="4" t="e">
        <f>VLOOKUP($D$1,Saisie!$A$1:$F$986,4,FALSE)</f>
        <v>#N/A</v>
      </c>
      <c r="G9" t="s">
        <v>11</v>
      </c>
      <c r="AL9" s="248"/>
    </row>
    <row r="10" spans="1:38" ht="15.75" x14ac:dyDescent="0.25">
      <c r="A10" s="76" t="s">
        <v>185</v>
      </c>
      <c r="B10" s="145" t="e">
        <f>VLOOKUP($D$1,Saisie!$A$1:$J$986,8,FALSE)</f>
        <v>#N/A</v>
      </c>
      <c r="E10" s="4" t="s">
        <v>12</v>
      </c>
      <c r="F10" s="4" t="e">
        <f>VLOOKUP(D1,Saisie!A2:G986,5,FALSE)</f>
        <v>#N/A</v>
      </c>
      <c r="G10" t="s">
        <v>11</v>
      </c>
      <c r="AL10" s="248"/>
    </row>
    <row r="11" spans="1:38" ht="16.5" thickBot="1" x14ac:dyDescent="0.3">
      <c r="A11" s="76" t="s">
        <v>186</v>
      </c>
      <c r="B11" s="145" t="e">
        <f>VLOOKUP($D$1,Saisie!$A$1:$K$986,9,FALSE)</f>
        <v>#N/A</v>
      </c>
      <c r="AL11" s="248"/>
    </row>
    <row r="12" spans="1:38" ht="15.75" customHeight="1" x14ac:dyDescent="0.25">
      <c r="A12" s="76" t="s">
        <v>214</v>
      </c>
      <c r="B12" s="145" t="e">
        <f>VLOOKUP($D$1,Saisie!$A$1:$M$986,10,FALSE)</f>
        <v>#N/A</v>
      </c>
      <c r="C12" s="149" t="e">
        <f>HLOOKUP("SERRURE",F13:K16,4,FALSE)</f>
        <v>#N/A</v>
      </c>
      <c r="F12" s="254" t="s">
        <v>13</v>
      </c>
      <c r="G12" s="255"/>
      <c r="H12" s="255"/>
      <c r="I12" s="256" t="s">
        <v>14</v>
      </c>
      <c r="J12" s="255"/>
      <c r="K12" s="257"/>
      <c r="L12" s="65"/>
      <c r="AL12" s="248"/>
    </row>
    <row r="13" spans="1:38" ht="15.75" x14ac:dyDescent="0.25">
      <c r="A13" s="76" t="s">
        <v>187</v>
      </c>
      <c r="B13" s="114">
        <v>800</v>
      </c>
      <c r="F13" s="128" t="e">
        <f>VLOOKUP($B$10,'Code dispo'!$A$3:$K$12,6,FALSE)</f>
        <v>#N/A</v>
      </c>
      <c r="G13" s="205" t="e">
        <f>IF(F13=" -"," -",VLOOKUP($B$10,'Code dispo'!$A$3:$K$12,7,FALSE))</f>
        <v>#N/A</v>
      </c>
      <c r="H13" s="127" t="e">
        <f>VLOOKUP($B$10,'Code dispo'!$A$3:$K$12,8,FALSE)</f>
        <v>#N/A</v>
      </c>
      <c r="I13" s="126" t="e">
        <f>VLOOKUP($B$10,'Code dispo'!$A$3:$K$12,9,FALSE)</f>
        <v>#N/A</v>
      </c>
      <c r="J13" s="205" t="e">
        <f>(VLOOKUP($B$10,'Code dispo'!$A$3:$K$12,10,FALSE))</f>
        <v>#N/A</v>
      </c>
      <c r="K13" s="125" t="e">
        <f>VLOOKUP($B$10,'Code dispo'!$A$3:$K$12,11,FALSE)</f>
        <v>#N/A</v>
      </c>
      <c r="L13" s="101"/>
      <c r="AL13" s="248"/>
    </row>
    <row r="14" spans="1:38" ht="14.1" customHeight="1" x14ac:dyDescent="0.25">
      <c r="A14" s="76" t="s">
        <v>215</v>
      </c>
      <c r="B14" s="145" t="e">
        <f>VLOOKUP($D$1,Saisie!$A$1:$M$986,12,FALSE)</f>
        <v>#N/A</v>
      </c>
      <c r="E14" t="s">
        <v>15</v>
      </c>
      <c r="F14" s="209" t="e">
        <f>IF(F13=" -","",VLOOKUP($G$6,'Table modèle'!$A$3:$J$35,9,FALSE))</f>
        <v>#N/A</v>
      </c>
      <c r="G14" s="210" t="e">
        <f>IF(F13=" -","",VLOOKUP(B10,'Code dispo'!A3:D12,3,FALSE))</f>
        <v>#N/A</v>
      </c>
      <c r="H14" s="211" t="e">
        <f>IF(H13=" -","",VLOOKUP($G$6,'Table modèle'!$A$3:$J$35,10,FALSE))</f>
        <v>#N/A</v>
      </c>
      <c r="I14" s="212" t="e">
        <f>IF(I13=" -","",VLOOKUP($G$6,'Table modèle'!$A$3:$J$35,10,FALSE))</f>
        <v>#N/A</v>
      </c>
      <c r="J14" s="210" t="e">
        <f>IF(K13=" -","",VLOOKUP(B10,'Code dispo'!A3:D12,4,FALSE))</f>
        <v>#N/A</v>
      </c>
      <c r="K14" s="213" t="e">
        <f>IF(K13=" -","",VLOOKUP($G$6,'Table modèle'!$A$3:$J$35,9,FALSE))</f>
        <v>#N/A</v>
      </c>
      <c r="L14" s="65"/>
      <c r="AL14" s="248"/>
    </row>
    <row r="15" spans="1:38" ht="14.1" customHeight="1" x14ac:dyDescent="0.2">
      <c r="A15" s="76" t="s">
        <v>216</v>
      </c>
      <c r="B15" s="193" t="str">
        <f>IF($B$8 ="011","Blanc 011","Sable 023")</f>
        <v>Blanc 011</v>
      </c>
      <c r="E15" t="s">
        <v>87</v>
      </c>
      <c r="F15" s="214" t="e">
        <f>IF(F14="","",F14-58)</f>
        <v>#N/A</v>
      </c>
      <c r="G15" s="215" t="e">
        <f>IF($G$14="","",$G$14-64)</f>
        <v>#N/A</v>
      </c>
      <c r="H15" s="216" t="e">
        <f>IF(H13=" -","",H14-58)</f>
        <v>#N/A</v>
      </c>
      <c r="I15" s="217" t="e">
        <f>IF(I13=" -","",I14-58)</f>
        <v>#N/A</v>
      </c>
      <c r="J15" s="215" t="e">
        <f>IF($J$14="","",$J$14-64)</f>
        <v>#N/A</v>
      </c>
      <c r="K15" s="218" t="e">
        <f>IF(K13=" -","",K14-58)</f>
        <v>#N/A</v>
      </c>
      <c r="L15" s="65"/>
      <c r="AL15" s="247"/>
    </row>
    <row r="16" spans="1:38" ht="14.1" customHeight="1" x14ac:dyDescent="0.2">
      <c r="A16" s="76" t="s">
        <v>184</v>
      </c>
      <c r="B16" s="193" t="str">
        <f>IF($B$9 ="011","Blanc 011","Sable 023")</f>
        <v>Blanc 011</v>
      </c>
      <c r="E16" t="str">
        <f>IF($B$13="NON","","E2-3")</f>
        <v>E2-3</v>
      </c>
      <c r="F16" s="219" t="e">
        <f>IF(OR(F13=" -",$B$12=""),"",(F14-316)-F18)</f>
        <v>#N/A</v>
      </c>
      <c r="G16" s="215"/>
      <c r="H16" s="220" t="e">
        <f>IF(OR(H13=" -",$B$12=""),"",(H14-316)-H18)</f>
        <v>#N/A</v>
      </c>
      <c r="I16" s="221" t="e">
        <f>IF(OR(I13=" -",$B$12=""),"",(I14-316)-I18)</f>
        <v>#N/A</v>
      </c>
      <c r="J16" s="215"/>
      <c r="K16" s="222" t="e">
        <f>IF(OR(K13=" -",$B$12=""),"",(K14-316)-K18)</f>
        <v>#N/A</v>
      </c>
      <c r="L16" s="65"/>
      <c r="AL16" s="248"/>
    </row>
    <row r="17" spans="1:38" ht="14.1" customHeight="1" x14ac:dyDescent="0.25">
      <c r="A17" s="76" t="s">
        <v>220</v>
      </c>
      <c r="B17" s="145" t="e">
        <f>HLOOKUP("OUVRANT",$F$13:$K$19,3,FALSE)</f>
        <v>#N/A</v>
      </c>
      <c r="E17" t="str">
        <f>IF($B$13="NON","","T2")</f>
        <v>T2</v>
      </c>
      <c r="F17" s="214" t="e">
        <f>IF(OR(F13=" -",$B$12=""),"",VLOOKUP($G$6,'Table modèle'!$A$3:$R$39,12,FALSE))</f>
        <v>#N/A</v>
      </c>
      <c r="G17" s="215" t="e">
        <f>IF(OR(G13="",$B$12=""),"",G14-64)</f>
        <v>#N/A</v>
      </c>
      <c r="H17" s="216" t="e">
        <f>IF(OR(H13=" -",$B$12=""),"",VLOOKUP($G$6,'Table modèle'!$A$3:$R$39,13,FALSE))</f>
        <v>#N/A</v>
      </c>
      <c r="I17" s="221" t="e">
        <f>IF(OR(I13=" -",$B$12=""),"",VLOOKUP($G$6,'Table modèle'!$A$3:$R$39,13,FALSE))</f>
        <v>#N/A</v>
      </c>
      <c r="J17" s="215" t="e">
        <f>IF(OR(J13=" -",$B$12=""),"",J14-64)</f>
        <v>#N/A</v>
      </c>
      <c r="K17" s="218" t="e">
        <f>IF(OR(K13=" -",$B$12=""),"",VLOOKUP($G$6,'Table modèle'!$A$3:$R$39,12,FALSE))</f>
        <v>#N/A</v>
      </c>
      <c r="L17" s="65"/>
      <c r="AL17" s="248"/>
    </row>
    <row r="18" spans="1:38" ht="14.1" customHeight="1" x14ac:dyDescent="0.25">
      <c r="A18" s="76" t="s">
        <v>221</v>
      </c>
      <c r="B18" s="145" t="e">
        <f>HLOOKUP("SEMI_FIXE",$F$13:$K$19,3,FALSE)</f>
        <v>#N/A</v>
      </c>
      <c r="E18" t="s">
        <v>16</v>
      </c>
      <c r="F18" s="219" t="e">
        <f>IF(F13=" -","",IF($B$13="NON",F14-220,F17-162))</f>
        <v>#N/A</v>
      </c>
      <c r="G18" s="215"/>
      <c r="H18" s="220" t="e">
        <f>IF(H13=" -","",IF($B$13="NON",H14-220,H17-162))</f>
        <v>#N/A</v>
      </c>
      <c r="I18" s="221" t="e">
        <f>IF(I13=" -","",IF($B$13="NON",I14-220,I17-162))</f>
        <v>#N/A</v>
      </c>
      <c r="J18" s="215"/>
      <c r="K18" s="222" t="e">
        <f>IF(K13=" -","",IF($B$13="NON",K14-220,K17-162))</f>
        <v>#N/A</v>
      </c>
      <c r="L18" s="65"/>
      <c r="AL18" s="248"/>
    </row>
    <row r="19" spans="1:38" ht="14.1" customHeight="1" thickBot="1" x14ac:dyDescent="0.25">
      <c r="A19" s="76" t="s">
        <v>228</v>
      </c>
      <c r="B19" s="146" t="e">
        <f>VLOOKUP($D$1,Saisie!$A$1:$S$986,19,FALSE)</f>
        <v>#N/A</v>
      </c>
      <c r="E19" t="s">
        <v>17</v>
      </c>
      <c r="F19" s="223" t="e">
        <f>IF(F13=" -","",66)</f>
        <v>#N/A</v>
      </c>
      <c r="G19" s="224" t="e">
        <f>IF($G$14="","",$G$14-64)</f>
        <v>#N/A</v>
      </c>
      <c r="H19" s="225" t="e">
        <f>IF(H13=" -","",66)</f>
        <v>#N/A</v>
      </c>
      <c r="I19" s="226" t="e">
        <f>IF(I13=" -","",66)</f>
        <v>#N/A</v>
      </c>
      <c r="J19" s="224" t="e">
        <f>IF($J$14="","",$J$14-64)</f>
        <v>#N/A</v>
      </c>
      <c r="K19" s="227" t="e">
        <f>IF(K13=" -","",66)</f>
        <v>#N/A</v>
      </c>
      <c r="L19" s="65"/>
      <c r="AL19" s="248"/>
    </row>
    <row r="20" spans="1:38" ht="15.75" x14ac:dyDescent="0.25">
      <c r="A20" s="76" t="s">
        <v>229</v>
      </c>
      <c r="B20" s="145" t="e">
        <f>HLOOKUP("SERRURE",$F$13:$K$14,2,FALSE)-200</f>
        <v>#N/A</v>
      </c>
      <c r="AL20" s="248"/>
    </row>
    <row r="21" spans="1:38" ht="15.75" x14ac:dyDescent="0.25">
      <c r="A21" s="76" t="s">
        <v>241</v>
      </c>
      <c r="B21" s="237" t="e">
        <f>VLOOKUP(G6,'Table modèle'!A3:R39,5,FALSE)</f>
        <v>#N/A</v>
      </c>
      <c r="F21" s="4" t="s">
        <v>18</v>
      </c>
      <c r="G21" s="5" t="s">
        <v>1</v>
      </c>
      <c r="I21" s="118" t="s">
        <v>135</v>
      </c>
      <c r="J21" s="119" t="e">
        <f>VLOOKUP($D$1,Saisie!$A$2:$N$986,10,FALSE)</f>
        <v>#N/A</v>
      </c>
      <c r="K21" s="9"/>
      <c r="L21" s="9"/>
      <c r="AL21" s="248"/>
    </row>
    <row r="22" spans="1:38" ht="15.75" x14ac:dyDescent="0.25">
      <c r="A22" s="147" t="s">
        <v>162</v>
      </c>
      <c r="B22" s="146" t="e">
        <f>IF($F$9&lt;2800,1000,IF($F$9&lt;3050,1125,IF($F$9&lt;3300,1250,IF($F$9&lt;3550,1375))))</f>
        <v>#N/A</v>
      </c>
      <c r="F22" s="4" t="s">
        <v>58</v>
      </c>
      <c r="G22" s="6" t="e">
        <f>IF(B11="F7","Sans serrure","Serrure")</f>
        <v>#N/A</v>
      </c>
      <c r="I22" s="118" t="s">
        <v>136</v>
      </c>
      <c r="J22" s="119" t="e">
        <f>VLOOKUP($D$1,Saisie!$A$2:$N$986,12,FALSE)</f>
        <v>#N/A</v>
      </c>
      <c r="K22" s="9"/>
      <c r="L22" s="9"/>
      <c r="AL22" s="249"/>
    </row>
    <row r="23" spans="1:38" ht="15.75" x14ac:dyDescent="0.25">
      <c r="B23" s="194" t="s">
        <v>178</v>
      </c>
      <c r="C23" s="2"/>
      <c r="F23" s="7" t="s">
        <v>19</v>
      </c>
      <c r="G23" s="46" t="e">
        <f>IF(B20&gt;1020,1020,B20-200)</f>
        <v>#N/A</v>
      </c>
      <c r="I23" s="4"/>
      <c r="J23" s="47"/>
      <c r="Z23" s="44"/>
    </row>
    <row r="24" spans="1:38" ht="15.75" x14ac:dyDescent="0.25">
      <c r="B24" s="194" t="e">
        <f>F14</f>
        <v>#N/A</v>
      </c>
      <c r="F24" s="7" t="s">
        <v>49</v>
      </c>
      <c r="G24" s="47" t="e">
        <f>VLOOKUP(D1,Saisie!A1:O986,13,FALSE)</f>
        <v>#N/A</v>
      </c>
    </row>
    <row r="25" spans="1:38" ht="15" x14ac:dyDescent="0.2">
      <c r="B25" s="194" t="e">
        <f>H14</f>
        <v>#N/A</v>
      </c>
    </row>
    <row r="26" spans="1:38" ht="15.75" thickBot="1" x14ac:dyDescent="0.25">
      <c r="B26" s="194" t="e">
        <f>I14</f>
        <v>#N/A</v>
      </c>
      <c r="I26" s="7"/>
      <c r="J26" s="8"/>
    </row>
    <row r="27" spans="1:38" ht="15.75" thickBot="1" x14ac:dyDescent="0.25">
      <c r="B27" s="194" t="e">
        <f>K14</f>
        <v>#N/A</v>
      </c>
      <c r="E27" s="10" t="s">
        <v>20</v>
      </c>
      <c r="F27" s="250" t="s">
        <v>21</v>
      </c>
      <c r="G27" s="253"/>
      <c r="H27" s="11" t="s">
        <v>22</v>
      </c>
      <c r="I27" s="11" t="s">
        <v>23</v>
      </c>
      <c r="J27" s="11" t="s">
        <v>24</v>
      </c>
      <c r="K27" s="250" t="s">
        <v>25</v>
      </c>
      <c r="L27" s="251"/>
      <c r="M27" s="252"/>
      <c r="N27" s="13"/>
      <c r="O27" s="13"/>
      <c r="P27" s="13"/>
      <c r="Q27" s="13"/>
      <c r="R27" s="12"/>
    </row>
    <row r="28" spans="1:38" ht="15" x14ac:dyDescent="0.2">
      <c r="E28" s="164" t="s">
        <v>209</v>
      </c>
      <c r="F28" s="166" t="s">
        <v>179</v>
      </c>
      <c r="G28" s="167"/>
      <c r="H28" s="172" t="str">
        <f>IF($B$8 ="011","Blanc 011","Sable 023")</f>
        <v>Blanc 011</v>
      </c>
      <c r="I28" s="228" t="e">
        <f>VLOOKUP('Fiche fab'!$G$6,'Table modèle'!$A$3:$J$35,9,FALSE)</f>
        <v>#N/A</v>
      </c>
      <c r="J28" s="172">
        <f>COUNT(F14,K14)</f>
        <v>0</v>
      </c>
      <c r="K28" s="14"/>
      <c r="L28" s="102"/>
      <c r="M28" s="15"/>
      <c r="N28" s="16"/>
      <c r="O28" s="16"/>
      <c r="P28" s="16"/>
      <c r="Q28" s="16"/>
      <c r="R28" s="17"/>
    </row>
    <row r="29" spans="1:38" ht="15" x14ac:dyDescent="0.2">
      <c r="B29" s="2" t="s">
        <v>130</v>
      </c>
      <c r="E29" s="164" t="s">
        <v>209</v>
      </c>
      <c r="F29" s="168" t="s">
        <v>179</v>
      </c>
      <c r="G29" s="169"/>
      <c r="H29" s="172" t="str">
        <f>IF($B$8 ="011","Blanc 011","Sable 023")</f>
        <v>Blanc 011</v>
      </c>
      <c r="I29" s="228" t="e">
        <f>VLOOKUP('Fiche fab'!$G$6,'Table modèle'!$A$3:$J$35,10,FALSE)</f>
        <v>#N/A</v>
      </c>
      <c r="J29" s="172">
        <f>COUNT(H14:I14)</f>
        <v>0</v>
      </c>
      <c r="K29" s="19"/>
      <c r="L29" s="103"/>
      <c r="M29" s="22"/>
      <c r="N29" s="23"/>
      <c r="O29" s="23"/>
      <c r="P29" s="23"/>
      <c r="Q29" s="23"/>
      <c r="R29" s="24"/>
    </row>
    <row r="30" spans="1:38" ht="15" x14ac:dyDescent="0.2">
      <c r="B30" s="194" t="e">
        <f>VLOOKUP($B$10,'Code dispo'!$A$3:$D$12,3,FALSE)</f>
        <v>#N/A</v>
      </c>
      <c r="E30" s="165" t="s">
        <v>27</v>
      </c>
      <c r="F30" s="168" t="s">
        <v>28</v>
      </c>
      <c r="G30" s="169"/>
      <c r="H30" s="172" t="str">
        <f>IF($B$8 ="011","Blanc 011","Sable 023")</f>
        <v>Blanc 011</v>
      </c>
      <c r="I30" s="228" t="e">
        <f>IF(J30&gt;0,$G$19,0)</f>
        <v>#N/A</v>
      </c>
      <c r="J30" s="228" t="e">
        <f>IF(COUNT($G$15:$G$19)-$B$21&gt;0,COUNT($G$15:$G$19)-$B$21,"")</f>
        <v>#N/A</v>
      </c>
      <c r="K30" s="19"/>
      <c r="L30" s="103"/>
      <c r="M30" s="22"/>
      <c r="N30" s="23"/>
      <c r="O30" s="23"/>
      <c r="P30" s="23"/>
      <c r="Q30" s="23"/>
      <c r="R30" s="24"/>
    </row>
    <row r="31" spans="1:38" ht="15" x14ac:dyDescent="0.2">
      <c r="B31" s="194" t="e">
        <f>VLOOKUP($B$10,'Code dispo'!$A$3:$D$12,4,FALSE)</f>
        <v>#N/A</v>
      </c>
      <c r="E31" s="165" t="e">
        <f>IF(J31="","","12571W")</f>
        <v>#N/A</v>
      </c>
      <c r="F31" s="170" t="e">
        <f>IF(J31="","","Traverse PVC+ALU 96*50")</f>
        <v>#N/A</v>
      </c>
      <c r="G31" s="171"/>
      <c r="H31" s="173" t="e">
        <f>IF(J31="","",H30)</f>
        <v>#N/A</v>
      </c>
      <c r="I31" s="229" t="e">
        <f>IF($J$31="","",$G$19)</f>
        <v>#N/A</v>
      </c>
      <c r="J31" s="228" t="e">
        <f>IF(COUNT($J$15:$J$19)-$B$21&gt;0,COUNT($J$15:$J$19)-$B$21,"")</f>
        <v>#N/A</v>
      </c>
      <c r="K31" s="19"/>
      <c r="L31" s="103"/>
      <c r="M31" s="22"/>
      <c r="N31" s="23"/>
      <c r="O31" s="23"/>
      <c r="P31" s="23"/>
      <c r="Q31" s="23"/>
      <c r="R31" s="24"/>
    </row>
    <row r="32" spans="1:38" ht="15" x14ac:dyDescent="0.2">
      <c r="B32" s="194" t="e">
        <f>VLOOKUP($G$6,'Table modèle'!$A$2:$E$35,4,FALSE)</f>
        <v>#N/A</v>
      </c>
      <c r="E32" s="174"/>
      <c r="F32" s="170" t="e">
        <f>IF(J32="","","CINTRE")</f>
        <v>#N/A</v>
      </c>
      <c r="G32" s="169" t="e">
        <f>IF(J32="","",VLOOKUP($G$6,'Table modèle'!$A$3:$R$35,8,FALSE))</f>
        <v>#N/A</v>
      </c>
      <c r="H32" s="173" t="e">
        <f>IF(J32="","",$H$30)</f>
        <v>#N/A</v>
      </c>
      <c r="I32" s="229" t="e">
        <f>IF($J$32="","",G19)</f>
        <v>#N/A</v>
      </c>
      <c r="J32" s="173" t="e">
        <f>IF(G13=" -","",$B$21)</f>
        <v>#N/A</v>
      </c>
      <c r="K32" s="19"/>
      <c r="L32" s="103"/>
      <c r="M32" s="22"/>
      <c r="N32" s="23"/>
      <c r="O32" s="23"/>
      <c r="P32" s="23"/>
      <c r="Q32" s="23"/>
      <c r="R32" s="24"/>
    </row>
    <row r="33" spans="1:18" ht="15" x14ac:dyDescent="0.2">
      <c r="E33" s="165"/>
      <c r="F33" s="170" t="e">
        <f>IF(J33="","","CINTRE")</f>
        <v>#N/A</v>
      </c>
      <c r="G33" s="169" t="e">
        <f>IF(J33="","",VLOOKUP($G$6,'Table modèle'!$A$3:$R$35,8,FALSE))</f>
        <v>#N/A</v>
      </c>
      <c r="H33" s="173" t="e">
        <f>IF(J33="","",$H$30)</f>
        <v>#N/A</v>
      </c>
      <c r="I33" s="229" t="e">
        <f>IF($J$32="","",J19)</f>
        <v>#N/A</v>
      </c>
      <c r="J33" s="173" t="e">
        <f>IF(J13=" -","",$B$21)</f>
        <v>#N/A</v>
      </c>
      <c r="K33" s="19"/>
      <c r="L33" s="103"/>
      <c r="M33" s="22"/>
      <c r="N33" s="23"/>
      <c r="O33" s="23"/>
      <c r="P33" s="23"/>
      <c r="Q33" s="23"/>
      <c r="R33" s="24"/>
    </row>
    <row r="34" spans="1:18" ht="15" x14ac:dyDescent="0.2">
      <c r="B34" t="s">
        <v>213</v>
      </c>
      <c r="E34" s="165" t="e">
        <f>IF(OR($F$14&gt;0,$K$14&gt;0),"1006167","")</f>
        <v>#N/A</v>
      </c>
      <c r="F34" s="168" t="e">
        <f>IF(OR($F$14&gt;0,$K$14&gt;0),"Clé de 32mm","")</f>
        <v>#N/A</v>
      </c>
      <c r="G34" s="169"/>
      <c r="H34" s="172" t="e">
        <f>IF(OR($F$14&gt;0,$K$14&gt;0),$B$15,"")</f>
        <v>#N/A</v>
      </c>
      <c r="I34" s="230" t="e">
        <f>IF(OR($F$14&gt;0,$K$14&gt;0),I28,"")</f>
        <v>#N/A</v>
      </c>
      <c r="J34" s="172">
        <f>J28</f>
        <v>0</v>
      </c>
      <c r="K34" s="19"/>
      <c r="L34" s="103"/>
      <c r="M34" s="22"/>
      <c r="N34" s="23"/>
      <c r="O34" s="23"/>
      <c r="P34" s="23"/>
      <c r="Q34" s="23"/>
      <c r="R34" s="24"/>
    </row>
    <row r="35" spans="1:18" ht="15" x14ac:dyDescent="0.2">
      <c r="B35" s="194" t="e">
        <f>VLOOKUP('Fiche fab'!$G$6,'Table modèle'!$A$3:$J$35,9,FALSE)</f>
        <v>#N/A</v>
      </c>
      <c r="E35" s="165" t="e">
        <f>IF(OR($H$14&gt;0,$I$14&gt;0),"1006167","")</f>
        <v>#N/A</v>
      </c>
      <c r="F35" s="168" t="e">
        <f>IF(OR($H$14&gt;0,$I$14&gt;0),"Clé de 32mm","")</f>
        <v>#N/A</v>
      </c>
      <c r="G35" s="179"/>
      <c r="H35" s="172" t="e">
        <f>IF(OR($H$14&gt;0,$I$14&gt;0),$B$15,"")</f>
        <v>#N/A</v>
      </c>
      <c r="I35" s="230" t="e">
        <f>IF(OR($H$14&gt;0,$I$14&gt;0),I29,"")</f>
        <v>#N/A</v>
      </c>
      <c r="J35" s="173">
        <f>J29</f>
        <v>0</v>
      </c>
      <c r="K35" s="19"/>
      <c r="L35" s="103"/>
      <c r="M35" s="22"/>
      <c r="N35" s="23"/>
      <c r="O35" s="23"/>
      <c r="P35" s="23"/>
      <c r="Q35" s="23"/>
      <c r="R35" s="24"/>
    </row>
    <row r="36" spans="1:18" ht="15" x14ac:dyDescent="0.2">
      <c r="E36" s="165" t="e">
        <f>IF(OR($H$14&gt;0,$I$14&gt;0),"1006178","")</f>
        <v>#N/A</v>
      </c>
      <c r="F36" s="168" t="e">
        <f>IF(OR($H$14&gt;0,$I$14&gt;0),"Clé de 50/22","")</f>
        <v>#N/A</v>
      </c>
      <c r="G36" s="197" t="e">
        <f>IF(OR($B$14="L80",B14="L80M"),"+Clé de 22mm","")</f>
        <v>#N/A</v>
      </c>
      <c r="H36" s="172" t="e">
        <f>IF(OR($H$14&gt;0,$I$14&gt;0),$B$15,"")</f>
        <v>#N/A</v>
      </c>
      <c r="I36" s="229" t="e">
        <f>IF(OR($F$14&gt;0,$K$14&gt;0),VLOOKUP($G$6,'Table modèle'!$A$3:$R$35,15,FALSE),"")</f>
        <v>#N/A</v>
      </c>
      <c r="J36" s="173">
        <f>J28</f>
        <v>0</v>
      </c>
      <c r="K36" s="19"/>
      <c r="L36" s="103"/>
      <c r="M36" s="22"/>
      <c r="N36" s="23"/>
      <c r="O36" s="23"/>
      <c r="P36" s="23"/>
      <c r="Q36" s="23"/>
      <c r="R36" s="24"/>
    </row>
    <row r="37" spans="1:18" ht="15" x14ac:dyDescent="0.2">
      <c r="E37" s="165" t="e">
        <f>IF(OR($F$14&gt;0,$K$14&gt;0),"1006178","")</f>
        <v>#N/A</v>
      </c>
      <c r="F37" s="168" t="e">
        <f>IF(OR($F$14&gt;0,$K$14&gt;0),"Clé de 50/22","")</f>
        <v>#N/A</v>
      </c>
      <c r="G37" s="197" t="e">
        <f>IF(OR($B$14="L80",B15="L80M"),"+Clé de 22mm","")</f>
        <v>#N/A</v>
      </c>
      <c r="H37" s="172" t="e">
        <f>IF(OR($F$14&gt;0,$K$14&gt;0),$B$15,"")</f>
        <v>#N/A</v>
      </c>
      <c r="I37" s="229" t="e">
        <f>IF(OR($H$14&gt;0,$I$14&gt;0),VLOOKUP($G$6,'Table modèle'!$A$3:$R$35,16,FALSE),"")</f>
        <v>#N/A</v>
      </c>
      <c r="J37" s="173">
        <f>J29</f>
        <v>0</v>
      </c>
      <c r="K37" s="19"/>
      <c r="L37" s="103"/>
      <c r="M37" s="22"/>
      <c r="N37" s="23"/>
      <c r="O37" s="23"/>
      <c r="P37" s="23"/>
      <c r="Q37" s="23"/>
      <c r="R37" s="24"/>
    </row>
    <row r="38" spans="1:18" ht="15" x14ac:dyDescent="0.2">
      <c r="E38" s="165" t="e">
        <f>IF(OR($H$14="",$I$14="",B12=""),"","1006178")</f>
        <v>#N/A</v>
      </c>
      <c r="F38" s="168" t="e">
        <f>IF(OR($H$14="",$I$14="",B12=""),"","Clé de 50/22")</f>
        <v>#N/A</v>
      </c>
      <c r="G38" s="197" t="e">
        <f>IF(OR($B$12="",B12="L45",B12="L90",B12="L150",B12="L180",B12="L180"),"","+Clé de 22mm")</f>
        <v>#N/A</v>
      </c>
      <c r="H38" s="172" t="e">
        <f>IF(OR($H$14="",$I$14="",B12=""),"",B15)</f>
        <v>#N/A</v>
      </c>
      <c r="I38" s="229" t="e">
        <f>IF(OR($H$14="",$I$14="",B12=""),"",VLOOKUP($G$6,'Table modèle'!$A$3:$R$35,18,FALSE))</f>
        <v>#N/A</v>
      </c>
      <c r="J38" s="173" t="e">
        <f>IF(OR($H$14&gt;0,$I$14&gt;0),VLOOKUP($G$6,'Table modèle'!$A$3:$R$35,14),IF(B12="",""))</f>
        <v>#N/A</v>
      </c>
      <c r="K38" s="19"/>
      <c r="L38" s="103"/>
      <c r="M38" s="22"/>
      <c r="N38" s="23"/>
      <c r="O38" s="23"/>
      <c r="P38" s="23"/>
      <c r="Q38" s="23"/>
      <c r="R38" s="24"/>
    </row>
    <row r="39" spans="1:18" ht="15" x14ac:dyDescent="0.2">
      <c r="E39" s="165" t="e">
        <f>IF(OR($F$14&gt;0,$K$14&gt;0),"1006178","")</f>
        <v>#N/A</v>
      </c>
      <c r="F39" s="168" t="e">
        <f>IF(OR($F$14&gt;0,$K$14&gt;0),"Clé de 50/22","")</f>
        <v>#N/A</v>
      </c>
      <c r="G39" s="197" t="e">
        <f>IF(OR($B$12="L80",B14="L80M"),"+Clé de 22mm","")</f>
        <v>#N/A</v>
      </c>
      <c r="H39" s="172" t="e">
        <f>IF(OR($F$14&gt;0,$K$14&gt;0),$B$15,"")</f>
        <v>#N/A</v>
      </c>
      <c r="I39" s="229" t="e">
        <f>IF(OR($F$14&gt;0,$K$14&gt;0),VLOOKUP($G$6,'Table modèle'!$A$3:$R$35,17,FALSE),"")</f>
        <v>#N/A</v>
      </c>
      <c r="J39" s="173" t="e">
        <f>IF(OR($F$14&gt;0,$K$14&gt;0),VLOOKUP($G$6,'Table modèle'!$A$3:$R$35,14,FALSE),"")</f>
        <v>#N/A</v>
      </c>
      <c r="K39" s="19"/>
      <c r="L39" s="103"/>
      <c r="M39" s="22"/>
      <c r="N39" s="23"/>
      <c r="O39" s="23"/>
      <c r="P39" s="23"/>
      <c r="Q39" s="23"/>
      <c r="R39" s="24"/>
    </row>
    <row r="40" spans="1:18" ht="15" x14ac:dyDescent="0.2">
      <c r="E40" s="198" t="e">
        <f>IF(J40="","","1006164")</f>
        <v>#N/A</v>
      </c>
      <c r="F40" s="195" t="e">
        <f>IF(J40="","","Réducteur 32/22")</f>
        <v>#N/A</v>
      </c>
      <c r="G40" s="169"/>
      <c r="H40" s="173" t="e">
        <f>IF(J40="","",H30)</f>
        <v>#N/A</v>
      </c>
      <c r="I40" s="229" t="e">
        <f>IF(J40="","",G19)</f>
        <v>#N/A</v>
      </c>
      <c r="J40" s="171" t="e">
        <f>IF($F$13=" -","",IF($B$12="",2,4))</f>
        <v>#N/A</v>
      </c>
      <c r="K40" s="19"/>
      <c r="L40" s="103"/>
      <c r="M40" s="22"/>
      <c r="N40" s="23"/>
      <c r="O40" s="23"/>
      <c r="P40" s="23"/>
      <c r="Q40" s="23"/>
      <c r="R40" s="24"/>
    </row>
    <row r="41" spans="1:18" ht="15" x14ac:dyDescent="0.2">
      <c r="E41" s="198" t="e">
        <f>IF(J41="","","1006164")</f>
        <v>#N/A</v>
      </c>
      <c r="F41" s="195" t="e">
        <f>IF(J41="","","Réducteur 32/22")</f>
        <v>#N/A</v>
      </c>
      <c r="G41" s="169"/>
      <c r="H41" s="173" t="e">
        <f>IF(J41="","",H31)</f>
        <v>#N/A</v>
      </c>
      <c r="I41" s="229" t="e">
        <f>IF(J41="","",J19)</f>
        <v>#N/A</v>
      </c>
      <c r="J41" s="171" t="e">
        <f>IF($K$13=" -","",IF($B$12="",2,4))</f>
        <v>#N/A</v>
      </c>
      <c r="K41" s="19"/>
      <c r="L41" s="103"/>
      <c r="M41" s="22"/>
      <c r="N41" s="23"/>
      <c r="O41" s="23"/>
      <c r="P41" s="23"/>
      <c r="Q41" s="23"/>
      <c r="R41" s="24"/>
    </row>
    <row r="42" spans="1:18" ht="15" x14ac:dyDescent="0.2">
      <c r="E42" s="239"/>
      <c r="F42" s="240"/>
      <c r="G42" s="241"/>
      <c r="H42" s="196"/>
      <c r="I42" s="242"/>
      <c r="J42" s="199"/>
      <c r="K42" s="19"/>
      <c r="L42" s="103"/>
      <c r="M42" s="22"/>
      <c r="N42" s="23"/>
      <c r="O42" s="23"/>
      <c r="P42" s="23"/>
      <c r="Q42" s="23"/>
      <c r="R42" s="24"/>
    </row>
    <row r="43" spans="1:18" ht="15" x14ac:dyDescent="0.2">
      <c r="E43" s="198">
        <v>1006142</v>
      </c>
      <c r="F43" s="200" t="s">
        <v>29</v>
      </c>
      <c r="G43" s="179"/>
      <c r="H43" s="172" t="str">
        <f>IF(B8="011","Blanc 011","Sable 023")</f>
        <v>Blanc 011</v>
      </c>
      <c r="I43" s="229" t="e">
        <f>IF(J$43&gt;0,$I$30,"")</f>
        <v>#N/A</v>
      </c>
      <c r="J43" s="21">
        <v>1</v>
      </c>
      <c r="K43" s="19"/>
      <c r="L43" s="103"/>
      <c r="M43" s="22"/>
      <c r="N43" s="23"/>
      <c r="O43" s="23"/>
      <c r="P43" s="23"/>
      <c r="Q43" s="23"/>
      <c r="R43" s="24"/>
    </row>
    <row r="44" spans="1:18" ht="15" x14ac:dyDescent="0.2">
      <c r="A44" s="118" t="s">
        <v>159</v>
      </c>
      <c r="B44">
        <v>1000</v>
      </c>
      <c r="E44" s="198" t="e">
        <f>IF($J$31&gt;0,"1006142","")</f>
        <v>#N/A</v>
      </c>
      <c r="F44" s="201" t="e">
        <f>IF($J$30&gt;0,"Clé de traverse 96*50","")</f>
        <v>#N/A</v>
      </c>
      <c r="G44" s="169"/>
      <c r="H44" s="172" t="str">
        <f>IF(B8="011","Blanc 011","Sable 023")</f>
        <v>Blanc 011</v>
      </c>
      <c r="I44" s="229" t="e">
        <f>IF($J$44&gt;0,$I$31,"")</f>
        <v>#N/A</v>
      </c>
      <c r="J44" s="21">
        <v>1</v>
      </c>
      <c r="K44" s="19"/>
      <c r="L44" s="103"/>
      <c r="M44" s="22"/>
      <c r="N44" s="23"/>
      <c r="O44" s="23"/>
      <c r="P44" s="23"/>
      <c r="Q44" s="23"/>
      <c r="R44" s="24"/>
    </row>
    <row r="45" spans="1:18" ht="15" x14ac:dyDescent="0.2">
      <c r="A45" s="75" t="e">
        <f>IF(F9&lt;2800,1000,IF(F9&lt;3050,1125,IF(F9&lt;3300,1250,IF(F9&lt;3550,1375))))</f>
        <v>#N/A</v>
      </c>
      <c r="E45" s="25"/>
      <c r="F45" s="19"/>
      <c r="G45" s="20"/>
      <c r="H45" s="175"/>
      <c r="I45" s="231"/>
      <c r="J45" s="21"/>
      <c r="K45" s="19"/>
      <c r="L45" s="103"/>
      <c r="M45" s="22"/>
      <c r="N45" s="23"/>
      <c r="O45" s="23"/>
      <c r="P45" s="23"/>
      <c r="Q45" s="23"/>
      <c r="R45" s="24"/>
    </row>
    <row r="46" spans="1:18" ht="15" x14ac:dyDescent="0.2">
      <c r="E46" s="18">
        <v>1006170</v>
      </c>
      <c r="F46" s="19" t="s">
        <v>30</v>
      </c>
      <c r="G46" s="20"/>
      <c r="H46" s="175" t="str">
        <f>IF($B$8 ="011","Blanc 011","Sable 023")</f>
        <v>Blanc 011</v>
      </c>
      <c r="I46" s="231" t="e">
        <f>I14-5</f>
        <v>#N/A</v>
      </c>
      <c r="J46" s="21">
        <v>1</v>
      </c>
      <c r="K46" s="19"/>
      <c r="L46" s="103"/>
      <c r="M46" s="22"/>
      <c r="N46" s="23"/>
      <c r="O46" s="23"/>
      <c r="P46" s="23"/>
      <c r="Q46" s="23"/>
      <c r="R46" s="24"/>
    </row>
    <row r="47" spans="1:18" ht="15" x14ac:dyDescent="0.2">
      <c r="E47" s="82"/>
      <c r="F47" s="26"/>
      <c r="G47" s="27"/>
      <c r="H47" s="77"/>
      <c r="I47" s="232"/>
      <c r="J47" s="31"/>
      <c r="K47" s="100"/>
      <c r="L47" s="104"/>
      <c r="M47" s="107"/>
      <c r="N47" s="29"/>
      <c r="O47" s="29"/>
      <c r="P47" s="29"/>
      <c r="Q47" s="29"/>
      <c r="R47" s="30"/>
    </row>
    <row r="48" spans="1:18" ht="15" x14ac:dyDescent="0.2">
      <c r="E48" s="82"/>
      <c r="F48" s="202" t="s">
        <v>212</v>
      </c>
      <c r="G48" s="203"/>
      <c r="H48" s="204" t="s">
        <v>77</v>
      </c>
      <c r="I48" s="233" t="e">
        <f>IF($B$17&gt;=1700,1500,$B$17-200)</f>
        <v>#N/A</v>
      </c>
      <c r="J48" s="187" t="e">
        <f>IF($B$17&gt;0,1,"")</f>
        <v>#N/A</v>
      </c>
      <c r="K48" s="100"/>
      <c r="L48" s="104"/>
      <c r="M48" s="107"/>
      <c r="N48" s="29"/>
      <c r="O48" s="29"/>
      <c r="P48" s="29"/>
      <c r="Q48" s="29"/>
      <c r="R48" s="30"/>
    </row>
    <row r="49" spans="5:18" ht="15" x14ac:dyDescent="0.2">
      <c r="E49" s="82"/>
      <c r="F49" s="202" t="s">
        <v>212</v>
      </c>
      <c r="G49" s="203"/>
      <c r="H49" s="204" t="s">
        <v>77</v>
      </c>
      <c r="I49" s="229" t="e">
        <f>IF($B$18&gt;=1700,1500,$B$18-200)</f>
        <v>#N/A</v>
      </c>
      <c r="J49" s="187" t="e">
        <f>IF($B$18&gt;0,1,"")</f>
        <v>#N/A</v>
      </c>
      <c r="K49" s="100"/>
      <c r="L49" s="104"/>
      <c r="M49" s="107"/>
      <c r="N49" s="29"/>
      <c r="O49" s="29"/>
      <c r="P49" s="29"/>
      <c r="Q49" s="29"/>
      <c r="R49" s="30"/>
    </row>
    <row r="50" spans="5:18" ht="15" x14ac:dyDescent="0.2">
      <c r="E50" s="82"/>
      <c r="F50" s="202" t="s">
        <v>213</v>
      </c>
      <c r="G50" s="203"/>
      <c r="H50" s="204" t="s">
        <v>77</v>
      </c>
      <c r="I50" s="206" t="e">
        <f>$B$35-20</f>
        <v>#N/A</v>
      </c>
      <c r="J50" s="50"/>
      <c r="K50" s="100"/>
      <c r="L50" s="104"/>
      <c r="M50" s="107"/>
      <c r="N50" s="29"/>
      <c r="O50" s="29"/>
      <c r="P50" s="29"/>
      <c r="Q50" s="29"/>
      <c r="R50" s="30"/>
    </row>
    <row r="51" spans="5:18" ht="15" x14ac:dyDescent="0.2">
      <c r="E51" s="82"/>
      <c r="F51" s="86"/>
      <c r="G51" s="27"/>
      <c r="H51" s="77"/>
      <c r="I51" s="234"/>
      <c r="J51" s="50"/>
      <c r="K51" s="26"/>
      <c r="L51" s="105"/>
      <c r="M51" s="28"/>
      <c r="N51" s="29"/>
      <c r="O51" s="29"/>
      <c r="P51" s="29"/>
      <c r="Q51" s="29"/>
      <c r="R51" s="30"/>
    </row>
    <row r="52" spans="5:18" ht="15" x14ac:dyDescent="0.2">
      <c r="E52" s="184" t="e">
        <f>IF(B12="","",VLOOKUP($B$12,Remp!$B$4:$F$10,3,FALSE))</f>
        <v>#N/A</v>
      </c>
      <c r="F52" s="185" t="e">
        <f>IF(B12="","",VLOOKUP($B$12,Remp!$B$4:$F$10,2,FALSE))</f>
        <v>#N/A</v>
      </c>
      <c r="G52" s="189" t="e">
        <f>IF(B12="","",VLOOKUP($B$12,Remp!$B$4:$G$10,6,FALSE))</f>
        <v>#N/A</v>
      </c>
      <c r="H52" s="186" t="e">
        <f>IF(B12="","",B16)</f>
        <v>#N/A</v>
      </c>
      <c r="I52" s="206" t="e">
        <f>IF(B12="","",VLOOKUP($B$12,Remp!$B$4:$F$10,4,FALSE))</f>
        <v>#N/A</v>
      </c>
      <c r="J52" s="187" t="e">
        <f>IF(B12="","",VLOOKUP($B$12,Remp!$B$4:$F$10,5,FALSE))</f>
        <v>#N/A</v>
      </c>
      <c r="K52" s="207" t="e">
        <f>IF(B12="","",VLOOKUP($B$12,Remp!$B$4:$J$10,7,FALSE))</f>
        <v>#N/A</v>
      </c>
      <c r="L52" s="188" t="e">
        <f>IF(B12="","",VLOOKUP($B$12,Remp!$B$4:$J$10,8,FALSE))</f>
        <v>#N/A</v>
      </c>
      <c r="M52" s="208" t="e">
        <f>IF(B12="","",VLOOKUP($B$12,Remp!$B$4:$J$10,9,FALSE))</f>
        <v>#N/A</v>
      </c>
      <c r="N52" s="29"/>
      <c r="O52" s="29"/>
      <c r="P52" s="29"/>
      <c r="Q52" s="29"/>
      <c r="R52" s="30"/>
    </row>
    <row r="53" spans="5:18" ht="15" x14ac:dyDescent="0.2">
      <c r="E53" s="184" t="e">
        <f>VLOOKUP($B$14,Remp!$B$13:$F$18,3,FALSE)</f>
        <v>#N/A</v>
      </c>
      <c r="F53" s="185" t="e">
        <f>VLOOKUP($B$14,Remp!$B$13:$F$18,2,FALSE)</f>
        <v>#N/A</v>
      </c>
      <c r="G53" s="190" t="e">
        <f>VLOOKUP($B$14,Remp!B12:G18,6,FALSE)</f>
        <v>#N/A</v>
      </c>
      <c r="H53" s="186" t="str">
        <f>IF($B$9 ="011","Blanc 011","Sable 023")</f>
        <v>Blanc 011</v>
      </c>
      <c r="I53" s="206" t="e">
        <f>VLOOKUP($B$14,Remp!$B$12:$F$18,4,FALSE)</f>
        <v>#N/A</v>
      </c>
      <c r="J53" s="187" t="e">
        <f>VLOOKUP($B$14,Remp!$B$12:$F$18,5,FALSE)</f>
        <v>#N/A</v>
      </c>
      <c r="K53" s="207" t="e">
        <f>VLOOKUP($B$14,Remp!$B$12:$J$18,7,FALSE)</f>
        <v>#N/A</v>
      </c>
      <c r="L53" s="188" t="e">
        <f>VLOOKUP($B$14,Remp!$B$12:$J$18,8,FALSE)</f>
        <v>#N/A</v>
      </c>
      <c r="M53" s="208" t="e">
        <f>VLOOKUP($B$14,Remp!$B$12:$J$18,9,FALSE)</f>
        <v>#N/A</v>
      </c>
      <c r="N53" s="29"/>
      <c r="O53" s="29"/>
      <c r="P53" s="29"/>
      <c r="Q53" s="29"/>
      <c r="R53" s="30"/>
    </row>
    <row r="54" spans="5:18" ht="15" x14ac:dyDescent="0.2">
      <c r="E54" s="184" t="e">
        <f>IF(B12="","",VLOOKUP($B$12,Remp!$L$4:$P$10,3,FALSE))</f>
        <v>#N/A</v>
      </c>
      <c r="F54" s="185" t="e">
        <f>IF(B12="","",VLOOKUP($B$12,Remp!$L$4:$P$10,2,FALSE))</f>
        <v>#N/A</v>
      </c>
      <c r="G54" s="189" t="e">
        <f>IF(B12="","",VLOOKUP($B$12,Remp!L4:Q10,6,FALSE))</f>
        <v>#N/A</v>
      </c>
      <c r="H54" s="186" t="e">
        <f>IF(B12="","",B16)</f>
        <v>#N/A</v>
      </c>
      <c r="I54" s="206" t="e">
        <f>IF(B12="","",VLOOKUP($B$12,Remp!$L$4:$P$10,4,FALSE))</f>
        <v>#N/A</v>
      </c>
      <c r="J54" s="187" t="e">
        <f>IF(B12="","",VLOOKUP($B$12,Remp!$L$4:$P$10,5,FALSE))</f>
        <v>#N/A</v>
      </c>
      <c r="K54" s="207" t="e">
        <f>IF(B12="","",VLOOKUP($B$12,Remp!$L$4:$T$10,7,FALSE))</f>
        <v>#N/A</v>
      </c>
      <c r="L54" s="188" t="e">
        <f>IF(B12="","",VLOOKUP($B$12,Remp!$L$4:$T$10,8,FALSE))</f>
        <v>#N/A</v>
      </c>
      <c r="M54" s="208" t="e">
        <f>IF(B12="","",VLOOKUP($B$12,Remp!$L$4:$T$10,9,FALSE))</f>
        <v>#N/A</v>
      </c>
      <c r="N54" s="29"/>
      <c r="O54" s="29"/>
      <c r="P54" s="29"/>
      <c r="Q54" s="29"/>
      <c r="R54" s="30"/>
    </row>
    <row r="55" spans="5:18" ht="15" x14ac:dyDescent="0.2">
      <c r="E55" s="184" t="e">
        <f>VLOOKUP($B$14,Remp!$L$12:$P$18,3,FALSE)</f>
        <v>#N/A</v>
      </c>
      <c r="F55" s="185" t="e">
        <f>VLOOKUP($B$14,Remp!$L$12:$P$18,2,FALSE)</f>
        <v>#N/A</v>
      </c>
      <c r="G55" s="190" t="e">
        <f>VLOOKUP($B$14,Remp!L12:R18,6,FALSE)</f>
        <v>#N/A</v>
      </c>
      <c r="H55" s="186" t="str">
        <f>IF($B$9 ="011","Blanc 011","Sable 023")</f>
        <v>Blanc 011</v>
      </c>
      <c r="I55" s="206" t="e">
        <f>VLOOKUP($B$14,Remp!$L$12:$P$18,4,FALSE)</f>
        <v>#N/A</v>
      </c>
      <c r="J55" s="187" t="e">
        <f>VLOOKUP($B$14,Remp!$L$12:$P$18,5,FALSE)</f>
        <v>#N/A</v>
      </c>
      <c r="K55" s="207" t="e">
        <f>VLOOKUP($B$14,Remp!$L$12:$T$18,7,FALSE)</f>
        <v>#N/A</v>
      </c>
      <c r="L55" s="188" t="e">
        <f>VLOOKUP($B$14,Remp!L12:T18,8,FALSE)</f>
        <v>#N/A</v>
      </c>
      <c r="M55" s="208" t="e">
        <f>VLOOKUP($B$14,Remp!$L$12:$T$18,9,FALSE)</f>
        <v>#N/A</v>
      </c>
      <c r="N55" s="29"/>
      <c r="O55" s="29"/>
      <c r="P55" s="29"/>
      <c r="Q55" s="29"/>
      <c r="R55" s="30"/>
    </row>
    <row r="56" spans="5:18" ht="15.75" thickBot="1" x14ac:dyDescent="0.25">
      <c r="E56" s="80"/>
      <c r="F56" s="87"/>
      <c r="G56" s="52"/>
      <c r="H56" s="78"/>
      <c r="I56" s="51"/>
      <c r="J56" s="51"/>
      <c r="K56" s="32"/>
      <c r="L56" s="106"/>
      <c r="M56" s="33"/>
      <c r="N56" s="29"/>
      <c r="O56" s="29"/>
      <c r="P56" s="29"/>
      <c r="Q56" s="29"/>
      <c r="R56" s="30"/>
    </row>
    <row r="80" spans="6:6" ht="15" x14ac:dyDescent="0.2">
      <c r="F80" s="45"/>
    </row>
    <row r="81" spans="6:32" ht="15" x14ac:dyDescent="0.2">
      <c r="F81" s="45"/>
    </row>
    <row r="82" spans="6:32" ht="15" x14ac:dyDescent="0.2">
      <c r="F82" s="79"/>
    </row>
    <row r="85" spans="6:32" ht="13.5" thickBot="1" x14ac:dyDescent="0.25"/>
    <row r="86" spans="6:32" ht="13.5" thickBot="1" x14ac:dyDescent="0.25">
      <c r="V86" s="74" t="s">
        <v>49</v>
      </c>
      <c r="W86" s="73"/>
      <c r="X86" s="60" t="s">
        <v>46</v>
      </c>
      <c r="AD86" s="44"/>
      <c r="AE86" s="44"/>
      <c r="AF86" s="44"/>
    </row>
    <row r="87" spans="6:32" ht="13.5" thickBot="1" x14ac:dyDescent="0.25">
      <c r="V87" s="112" t="s">
        <v>78</v>
      </c>
      <c r="W87" s="44"/>
      <c r="X87" s="71" t="e">
        <f>IF($J$23="NON",#REF!,#REF!-32)</f>
        <v>#REF!</v>
      </c>
      <c r="AC87" s="83"/>
      <c r="AD87" s="63" t="s">
        <v>62</v>
      </c>
      <c r="AE87" s="63"/>
      <c r="AF87" s="96"/>
    </row>
    <row r="88" spans="6:32" x14ac:dyDescent="0.2">
      <c r="V88" s="61" t="s">
        <v>59</v>
      </c>
      <c r="W88" s="44"/>
      <c r="AC88" s="99" t="s">
        <v>59</v>
      </c>
      <c r="AD88" s="95" t="s">
        <v>54</v>
      </c>
      <c r="AE88" s="94" t="s">
        <v>64</v>
      </c>
      <c r="AF88" s="54">
        <v>2</v>
      </c>
    </row>
    <row r="89" spans="6:32" ht="13.5" thickBot="1" x14ac:dyDescent="0.25">
      <c r="V89" s="62" t="s">
        <v>50</v>
      </c>
      <c r="W89" s="44"/>
      <c r="AC89" s="97" t="s">
        <v>56</v>
      </c>
      <c r="AD89" s="88" t="s">
        <v>42</v>
      </c>
      <c r="AE89" s="44" t="s">
        <v>61</v>
      </c>
      <c r="AF89" s="54">
        <v>2</v>
      </c>
    </row>
    <row r="90" spans="6:32" ht="13.5" thickBot="1" x14ac:dyDescent="0.25">
      <c r="AC90" s="69" t="s">
        <v>50</v>
      </c>
      <c r="AD90" s="58" t="s">
        <v>72</v>
      </c>
      <c r="AE90" s="58" t="s">
        <v>71</v>
      </c>
      <c r="AF90" s="59">
        <v>1</v>
      </c>
    </row>
    <row r="91" spans="6:32" x14ac:dyDescent="0.2">
      <c r="AC91" s="83"/>
      <c r="AD91" s="63" t="s">
        <v>63</v>
      </c>
      <c r="AE91" s="63"/>
      <c r="AF91" s="96"/>
    </row>
    <row r="92" spans="6:32" x14ac:dyDescent="0.2">
      <c r="AC92" s="99" t="s">
        <v>59</v>
      </c>
      <c r="AD92" s="44" t="s">
        <v>65</v>
      </c>
      <c r="AE92" s="81" t="s">
        <v>69</v>
      </c>
      <c r="AF92" s="54">
        <v>2</v>
      </c>
    </row>
    <row r="93" spans="6:32" x14ac:dyDescent="0.2">
      <c r="AC93" s="97" t="s">
        <v>56</v>
      </c>
      <c r="AD93" s="44" t="s">
        <v>43</v>
      </c>
      <c r="AE93" s="89" t="s">
        <v>44</v>
      </c>
      <c r="AF93" s="98">
        <v>2</v>
      </c>
    </row>
    <row r="94" spans="6:32" ht="13.5" thickBot="1" x14ac:dyDescent="0.25">
      <c r="V94" s="44"/>
      <c r="AC94" s="69" t="s">
        <v>50</v>
      </c>
      <c r="AD94" s="58" t="s">
        <v>70</v>
      </c>
      <c r="AE94" s="58" t="s">
        <v>73</v>
      </c>
      <c r="AF94" s="59">
        <v>1</v>
      </c>
    </row>
    <row r="95" spans="6:32" x14ac:dyDescent="0.2">
      <c r="V95" s="44"/>
      <c r="AC95" s="83"/>
      <c r="AD95" s="63" t="s">
        <v>68</v>
      </c>
      <c r="AE95" s="63"/>
      <c r="AF95" s="96"/>
    </row>
    <row r="96" spans="6:32" x14ac:dyDescent="0.2">
      <c r="V96" s="44"/>
      <c r="AC96" s="99" t="s">
        <v>59</v>
      </c>
      <c r="AD96" s="44" t="s">
        <v>66</v>
      </c>
      <c r="AE96" s="81" t="s">
        <v>67</v>
      </c>
      <c r="AF96" s="54">
        <v>2</v>
      </c>
    </row>
    <row r="97" spans="22:32" x14ac:dyDescent="0.2">
      <c r="V97" s="44"/>
      <c r="AC97" s="97" t="s">
        <v>56</v>
      </c>
      <c r="AD97" s="44" t="s">
        <v>60</v>
      </c>
      <c r="AE97" s="89" t="s">
        <v>45</v>
      </c>
      <c r="AF97" s="98">
        <v>2</v>
      </c>
    </row>
    <row r="98" spans="22:32" ht="13.5" thickBot="1" x14ac:dyDescent="0.25">
      <c r="V98" s="44"/>
      <c r="AC98" s="69" t="s">
        <v>50</v>
      </c>
      <c r="AD98" s="58" t="s">
        <v>75</v>
      </c>
      <c r="AE98" s="58" t="s">
        <v>74</v>
      </c>
      <c r="AF98" s="59">
        <v>1</v>
      </c>
    </row>
    <row r="99" spans="22:32" x14ac:dyDescent="0.2">
      <c r="V99" s="44"/>
      <c r="AC99" s="83"/>
      <c r="AD99" s="63" t="s">
        <v>76</v>
      </c>
      <c r="AE99" s="63"/>
      <c r="AF99" s="96"/>
    </row>
    <row r="100" spans="22:32" x14ac:dyDescent="0.2">
      <c r="V100" s="44"/>
      <c r="AC100" s="99" t="s">
        <v>59</v>
      </c>
      <c r="AD100" s="44" t="s">
        <v>77</v>
      </c>
      <c r="AE100" s="81" t="s">
        <v>77</v>
      </c>
      <c r="AF100" s="54" t="s">
        <v>77</v>
      </c>
    </row>
    <row r="101" spans="22:32" x14ac:dyDescent="0.2">
      <c r="V101" s="44"/>
      <c r="AC101" s="97" t="s">
        <v>56</v>
      </c>
      <c r="AD101" s="89" t="s">
        <v>77</v>
      </c>
      <c r="AE101" s="89" t="s">
        <v>77</v>
      </c>
      <c r="AF101" s="98" t="s">
        <v>77</v>
      </c>
    </row>
    <row r="102" spans="22:32" ht="13.5" thickBot="1" x14ac:dyDescent="0.25">
      <c r="V102" s="44"/>
      <c r="W102" s="44"/>
      <c r="X102" s="81"/>
      <c r="AC102" s="69" t="s">
        <v>50</v>
      </c>
      <c r="AD102" s="58" t="s">
        <v>55</v>
      </c>
      <c r="AE102" s="58">
        <v>14141</v>
      </c>
      <c r="AF102" s="59">
        <v>1</v>
      </c>
    </row>
    <row r="103" spans="22:32" x14ac:dyDescent="0.2">
      <c r="W103" s="85"/>
      <c r="X103" s="81"/>
      <c r="Y103" s="85"/>
      <c r="Z103" s="85"/>
    </row>
    <row r="105" spans="22:32" x14ac:dyDescent="0.2">
      <c r="W105" s="85"/>
    </row>
  </sheetData>
  <mergeCells count="7">
    <mergeCell ref="H1:M1"/>
    <mergeCell ref="AL8:AL14"/>
    <mergeCell ref="AL15:AL22"/>
    <mergeCell ref="K27:M27"/>
    <mergeCell ref="F27:G27"/>
    <mergeCell ref="F12:H12"/>
    <mergeCell ref="I12:K12"/>
  </mergeCells>
  <phoneticPr fontId="1" type="noConversion"/>
  <conditionalFormatting sqref="C12">
    <cfRule type="cellIs" dxfId="7" priority="4" stopIfTrue="1" operator="lessThan">
      <formula>200</formula>
    </cfRule>
  </conditionalFormatting>
  <conditionalFormatting sqref="W103:Z103 W105">
    <cfRule type="expression" dxfId="6" priority="27" stopIfTrue="1">
      <formula>#REF!=Tendance</formula>
    </cfRule>
  </conditionalFormatting>
  <dataValidations count="1">
    <dataValidation type="list" allowBlank="1" showInputMessage="1" showErrorMessage="1" sqref="J26" xr:uid="{00000000-0002-0000-0000-000000000000}">
      <formula1>$V$23:$V$94</formula1>
    </dataValidation>
  </dataValidations>
  <pageMargins left="0.86" right="0.7" top="0.43" bottom="0.19" header="0.21" footer="0.17"/>
  <pageSetup paperSize="9" scale="85" orientation="portrait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FF540-2C90-4D87-A71A-66B004847BF4}">
  <sheetPr codeName="Feuil7"/>
  <dimension ref="B2:W22"/>
  <sheetViews>
    <sheetView workbookViewId="0">
      <selection activeCell="G13" sqref="G13"/>
    </sheetView>
  </sheetViews>
  <sheetFormatPr baseColWidth="10" defaultRowHeight="12.75" x14ac:dyDescent="0.2"/>
  <sheetData>
    <row r="2" spans="2:23" ht="13.5" thickBot="1" x14ac:dyDescent="0.25"/>
    <row r="3" spans="2:23" ht="13.5" thickBot="1" x14ac:dyDescent="0.25">
      <c r="B3" s="262" t="s">
        <v>31</v>
      </c>
      <c r="C3" s="263"/>
      <c r="D3" s="263"/>
      <c r="E3" s="263"/>
      <c r="F3" s="263"/>
      <c r="G3" s="263"/>
      <c r="H3" s="263"/>
      <c r="I3" s="263"/>
      <c r="J3" s="264"/>
    </row>
    <row r="4" spans="2:23" ht="13.5" thickBot="1" x14ac:dyDescent="0.25">
      <c r="B4" s="48"/>
      <c r="C4" s="265" t="s">
        <v>94</v>
      </c>
      <c r="D4" s="266"/>
      <c r="E4" s="266"/>
      <c r="F4" s="266"/>
      <c r="G4" s="266"/>
      <c r="H4" s="34">
        <v>4</v>
      </c>
      <c r="I4" s="109"/>
      <c r="J4" s="35"/>
    </row>
    <row r="5" spans="2:23" ht="13.5" thickBot="1" x14ac:dyDescent="0.25">
      <c r="B5" s="49" t="s">
        <v>34</v>
      </c>
      <c r="C5" s="267" t="s">
        <v>35</v>
      </c>
      <c r="D5" s="267"/>
      <c r="E5" s="267"/>
      <c r="F5" s="267"/>
      <c r="G5" s="267"/>
      <c r="H5" s="37">
        <v>1</v>
      </c>
      <c r="I5" s="37"/>
      <c r="J5" s="35"/>
    </row>
    <row r="6" spans="2:23" ht="13.5" thickBot="1" x14ac:dyDescent="0.25">
      <c r="B6" s="49" t="s">
        <v>36</v>
      </c>
      <c r="C6" s="36" t="s">
        <v>37</v>
      </c>
      <c r="D6" s="36"/>
      <c r="E6" s="36"/>
      <c r="F6" s="36"/>
      <c r="G6" s="36"/>
      <c r="H6" s="37">
        <v>1</v>
      </c>
      <c r="I6" s="37"/>
      <c r="J6" s="41" t="s">
        <v>32</v>
      </c>
    </row>
    <row r="7" spans="2:23" ht="13.5" thickBot="1" x14ac:dyDescent="0.25">
      <c r="B7" s="49" t="s">
        <v>38</v>
      </c>
      <c r="C7" s="36" t="s">
        <v>39</v>
      </c>
      <c r="D7" s="36"/>
      <c r="E7" s="36"/>
      <c r="F7" s="36"/>
      <c r="G7" s="36"/>
      <c r="H7" s="37">
        <v>1</v>
      </c>
      <c r="I7" s="37"/>
      <c r="J7" s="35"/>
    </row>
    <row r="8" spans="2:23" ht="13.5" thickBot="1" x14ac:dyDescent="0.25">
      <c r="B8" s="49" t="s">
        <v>40</v>
      </c>
      <c r="C8" s="267" t="s">
        <v>41</v>
      </c>
      <c r="D8" s="267"/>
      <c r="E8" s="267"/>
      <c r="F8" s="267"/>
      <c r="G8" s="267"/>
      <c r="H8" s="37">
        <v>1</v>
      </c>
      <c r="I8" s="37"/>
      <c r="J8" s="35"/>
    </row>
    <row r="9" spans="2:23" x14ac:dyDescent="0.2">
      <c r="B9" s="49" t="s">
        <v>33</v>
      </c>
      <c r="C9" s="267" t="s">
        <v>30</v>
      </c>
      <c r="D9" s="267"/>
      <c r="E9" s="267"/>
      <c r="F9" s="267"/>
      <c r="G9" s="267"/>
      <c r="H9" s="42">
        <v>2</v>
      </c>
      <c r="I9" s="42"/>
      <c r="J9" s="43"/>
      <c r="P9" s="44"/>
      <c r="Q9" s="44"/>
    </row>
    <row r="10" spans="2:23" ht="16.5" thickBot="1" x14ac:dyDescent="0.3">
      <c r="B10" s="258" t="e">
        <f>#REF!</f>
        <v>#REF!</v>
      </c>
      <c r="C10" s="259"/>
      <c r="D10" s="259"/>
      <c r="E10" s="259"/>
      <c r="F10" s="259"/>
      <c r="G10" s="259"/>
      <c r="H10" s="259"/>
      <c r="I10" s="259"/>
      <c r="J10" s="260"/>
      <c r="P10" s="44"/>
      <c r="Q10" s="44"/>
    </row>
    <row r="11" spans="2:23" ht="13.5" thickBot="1" x14ac:dyDescent="0.25">
      <c r="B11" s="90" t="e">
        <f>VLOOKUP(#REF!,'Fiche fab'!$AC$87:$AF$88,3)</f>
        <v>#REF!</v>
      </c>
      <c r="C11" s="91" t="e">
        <f>VLOOKUP(#REF!,'Fiche fab'!AC87:AF90,2)</f>
        <v>#REF!</v>
      </c>
      <c r="D11" s="91"/>
      <c r="E11" s="91"/>
      <c r="F11" s="91"/>
      <c r="G11" s="91"/>
      <c r="H11" s="92"/>
      <c r="I11" s="92"/>
      <c r="J11" s="35" t="e">
        <f>VLOOKUP(#REF!,'Fiche fab'!AC87:AF90,4)</f>
        <v>#REF!</v>
      </c>
      <c r="P11" s="44"/>
      <c r="Q11" s="44"/>
      <c r="V11" s="75"/>
    </row>
    <row r="12" spans="2:23" ht="13.5" thickBot="1" x14ac:dyDescent="0.25">
      <c r="B12" s="90" t="e">
        <f>VLOOKUP(#REF!,'Fiche fab'!AC91:AF94,3)</f>
        <v>#REF!</v>
      </c>
      <c r="C12" s="91" t="e">
        <f>VLOOKUP(#REF!,'Fiche fab'!AC91:AF94,2)</f>
        <v>#REF!</v>
      </c>
      <c r="D12" s="91"/>
      <c r="E12" s="91"/>
      <c r="F12" s="91"/>
      <c r="G12" s="91"/>
      <c r="H12" s="92"/>
      <c r="I12" s="92"/>
      <c r="J12" s="35" t="e">
        <f>VLOOKUP(#REF!,'Fiche fab'!AC91:AF94,4)</f>
        <v>#REF!</v>
      </c>
      <c r="P12" s="44"/>
      <c r="Q12" s="44"/>
      <c r="U12" s="75"/>
      <c r="V12" s="75"/>
      <c r="W12" s="75"/>
    </row>
    <row r="13" spans="2:23" ht="13.5" thickBot="1" x14ac:dyDescent="0.25">
      <c r="B13" s="90" t="e">
        <f>VLOOKUP(#REF!,'Fiche fab'!AC95:AF98,3)</f>
        <v>#REF!</v>
      </c>
      <c r="C13" s="91" t="e">
        <f>VLOOKUP(#REF!,'Fiche fab'!AC95:AF98,2)</f>
        <v>#REF!</v>
      </c>
      <c r="D13" s="91"/>
      <c r="E13" s="91"/>
      <c r="F13" s="91"/>
      <c r="G13" s="91"/>
      <c r="H13" s="92"/>
      <c r="I13" s="92"/>
      <c r="J13" s="35" t="e">
        <f>VLOOKUP(#REF!,'Fiche fab'!AC95:AF98,4)</f>
        <v>#REF!</v>
      </c>
      <c r="P13" s="44"/>
      <c r="Q13" s="44"/>
      <c r="U13" s="75"/>
      <c r="V13" s="115"/>
      <c r="W13" s="115"/>
    </row>
    <row r="14" spans="2:23" ht="13.5" thickBot="1" x14ac:dyDescent="0.25">
      <c r="B14" s="90" t="e">
        <f>VLOOKUP(#REF!,Z3:AC22,3)</f>
        <v>#REF!</v>
      </c>
      <c r="C14" s="261" t="e">
        <f>VLOOKUP(#REF!,'Fiche fab'!AC99:AF102,2)</f>
        <v>#REF!</v>
      </c>
      <c r="D14" s="261" t="e">
        <f>VLOOKUP(#REF!,'Fiche fab'!AG23:AH24,3)</f>
        <v>#REF!</v>
      </c>
      <c r="E14" s="261" t="e">
        <f>VLOOKUP(#REF!,'Fiche fab'!AG23:AI24,3)</f>
        <v>#REF!</v>
      </c>
      <c r="F14" s="261" t="e">
        <f>VLOOKUP(#REF!,'Fiche fab'!AG23:AJ24,3)</f>
        <v>#REF!</v>
      </c>
      <c r="G14" s="261" t="e">
        <f>VLOOKUP(#REF!,'Fiche fab'!AH23:AK24,3)</f>
        <v>#REF!</v>
      </c>
      <c r="H14" s="93"/>
      <c r="I14" s="93"/>
      <c r="J14" s="35" t="e">
        <f>VLOOKUP(#REF!,'Fiche fab'!AC99:AF102,4)</f>
        <v>#REF!</v>
      </c>
      <c r="K14" t="e">
        <f>VLOOKUP(#REF!,'Fiche fab'!AK19:AN24,3)</f>
        <v>#REF!</v>
      </c>
      <c r="L14" t="e">
        <f>VLOOKUP(#REF!,'Fiche fab'!AL19:AO24,3)</f>
        <v>#REF!</v>
      </c>
      <c r="M14" t="e">
        <f>VLOOKUP(#REF!,'Fiche fab'!AM19:AP24,3)</f>
        <v>#REF!</v>
      </c>
      <c r="N14" t="e">
        <f>VLOOKUP(#REF!,'Fiche fab'!AN19:AQ24,3)</f>
        <v>#REF!</v>
      </c>
      <c r="P14" s="44"/>
      <c r="Q14" s="44"/>
      <c r="U14" s="115"/>
      <c r="V14" s="85"/>
      <c r="W14" s="115"/>
    </row>
    <row r="15" spans="2:23" ht="13.5" thickBot="1" x14ac:dyDescent="0.25">
      <c r="B15" s="90"/>
      <c r="C15" s="91" t="str">
        <f>'Fiche fab'!B15</f>
        <v>Blanc 011</v>
      </c>
      <c r="D15" s="91"/>
      <c r="E15" s="91"/>
      <c r="F15" s="91"/>
      <c r="G15" s="91"/>
      <c r="H15" s="93"/>
      <c r="I15" s="93"/>
      <c r="J15" s="35"/>
      <c r="P15" s="44"/>
      <c r="Q15" s="44"/>
      <c r="U15" s="115"/>
      <c r="W15" s="115"/>
    </row>
    <row r="16" spans="2:23" ht="13.5" thickBot="1" x14ac:dyDescent="0.25">
      <c r="B16" s="90"/>
      <c r="C16" s="91"/>
      <c r="D16" s="91"/>
      <c r="E16" s="91"/>
      <c r="F16" s="91"/>
      <c r="G16" s="91"/>
      <c r="H16" s="93"/>
      <c r="I16" s="93"/>
      <c r="J16" s="35"/>
      <c r="P16" s="44"/>
      <c r="Q16" s="44"/>
      <c r="U16" s="115"/>
      <c r="W16" s="115"/>
    </row>
    <row r="17" spans="2:23" x14ac:dyDescent="0.2">
      <c r="B17" s="53"/>
      <c r="C17" s="38"/>
      <c r="D17" s="38"/>
      <c r="E17" s="38"/>
      <c r="F17" s="38"/>
      <c r="G17" s="38"/>
      <c r="H17" s="38"/>
      <c r="I17" s="38"/>
      <c r="J17" s="54"/>
      <c r="P17" s="44"/>
      <c r="Q17" s="44"/>
      <c r="U17" s="115"/>
      <c r="W17" s="115"/>
    </row>
    <row r="18" spans="2:23" x14ac:dyDescent="0.2">
      <c r="B18" s="53"/>
      <c r="C18" s="39"/>
      <c r="D18" s="39"/>
      <c r="E18" s="39"/>
      <c r="F18" s="39"/>
      <c r="G18" s="39"/>
      <c r="H18" s="39"/>
      <c r="I18" s="39"/>
      <c r="J18" s="55"/>
      <c r="K18" s="40"/>
      <c r="L18" s="40"/>
      <c r="M18" s="40"/>
      <c r="N18" s="40"/>
      <c r="O18" s="40"/>
      <c r="P18" s="40"/>
      <c r="Q18" s="40"/>
      <c r="U18" s="115"/>
      <c r="V18" s="75"/>
      <c r="W18" s="115"/>
    </row>
    <row r="19" spans="2:23" x14ac:dyDescent="0.2">
      <c r="B19" s="56"/>
      <c r="C19" s="39"/>
      <c r="D19" s="39"/>
      <c r="E19" s="39"/>
      <c r="F19" s="39"/>
      <c r="G19" s="39"/>
      <c r="H19" s="39"/>
      <c r="I19" s="39"/>
      <c r="J19" s="55"/>
      <c r="K19" s="40"/>
      <c r="L19" s="40"/>
      <c r="M19" s="40"/>
      <c r="N19" s="40"/>
      <c r="O19" s="40"/>
      <c r="P19" s="40"/>
      <c r="Q19" s="40"/>
      <c r="U19" s="115"/>
      <c r="V19" s="75"/>
      <c r="W19" s="115"/>
    </row>
    <row r="20" spans="2:23" x14ac:dyDescent="0.2">
      <c r="B20" s="56"/>
      <c r="C20" s="39"/>
      <c r="D20" s="39"/>
      <c r="E20" s="39"/>
      <c r="F20" s="39"/>
      <c r="G20" s="39"/>
      <c r="H20" s="39"/>
      <c r="I20" s="39"/>
      <c r="J20" s="55"/>
      <c r="K20" s="40"/>
      <c r="L20" s="40"/>
      <c r="M20" s="40"/>
      <c r="N20" s="40"/>
      <c r="O20" s="40"/>
      <c r="P20" s="40"/>
      <c r="Q20" s="40"/>
      <c r="U20" s="115"/>
      <c r="V20" s="75"/>
      <c r="W20" s="115"/>
    </row>
    <row r="21" spans="2:23" x14ac:dyDescent="0.2">
      <c r="B21" s="56"/>
      <c r="C21" s="39"/>
      <c r="D21" s="39"/>
      <c r="E21" s="39"/>
      <c r="F21" s="39"/>
      <c r="G21" s="39"/>
      <c r="H21" s="39"/>
      <c r="I21" s="39"/>
      <c r="J21" s="55"/>
      <c r="K21" s="40"/>
      <c r="L21" s="40"/>
      <c r="M21" s="40"/>
      <c r="N21" s="40"/>
      <c r="O21" s="40"/>
      <c r="P21" s="40"/>
      <c r="Q21" s="40"/>
      <c r="U21" s="115"/>
      <c r="V21" s="75"/>
      <c r="W21" s="115"/>
    </row>
    <row r="22" spans="2:23" ht="13.5" thickBot="1" x14ac:dyDescent="0.25">
      <c r="B22" s="57"/>
      <c r="C22" s="58"/>
      <c r="D22" s="58"/>
      <c r="E22" s="58"/>
      <c r="F22" s="58"/>
      <c r="G22" s="58"/>
      <c r="H22" s="58"/>
      <c r="I22" s="108"/>
      <c r="J22" s="59"/>
    </row>
  </sheetData>
  <mergeCells count="7">
    <mergeCell ref="B10:J10"/>
    <mergeCell ref="C14:G14"/>
    <mergeCell ref="B3:J3"/>
    <mergeCell ref="C4:G4"/>
    <mergeCell ref="C9:G9"/>
    <mergeCell ref="C5:G5"/>
    <mergeCell ref="C8:G8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7DCA9685-D42F-4240-B540-064BFAEDE15E}">
            <xm:f>'Fiche fab'!#REF!=Tendance</xm:f>
            <x14:dxf>
              <font>
                <strike/>
                <condense val="0"/>
                <extend val="0"/>
              </font>
            </x14:dxf>
          </x14:cfRule>
          <xm:sqref>C11:G13 V14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V65"/>
  <sheetViews>
    <sheetView workbookViewId="0">
      <selection activeCell="M33" sqref="M33"/>
    </sheetView>
  </sheetViews>
  <sheetFormatPr baseColWidth="10" defaultRowHeight="12.75" x14ac:dyDescent="0.2"/>
  <cols>
    <col min="1" max="1" width="16.140625" bestFit="1" customWidth="1"/>
    <col min="13" max="13" width="5.140625" customWidth="1"/>
    <col min="15" max="15" width="8" customWidth="1"/>
    <col min="16" max="16" width="7.42578125" customWidth="1"/>
  </cols>
  <sheetData>
    <row r="1" spans="1:22" x14ac:dyDescent="0.2">
      <c r="O1" s="268" t="s">
        <v>210</v>
      </c>
      <c r="P1" s="268"/>
      <c r="Q1" s="268" t="s">
        <v>211</v>
      </c>
      <c r="R1" s="268"/>
    </row>
    <row r="2" spans="1:22" x14ac:dyDescent="0.2">
      <c r="A2" s="8" t="s">
        <v>121</v>
      </c>
      <c r="B2" s="117" t="s">
        <v>96</v>
      </c>
      <c r="C2" s="117" t="s">
        <v>97</v>
      </c>
      <c r="D2" s="117" t="s">
        <v>130</v>
      </c>
      <c r="E2" s="117" t="s">
        <v>93</v>
      </c>
      <c r="F2" s="117" t="s">
        <v>131</v>
      </c>
      <c r="G2" s="117" t="s">
        <v>132</v>
      </c>
      <c r="H2" s="117" t="s">
        <v>137</v>
      </c>
      <c r="I2" s="117" t="s">
        <v>138</v>
      </c>
      <c r="J2" s="117" t="s">
        <v>139</v>
      </c>
      <c r="K2" s="236"/>
      <c r="L2" s="117" t="s">
        <v>140</v>
      </c>
      <c r="M2" s="8" t="s">
        <v>141</v>
      </c>
      <c r="N2" s="176"/>
      <c r="O2" s="176" t="s">
        <v>217</v>
      </c>
      <c r="P2" s="176" t="s">
        <v>149</v>
      </c>
      <c r="Q2" s="176" t="s">
        <v>217</v>
      </c>
      <c r="R2" s="176" t="s">
        <v>149</v>
      </c>
      <c r="S2" s="2"/>
      <c r="T2" s="2"/>
      <c r="U2" s="2"/>
      <c r="V2" s="2"/>
    </row>
    <row r="3" spans="1:22" x14ac:dyDescent="0.2">
      <c r="A3" s="115" t="s">
        <v>98</v>
      </c>
      <c r="B3" s="75" t="s">
        <v>2</v>
      </c>
      <c r="C3" s="75" t="s">
        <v>2</v>
      </c>
      <c r="D3" s="2" t="e">
        <f>IF('Fiche fab'!$F$6="PORTILLON",'Table modèle'!D41/2,'Table modèle'!D41)</f>
        <v>#N/A</v>
      </c>
      <c r="E3" s="2" t="e">
        <f>IF('Fiche fab'!$F$6="PORTILLON",'Table modèle'!E41/2,'Table modèle'!E41)</f>
        <v>#N/A</v>
      </c>
      <c r="F3" t="s">
        <v>134</v>
      </c>
      <c r="G3" t="s">
        <v>134</v>
      </c>
      <c r="I3" s="2" t="e">
        <f>IF(OR(B3="CDG",B3="BOMBE"),'Fiche fab'!$F$10-156,'Fiche fab'!$F$10-6)</f>
        <v>#N/A</v>
      </c>
      <c r="J3" s="2" t="e">
        <f>IF(OR(B3="DROIT",B3="CDG",B3="BOMBE"),'Fiche fab'!$F$10-6,'Fiche fab'!$F$10-156)</f>
        <v>#N/A</v>
      </c>
      <c r="L3">
        <f>IF(OR(C3="CDG",C3="BOMBE"),'Fiche fab'!$B$13-198,'Fiche fab'!$B$13-48)</f>
        <v>752</v>
      </c>
      <c r="M3">
        <f>IF(OR(C3="DROIT",C3="CDG",C3="BOMBE"),'Fiche fab'!$B$13-48,'Fiche fab'!$B$13-198)</f>
        <v>752</v>
      </c>
      <c r="N3" s="75">
        <v>2</v>
      </c>
      <c r="O3">
        <f>L3-146</f>
        <v>606</v>
      </c>
      <c r="P3">
        <f>M3-146</f>
        <v>606</v>
      </c>
      <c r="Q3" t="e">
        <f>(I3-L3)-138</f>
        <v>#N/A</v>
      </c>
      <c r="R3" t="e">
        <f>(J3-M3)-138</f>
        <v>#N/A</v>
      </c>
      <c r="U3" s="75"/>
    </row>
    <row r="4" spans="1:22" x14ac:dyDescent="0.2">
      <c r="A4" s="115" t="s">
        <v>99</v>
      </c>
      <c r="B4" s="75" t="s">
        <v>100</v>
      </c>
      <c r="C4" s="75" t="s">
        <v>2</v>
      </c>
      <c r="D4" s="2" t="e">
        <f>IF('Fiche fab'!$F$6="PORTILLON",'Table modèle'!D42/2,'Table modèle'!D42)</f>
        <v>#N/A</v>
      </c>
      <c r="E4" s="2" t="e">
        <f>IF('Fiche fab'!$F$6="PORTILLON",'Table modèle'!E42/2,'Table modèle'!E42)</f>
        <v>#N/A</v>
      </c>
      <c r="F4" t="s">
        <v>134</v>
      </c>
      <c r="G4" t="s">
        <v>134</v>
      </c>
      <c r="I4" s="2" t="e">
        <f>IF(OR(B4="CDG",B4="BOMBE"),'Fiche fab'!$F$10-156,'Fiche fab'!$F$10-6)</f>
        <v>#N/A</v>
      </c>
      <c r="J4" s="2" t="e">
        <f>IF(OR(B4="DROIT",B4="CDG",B4="BOMBE"),'Fiche fab'!$F$10-6,'Fiche fab'!$F$10-156)</f>
        <v>#N/A</v>
      </c>
      <c r="L4">
        <f>IF(OR(C4="CDG",C4="BOMBE"),'Fiche fab'!$B$13-198,'Fiche fab'!$B$13-48)</f>
        <v>752</v>
      </c>
      <c r="M4">
        <f>IF(OR(C4="DROIT",C4="CDG",C4="BOMBE"),'Fiche fab'!$B$13-48,'Fiche fab'!$B$13-198)</f>
        <v>752</v>
      </c>
      <c r="N4" s="75">
        <v>2</v>
      </c>
      <c r="O4">
        <f t="shared" ref="O4:O35" si="0">L4-146</f>
        <v>606</v>
      </c>
      <c r="P4">
        <f>M4-146</f>
        <v>606</v>
      </c>
      <c r="Q4" t="e">
        <f t="shared" ref="Q4:Q35" si="1">(I4-L4)-138</f>
        <v>#N/A</v>
      </c>
      <c r="R4" t="e">
        <f t="shared" ref="R4:R35" si="2">(J4-M4)-138</f>
        <v>#N/A</v>
      </c>
      <c r="U4" s="75"/>
    </row>
    <row r="5" spans="1:22" x14ac:dyDescent="0.2">
      <c r="A5" s="115" t="s">
        <v>231</v>
      </c>
      <c r="B5" s="75" t="s">
        <v>88</v>
      </c>
      <c r="C5" s="75" t="s">
        <v>223</v>
      </c>
      <c r="D5" s="2">
        <v>2</v>
      </c>
      <c r="E5" s="2">
        <v>1</v>
      </c>
      <c r="F5" s="75" t="s">
        <v>223</v>
      </c>
      <c r="G5" s="75" t="s">
        <v>134</v>
      </c>
      <c r="H5" s="75" t="s">
        <v>88</v>
      </c>
      <c r="I5" s="2" t="e">
        <f>IF(OR(B5="CDG",B5="BOMBE"),'Fiche fab'!$F$10-156,'Fiche fab'!$F$10-6)</f>
        <v>#N/A</v>
      </c>
      <c r="J5" s="2" t="e">
        <f>IF(OR(B5="DROIT",B5="CDG",B5="BOMBE"),'Fiche fab'!$F$10-6,'Fiche fab'!$F$10-156)</f>
        <v>#N/A</v>
      </c>
      <c r="L5" s="75" t="s">
        <v>223</v>
      </c>
      <c r="M5" s="75" t="s">
        <v>223</v>
      </c>
      <c r="N5" s="75">
        <v>2</v>
      </c>
      <c r="O5" t="e">
        <f t="shared" ref="O5:P8" si="3">I5-204</f>
        <v>#N/A</v>
      </c>
      <c r="P5" t="e">
        <f t="shared" si="3"/>
        <v>#N/A</v>
      </c>
      <c r="U5" s="75"/>
    </row>
    <row r="6" spans="1:22" x14ac:dyDescent="0.2">
      <c r="A6" s="115" t="s">
        <v>232</v>
      </c>
      <c r="B6" s="75" t="s">
        <v>91</v>
      </c>
      <c r="C6" s="75" t="s">
        <v>223</v>
      </c>
      <c r="D6" s="2">
        <v>2</v>
      </c>
      <c r="E6" s="2">
        <v>1</v>
      </c>
      <c r="F6" s="75" t="s">
        <v>223</v>
      </c>
      <c r="G6" s="75" t="s">
        <v>134</v>
      </c>
      <c r="H6" s="75" t="s">
        <v>88</v>
      </c>
      <c r="I6" s="2" t="e">
        <f>IF(OR(B6="CDG",B6="BOMBE"),'Fiche fab'!$F$10-156,'Fiche fab'!$F$10-6)</f>
        <v>#N/A</v>
      </c>
      <c r="J6" s="2" t="e">
        <f>IF(OR(B6="DROIT",B6="CDG",B6="BOMBE"),'Fiche fab'!$F$10-6,'Fiche fab'!$F$10-156)</f>
        <v>#N/A</v>
      </c>
      <c r="L6" s="75" t="s">
        <v>223</v>
      </c>
      <c r="M6" s="75" t="s">
        <v>223</v>
      </c>
      <c r="N6" s="75">
        <v>2</v>
      </c>
      <c r="O6" t="e">
        <f t="shared" si="3"/>
        <v>#N/A</v>
      </c>
      <c r="P6" t="e">
        <f t="shared" si="3"/>
        <v>#N/A</v>
      </c>
      <c r="U6" s="75"/>
    </row>
    <row r="7" spans="1:22" x14ac:dyDescent="0.2">
      <c r="A7" s="115" t="s">
        <v>233</v>
      </c>
      <c r="B7" s="75" t="s">
        <v>89</v>
      </c>
      <c r="C7" s="75" t="s">
        <v>223</v>
      </c>
      <c r="D7" s="2">
        <v>2</v>
      </c>
      <c r="E7" s="2">
        <v>1</v>
      </c>
      <c r="F7" s="75" t="s">
        <v>223</v>
      </c>
      <c r="G7" s="75" t="s">
        <v>134</v>
      </c>
      <c r="H7" s="75" t="s">
        <v>89</v>
      </c>
      <c r="I7" s="2" t="e">
        <f>IF(OR(B7="CDG",B7="BOMBE"),'Fiche fab'!$F$10-156,'Fiche fab'!$F$10-6)</f>
        <v>#N/A</v>
      </c>
      <c r="J7" s="2" t="e">
        <f>IF(OR(B7="DROIT",B7="CDG",B7="BOMBE"),'Fiche fab'!$F$10-6,'Fiche fab'!$F$10-156)</f>
        <v>#N/A</v>
      </c>
      <c r="L7" s="75" t="s">
        <v>223</v>
      </c>
      <c r="M7" s="75" t="s">
        <v>223</v>
      </c>
      <c r="N7" s="75">
        <v>2</v>
      </c>
      <c r="O7" t="e">
        <f t="shared" si="3"/>
        <v>#N/A</v>
      </c>
      <c r="P7" t="e">
        <f t="shared" si="3"/>
        <v>#N/A</v>
      </c>
      <c r="U7" s="75"/>
    </row>
    <row r="8" spans="1:22" x14ac:dyDescent="0.2">
      <c r="A8" s="115" t="s">
        <v>234</v>
      </c>
      <c r="B8" s="75" t="s">
        <v>90</v>
      </c>
      <c r="C8" s="75" t="s">
        <v>223</v>
      </c>
      <c r="D8" s="2">
        <v>2</v>
      </c>
      <c r="E8" s="2">
        <v>1</v>
      </c>
      <c r="F8" s="75" t="s">
        <v>223</v>
      </c>
      <c r="G8" s="75" t="s">
        <v>134</v>
      </c>
      <c r="H8" s="75" t="s">
        <v>89</v>
      </c>
      <c r="I8" s="2" t="e">
        <f>IF(OR(B8="CDG",B8="BOMBE"),'Fiche fab'!$F$10-156,'Fiche fab'!$F$10-6)</f>
        <v>#N/A</v>
      </c>
      <c r="J8" s="2" t="e">
        <f>IF(OR(B8="DROIT",B8="CDG",B8="BOMBE"),'Fiche fab'!$F$10-6,'Fiche fab'!$F$10-156)</f>
        <v>#N/A</v>
      </c>
      <c r="L8" s="75" t="s">
        <v>223</v>
      </c>
      <c r="M8" s="75" t="s">
        <v>223</v>
      </c>
      <c r="N8" s="75">
        <v>2</v>
      </c>
      <c r="O8" t="e">
        <f t="shared" si="3"/>
        <v>#N/A</v>
      </c>
      <c r="P8" t="e">
        <f t="shared" si="3"/>
        <v>#N/A</v>
      </c>
      <c r="U8" s="75"/>
    </row>
    <row r="9" spans="1:22" x14ac:dyDescent="0.2">
      <c r="A9" s="115" t="s">
        <v>101</v>
      </c>
      <c r="B9" s="75" t="s">
        <v>88</v>
      </c>
      <c r="C9" s="75" t="s">
        <v>2</v>
      </c>
      <c r="D9" s="2" t="e">
        <f>IF('Fiche fab'!$F$6="PORTILLON",'Table modèle'!D43/2,'Table modèle'!D43)</f>
        <v>#N/A</v>
      </c>
      <c r="E9" s="2">
        <v>1</v>
      </c>
      <c r="F9" t="s">
        <v>133</v>
      </c>
      <c r="G9" t="s">
        <v>134</v>
      </c>
      <c r="H9" s="75" t="s">
        <v>88</v>
      </c>
      <c r="I9" s="2" t="e">
        <f>IF(OR(B9="CDG",B9="BOMBE"),'Fiche fab'!$F$10-156,'Fiche fab'!$F$10-6)</f>
        <v>#N/A</v>
      </c>
      <c r="J9" s="2" t="e">
        <f>IF(OR(B9="DROIT",B9="CDG",B9="BOMBE"),'Fiche fab'!$F$10-6,'Fiche fab'!$F$10-156)</f>
        <v>#N/A</v>
      </c>
      <c r="L9">
        <f>IF(OR(C9="CDG",C9="BOMBE"),'Fiche fab'!$B$13-198,'Fiche fab'!$B$13-48)</f>
        <v>752</v>
      </c>
      <c r="M9">
        <f>IF(OR(C9="DROIT",C9="CDG",C9="BOMBE"),'Fiche fab'!$B$13-48,'Fiche fab'!$B$13-198)</f>
        <v>752</v>
      </c>
      <c r="N9" s="75">
        <v>2</v>
      </c>
      <c r="O9">
        <f t="shared" si="0"/>
        <v>606</v>
      </c>
      <c r="P9">
        <f t="shared" ref="P9:P35" si="4">M9-146</f>
        <v>606</v>
      </c>
      <c r="Q9" t="e">
        <f t="shared" si="1"/>
        <v>#N/A</v>
      </c>
      <c r="R9" t="e">
        <f t="shared" si="2"/>
        <v>#N/A</v>
      </c>
      <c r="U9" s="75"/>
    </row>
    <row r="10" spans="1:22" x14ac:dyDescent="0.2">
      <c r="A10" s="115" t="s">
        <v>103</v>
      </c>
      <c r="B10" s="75" t="s">
        <v>89</v>
      </c>
      <c r="C10" s="75" t="s">
        <v>2</v>
      </c>
      <c r="D10" s="2" t="e">
        <f>IF('Fiche fab'!$F$6="PORTILLON",'Table modèle'!D44/2,'Table modèle'!D44)</f>
        <v>#N/A</v>
      </c>
      <c r="E10" s="2">
        <v>1</v>
      </c>
      <c r="F10" t="s">
        <v>133</v>
      </c>
      <c r="G10" t="s">
        <v>134</v>
      </c>
      <c r="H10" s="75" t="s">
        <v>89</v>
      </c>
      <c r="I10" s="2" t="e">
        <f>IF(OR(B10="CDG",B10="BOMBE"),'Fiche fab'!$F$10-156,'Fiche fab'!$F$10-6)</f>
        <v>#N/A</v>
      </c>
      <c r="J10" s="2" t="e">
        <f>IF(OR(B10="DROIT",B10="CDG",B10="BOMBE"),'Fiche fab'!$F$10-6,'Fiche fab'!$F$10-156)</f>
        <v>#N/A</v>
      </c>
      <c r="L10">
        <f>IF(OR(C10="CDG",C10="BOMBE"),'Fiche fab'!$B$13-198,'Fiche fab'!$B$13-48)</f>
        <v>752</v>
      </c>
      <c r="M10">
        <f>IF(OR(C10="DROIT",C10="CDG",C10="BOMBE"),'Fiche fab'!$B$13-48,'Fiche fab'!$B$13-198)</f>
        <v>752</v>
      </c>
      <c r="N10" s="75">
        <v>2</v>
      </c>
      <c r="O10">
        <f t="shared" si="0"/>
        <v>606</v>
      </c>
      <c r="P10">
        <f t="shared" si="4"/>
        <v>606</v>
      </c>
      <c r="Q10" t="e">
        <f t="shared" si="1"/>
        <v>#N/A</v>
      </c>
      <c r="R10" t="e">
        <f t="shared" si="2"/>
        <v>#N/A</v>
      </c>
      <c r="U10" s="75"/>
    </row>
    <row r="11" spans="1:22" x14ac:dyDescent="0.2">
      <c r="A11" s="115" t="s">
        <v>104</v>
      </c>
      <c r="B11" s="75" t="s">
        <v>90</v>
      </c>
      <c r="C11" s="75" t="s">
        <v>2</v>
      </c>
      <c r="D11" s="2" t="e">
        <f>IF('Fiche fab'!$F$6="PORTILLON",'Table modèle'!D45/2,'Table modèle'!D45)</f>
        <v>#N/A</v>
      </c>
      <c r="E11" s="2" t="e">
        <f>IF('Fiche fab'!$F$6="PORTILLON",'Table modèle'!E45/2,'Table modèle'!E45)</f>
        <v>#N/A</v>
      </c>
      <c r="F11" t="s">
        <v>133</v>
      </c>
      <c r="G11" t="s">
        <v>134</v>
      </c>
      <c r="H11" s="75" t="s">
        <v>89</v>
      </c>
      <c r="I11" s="2" t="e">
        <f>IF(OR(B11="CDG",B11="BOMBE"),'Fiche fab'!$F$10-156,'Fiche fab'!$F$10-6)</f>
        <v>#N/A</v>
      </c>
      <c r="J11" s="2" t="e">
        <f>IF(OR(B11="DROIT",B11="CDG",B11="BOMBE"),'Fiche fab'!$F$10-6,'Fiche fab'!$F$10-156)</f>
        <v>#N/A</v>
      </c>
      <c r="L11">
        <f>IF(OR(C11="CDG",C11="BOMBE"),'Fiche fab'!$B$13-198,'Fiche fab'!$B$13-48)</f>
        <v>752</v>
      </c>
      <c r="M11">
        <f>IF(OR(C11="DROIT",C11="CDG",C11="BOMBE"),'Fiche fab'!$B$13-48,'Fiche fab'!$B$13-198)</f>
        <v>752</v>
      </c>
      <c r="N11" s="75">
        <v>2</v>
      </c>
      <c r="O11">
        <f t="shared" si="0"/>
        <v>606</v>
      </c>
      <c r="P11">
        <f t="shared" si="4"/>
        <v>606</v>
      </c>
      <c r="Q11" t="e">
        <f t="shared" si="1"/>
        <v>#N/A</v>
      </c>
      <c r="R11" t="e">
        <f t="shared" si="2"/>
        <v>#N/A</v>
      </c>
      <c r="U11" s="75"/>
    </row>
    <row r="12" spans="1:22" x14ac:dyDescent="0.2">
      <c r="A12" s="115" t="s">
        <v>102</v>
      </c>
      <c r="B12" s="75" t="s">
        <v>91</v>
      </c>
      <c r="C12" s="75" t="s">
        <v>2</v>
      </c>
      <c r="D12" s="2" t="e">
        <f>IF('Fiche fab'!$F$6="PORTILLON",'Table modèle'!D46/2,'Table modèle'!D46)</f>
        <v>#N/A</v>
      </c>
      <c r="E12" s="2" t="e">
        <f>IF('Fiche fab'!$F$6="PORTILLON",'Table modèle'!E46/2,'Table modèle'!E46)</f>
        <v>#N/A</v>
      </c>
      <c r="F12" t="s">
        <v>133</v>
      </c>
      <c r="G12" t="s">
        <v>134</v>
      </c>
      <c r="H12" s="75" t="s">
        <v>88</v>
      </c>
      <c r="I12" s="2" t="e">
        <f>IF(OR(B12="CDG",B12="BOMBE"),'Fiche fab'!$F$10-156,'Fiche fab'!$F$10-6)</f>
        <v>#N/A</v>
      </c>
      <c r="J12" s="2" t="e">
        <f>IF(OR(B12="DROIT",B12="CDG",B12="BOMBE"),'Fiche fab'!$F$10-6,'Fiche fab'!$F$10-156)</f>
        <v>#N/A</v>
      </c>
      <c r="L12">
        <f>IF(OR(C12="CDG",C12="BOMBE"),'Fiche fab'!$B$13-198,'Fiche fab'!$B$13-48)</f>
        <v>752</v>
      </c>
      <c r="M12">
        <f>IF(OR(C12="DROIT",C12="CDG",C12="BOMBE"),'Fiche fab'!$B$13-48,'Fiche fab'!$B$13-198)</f>
        <v>752</v>
      </c>
      <c r="N12" s="75">
        <v>2</v>
      </c>
      <c r="O12">
        <f t="shared" si="0"/>
        <v>606</v>
      </c>
      <c r="P12">
        <f t="shared" si="4"/>
        <v>606</v>
      </c>
      <c r="Q12" t="e">
        <f t="shared" si="1"/>
        <v>#N/A</v>
      </c>
      <c r="R12" t="e">
        <f t="shared" si="2"/>
        <v>#N/A</v>
      </c>
      <c r="U12" s="75"/>
    </row>
    <row r="13" spans="1:22" x14ac:dyDescent="0.2">
      <c r="A13" s="88" t="s">
        <v>160</v>
      </c>
      <c r="B13" s="75" t="s">
        <v>2</v>
      </c>
      <c r="C13" s="75" t="s">
        <v>2</v>
      </c>
      <c r="D13" s="2" t="e">
        <f>IF('Fiche fab'!$F$6="PORTILLON",'Table modèle'!D47/2,'Table modèle'!D47)</f>
        <v>#N/A</v>
      </c>
      <c r="E13" s="2" t="e">
        <f>IF('Fiche fab'!$F$6="PORTILLON",'Table modèle'!E47/2,'Table modèle'!E47)</f>
        <v>#N/A</v>
      </c>
      <c r="F13" t="s">
        <v>133</v>
      </c>
      <c r="G13" t="s">
        <v>134</v>
      </c>
      <c r="H13" s="75"/>
      <c r="I13" s="2" t="e">
        <f>IF(OR(B13="CDG",B13="BOMBE"),'Fiche fab'!$F$10-156,'Fiche fab'!$F$10-6)</f>
        <v>#N/A</v>
      </c>
      <c r="J13" s="2" t="e">
        <f>IF(OR(B13="DROIT",B13="CDG",B13="BOMBE"),'Fiche fab'!$F$10-6,'Fiche fab'!$F$10-156)</f>
        <v>#N/A</v>
      </c>
      <c r="L13">
        <f>IF(OR(C13="CDG",C13="BOMBE"),'Fiche fab'!$B$13-198,'Fiche fab'!$B$13-48)</f>
        <v>752</v>
      </c>
      <c r="M13">
        <f>IF(OR(C13="DROIT",C13="CDG",C13="BOMBE"),'Fiche fab'!$B$13-48,'Fiche fab'!$B$13-198)</f>
        <v>752</v>
      </c>
      <c r="N13" s="75">
        <v>2</v>
      </c>
      <c r="O13">
        <f t="shared" si="0"/>
        <v>606</v>
      </c>
      <c r="P13">
        <f t="shared" si="4"/>
        <v>606</v>
      </c>
      <c r="Q13" t="e">
        <f t="shared" si="1"/>
        <v>#N/A</v>
      </c>
      <c r="R13" t="e">
        <f t="shared" si="2"/>
        <v>#N/A</v>
      </c>
      <c r="U13" s="75"/>
    </row>
    <row r="14" spans="1:22" x14ac:dyDescent="0.2">
      <c r="A14" s="88" t="s">
        <v>161</v>
      </c>
      <c r="B14" s="75" t="s">
        <v>100</v>
      </c>
      <c r="C14" s="75" t="s">
        <v>2</v>
      </c>
      <c r="D14" s="2" t="e">
        <f>IF('Fiche fab'!$F$6="PORTILLON",'Table modèle'!D48/2,'Table modèle'!D48)</f>
        <v>#N/A</v>
      </c>
      <c r="E14" s="2" t="e">
        <f>IF('Fiche fab'!$F$6="PORTILLON",'Table modèle'!E48/2,'Table modèle'!E48)</f>
        <v>#N/A</v>
      </c>
      <c r="F14" t="s">
        <v>133</v>
      </c>
      <c r="G14" t="s">
        <v>134</v>
      </c>
      <c r="H14" s="75"/>
      <c r="I14" s="2" t="e">
        <f>IF(OR(B14="CDG",B14="BOMBE"),'Fiche fab'!$F$10-156,'Fiche fab'!$F$10-6)</f>
        <v>#N/A</v>
      </c>
      <c r="J14" s="2" t="e">
        <f>IF(OR(B14="DROIT",B14="CDG",B14="BOMBE"),'Fiche fab'!$F$10-6,'Fiche fab'!$F$10-156)</f>
        <v>#N/A</v>
      </c>
      <c r="L14">
        <f>IF(OR(C14="CDG",C14="BOMBE"),'Fiche fab'!$B$13-198,'Fiche fab'!$B$13-48)</f>
        <v>752</v>
      </c>
      <c r="M14">
        <f>IF(OR(C14="DROIT",C14="CDG",C14="BOMBE"),'Fiche fab'!$B$13-48,'Fiche fab'!$B$13-198)</f>
        <v>752</v>
      </c>
      <c r="N14" s="75">
        <v>2</v>
      </c>
      <c r="O14">
        <f t="shared" si="0"/>
        <v>606</v>
      </c>
      <c r="P14">
        <f t="shared" si="4"/>
        <v>606</v>
      </c>
      <c r="Q14" t="e">
        <f t="shared" si="1"/>
        <v>#N/A</v>
      </c>
      <c r="R14" t="e">
        <f t="shared" si="2"/>
        <v>#N/A</v>
      </c>
      <c r="U14" s="75"/>
    </row>
    <row r="15" spans="1:22" x14ac:dyDescent="0.2">
      <c r="A15" s="89" t="s">
        <v>95</v>
      </c>
      <c r="B15" s="75" t="s">
        <v>2</v>
      </c>
      <c r="C15" s="75" t="s">
        <v>88</v>
      </c>
      <c r="D15" s="2" t="e">
        <f>IF('Fiche fab'!$F$6="PORTILLON",'Table modèle'!D49/2,'Table modèle'!D49)</f>
        <v>#N/A</v>
      </c>
      <c r="E15" s="2">
        <v>1</v>
      </c>
      <c r="F15" s="75" t="s">
        <v>133</v>
      </c>
      <c r="G15" t="s">
        <v>134</v>
      </c>
      <c r="H15" s="75" t="s">
        <v>88</v>
      </c>
      <c r="I15" s="2" t="e">
        <f>IF(OR(B15="CDG",B15="BOMBE"),'Fiche fab'!$F$10-156,'Fiche fab'!$F$10-6)</f>
        <v>#N/A</v>
      </c>
      <c r="J15" s="2" t="e">
        <f>IF(OR(B15="DROIT",B15="CDG",B15="BOMBE"),'Fiche fab'!$F$10-6,'Fiche fab'!$F$10-156)</f>
        <v>#N/A</v>
      </c>
      <c r="L15">
        <f>IF(OR(C15="CDG",C15="BOMBE"),'Fiche fab'!$B$13-198,'Fiche fab'!$B$13-48)</f>
        <v>602</v>
      </c>
      <c r="M15">
        <f>IF(OR(C15="DROIT",C15="CDG",C15="BOMBE"),'Fiche fab'!$B$13-48,'Fiche fab'!$B$13-198)</f>
        <v>752</v>
      </c>
      <c r="N15" s="75">
        <v>2</v>
      </c>
      <c r="O15">
        <f t="shared" si="0"/>
        <v>456</v>
      </c>
      <c r="P15">
        <f t="shared" si="4"/>
        <v>606</v>
      </c>
      <c r="Q15" t="e">
        <f t="shared" si="1"/>
        <v>#N/A</v>
      </c>
      <c r="R15" t="e">
        <f t="shared" si="2"/>
        <v>#N/A</v>
      </c>
      <c r="U15" s="75"/>
    </row>
    <row r="16" spans="1:22" x14ac:dyDescent="0.2">
      <c r="A16" s="115" t="s">
        <v>109</v>
      </c>
      <c r="B16" s="75" t="s">
        <v>88</v>
      </c>
      <c r="C16" s="75" t="s">
        <v>91</v>
      </c>
      <c r="D16" s="2" t="e">
        <f>IF('Fiche fab'!$F$6="PORTILLON",'Table modèle'!D50/2,'Table modèle'!D50)</f>
        <v>#N/A</v>
      </c>
      <c r="E16" s="2">
        <v>2</v>
      </c>
      <c r="F16" t="s">
        <v>133</v>
      </c>
      <c r="G16" t="s">
        <v>134</v>
      </c>
      <c r="H16" s="75" t="s">
        <v>88</v>
      </c>
      <c r="I16" s="2" t="e">
        <f>IF(OR(B16="CDG",B16="BOMBE"),'Fiche fab'!$F$10-156,'Fiche fab'!$F$10-6)</f>
        <v>#N/A</v>
      </c>
      <c r="J16" s="2" t="e">
        <f>IF(OR(B16="DROIT",B16="CDG",B16="BOMBE"),'Fiche fab'!$F$10-6,'Fiche fab'!$F$10-156)</f>
        <v>#N/A</v>
      </c>
      <c r="L16">
        <f>IF(OR(C16="CDG",C16="BOMBE"),'Fiche fab'!$B$13-198,'Fiche fab'!$B$13-48)</f>
        <v>752</v>
      </c>
      <c r="M16">
        <f>IF(OR(C16="DROIT",C16="CDG",C16="BOMBE"),'Fiche fab'!$B$13-48,'Fiche fab'!$B$13-198)</f>
        <v>602</v>
      </c>
      <c r="N16" s="75">
        <v>2</v>
      </c>
      <c r="O16">
        <f t="shared" si="0"/>
        <v>606</v>
      </c>
      <c r="P16">
        <f t="shared" si="4"/>
        <v>456</v>
      </c>
      <c r="Q16" t="e">
        <f t="shared" si="1"/>
        <v>#N/A</v>
      </c>
      <c r="R16" t="e">
        <f t="shared" si="2"/>
        <v>#N/A</v>
      </c>
      <c r="U16" s="75"/>
    </row>
    <row r="17" spans="1:21" x14ac:dyDescent="0.2">
      <c r="A17" s="115" t="s">
        <v>110</v>
      </c>
      <c r="B17" s="75" t="s">
        <v>89</v>
      </c>
      <c r="C17" s="75" t="s">
        <v>90</v>
      </c>
      <c r="D17" s="2" t="e">
        <f>IF('Fiche fab'!$F$6="PORTILLON",'Table modèle'!D51/2,'Table modèle'!D51)</f>
        <v>#N/A</v>
      </c>
      <c r="E17" s="2">
        <v>2</v>
      </c>
      <c r="F17" t="s">
        <v>133</v>
      </c>
      <c r="G17" t="s">
        <v>134</v>
      </c>
      <c r="H17" s="75" t="s">
        <v>89</v>
      </c>
      <c r="I17" s="2" t="e">
        <f>IF(OR(B17="CDG",B17="BOMBE"),'Fiche fab'!$F$10-156,'Fiche fab'!$F$10-6)</f>
        <v>#N/A</v>
      </c>
      <c r="J17" s="2" t="e">
        <f>IF(OR(B17="DROIT",B17="CDG",B17="BOMBE"),'Fiche fab'!$F$10-6,'Fiche fab'!$F$10-156)</f>
        <v>#N/A</v>
      </c>
      <c r="L17">
        <f>IF(OR(C17="CDG",C17="BOMBE"),'Fiche fab'!$B$13-198,'Fiche fab'!$B$13-48)</f>
        <v>752</v>
      </c>
      <c r="M17">
        <f>IF(OR(C17="DROIT",C17="CDG",C17="BOMBE"),'Fiche fab'!$B$13-48,'Fiche fab'!$B$13-198)</f>
        <v>602</v>
      </c>
      <c r="N17" s="75">
        <v>2</v>
      </c>
      <c r="O17">
        <f t="shared" si="0"/>
        <v>606</v>
      </c>
      <c r="P17">
        <f t="shared" si="4"/>
        <v>456</v>
      </c>
      <c r="Q17" t="e">
        <f t="shared" si="1"/>
        <v>#N/A</v>
      </c>
      <c r="R17" t="e">
        <f t="shared" si="2"/>
        <v>#N/A</v>
      </c>
      <c r="U17" s="75"/>
    </row>
    <row r="18" spans="1:21" x14ac:dyDescent="0.2">
      <c r="A18" s="115" t="s">
        <v>111</v>
      </c>
      <c r="B18" s="75" t="s">
        <v>90</v>
      </c>
      <c r="C18" s="75" t="s">
        <v>89</v>
      </c>
      <c r="D18" s="2" t="e">
        <f>IF('Fiche fab'!$F$6="PORTILLON",'Table modèle'!D52/2,'Table modèle'!D52)</f>
        <v>#N/A</v>
      </c>
      <c r="E18" s="2">
        <v>2</v>
      </c>
      <c r="F18" t="s">
        <v>133</v>
      </c>
      <c r="G18" t="s">
        <v>134</v>
      </c>
      <c r="H18" s="75" t="s">
        <v>89</v>
      </c>
      <c r="I18" s="2" t="e">
        <f>IF(OR(B18="CDG",B18="BOMBE"),'Fiche fab'!$F$10-156,'Fiche fab'!$F$10-6)</f>
        <v>#N/A</v>
      </c>
      <c r="J18" s="2" t="e">
        <f>IF(OR(B18="DROIT",B18="CDG",B18="BOMBE"),'Fiche fab'!$F$10-6,'Fiche fab'!$F$10-156)</f>
        <v>#N/A</v>
      </c>
      <c r="L18">
        <f>IF(OR(C18="CDG",C18="BOMBE"),'Fiche fab'!$B$13-198,'Fiche fab'!$B$13-48)</f>
        <v>602</v>
      </c>
      <c r="M18">
        <f>IF(OR(C18="DROIT",C18="CDG",C18="BOMBE"),'Fiche fab'!$B$13-48,'Fiche fab'!$B$13-198)</f>
        <v>752</v>
      </c>
      <c r="N18" s="75">
        <v>2</v>
      </c>
      <c r="O18">
        <f t="shared" si="0"/>
        <v>456</v>
      </c>
      <c r="P18">
        <f t="shared" si="4"/>
        <v>606</v>
      </c>
      <c r="Q18" t="e">
        <f t="shared" si="1"/>
        <v>#N/A</v>
      </c>
      <c r="R18" t="e">
        <f t="shared" si="2"/>
        <v>#N/A</v>
      </c>
      <c r="U18" s="75"/>
    </row>
    <row r="19" spans="1:21" x14ac:dyDescent="0.2">
      <c r="A19" s="115" t="s">
        <v>112</v>
      </c>
      <c r="B19" s="75" t="s">
        <v>91</v>
      </c>
      <c r="C19" s="75" t="s">
        <v>88</v>
      </c>
      <c r="D19" s="2" t="e">
        <f>IF('Fiche fab'!$F$6="PORTILLON",'Table modèle'!D53/2,'Table modèle'!D53)</f>
        <v>#N/A</v>
      </c>
      <c r="E19" s="2">
        <v>2</v>
      </c>
      <c r="F19" t="s">
        <v>133</v>
      </c>
      <c r="G19" t="s">
        <v>134</v>
      </c>
      <c r="H19" s="75" t="s">
        <v>88</v>
      </c>
      <c r="I19" s="2" t="e">
        <f>IF(OR(B19="CDG",B19="BOMBE"),'Fiche fab'!$F$10-156,'Fiche fab'!$F$10-6)</f>
        <v>#N/A</v>
      </c>
      <c r="J19" s="2" t="e">
        <f>IF(OR(B19="DROIT",B19="CDG",B19="BOMBE"),'Fiche fab'!$F$10-6,'Fiche fab'!$F$10-156)</f>
        <v>#N/A</v>
      </c>
      <c r="L19">
        <f>IF(OR(C19="CDG",C19="BOMBE"),'Fiche fab'!$B$13-198,'Fiche fab'!$B$13-48)</f>
        <v>602</v>
      </c>
      <c r="M19">
        <f>IF(OR(C19="DROIT",C19="CDG",C19="BOMBE"),'Fiche fab'!$B$13-48,'Fiche fab'!$B$13-198)</f>
        <v>752</v>
      </c>
      <c r="N19" s="75">
        <v>2</v>
      </c>
      <c r="O19">
        <f t="shared" si="0"/>
        <v>456</v>
      </c>
      <c r="P19">
        <f t="shared" si="4"/>
        <v>606</v>
      </c>
      <c r="Q19" t="e">
        <f t="shared" si="1"/>
        <v>#N/A</v>
      </c>
      <c r="R19" t="e">
        <f t="shared" si="2"/>
        <v>#N/A</v>
      </c>
      <c r="U19" s="75"/>
    </row>
    <row r="20" spans="1:21" x14ac:dyDescent="0.2">
      <c r="A20" s="115" t="s">
        <v>105</v>
      </c>
      <c r="B20" s="75" t="s">
        <v>88</v>
      </c>
      <c r="C20" s="75" t="s">
        <v>88</v>
      </c>
      <c r="D20" s="2" t="e">
        <f>IF('Fiche fab'!$F$6="PORTILLON",'Table modèle'!D54/2,'Table modèle'!D54)</f>
        <v>#N/A</v>
      </c>
      <c r="E20" s="2">
        <v>2</v>
      </c>
      <c r="F20" t="s">
        <v>133</v>
      </c>
      <c r="G20" t="s">
        <v>134</v>
      </c>
      <c r="H20" s="75" t="s">
        <v>88</v>
      </c>
      <c r="I20" s="2" t="e">
        <f>IF(OR(B20="CDG",B20="BOMBE"),'Fiche fab'!$F$10-156,'Fiche fab'!$F$10-6)</f>
        <v>#N/A</v>
      </c>
      <c r="J20" s="2" t="e">
        <f>IF(OR(B20="DROIT",B20="CDG",B20="BOMBE"),'Fiche fab'!$F$10-6,'Fiche fab'!$F$10-156)</f>
        <v>#N/A</v>
      </c>
      <c r="L20">
        <f>IF(OR(C20="CDG",C20="BOMBE"),'Fiche fab'!$B$13-198,'Fiche fab'!$B$13-48)</f>
        <v>602</v>
      </c>
      <c r="M20">
        <f>IF(OR(C20="DROIT",C20="CDG",C20="BOMBE"),'Fiche fab'!$B$13-48,'Fiche fab'!$B$13-198)</f>
        <v>752</v>
      </c>
      <c r="N20" s="75">
        <v>2</v>
      </c>
      <c r="O20">
        <f t="shared" si="0"/>
        <v>456</v>
      </c>
      <c r="P20">
        <f t="shared" si="4"/>
        <v>606</v>
      </c>
      <c r="Q20" t="e">
        <f t="shared" si="1"/>
        <v>#N/A</v>
      </c>
      <c r="R20" t="e">
        <f t="shared" si="2"/>
        <v>#N/A</v>
      </c>
      <c r="U20" s="75"/>
    </row>
    <row r="21" spans="1:21" x14ac:dyDescent="0.2">
      <c r="A21" s="115" t="s">
        <v>106</v>
      </c>
      <c r="B21" s="75" t="s">
        <v>89</v>
      </c>
      <c r="C21" s="75" t="s">
        <v>89</v>
      </c>
      <c r="D21" s="2" t="e">
        <f>IF('Fiche fab'!$F$6="PORTILLON",'Table modèle'!D55/2,'Table modèle'!D55)</f>
        <v>#N/A</v>
      </c>
      <c r="E21" s="2">
        <v>2</v>
      </c>
      <c r="F21" t="s">
        <v>133</v>
      </c>
      <c r="G21" t="s">
        <v>134</v>
      </c>
      <c r="H21" s="75" t="s">
        <v>89</v>
      </c>
      <c r="I21" s="2" t="e">
        <f>IF(OR(B21="CDG",B21="BOMBE"),'Fiche fab'!$F$10-156,'Fiche fab'!$F$10-6)</f>
        <v>#N/A</v>
      </c>
      <c r="J21" s="2" t="e">
        <f>IF(OR(B21="DROIT",B21="CDG",B21="BOMBE"),'Fiche fab'!$F$10-6,'Fiche fab'!$F$10-156)</f>
        <v>#N/A</v>
      </c>
      <c r="L21">
        <f>IF(OR(C21="CDG",C21="BOMBE"),'Fiche fab'!$B$13-198,'Fiche fab'!$B$13-48)</f>
        <v>602</v>
      </c>
      <c r="M21">
        <f>IF(OR(C21="DROIT",C21="CDG",C21="BOMBE"),'Fiche fab'!$B$13-48,'Fiche fab'!$B$13-198)</f>
        <v>752</v>
      </c>
      <c r="N21" s="75">
        <v>2</v>
      </c>
      <c r="O21">
        <f t="shared" si="0"/>
        <v>456</v>
      </c>
      <c r="P21">
        <f t="shared" si="4"/>
        <v>606</v>
      </c>
      <c r="Q21" t="e">
        <f>(I21-L21)-138</f>
        <v>#N/A</v>
      </c>
      <c r="R21" t="e">
        <f t="shared" si="2"/>
        <v>#N/A</v>
      </c>
      <c r="U21" s="75"/>
    </row>
    <row r="22" spans="1:21" x14ac:dyDescent="0.2">
      <c r="A22" s="115" t="s">
        <v>107</v>
      </c>
      <c r="B22" s="75" t="s">
        <v>90</v>
      </c>
      <c r="C22" s="75" t="s">
        <v>90</v>
      </c>
      <c r="D22" s="2" t="e">
        <f>IF('Fiche fab'!$F$6="PORTILLON",'Table modèle'!D56/2,'Table modèle'!D56)</f>
        <v>#N/A</v>
      </c>
      <c r="E22" s="2">
        <v>2</v>
      </c>
      <c r="F22" t="s">
        <v>133</v>
      </c>
      <c r="G22" t="s">
        <v>134</v>
      </c>
      <c r="H22" s="75" t="s">
        <v>89</v>
      </c>
      <c r="I22" s="2" t="e">
        <f>IF(OR(B22="CDG",B22="BOMBE"),'Fiche fab'!$F$10-156,'Fiche fab'!$F$10-6)</f>
        <v>#N/A</v>
      </c>
      <c r="J22" s="2" t="e">
        <f>IF(OR(B22="DROIT",B22="CDG",B22="BOMBE"),'Fiche fab'!$F$10-6,'Fiche fab'!$F$10-156)</f>
        <v>#N/A</v>
      </c>
      <c r="L22">
        <f>IF(OR(C22="CDG",C22="BOMBE"),'Fiche fab'!$B$13-198,'Fiche fab'!$B$13-48)</f>
        <v>752</v>
      </c>
      <c r="M22">
        <f>IF(OR(C22="DROIT",C22="CDG",C22="BOMBE"),'Fiche fab'!$B$13-48,'Fiche fab'!$B$13-198)</f>
        <v>602</v>
      </c>
      <c r="N22" s="75">
        <v>2</v>
      </c>
      <c r="O22">
        <f t="shared" si="0"/>
        <v>606</v>
      </c>
      <c r="P22">
        <f t="shared" si="4"/>
        <v>456</v>
      </c>
      <c r="Q22" t="e">
        <f t="shared" si="1"/>
        <v>#N/A</v>
      </c>
      <c r="R22" t="e">
        <f t="shared" si="2"/>
        <v>#N/A</v>
      </c>
      <c r="U22" s="75"/>
    </row>
    <row r="23" spans="1:21" x14ac:dyDescent="0.2">
      <c r="A23" s="115" t="s">
        <v>108</v>
      </c>
      <c r="B23" s="75" t="s">
        <v>91</v>
      </c>
      <c r="C23" s="75" t="s">
        <v>91</v>
      </c>
      <c r="D23" s="2" t="e">
        <f>IF('Fiche fab'!$F$6="PORTILLON",'Table modèle'!D57/2,'Table modèle'!D57)</f>
        <v>#N/A</v>
      </c>
      <c r="E23" s="2">
        <v>2</v>
      </c>
      <c r="F23" t="s">
        <v>133</v>
      </c>
      <c r="G23" t="s">
        <v>134</v>
      </c>
      <c r="H23" s="75" t="s">
        <v>88</v>
      </c>
      <c r="I23" s="2" t="e">
        <f>IF(OR(B23="CDG",B23="BOMBE"),'Fiche fab'!$F$10-156,'Fiche fab'!$F$10-6)</f>
        <v>#N/A</v>
      </c>
      <c r="J23" s="2" t="e">
        <f>IF(OR(B23="DROIT",B23="CDG",B23="BOMBE"),'Fiche fab'!$F$10-6,'Fiche fab'!$F$10-156)</f>
        <v>#N/A</v>
      </c>
      <c r="L23">
        <f>IF(OR(C23="CDG",C23="BOMBE"),'Fiche fab'!$B$13-198,'Fiche fab'!$B$13-48)</f>
        <v>752</v>
      </c>
      <c r="M23">
        <f>IF(OR(C23="DROIT",C23="CDG",C23="BOMBE"),'Fiche fab'!$B$13-48,'Fiche fab'!$B$13-198)</f>
        <v>602</v>
      </c>
      <c r="N23" s="75">
        <v>2</v>
      </c>
      <c r="O23">
        <f t="shared" si="0"/>
        <v>606</v>
      </c>
      <c r="P23">
        <f t="shared" si="4"/>
        <v>456</v>
      </c>
      <c r="Q23" t="e">
        <f t="shared" si="1"/>
        <v>#N/A</v>
      </c>
      <c r="R23" t="e">
        <f t="shared" si="2"/>
        <v>#N/A</v>
      </c>
      <c r="U23" s="75"/>
    </row>
    <row r="24" spans="1:21" x14ac:dyDescent="0.2">
      <c r="A24" s="115" t="s">
        <v>113</v>
      </c>
      <c r="B24" s="75" t="s">
        <v>88</v>
      </c>
      <c r="C24" s="75" t="s">
        <v>2</v>
      </c>
      <c r="D24" s="2" t="e">
        <f>IF('Fiche fab'!$F$6="PORTILLON",'Table modèle'!D58/2,'Table modèle'!D58)</f>
        <v>#N/A</v>
      </c>
      <c r="E24" s="2">
        <v>1</v>
      </c>
      <c r="F24" t="s">
        <v>134</v>
      </c>
      <c r="G24" t="s">
        <v>134</v>
      </c>
      <c r="H24" s="75" t="s">
        <v>88</v>
      </c>
      <c r="I24" s="2" t="e">
        <f>IF(OR(B24="CDG",B24="BOMBE"),'Fiche fab'!$F$10-156,'Fiche fab'!$F$10-6)</f>
        <v>#N/A</v>
      </c>
      <c r="J24" s="2" t="e">
        <f>IF(OR(B24="DROIT",B24="CDG",B24="BOMBE"),'Fiche fab'!$F$10-6,'Fiche fab'!$F$10-156)</f>
        <v>#N/A</v>
      </c>
      <c r="L24">
        <f>IF(OR(C24="CDG",C24="BOMBE"),'Fiche fab'!$B$13-198,'Fiche fab'!$B$13-48)</f>
        <v>752</v>
      </c>
      <c r="M24">
        <f>IF(OR(C24="DROIT",C24="CDG",C24="BOMBE"),'Fiche fab'!$B$13-48,'Fiche fab'!$B$13-198)</f>
        <v>752</v>
      </c>
      <c r="N24" s="75">
        <v>2</v>
      </c>
      <c r="O24">
        <f t="shared" si="0"/>
        <v>606</v>
      </c>
      <c r="P24">
        <f t="shared" si="4"/>
        <v>606</v>
      </c>
      <c r="Q24" t="e">
        <f t="shared" si="1"/>
        <v>#N/A</v>
      </c>
      <c r="R24" t="e">
        <f t="shared" si="2"/>
        <v>#N/A</v>
      </c>
      <c r="U24" s="75"/>
    </row>
    <row r="25" spans="1:21" x14ac:dyDescent="0.2">
      <c r="A25" s="115" t="s">
        <v>114</v>
      </c>
      <c r="B25" s="75" t="s">
        <v>89</v>
      </c>
      <c r="C25" s="75" t="s">
        <v>2</v>
      </c>
      <c r="D25" s="2" t="e">
        <f>IF('Fiche fab'!$F$6="PORTILLON",'Table modèle'!D59/2,'Table modèle'!D59)</f>
        <v>#N/A</v>
      </c>
      <c r="E25" s="2">
        <v>1</v>
      </c>
      <c r="F25" t="s">
        <v>134</v>
      </c>
      <c r="G25" t="s">
        <v>134</v>
      </c>
      <c r="H25" s="75" t="s">
        <v>89</v>
      </c>
      <c r="I25" s="2" t="e">
        <f>IF(OR(B25="CDG",B25="BOMBE"),'Fiche fab'!$F$10-156,'Fiche fab'!$F$10-6)</f>
        <v>#N/A</v>
      </c>
      <c r="J25" s="2" t="e">
        <f>IF(OR(B25="DROIT",B25="CDG",B25="BOMBE"),'Fiche fab'!$F$10-6,'Fiche fab'!$F$10-156)</f>
        <v>#N/A</v>
      </c>
      <c r="L25">
        <f>IF(OR(C25="CDG",C25="BOMBE"),'Fiche fab'!$B$13-198,'Fiche fab'!$B$13-48)</f>
        <v>752</v>
      </c>
      <c r="M25">
        <f>IF(OR(C25="DROIT",C25="CDG",C25="BOMBE"),'Fiche fab'!$B$13-48,'Fiche fab'!$B$13-198)</f>
        <v>752</v>
      </c>
      <c r="N25" s="75">
        <v>2</v>
      </c>
      <c r="O25">
        <f t="shared" si="0"/>
        <v>606</v>
      </c>
      <c r="P25">
        <f t="shared" si="4"/>
        <v>606</v>
      </c>
      <c r="Q25" t="e">
        <f t="shared" si="1"/>
        <v>#N/A</v>
      </c>
      <c r="R25" t="e">
        <f t="shared" si="2"/>
        <v>#N/A</v>
      </c>
      <c r="U25" s="75"/>
    </row>
    <row r="26" spans="1:21" x14ac:dyDescent="0.2">
      <c r="A26" s="115" t="s">
        <v>115</v>
      </c>
      <c r="B26" s="75" t="s">
        <v>90</v>
      </c>
      <c r="C26" s="75" t="s">
        <v>2</v>
      </c>
      <c r="D26" s="2" t="e">
        <f>IF('Fiche fab'!$F$6="PORTILLON",'Table modèle'!D60/2,'Table modèle'!D60)</f>
        <v>#N/A</v>
      </c>
      <c r="E26" s="2">
        <v>1</v>
      </c>
      <c r="F26" t="s">
        <v>134</v>
      </c>
      <c r="G26" t="s">
        <v>134</v>
      </c>
      <c r="H26" s="75" t="s">
        <v>89</v>
      </c>
      <c r="I26" s="2" t="e">
        <f>IF(OR(B26="CDG",B26="BOMBE"),'Fiche fab'!$F$10-156,'Fiche fab'!$F$10-6)</f>
        <v>#N/A</v>
      </c>
      <c r="J26" s="2" t="e">
        <f>IF(OR(B26="DROIT",B26="CDG",B26="BOMBE"),'Fiche fab'!$F$10-6,'Fiche fab'!$F$10-156)</f>
        <v>#N/A</v>
      </c>
      <c r="L26">
        <f>IF(OR(C26="CDG",C26="BOMBE"),'Fiche fab'!$B$13-198,'Fiche fab'!$B$13-48)</f>
        <v>752</v>
      </c>
      <c r="M26">
        <f>IF(OR(C26="DROIT",C26="CDG",C26="BOMBE"),'Fiche fab'!$B$13-48,'Fiche fab'!$B$13-198)</f>
        <v>752</v>
      </c>
      <c r="N26" s="75">
        <v>2</v>
      </c>
      <c r="O26">
        <f t="shared" si="0"/>
        <v>606</v>
      </c>
      <c r="P26">
        <f t="shared" si="4"/>
        <v>606</v>
      </c>
      <c r="Q26" t="e">
        <f t="shared" si="1"/>
        <v>#N/A</v>
      </c>
      <c r="R26" t="e">
        <f t="shared" si="2"/>
        <v>#N/A</v>
      </c>
      <c r="U26" s="75"/>
    </row>
    <row r="27" spans="1:21" x14ac:dyDescent="0.2">
      <c r="A27" s="115" t="s">
        <v>116</v>
      </c>
      <c r="B27" s="75" t="s">
        <v>91</v>
      </c>
      <c r="C27" s="75" t="s">
        <v>2</v>
      </c>
      <c r="D27" s="2" t="e">
        <f>IF('Fiche fab'!$F$6="PORTILLON",'Table modèle'!D61/2,'Table modèle'!D61)</f>
        <v>#N/A</v>
      </c>
      <c r="E27" s="2">
        <v>1</v>
      </c>
      <c r="F27" t="s">
        <v>134</v>
      </c>
      <c r="G27" t="s">
        <v>134</v>
      </c>
      <c r="H27" s="75" t="s">
        <v>88</v>
      </c>
      <c r="I27" s="2" t="e">
        <f>IF(OR(B27="CDG",B27="BOMBE"),'Fiche fab'!$F$10-156,'Fiche fab'!$F$10-6)</f>
        <v>#N/A</v>
      </c>
      <c r="J27" s="2" t="e">
        <f>IF(OR(B27="DROIT",B27="CDG",B27="BOMBE"),'Fiche fab'!$F$10-6,'Fiche fab'!$F$10-156)</f>
        <v>#N/A</v>
      </c>
      <c r="L27">
        <f>IF(OR(C27="CDG",C27="BOMBE"),'Fiche fab'!$B$13-198,'Fiche fab'!$B$13-48)</f>
        <v>752</v>
      </c>
      <c r="M27">
        <f>IF(OR(C27="DROIT",C27="CDG",C27="BOMBE"),'Fiche fab'!$B$13-48,'Fiche fab'!$B$13-198)</f>
        <v>752</v>
      </c>
      <c r="N27" s="75">
        <v>2</v>
      </c>
      <c r="O27">
        <f t="shared" si="0"/>
        <v>606</v>
      </c>
      <c r="P27">
        <f t="shared" si="4"/>
        <v>606</v>
      </c>
      <c r="Q27" t="e">
        <f t="shared" si="1"/>
        <v>#N/A</v>
      </c>
      <c r="R27" t="e">
        <f t="shared" si="2"/>
        <v>#N/A</v>
      </c>
      <c r="U27" s="75"/>
    </row>
    <row r="28" spans="1:21" x14ac:dyDescent="0.2">
      <c r="A28" s="115" t="s">
        <v>222</v>
      </c>
      <c r="B28" s="75" t="s">
        <v>2</v>
      </c>
      <c r="C28" s="75" t="s">
        <v>223</v>
      </c>
      <c r="D28" s="2">
        <v>2</v>
      </c>
      <c r="E28" s="2">
        <v>0</v>
      </c>
      <c r="F28" s="75" t="s">
        <v>223</v>
      </c>
      <c r="G28" t="s">
        <v>134</v>
      </c>
      <c r="H28" s="75"/>
      <c r="I28" s="2" t="e">
        <f>'Fiche fab'!$F$10-6</f>
        <v>#N/A</v>
      </c>
      <c r="J28" s="2" t="e">
        <f>'Fiche fab'!$F$10-6</f>
        <v>#N/A</v>
      </c>
      <c r="K28" s="2"/>
      <c r="L28" s="118" t="s">
        <v>223</v>
      </c>
      <c r="M28" s="75" t="s">
        <v>223</v>
      </c>
      <c r="N28" s="75">
        <v>2</v>
      </c>
      <c r="O28" t="e">
        <f>I28-204</f>
        <v>#N/A</v>
      </c>
      <c r="P28" t="e">
        <f>J28-204</f>
        <v>#N/A</v>
      </c>
      <c r="U28" s="75"/>
    </row>
    <row r="29" spans="1:21" x14ac:dyDescent="0.2">
      <c r="A29" s="115" t="s">
        <v>224</v>
      </c>
      <c r="B29" s="75" t="s">
        <v>100</v>
      </c>
      <c r="C29" s="75" t="s">
        <v>223</v>
      </c>
      <c r="D29" s="2">
        <v>2</v>
      </c>
      <c r="E29" s="2">
        <v>0</v>
      </c>
      <c r="F29" s="75" t="s">
        <v>223</v>
      </c>
      <c r="G29" t="s">
        <v>134</v>
      </c>
      <c r="H29" s="75"/>
      <c r="I29" s="2" t="e">
        <f>'Fiche fab'!$F$10-6</f>
        <v>#N/A</v>
      </c>
      <c r="J29" s="2" t="e">
        <f>'Fiche fab'!$F$10-156</f>
        <v>#N/A</v>
      </c>
      <c r="K29" s="2"/>
      <c r="L29" s="118" t="s">
        <v>223</v>
      </c>
      <c r="M29" s="75" t="s">
        <v>223</v>
      </c>
      <c r="N29" s="75">
        <v>2</v>
      </c>
      <c r="O29" t="e">
        <f>I29-204</f>
        <v>#N/A</v>
      </c>
      <c r="P29" t="e">
        <f>J29-204</f>
        <v>#N/A</v>
      </c>
      <c r="U29" s="75"/>
    </row>
    <row r="30" spans="1:21" x14ac:dyDescent="0.2">
      <c r="A30" s="115" t="s">
        <v>235</v>
      </c>
      <c r="B30" s="75" t="s">
        <v>2</v>
      </c>
      <c r="C30" s="75" t="s">
        <v>223</v>
      </c>
      <c r="D30" s="2">
        <v>4</v>
      </c>
      <c r="E30" s="2">
        <v>0</v>
      </c>
      <c r="F30" s="75" t="s">
        <v>223</v>
      </c>
      <c r="G30" s="75" t="s">
        <v>133</v>
      </c>
      <c r="H30" s="75"/>
      <c r="I30" s="2" t="e">
        <f>'Fiche fab'!$F$10-6</f>
        <v>#N/A</v>
      </c>
      <c r="J30" s="2" t="e">
        <f>'Fiche fab'!$F$10-6</f>
        <v>#N/A</v>
      </c>
      <c r="K30" s="2"/>
      <c r="L30" s="118" t="s">
        <v>223</v>
      </c>
      <c r="M30" s="75" t="s">
        <v>223</v>
      </c>
      <c r="N30" s="75">
        <v>2</v>
      </c>
      <c r="O30" t="e">
        <f t="shared" ref="O30:O31" si="5">I30-204</f>
        <v>#N/A</v>
      </c>
      <c r="P30" t="e">
        <f t="shared" ref="P30:P31" si="6">J30-204</f>
        <v>#N/A</v>
      </c>
      <c r="U30" s="75"/>
    </row>
    <row r="31" spans="1:21" x14ac:dyDescent="0.2">
      <c r="A31" s="115" t="s">
        <v>236</v>
      </c>
      <c r="B31" s="75" t="s">
        <v>100</v>
      </c>
      <c r="C31" s="75" t="s">
        <v>223</v>
      </c>
      <c r="D31" s="2">
        <v>4</v>
      </c>
      <c r="E31" s="2">
        <v>0</v>
      </c>
      <c r="F31" s="75" t="s">
        <v>223</v>
      </c>
      <c r="G31" s="75" t="s">
        <v>133</v>
      </c>
      <c r="H31" s="75"/>
      <c r="I31" s="2" t="e">
        <f>'Fiche fab'!$F$10-6</f>
        <v>#N/A</v>
      </c>
      <c r="J31" s="2" t="e">
        <f>'Fiche fab'!$F$10-156</f>
        <v>#N/A</v>
      </c>
      <c r="K31" s="2"/>
      <c r="L31" s="118" t="s">
        <v>223</v>
      </c>
      <c r="M31" s="75" t="s">
        <v>223</v>
      </c>
      <c r="N31" s="75">
        <v>2</v>
      </c>
      <c r="O31" t="e">
        <f t="shared" si="5"/>
        <v>#N/A</v>
      </c>
      <c r="P31" t="e">
        <f t="shared" si="6"/>
        <v>#N/A</v>
      </c>
      <c r="U31" s="75"/>
    </row>
    <row r="32" spans="1:21" x14ac:dyDescent="0.2">
      <c r="A32" s="115" t="s">
        <v>117</v>
      </c>
      <c r="B32" s="75" t="s">
        <v>88</v>
      </c>
      <c r="C32" s="75" t="s">
        <v>88</v>
      </c>
      <c r="D32" s="2" t="e">
        <f>IF('Fiche fab'!$F$6="PORTILLON",'Table modèle'!D62/2,'Table modèle'!D62)</f>
        <v>#N/A</v>
      </c>
      <c r="E32" s="2">
        <v>2</v>
      </c>
      <c r="F32" t="s">
        <v>134</v>
      </c>
      <c r="G32" t="s">
        <v>134</v>
      </c>
      <c r="H32" s="75" t="s">
        <v>88</v>
      </c>
      <c r="I32" s="2" t="e">
        <f>IF(OR(B32="CDG",B32="BOMBE"),'Fiche fab'!$F$10-156,'Fiche fab'!$F$10-6)</f>
        <v>#N/A</v>
      </c>
      <c r="J32" s="2" t="e">
        <f>IF(OR(B32="DROIT",B32="CDG",B32="BOMBE"),'Fiche fab'!$F$10-6,'Fiche fab'!$F$10-156)</f>
        <v>#N/A</v>
      </c>
      <c r="L32">
        <f>IF(OR(C32="CDG",C32="BOMBE"),'Fiche fab'!$B$13-198,'Fiche fab'!$B$13-48)</f>
        <v>602</v>
      </c>
      <c r="M32">
        <f>IF(OR(C32="DROIT",C32="CDG",C32="BOMBE"),'Fiche fab'!$B$13-48,'Fiche fab'!$B$13-198)</f>
        <v>752</v>
      </c>
      <c r="N32" s="75">
        <v>2</v>
      </c>
      <c r="O32">
        <f t="shared" si="0"/>
        <v>456</v>
      </c>
      <c r="P32">
        <f t="shared" si="4"/>
        <v>606</v>
      </c>
      <c r="Q32" t="e">
        <f t="shared" si="1"/>
        <v>#N/A</v>
      </c>
      <c r="R32" t="e">
        <f t="shared" si="2"/>
        <v>#N/A</v>
      </c>
      <c r="U32" s="75"/>
    </row>
    <row r="33" spans="1:21" x14ac:dyDescent="0.2">
      <c r="A33" s="115" t="s">
        <v>118</v>
      </c>
      <c r="B33" s="75" t="s">
        <v>89</v>
      </c>
      <c r="C33" s="75" t="s">
        <v>89</v>
      </c>
      <c r="D33" s="2" t="e">
        <f>IF('Fiche fab'!$F$6="PORTILLON",'Table modèle'!D63/2,'Table modèle'!D63)</f>
        <v>#N/A</v>
      </c>
      <c r="E33" s="2">
        <v>2</v>
      </c>
      <c r="F33" t="s">
        <v>134</v>
      </c>
      <c r="G33" t="s">
        <v>134</v>
      </c>
      <c r="H33" s="75" t="s">
        <v>89</v>
      </c>
      <c r="I33" s="2" t="e">
        <f>IF(OR(B33="CDG",B33="BOMBE"),'Fiche fab'!$F$10-156,'Fiche fab'!$F$10-6)</f>
        <v>#N/A</v>
      </c>
      <c r="J33" s="2" t="e">
        <f>IF(OR(B33="DROIT",B33="CDG",B33="BOMBE"),'Fiche fab'!$F$10-6,'Fiche fab'!$F$10-156)</f>
        <v>#N/A</v>
      </c>
      <c r="L33">
        <f>IF(OR(C33="CDG",C33="BOMBE"),'Fiche fab'!$B$13-198,'Fiche fab'!$B$13-48)</f>
        <v>602</v>
      </c>
      <c r="M33">
        <f>IF(OR(C33="DROIT",C33="CDG",C33="BOMBE"),'Fiche fab'!$B$13-48,'Fiche fab'!$B$13-198)</f>
        <v>752</v>
      </c>
      <c r="N33" s="75">
        <v>2</v>
      </c>
      <c r="O33">
        <f t="shared" si="0"/>
        <v>456</v>
      </c>
      <c r="P33">
        <f t="shared" si="4"/>
        <v>606</v>
      </c>
      <c r="Q33" t="e">
        <f>(I33-L33)-138</f>
        <v>#N/A</v>
      </c>
      <c r="R33" t="e">
        <f t="shared" si="2"/>
        <v>#N/A</v>
      </c>
      <c r="U33" s="75"/>
    </row>
    <row r="34" spans="1:21" x14ac:dyDescent="0.2">
      <c r="A34" s="115" t="s">
        <v>119</v>
      </c>
      <c r="B34" s="75" t="s">
        <v>90</v>
      </c>
      <c r="C34" s="75" t="s">
        <v>90</v>
      </c>
      <c r="D34" s="2" t="e">
        <f>IF('Fiche fab'!$F$6="PORTILLON",'Table modèle'!D64/2,'Table modèle'!D64)</f>
        <v>#N/A</v>
      </c>
      <c r="E34" s="2">
        <v>2</v>
      </c>
      <c r="F34" t="s">
        <v>134</v>
      </c>
      <c r="G34" t="s">
        <v>134</v>
      </c>
      <c r="H34" s="75" t="s">
        <v>89</v>
      </c>
      <c r="I34" s="2" t="e">
        <f>IF(OR(B34="CDG",B34="BOMBE"),'Fiche fab'!$F$10-156,'Fiche fab'!$F$10-6)</f>
        <v>#N/A</v>
      </c>
      <c r="J34" s="2" t="e">
        <f>IF(OR(B34="DROIT",B34="CDG",B34="BOMBE"),'Fiche fab'!$F$10-6,'Fiche fab'!$F$10-156)</f>
        <v>#N/A</v>
      </c>
      <c r="L34">
        <f>IF(OR(C34="CDG",C34="BOMBE"),'Fiche fab'!$B$13-198,'Fiche fab'!$B$13-48)</f>
        <v>752</v>
      </c>
      <c r="M34">
        <f>IF(OR(C34="DROIT",C34="CDG",C34="BOMBE"),'Fiche fab'!$B$13-48,'Fiche fab'!$B$13-198)</f>
        <v>602</v>
      </c>
      <c r="N34" s="75">
        <v>2</v>
      </c>
      <c r="O34">
        <f t="shared" si="0"/>
        <v>606</v>
      </c>
      <c r="P34">
        <f t="shared" si="4"/>
        <v>456</v>
      </c>
      <c r="Q34" t="e">
        <f t="shared" si="1"/>
        <v>#N/A</v>
      </c>
      <c r="R34" t="e">
        <f t="shared" si="2"/>
        <v>#N/A</v>
      </c>
      <c r="U34" s="75"/>
    </row>
    <row r="35" spans="1:21" x14ac:dyDescent="0.2">
      <c r="A35" s="115" t="s">
        <v>120</v>
      </c>
      <c r="B35" s="75" t="s">
        <v>91</v>
      </c>
      <c r="C35" s="75" t="s">
        <v>91</v>
      </c>
      <c r="D35" s="2" t="e">
        <f>IF('Fiche fab'!$F$6="PORTILLON",'Table modèle'!D65/2,'Table modèle'!D65)</f>
        <v>#N/A</v>
      </c>
      <c r="E35" s="2">
        <v>2</v>
      </c>
      <c r="F35" t="s">
        <v>134</v>
      </c>
      <c r="G35" t="s">
        <v>134</v>
      </c>
      <c r="H35" s="75" t="s">
        <v>88</v>
      </c>
      <c r="I35" s="2" t="e">
        <f>IF(OR(B35="CDG",B35="BOMBE"),'Fiche fab'!$F$10-156,'Fiche fab'!$F$10-6)</f>
        <v>#N/A</v>
      </c>
      <c r="J35" s="2" t="e">
        <f>IF(OR(B35="DROIT",B35="CDG",B35="BOMBE"),'Fiche fab'!$F$10-6,'Fiche fab'!$F$10-156)</f>
        <v>#N/A</v>
      </c>
      <c r="L35">
        <f>IF(OR(C35="CDG",C35="BOMBE"),'Fiche fab'!$B$13-198,'Fiche fab'!$B$13-48)</f>
        <v>752</v>
      </c>
      <c r="M35">
        <f>IF(OR(C35="DROIT",C35="CDG",C35="BOMBE"),'Fiche fab'!$B$13-48,'Fiche fab'!$B$13-198)</f>
        <v>602</v>
      </c>
      <c r="N35" s="75">
        <v>2</v>
      </c>
      <c r="O35">
        <f t="shared" si="0"/>
        <v>606</v>
      </c>
      <c r="P35">
        <f t="shared" si="4"/>
        <v>456</v>
      </c>
      <c r="Q35" t="e">
        <f t="shared" si="1"/>
        <v>#N/A</v>
      </c>
      <c r="R35" t="e">
        <f t="shared" si="2"/>
        <v>#N/A</v>
      </c>
      <c r="U35" s="75"/>
    </row>
    <row r="36" spans="1:21" x14ac:dyDescent="0.2">
      <c r="A36" s="115" t="s">
        <v>237</v>
      </c>
      <c r="B36" s="75" t="s">
        <v>88</v>
      </c>
      <c r="C36" s="75" t="s">
        <v>223</v>
      </c>
      <c r="D36" s="2">
        <v>2</v>
      </c>
      <c r="E36" s="2">
        <v>1</v>
      </c>
      <c r="F36" s="75" t="s">
        <v>223</v>
      </c>
      <c r="G36" s="75" t="s">
        <v>133</v>
      </c>
      <c r="H36" s="75" t="s">
        <v>88</v>
      </c>
      <c r="I36" s="2" t="e">
        <f>IF(OR(B36="CDG",B36="BOMBE"),'Fiche fab'!$F$10-156,'Fiche fab'!$F$10-6)</f>
        <v>#N/A</v>
      </c>
      <c r="J36" s="2" t="e">
        <f>IF(OR(B36="DROIT",B36="CDG",B36="BOMBE"),'Fiche fab'!$F$10-6,'Fiche fab'!$F$10-156)</f>
        <v>#N/A</v>
      </c>
      <c r="L36" s="118" t="s">
        <v>223</v>
      </c>
      <c r="M36" s="75" t="s">
        <v>223</v>
      </c>
      <c r="N36" s="75">
        <v>2</v>
      </c>
      <c r="O36" t="e">
        <f>I36-204</f>
        <v>#N/A</v>
      </c>
      <c r="P36" t="e">
        <f t="shared" ref="P36:P39" si="7">J36-204</f>
        <v>#N/A</v>
      </c>
      <c r="U36" s="75"/>
    </row>
    <row r="37" spans="1:21" x14ac:dyDescent="0.2">
      <c r="A37" s="115" t="s">
        <v>238</v>
      </c>
      <c r="B37" s="75" t="s">
        <v>91</v>
      </c>
      <c r="C37" s="75" t="s">
        <v>223</v>
      </c>
      <c r="D37" s="2">
        <v>2</v>
      </c>
      <c r="E37" s="2">
        <v>1</v>
      </c>
      <c r="F37" s="75" t="s">
        <v>223</v>
      </c>
      <c r="G37" s="75" t="s">
        <v>133</v>
      </c>
      <c r="H37" s="75" t="s">
        <v>88</v>
      </c>
      <c r="I37" s="2" t="e">
        <f>IF(OR(B37="CDG",B37="BOMBE"),'Fiche fab'!$F$10-156,'Fiche fab'!$F$10-6)</f>
        <v>#N/A</v>
      </c>
      <c r="J37" s="2" t="e">
        <f>IF(OR(B37="DROIT",B37="CDG",B37="BOMBE"),'Fiche fab'!$F$10-6,'Fiche fab'!$F$10-156)</f>
        <v>#N/A</v>
      </c>
      <c r="L37" s="118" t="s">
        <v>223</v>
      </c>
      <c r="M37" s="75" t="s">
        <v>223</v>
      </c>
      <c r="N37" s="75">
        <v>2</v>
      </c>
      <c r="O37" t="e">
        <f t="shared" ref="O37:O39" si="8">I37-204</f>
        <v>#N/A</v>
      </c>
      <c r="P37" t="e">
        <f t="shared" si="7"/>
        <v>#N/A</v>
      </c>
      <c r="U37" s="75"/>
    </row>
    <row r="38" spans="1:21" x14ac:dyDescent="0.2">
      <c r="A38" s="115" t="s">
        <v>239</v>
      </c>
      <c r="B38" s="75" t="s">
        <v>89</v>
      </c>
      <c r="C38" s="75" t="s">
        <v>223</v>
      </c>
      <c r="D38" s="2">
        <v>2</v>
      </c>
      <c r="E38" s="2">
        <v>1</v>
      </c>
      <c r="F38" s="75" t="s">
        <v>223</v>
      </c>
      <c r="G38" s="75" t="s">
        <v>133</v>
      </c>
      <c r="H38" s="75" t="s">
        <v>89</v>
      </c>
      <c r="I38" s="2" t="e">
        <f>IF(OR(B38="CDG",B38="BOMBE"),'Fiche fab'!$F$10-156,'Fiche fab'!$F$10-6)</f>
        <v>#N/A</v>
      </c>
      <c r="J38" s="2" t="e">
        <f>IF(OR(B38="DROIT",B38="CDG",B38="BOMBE"),'Fiche fab'!$F$10-6,'Fiche fab'!$F$10-156)</f>
        <v>#N/A</v>
      </c>
      <c r="L38" s="118" t="s">
        <v>223</v>
      </c>
      <c r="M38" s="75" t="s">
        <v>223</v>
      </c>
      <c r="N38" s="75">
        <v>2</v>
      </c>
      <c r="O38" t="e">
        <f t="shared" si="8"/>
        <v>#N/A</v>
      </c>
      <c r="P38" t="e">
        <f t="shared" si="7"/>
        <v>#N/A</v>
      </c>
      <c r="U38" s="75"/>
    </row>
    <row r="39" spans="1:21" x14ac:dyDescent="0.2">
      <c r="A39" s="115" t="s">
        <v>240</v>
      </c>
      <c r="B39" s="75" t="s">
        <v>90</v>
      </c>
      <c r="C39" s="75" t="s">
        <v>223</v>
      </c>
      <c r="D39" s="2">
        <v>2</v>
      </c>
      <c r="E39" s="2">
        <v>1</v>
      </c>
      <c r="F39" s="75" t="s">
        <v>223</v>
      </c>
      <c r="G39" s="75" t="s">
        <v>133</v>
      </c>
      <c r="H39" s="75" t="s">
        <v>89</v>
      </c>
      <c r="I39" s="2" t="e">
        <f>IF(OR(B39="CDG",B39="BOMBE"),'Fiche fab'!$F$10-156,'Fiche fab'!$F$10-6)</f>
        <v>#N/A</v>
      </c>
      <c r="J39" s="2" t="e">
        <f>IF(OR(B39="DROIT",B39="CDG",B39="BOMBE"),'Fiche fab'!$F$10-6,'Fiche fab'!$F$10-156)</f>
        <v>#N/A</v>
      </c>
      <c r="L39" s="118" t="s">
        <v>223</v>
      </c>
      <c r="M39" s="75" t="s">
        <v>223</v>
      </c>
      <c r="N39" s="75">
        <v>2</v>
      </c>
      <c r="O39" t="e">
        <f t="shared" si="8"/>
        <v>#N/A</v>
      </c>
      <c r="P39" t="e">
        <f t="shared" si="7"/>
        <v>#N/A</v>
      </c>
      <c r="U39" s="75"/>
    </row>
    <row r="41" spans="1:21" x14ac:dyDescent="0.2">
      <c r="D41" s="2"/>
      <c r="E41" s="2"/>
    </row>
    <row r="42" spans="1:21" x14ac:dyDescent="0.2">
      <c r="D42" s="2"/>
      <c r="E42" s="2"/>
      <c r="G42" s="117" t="s">
        <v>131</v>
      </c>
      <c r="H42" s="88" t="e">
        <f>VLOOKUP('Fiche fab'!$G$6,'Table modèle'!$A$3:$J$35,MATCH('Table modèle'!$G$42,'Table modèle'!$A$2:$G$2,0),0)</f>
        <v>#N/A</v>
      </c>
    </row>
    <row r="43" spans="1:21" x14ac:dyDescent="0.2">
      <c r="D43" s="2"/>
      <c r="E43" s="2"/>
      <c r="G43" s="117" t="s">
        <v>132</v>
      </c>
      <c r="H43" s="88" t="e">
        <f>VLOOKUP('Fiche fab'!$G$6,'Table modèle'!$A$3:$J$35,MATCH('Table modèle'!$G$43,'Table modèle'!$A$2:$G$2,0),0)</f>
        <v>#N/A</v>
      </c>
    </row>
    <row r="44" spans="1:21" x14ac:dyDescent="0.2">
      <c r="D44" s="2"/>
      <c r="E44" s="2"/>
    </row>
    <row r="45" spans="1:21" x14ac:dyDescent="0.2">
      <c r="D45" s="2"/>
      <c r="E45" s="2"/>
    </row>
    <row r="46" spans="1:21" x14ac:dyDescent="0.2">
      <c r="D46" s="2"/>
      <c r="E46" s="2"/>
    </row>
    <row r="47" spans="1:21" x14ac:dyDescent="0.2">
      <c r="D47" s="2"/>
      <c r="E47" s="2"/>
    </row>
    <row r="48" spans="1:21" x14ac:dyDescent="0.2">
      <c r="D48" s="2"/>
      <c r="E48" s="2"/>
    </row>
    <row r="49" spans="4:5" x14ac:dyDescent="0.2">
      <c r="D49" s="2"/>
      <c r="E49" s="2"/>
    </row>
    <row r="50" spans="4:5" x14ac:dyDescent="0.2">
      <c r="D50" s="2"/>
      <c r="E50" s="2"/>
    </row>
    <row r="51" spans="4:5" x14ac:dyDescent="0.2">
      <c r="D51" s="2"/>
      <c r="E51" s="2"/>
    </row>
    <row r="52" spans="4:5" x14ac:dyDescent="0.2">
      <c r="D52" s="2"/>
      <c r="E52" s="2"/>
    </row>
    <row r="53" spans="4:5" x14ac:dyDescent="0.2">
      <c r="D53" s="2"/>
      <c r="E53" s="2"/>
    </row>
    <row r="54" spans="4:5" x14ac:dyDescent="0.2">
      <c r="D54" s="2"/>
      <c r="E54" s="2"/>
    </row>
    <row r="55" spans="4:5" x14ac:dyDescent="0.2">
      <c r="D55" s="2"/>
      <c r="E55" s="2"/>
    </row>
    <row r="56" spans="4:5" x14ac:dyDescent="0.2">
      <c r="D56" s="2"/>
      <c r="E56" s="2"/>
    </row>
    <row r="57" spans="4:5" x14ac:dyDescent="0.2">
      <c r="D57" s="2"/>
      <c r="E57" s="2"/>
    </row>
    <row r="58" spans="4:5" x14ac:dyDescent="0.2">
      <c r="D58" s="2"/>
      <c r="E58" s="2"/>
    </row>
    <row r="59" spans="4:5" x14ac:dyDescent="0.2">
      <c r="D59" s="2"/>
      <c r="E59" s="2"/>
    </row>
    <row r="60" spans="4:5" x14ac:dyDescent="0.2">
      <c r="D60" s="2"/>
      <c r="E60" s="2"/>
    </row>
    <row r="61" spans="4:5" x14ac:dyDescent="0.2">
      <c r="D61" s="2"/>
      <c r="E61" s="2"/>
    </row>
    <row r="62" spans="4:5" x14ac:dyDescent="0.2">
      <c r="D62" s="2"/>
      <c r="E62" s="2"/>
    </row>
    <row r="63" spans="4:5" x14ac:dyDescent="0.2">
      <c r="D63" s="2"/>
      <c r="E63" s="2"/>
    </row>
    <row r="64" spans="4:5" x14ac:dyDescent="0.2">
      <c r="D64" s="2"/>
      <c r="E64" s="2"/>
    </row>
    <row r="65" spans="4:5" x14ac:dyDescent="0.2">
      <c r="D65" s="2"/>
      <c r="E65" s="2"/>
    </row>
  </sheetData>
  <mergeCells count="2">
    <mergeCell ref="Q1:R1"/>
    <mergeCell ref="O1:P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R12"/>
  <sheetViews>
    <sheetView workbookViewId="0">
      <selection activeCell="E11" sqref="E11"/>
    </sheetView>
  </sheetViews>
  <sheetFormatPr baseColWidth="10" defaultRowHeight="12.75" x14ac:dyDescent="0.2"/>
  <sheetData>
    <row r="2" spans="1:18" x14ac:dyDescent="0.2">
      <c r="A2" s="129" t="s">
        <v>158</v>
      </c>
      <c r="B2" s="130" t="s">
        <v>154</v>
      </c>
      <c r="C2" s="130" t="s">
        <v>157</v>
      </c>
      <c r="D2" s="130" t="s">
        <v>156</v>
      </c>
      <c r="E2" s="130"/>
      <c r="F2" s="131"/>
      <c r="G2" s="131"/>
      <c r="H2" s="131"/>
      <c r="I2" s="131"/>
      <c r="J2" s="131"/>
      <c r="K2" s="131"/>
      <c r="L2" s="131"/>
      <c r="M2" s="132"/>
      <c r="N2" s="132"/>
      <c r="O2" s="132"/>
      <c r="P2" s="132"/>
      <c r="Q2" s="132"/>
      <c r="R2" s="133"/>
    </row>
    <row r="3" spans="1:18" x14ac:dyDescent="0.2">
      <c r="A3" s="134" t="s">
        <v>144</v>
      </c>
      <c r="B3" s="88" t="s">
        <v>142</v>
      </c>
      <c r="C3" s="44" t="e">
        <f>'Fiche fab'!$F$9-46</f>
        <v>#N/A</v>
      </c>
      <c r="D3" s="44" t="e">
        <f>'Fiche fab'!$F$9-46</f>
        <v>#N/A</v>
      </c>
      <c r="E3" s="44"/>
      <c r="F3" s="88" t="e">
        <f>IF('Fiche fab'!$B$19="GOND","SERRURE", " -")</f>
        <v>#N/A</v>
      </c>
      <c r="G3" s="88" t="e">
        <f>IF('Fiche fab'!$B$19="GOND","OUVRANT", " -")</f>
        <v>#N/A</v>
      </c>
      <c r="H3" s="88" t="e">
        <f>IF('Fiche fab'!$B$19="GOND","GOND", " -")</f>
        <v>#N/A</v>
      </c>
      <c r="I3" s="88" t="e">
        <f>IF('Fiche fab'!$B$19="SERRURE","SERRURE", " -")</f>
        <v>#N/A</v>
      </c>
      <c r="J3" s="88" t="e">
        <f>IF('Fiche fab'!$B$19="SERRURE","OUVRANT", " -")</f>
        <v>#N/A</v>
      </c>
      <c r="K3" s="123" t="e">
        <f>IF('Fiche fab'!$B$19="SERRURE","GOND", " -")</f>
        <v>#N/A</v>
      </c>
      <c r="L3" s="44"/>
      <c r="M3" s="44"/>
      <c r="N3" s="44"/>
      <c r="O3" s="44"/>
      <c r="P3" s="44"/>
      <c r="Q3" s="44"/>
      <c r="R3" s="135"/>
    </row>
    <row r="4" spans="1:18" x14ac:dyDescent="0.2">
      <c r="A4" s="136" t="s">
        <v>79</v>
      </c>
      <c r="B4" s="115" t="s">
        <v>155</v>
      </c>
      <c r="C4" s="44" t="e">
        <f>('Fiche fab'!$F$9-76)-'Fiche fab'!B22</f>
        <v>#N/A</v>
      </c>
      <c r="D4" s="44" t="e">
        <f>'Fiche fab'!B22</f>
        <v>#N/A</v>
      </c>
      <c r="E4" s="44"/>
      <c r="F4" s="85" t="s">
        <v>84</v>
      </c>
      <c r="G4" s="123" t="s">
        <v>218</v>
      </c>
      <c r="H4" s="124" t="s">
        <v>148</v>
      </c>
      <c r="I4" s="124" t="s">
        <v>146</v>
      </c>
      <c r="J4" s="124" t="s">
        <v>219</v>
      </c>
      <c r="K4" s="124" t="s">
        <v>84</v>
      </c>
      <c r="L4" s="44"/>
      <c r="M4" s="44"/>
      <c r="N4" s="44"/>
      <c r="O4" s="44"/>
      <c r="P4" s="44"/>
      <c r="Q4" s="44"/>
      <c r="R4" s="135"/>
    </row>
    <row r="5" spans="1:18" x14ac:dyDescent="0.2">
      <c r="A5" s="137" t="s">
        <v>80</v>
      </c>
      <c r="B5" s="115" t="s">
        <v>155</v>
      </c>
      <c r="C5" s="44" t="e">
        <f>('Fiche fab'!$F$9-76)/2</f>
        <v>#N/A</v>
      </c>
      <c r="D5" s="44" t="e">
        <f>('Fiche fab'!$F$9-76)/2</f>
        <v>#N/A</v>
      </c>
      <c r="E5" s="44"/>
      <c r="F5" s="44" t="s">
        <v>84</v>
      </c>
      <c r="G5" s="123" t="s">
        <v>218</v>
      </c>
      <c r="H5" s="124" t="s">
        <v>148</v>
      </c>
      <c r="I5" s="124" t="s">
        <v>146</v>
      </c>
      <c r="J5" s="124" t="s">
        <v>219</v>
      </c>
      <c r="K5" s="124" t="s">
        <v>84</v>
      </c>
      <c r="L5" s="44"/>
      <c r="M5" s="44"/>
      <c r="N5" s="44"/>
      <c r="O5" s="44"/>
      <c r="P5" s="44"/>
      <c r="Q5" s="44"/>
      <c r="R5" s="135"/>
    </row>
    <row r="6" spans="1:18" x14ac:dyDescent="0.2">
      <c r="A6" s="138" t="s">
        <v>145</v>
      </c>
      <c r="B6" s="88" t="s">
        <v>142</v>
      </c>
      <c r="C6" s="44" t="e">
        <f>'Fiche fab'!$F$9-46</f>
        <v>#N/A</v>
      </c>
      <c r="D6" s="44" t="e">
        <f>'Fiche fab'!$F$9-46</f>
        <v>#N/A</v>
      </c>
      <c r="E6" s="44"/>
      <c r="F6" s="88" t="e">
        <f>IF('Fiche fab'!$B$19="GOND","GOND", "-")</f>
        <v>#N/A</v>
      </c>
      <c r="G6" s="88" t="e">
        <f>IF('Fiche fab'!$B$19="GOND","OUVRANT", "-")</f>
        <v>#N/A</v>
      </c>
      <c r="H6" s="88" t="e">
        <f>IF('Fiche fab'!$B$19="GOND","SERRURE", "-")</f>
        <v>#N/A</v>
      </c>
      <c r="I6" s="124" t="e">
        <f>IF('Fiche fab'!$B$19="SERRURE","GOND", " -")</f>
        <v>#N/A</v>
      </c>
      <c r="J6" s="124" t="e">
        <f>IF('Fiche fab'!$B$19="SERRURE","OUVRANT", " -")</f>
        <v>#N/A</v>
      </c>
      <c r="K6" s="124" t="e">
        <f>IF('Fiche fab'!$B$19="SERRURE","SERRURE", " -")</f>
        <v>#N/A</v>
      </c>
      <c r="L6" s="88"/>
      <c r="M6" s="44"/>
      <c r="N6" s="44"/>
      <c r="O6" s="44"/>
      <c r="P6" s="44"/>
      <c r="Q6" s="44"/>
      <c r="R6" s="135"/>
    </row>
    <row r="7" spans="1:18" x14ac:dyDescent="0.2">
      <c r="A7" s="137" t="s">
        <v>81</v>
      </c>
      <c r="B7" s="115" t="s">
        <v>155</v>
      </c>
      <c r="C7" s="44" t="e">
        <f>'Fiche fab'!B22</f>
        <v>#N/A</v>
      </c>
      <c r="D7" s="44" t="e">
        <f>('Fiche fab'!F9-76)-'Fiche fab'!B22</f>
        <v>#N/A</v>
      </c>
      <c r="E7" s="44"/>
      <c r="F7" s="44" t="s">
        <v>84</v>
      </c>
      <c r="G7" s="124" t="s">
        <v>219</v>
      </c>
      <c r="H7" s="124" t="s">
        <v>146</v>
      </c>
      <c r="I7" s="124" t="s">
        <v>148</v>
      </c>
      <c r="J7" s="123" t="s">
        <v>218</v>
      </c>
      <c r="K7" s="124" t="s">
        <v>84</v>
      </c>
      <c r="L7" s="44"/>
      <c r="M7" s="44"/>
      <c r="N7" s="44"/>
      <c r="O7" s="44"/>
      <c r="P7" s="44"/>
      <c r="Q7" s="44"/>
      <c r="R7" s="135"/>
    </row>
    <row r="8" spans="1:18" x14ac:dyDescent="0.2">
      <c r="A8" s="137" t="s">
        <v>82</v>
      </c>
      <c r="B8" s="115" t="s">
        <v>155</v>
      </c>
      <c r="C8" s="44" t="e">
        <f>('Fiche fab'!$F$9-76)/2</f>
        <v>#N/A</v>
      </c>
      <c r="D8" s="44" t="e">
        <f>('Fiche fab'!$F$9-76)/2</f>
        <v>#N/A</v>
      </c>
      <c r="E8" s="44"/>
      <c r="F8" s="44" t="s">
        <v>84</v>
      </c>
      <c r="G8" s="124" t="s">
        <v>219</v>
      </c>
      <c r="H8" s="124" t="s">
        <v>146</v>
      </c>
      <c r="I8" s="124" t="s">
        <v>148</v>
      </c>
      <c r="J8" s="123" t="s">
        <v>218</v>
      </c>
      <c r="K8" s="124" t="s">
        <v>84</v>
      </c>
      <c r="L8" s="44"/>
      <c r="M8" s="44"/>
      <c r="N8" s="44"/>
      <c r="O8" s="44"/>
      <c r="P8" s="44"/>
      <c r="Q8" s="44"/>
      <c r="R8" s="135"/>
    </row>
    <row r="9" spans="1:18" x14ac:dyDescent="0.2">
      <c r="A9" s="134" t="s">
        <v>152</v>
      </c>
      <c r="B9" s="115" t="s">
        <v>177</v>
      </c>
      <c r="C9" s="44"/>
      <c r="D9" s="44"/>
      <c r="E9" s="44"/>
      <c r="F9" s="124" t="s">
        <v>77</v>
      </c>
      <c r="G9" s="124" t="s">
        <v>77</v>
      </c>
      <c r="H9" s="124" t="s">
        <v>77</v>
      </c>
      <c r="I9" s="88" t="s">
        <v>147</v>
      </c>
      <c r="J9" s="124" t="s">
        <v>77</v>
      </c>
      <c r="K9" s="124" t="s">
        <v>146</v>
      </c>
      <c r="L9" s="44"/>
      <c r="M9" s="44"/>
      <c r="N9" s="44"/>
      <c r="O9" s="44"/>
      <c r="P9" s="44"/>
      <c r="Q9" s="44"/>
      <c r="R9" s="135"/>
    </row>
    <row r="10" spans="1:18" x14ac:dyDescent="0.2">
      <c r="A10" s="134" t="s">
        <v>150</v>
      </c>
      <c r="B10" s="115" t="s">
        <v>143</v>
      </c>
      <c r="C10" s="44"/>
      <c r="D10" s="44"/>
      <c r="E10" s="44"/>
      <c r="F10" s="88" t="s">
        <v>147</v>
      </c>
      <c r="G10" s="124" t="s">
        <v>77</v>
      </c>
      <c r="H10" s="124" t="s">
        <v>149</v>
      </c>
      <c r="I10" s="124" t="s">
        <v>149</v>
      </c>
      <c r="J10" s="124" t="s">
        <v>77</v>
      </c>
      <c r="K10" s="124" t="s">
        <v>146</v>
      </c>
      <c r="L10" s="44"/>
      <c r="M10" s="44"/>
      <c r="N10" s="44"/>
      <c r="O10" s="44"/>
      <c r="P10" s="44"/>
      <c r="Q10" s="44"/>
      <c r="R10" s="135"/>
    </row>
    <row r="11" spans="1:18" x14ac:dyDescent="0.2">
      <c r="A11" s="134" t="s">
        <v>153</v>
      </c>
      <c r="B11" s="115" t="s">
        <v>177</v>
      </c>
      <c r="C11" s="44"/>
      <c r="D11" s="44"/>
      <c r="E11" s="44"/>
      <c r="F11" s="88" t="s">
        <v>146</v>
      </c>
      <c r="G11" s="124" t="s">
        <v>77</v>
      </c>
      <c r="H11" s="124" t="s">
        <v>147</v>
      </c>
      <c r="I11" s="124" t="s">
        <v>77</v>
      </c>
      <c r="J11" s="124" t="s">
        <v>77</v>
      </c>
      <c r="K11" s="124" t="s">
        <v>77</v>
      </c>
      <c r="L11" s="44"/>
      <c r="M11" s="44"/>
      <c r="N11" s="44"/>
      <c r="O11" s="44"/>
      <c r="P11" s="44"/>
      <c r="Q11" s="44"/>
      <c r="R11" s="135"/>
    </row>
    <row r="12" spans="1:18" x14ac:dyDescent="0.2">
      <c r="A12" s="139" t="s">
        <v>151</v>
      </c>
      <c r="B12" s="140" t="s">
        <v>143</v>
      </c>
      <c r="C12" s="141"/>
      <c r="D12" s="141"/>
      <c r="E12" s="141"/>
      <c r="F12" s="142" t="s">
        <v>146</v>
      </c>
      <c r="G12" s="142" t="s">
        <v>77</v>
      </c>
      <c r="H12" s="143" t="s">
        <v>149</v>
      </c>
      <c r="I12" s="143" t="s">
        <v>149</v>
      </c>
      <c r="J12" s="143" t="s">
        <v>77</v>
      </c>
      <c r="K12" s="143" t="s">
        <v>147</v>
      </c>
      <c r="L12" s="141"/>
      <c r="M12" s="141"/>
      <c r="N12" s="141"/>
      <c r="O12" s="141"/>
      <c r="P12" s="141"/>
      <c r="Q12" s="141"/>
      <c r="R12" s="144"/>
    </row>
  </sheetData>
  <conditionalFormatting sqref="K3 F4:K4 A4 H7:I8 H10:K12 F9:H9 K7:K9 H5:K5 J9 I6:K6">
    <cfRule type="expression" dxfId="4" priority="4" stopIfTrue="1">
      <formula>$B$14=Tendance</formula>
    </cfRule>
  </conditionalFormatting>
  <conditionalFormatting sqref="G5">
    <cfRule type="expression" dxfId="3" priority="3" stopIfTrue="1">
      <formula>$B$14=Tendance</formula>
    </cfRule>
  </conditionalFormatting>
  <conditionalFormatting sqref="G7:G8 G10:G11">
    <cfRule type="expression" dxfId="2" priority="2" stopIfTrue="1">
      <formula>$B$14=Tendance</formula>
    </cfRule>
  </conditionalFormatting>
  <conditionalFormatting sqref="J7:J8">
    <cfRule type="expression" dxfId="1" priority="1" stopIfTrue="1">
      <formula>$B$14=Tendance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T35"/>
  <sheetViews>
    <sheetView topLeftCell="C1" workbookViewId="0">
      <selection activeCell="F3" sqref="F3"/>
    </sheetView>
  </sheetViews>
  <sheetFormatPr baseColWidth="10" defaultRowHeight="12.75" x14ac:dyDescent="0.2"/>
  <cols>
    <col min="7" max="7" width="3.85546875" customWidth="1"/>
    <col min="9" max="9" width="4" customWidth="1"/>
    <col min="17" max="17" width="5.140625" bestFit="1" customWidth="1"/>
    <col min="19" max="19" width="3.28515625" customWidth="1"/>
  </cols>
  <sheetData>
    <row r="1" spans="1:20" ht="13.5" thickBot="1" x14ac:dyDescent="0.25"/>
    <row r="2" spans="1:20" ht="18" x14ac:dyDescent="0.25">
      <c r="A2" s="151"/>
      <c r="B2" s="63"/>
      <c r="C2" s="84" t="s">
        <v>172</v>
      </c>
      <c r="D2" s="72"/>
      <c r="E2" s="192"/>
      <c r="F2" s="63" t="e">
        <f>VLOOKUP(F8,C20:D35,2,FALSE)</f>
        <v>#N/A</v>
      </c>
      <c r="G2" s="63"/>
      <c r="H2" s="272" t="s">
        <v>3</v>
      </c>
      <c r="I2" s="272"/>
      <c r="J2" s="273"/>
      <c r="K2" s="151"/>
      <c r="L2" s="63"/>
      <c r="M2" s="84" t="s">
        <v>173</v>
      </c>
      <c r="N2" s="72"/>
      <c r="O2" s="63" t="e">
        <f>VLOOKUP($P$8,$C$20:$D$35,2,FALSE)</f>
        <v>#N/A</v>
      </c>
      <c r="P2" s="63"/>
      <c r="Q2" s="63"/>
      <c r="R2" s="272" t="s">
        <v>3</v>
      </c>
      <c r="S2" s="272"/>
      <c r="T2" s="273"/>
    </row>
    <row r="3" spans="1:20" x14ac:dyDescent="0.2">
      <c r="A3" s="64"/>
      <c r="B3" s="44"/>
      <c r="C3" s="44"/>
      <c r="D3" s="44"/>
      <c r="E3" s="65" t="s">
        <v>5</v>
      </c>
      <c r="F3" s="65" t="s">
        <v>6</v>
      </c>
      <c r="G3" s="65"/>
      <c r="H3" s="65" t="s">
        <v>7</v>
      </c>
      <c r="I3" s="65"/>
      <c r="J3" s="66" t="s">
        <v>8</v>
      </c>
      <c r="K3" s="64"/>
      <c r="L3" s="44"/>
      <c r="M3" s="44"/>
      <c r="N3" s="44"/>
      <c r="O3" s="65" t="s">
        <v>5</v>
      </c>
      <c r="P3" s="65" t="s">
        <v>6</v>
      </c>
      <c r="Q3" s="65"/>
      <c r="R3" s="65" t="s">
        <v>7</v>
      </c>
      <c r="S3" s="65"/>
      <c r="T3" s="153" t="s">
        <v>8</v>
      </c>
    </row>
    <row r="4" spans="1:20" x14ac:dyDescent="0.2">
      <c r="A4" s="247" t="s">
        <v>170</v>
      </c>
      <c r="B4" s="34" t="s">
        <v>128</v>
      </c>
      <c r="C4" s="75" t="s">
        <v>164</v>
      </c>
      <c r="D4" s="149">
        <v>1016</v>
      </c>
      <c r="E4" t="e">
        <f>$H$4</f>
        <v>#N/A</v>
      </c>
      <c r="F4" t="e">
        <f>ROUNDUP($J$4/150,0)</f>
        <v>#N/A</v>
      </c>
      <c r="G4" s="152" t="s">
        <v>77</v>
      </c>
      <c r="H4" s="243" t="e">
        <f>'Fiche fab'!$G$14-199</f>
        <v>#N/A</v>
      </c>
      <c r="I4" s="152" t="s">
        <v>9</v>
      </c>
      <c r="J4" s="66" t="e">
        <f>IF('Fiche fab'!$H$16&gt;'Fiche fab'!$F$16,'Fiche fab'!$H$16+27,'Fiche fab'!$F$16+27)</f>
        <v>#N/A</v>
      </c>
      <c r="K4" s="247" t="s">
        <v>170</v>
      </c>
      <c r="L4" s="34" t="s">
        <v>128</v>
      </c>
      <c r="M4" s="75" t="s">
        <v>164</v>
      </c>
      <c r="N4" s="178">
        <v>1016</v>
      </c>
      <c r="O4" t="e">
        <f>$R$4</f>
        <v>#N/A</v>
      </c>
      <c r="P4" t="e">
        <f>ROUNDUP(T4/150,0)</f>
        <v>#N/A</v>
      </c>
      <c r="Q4" s="152" t="s">
        <v>77</v>
      </c>
      <c r="R4" s="243" t="e">
        <f>'Fiche fab'!$J$14-199</f>
        <v>#N/A</v>
      </c>
      <c r="S4" s="2" t="s">
        <v>9</v>
      </c>
      <c r="T4" s="66" t="e">
        <f>IF('Fiche fab'!$K$16&gt;'Fiche fab'!$I$16,'Fiche fab'!$K$16+27,'Fiche fab'!$I$16+27)</f>
        <v>#N/A</v>
      </c>
    </row>
    <row r="5" spans="1:20" x14ac:dyDescent="0.2">
      <c r="A5" s="248"/>
      <c r="B5" s="34" t="s">
        <v>127</v>
      </c>
      <c r="C5" s="88" t="s">
        <v>176</v>
      </c>
      <c r="D5" s="81" t="s">
        <v>57</v>
      </c>
      <c r="E5" s="44" t="e">
        <f>$H$4</f>
        <v>#N/A</v>
      </c>
      <c r="F5" t="e">
        <f>ROUNDUP($J$4/100,0)</f>
        <v>#N/A</v>
      </c>
      <c r="G5" s="152" t="s">
        <v>77</v>
      </c>
      <c r="H5" s="2" t="e">
        <f>'Fiche fab'!$G$14-199</f>
        <v>#N/A</v>
      </c>
      <c r="I5" s="34" t="s">
        <v>9</v>
      </c>
      <c r="J5" s="66" t="e">
        <f>IF('Fiche fab'!$H$16&gt;'Fiche fab'!$F$16,'Fiche fab'!$H$16+27,'Fiche fab'!$F$16+27)</f>
        <v>#N/A</v>
      </c>
      <c r="K5" s="248"/>
      <c r="L5" s="34" t="s">
        <v>127</v>
      </c>
      <c r="M5" s="88" t="s">
        <v>165</v>
      </c>
      <c r="N5" s="81" t="s">
        <v>57</v>
      </c>
      <c r="O5" t="e">
        <f>$R$4</f>
        <v>#N/A</v>
      </c>
      <c r="P5" s="44" t="e">
        <f>ROUNDUP(T5/100,0)</f>
        <v>#N/A</v>
      </c>
      <c r="Q5" s="152" t="s">
        <v>77</v>
      </c>
      <c r="R5" s="65" t="e">
        <f>'Fiche fab'!$J$14-199</f>
        <v>#N/A</v>
      </c>
      <c r="S5" s="34" t="s">
        <v>9</v>
      </c>
      <c r="T5" s="66" t="e">
        <f>IF('Fiche fab'!$K$16&gt;'Fiche fab'!$I$16,'Fiche fab'!$K$16+27,'Fiche fab'!$I$16+27)</f>
        <v>#N/A</v>
      </c>
    </row>
    <row r="6" spans="1:20" x14ac:dyDescent="0.2">
      <c r="A6" s="248"/>
      <c r="B6" s="34" t="s">
        <v>129</v>
      </c>
      <c r="C6" s="88" t="s">
        <v>166</v>
      </c>
      <c r="D6" s="81" t="s">
        <v>53</v>
      </c>
      <c r="E6" s="44" t="e">
        <f>$H$4</f>
        <v>#N/A</v>
      </c>
      <c r="F6" s="67" t="e">
        <f>ROUNDUP($J$4/300,0)</f>
        <v>#N/A</v>
      </c>
      <c r="G6" s="152" t="s">
        <v>77</v>
      </c>
      <c r="H6" s="2" t="e">
        <f>'Fiche fab'!$G$14-199</f>
        <v>#N/A</v>
      </c>
      <c r="I6" s="181" t="s">
        <v>9</v>
      </c>
      <c r="J6" s="66" t="e">
        <f>IF('Fiche fab'!$H$16&gt;'Fiche fab'!$F$16,'Fiche fab'!$H$16+27,'Fiche fab'!$F$16+27)</f>
        <v>#N/A</v>
      </c>
      <c r="K6" s="248"/>
      <c r="L6" s="34" t="s">
        <v>129</v>
      </c>
      <c r="M6" s="88" t="s">
        <v>166</v>
      </c>
      <c r="N6" s="81" t="s">
        <v>53</v>
      </c>
      <c r="O6" t="e">
        <f>$R$4</f>
        <v>#N/A</v>
      </c>
      <c r="P6" s="67" t="e">
        <f>ROUNDUP(T4/300,0)</f>
        <v>#N/A</v>
      </c>
      <c r="Q6" s="152" t="s">
        <v>77</v>
      </c>
      <c r="R6" s="68" t="e">
        <f>'Fiche fab'!$J$14-199</f>
        <v>#N/A</v>
      </c>
      <c r="S6" s="181" t="s">
        <v>9</v>
      </c>
      <c r="T6" s="180" t="e">
        <f>IF('Fiche fab'!$K$16&gt;'Fiche fab'!$I$16,'Fiche fab'!$K$16+27,'Fiche fab'!$I$16+27)</f>
        <v>#N/A</v>
      </c>
    </row>
    <row r="7" spans="1:20" x14ac:dyDescent="0.2">
      <c r="A7" s="248"/>
      <c r="B7" s="34" t="s">
        <v>126</v>
      </c>
      <c r="C7" s="88" t="s">
        <v>175</v>
      </c>
      <c r="D7" s="81" t="s">
        <v>57</v>
      </c>
      <c r="E7" s="67" t="e">
        <f>(SQRT(($J$4*$J$4)*2))</f>
        <v>#N/A</v>
      </c>
      <c r="F7" s="44" t="e">
        <f>ROUNDUP(H4/141.42,0)</f>
        <v>#N/A</v>
      </c>
      <c r="G7" s="152" t="s">
        <v>77</v>
      </c>
      <c r="H7" s="2" t="e">
        <f>'Fiche fab'!$G$14-199</f>
        <v>#N/A</v>
      </c>
      <c r="I7" s="34" t="s">
        <v>9</v>
      </c>
      <c r="J7" s="180" t="e">
        <f>IF('Fiche fab'!$H$16&gt;'Fiche fab'!$F$16,'Fiche fab'!$H$16+27,'Fiche fab'!$F$16+27)</f>
        <v>#N/A</v>
      </c>
      <c r="K7" s="248"/>
      <c r="L7" s="34" t="s">
        <v>126</v>
      </c>
      <c r="M7" s="88" t="s">
        <v>167</v>
      </c>
      <c r="N7" s="81" t="s">
        <v>57</v>
      </c>
      <c r="O7" s="67" t="e">
        <f>SQRT(($T$4*$T$4)*2)</f>
        <v>#N/A</v>
      </c>
      <c r="P7" s="44" t="e">
        <f>ROUNDUP(R4/141.42,0)</f>
        <v>#N/A</v>
      </c>
      <c r="Q7" s="152" t="s">
        <v>77</v>
      </c>
      <c r="R7" s="68" t="e">
        <f>'Fiche fab'!$J$14-199</f>
        <v>#N/A</v>
      </c>
      <c r="S7" s="34" t="s">
        <v>9</v>
      </c>
      <c r="T7" s="180" t="e">
        <f>IF('Fiche fab'!$K$16&gt;'Fiche fab'!$I$16,'Fiche fab'!$K$16+27,'Fiche fab'!$I$16+27)</f>
        <v>#N/A</v>
      </c>
    </row>
    <row r="8" spans="1:20" x14ac:dyDescent="0.2">
      <c r="A8" s="248"/>
      <c r="B8" s="65" t="s">
        <v>124</v>
      </c>
      <c r="C8" s="115" t="s">
        <v>168</v>
      </c>
      <c r="D8" s="149">
        <v>1006213</v>
      </c>
      <c r="E8" t="e">
        <f>$J$4</f>
        <v>#N/A</v>
      </c>
      <c r="F8" s="44" t="e">
        <f>VLOOKUP($H$4-80,$D$20:$E$35,2,TRUE)</f>
        <v>#N/A</v>
      </c>
      <c r="G8" s="191" t="e">
        <f>($H$4-$F$2)/2</f>
        <v>#N/A</v>
      </c>
      <c r="H8" s="152" t="s">
        <v>77</v>
      </c>
      <c r="I8" s="152" t="s">
        <v>77</v>
      </c>
      <c r="J8" s="183" t="s">
        <v>77</v>
      </c>
      <c r="K8" s="248"/>
      <c r="L8" s="34" t="s">
        <v>124</v>
      </c>
      <c r="M8" s="115" t="s">
        <v>168</v>
      </c>
      <c r="N8" s="149">
        <v>1006213</v>
      </c>
      <c r="O8" t="e">
        <f>$T$4</f>
        <v>#N/A</v>
      </c>
      <c r="P8" t="e">
        <f>VLOOKUP(R4-80,$D$20:$E$35,2)</f>
        <v>#N/A</v>
      </c>
      <c r="Q8" s="191" t="e">
        <f>($R$4-$O$2)/2</f>
        <v>#N/A</v>
      </c>
      <c r="R8" s="152" t="s">
        <v>77</v>
      </c>
      <c r="S8" s="152" t="s">
        <v>77</v>
      </c>
      <c r="T8" s="183" t="s">
        <v>77</v>
      </c>
    </row>
    <row r="9" spans="1:20" x14ac:dyDescent="0.2">
      <c r="A9" s="248"/>
      <c r="B9" s="65" t="s">
        <v>123</v>
      </c>
      <c r="C9" s="115" t="s">
        <v>169</v>
      </c>
      <c r="D9" s="149">
        <v>1006214</v>
      </c>
      <c r="E9" t="e">
        <f>$J$4</f>
        <v>#N/A</v>
      </c>
      <c r="F9" s="44" t="e">
        <f>VLOOKUP($H$4-80,$D$20:$E$35,2,TRUE)</f>
        <v>#N/A</v>
      </c>
      <c r="G9" s="191" t="e">
        <f>($H$4-$F$2)/2</f>
        <v>#N/A</v>
      </c>
      <c r="H9" s="152" t="s">
        <v>77</v>
      </c>
      <c r="I9" s="152" t="s">
        <v>77</v>
      </c>
      <c r="J9" s="183" t="s">
        <v>77</v>
      </c>
      <c r="K9" s="248"/>
      <c r="L9" s="34" t="s">
        <v>123</v>
      </c>
      <c r="M9" s="115" t="s">
        <v>169</v>
      </c>
      <c r="N9" s="149">
        <v>1006214</v>
      </c>
      <c r="O9" t="e">
        <f>$T$4</f>
        <v>#N/A</v>
      </c>
      <c r="P9" t="e">
        <f>VLOOKUP(R4-80,$D$20:$E$35,2)</f>
        <v>#N/A</v>
      </c>
      <c r="Q9" s="191" t="e">
        <f>($R$4-$O$2)/2</f>
        <v>#N/A</v>
      </c>
      <c r="R9" s="152" t="s">
        <v>77</v>
      </c>
      <c r="S9" s="152" t="s">
        <v>77</v>
      </c>
      <c r="T9" s="183" t="s">
        <v>77</v>
      </c>
    </row>
    <row r="10" spans="1:20" ht="13.5" thickBot="1" x14ac:dyDescent="0.25">
      <c r="A10" s="271"/>
      <c r="B10" s="152" t="s">
        <v>125</v>
      </c>
      <c r="C10" s="88" t="s">
        <v>174</v>
      </c>
      <c r="D10" s="81" t="s">
        <v>57</v>
      </c>
      <c r="E10" s="44" t="e">
        <f>$J$4</f>
        <v>#N/A</v>
      </c>
      <c r="F10" s="44" t="e">
        <f>ROUNDUP($H$4/100,0)</f>
        <v>#N/A</v>
      </c>
      <c r="G10" s="34" t="s">
        <v>77</v>
      </c>
      <c r="H10" s="65" t="e">
        <f>'Fiche fab'!$G$14-199</f>
        <v>#N/A</v>
      </c>
      <c r="I10" s="34" t="s">
        <v>9</v>
      </c>
      <c r="J10" s="66" t="e">
        <f>IF('Fiche fab'!$H$16&gt;'Fiche fab'!$F$16,'Fiche fab'!$H$16+27,'Fiche fab'!$F$16+27)</f>
        <v>#N/A</v>
      </c>
      <c r="K10" s="271"/>
      <c r="L10" s="152" t="s">
        <v>125</v>
      </c>
      <c r="M10" s="88" t="s">
        <v>163</v>
      </c>
      <c r="N10" s="177" t="s">
        <v>57</v>
      </c>
      <c r="O10" s="44" t="e">
        <f>$T$4</f>
        <v>#N/A</v>
      </c>
      <c r="P10" s="44" t="e">
        <f>ROUNDUP(R10/100,0)</f>
        <v>#N/A</v>
      </c>
      <c r="Q10" s="34" t="s">
        <v>77</v>
      </c>
      <c r="R10" s="65" t="e">
        <f>'Fiche fab'!$J$14-199</f>
        <v>#N/A</v>
      </c>
      <c r="S10" s="34" t="s">
        <v>9</v>
      </c>
      <c r="T10" s="66" t="e">
        <f>IF('Fiche fab'!$K$16&gt;'Fiche fab'!$I$16,'Fiche fab'!$K$16+27,'Fiche fab'!$I$16+27)</f>
        <v>#N/A</v>
      </c>
    </row>
    <row r="11" spans="1:20" x14ac:dyDescent="0.2">
      <c r="A11" s="269" t="s">
        <v>171</v>
      </c>
      <c r="B11" s="63"/>
      <c r="C11" s="63"/>
      <c r="D11" s="63"/>
      <c r="E11" s="120" t="s">
        <v>5</v>
      </c>
      <c r="F11" s="120" t="s">
        <v>6</v>
      </c>
      <c r="G11" s="163"/>
      <c r="H11" s="120" t="s">
        <v>7</v>
      </c>
      <c r="I11" s="163"/>
      <c r="J11" s="121" t="s">
        <v>8</v>
      </c>
      <c r="K11" s="269" t="s">
        <v>171</v>
      </c>
      <c r="L11" s="63"/>
      <c r="M11" s="63"/>
      <c r="N11" s="63"/>
      <c r="O11" s="63" t="s">
        <v>5</v>
      </c>
      <c r="P11" s="63" t="s">
        <v>6</v>
      </c>
      <c r="Q11" s="63"/>
      <c r="R11" s="63" t="s">
        <v>7</v>
      </c>
      <c r="S11" s="63"/>
      <c r="T11" s="96" t="s">
        <v>8</v>
      </c>
    </row>
    <row r="12" spans="1:20" x14ac:dyDescent="0.2">
      <c r="A12" s="248"/>
      <c r="B12" s="65" t="s">
        <v>128</v>
      </c>
      <c r="C12" s="44" t="s">
        <v>164</v>
      </c>
      <c r="D12" s="178">
        <v>1016</v>
      </c>
      <c r="E12" s="44" t="e">
        <f>$H$12</f>
        <v>#N/A</v>
      </c>
      <c r="F12" s="44" t="e">
        <f>ROUNDUP($J$12/150,0)</f>
        <v>#N/A</v>
      </c>
      <c r="G12" s="152" t="s">
        <v>77</v>
      </c>
      <c r="H12" s="244" t="e">
        <f>'Fiche fab'!$G$14-199</f>
        <v>#N/A</v>
      </c>
      <c r="I12" s="152" t="s">
        <v>9</v>
      </c>
      <c r="J12" s="66" t="e">
        <f>IF('Fiche fab'!$H$18&gt;'Fiche fab'!$F$18,'Fiche fab'!$H$18+27,'Fiche fab'!$F$18+27)</f>
        <v>#N/A</v>
      </c>
      <c r="K12" s="248"/>
      <c r="L12" s="65" t="s">
        <v>128</v>
      </c>
      <c r="M12" s="44" t="s">
        <v>164</v>
      </c>
      <c r="N12" s="178">
        <v>1016</v>
      </c>
      <c r="O12" s="44" t="e">
        <f>$R$12</f>
        <v>#N/A</v>
      </c>
      <c r="P12" s="44" t="e">
        <f>ROUNDUP($T$12/150,0)</f>
        <v>#N/A</v>
      </c>
      <c r="Q12" s="152" t="s">
        <v>77</v>
      </c>
      <c r="R12" s="68" t="e">
        <f>'Fiche fab'!$J$14-199</f>
        <v>#N/A</v>
      </c>
      <c r="S12" s="65" t="s">
        <v>9</v>
      </c>
      <c r="T12" s="66" t="e">
        <f>IF('Fiche fab'!$H$18&gt;'Fiche fab'!$F$18,'Fiche fab'!$H$18+27,'Fiche fab'!$F$18+27)</f>
        <v>#N/A</v>
      </c>
    </row>
    <row r="13" spans="1:20" x14ac:dyDescent="0.2">
      <c r="A13" s="248"/>
      <c r="B13" s="65" t="s">
        <v>127</v>
      </c>
      <c r="C13" s="44" t="s">
        <v>165</v>
      </c>
      <c r="D13" s="81" t="s">
        <v>57</v>
      </c>
      <c r="E13" s="44" t="e">
        <f>$H$12</f>
        <v>#N/A</v>
      </c>
      <c r="F13" s="44" t="e">
        <f>ROUNDUP($J$12/100,0)</f>
        <v>#N/A</v>
      </c>
      <c r="G13" s="152" t="s">
        <v>77</v>
      </c>
      <c r="H13" t="e">
        <f>'Fiche fab'!$G$14-199</f>
        <v>#N/A</v>
      </c>
      <c r="I13" s="34" t="s">
        <v>9</v>
      </c>
      <c r="J13" s="66" t="e">
        <f>IF('Fiche fab'!$H$18&gt;'Fiche fab'!$F$18,'Fiche fab'!$H$18+27,'Fiche fab'!$F$18+27)</f>
        <v>#N/A</v>
      </c>
      <c r="K13" s="248"/>
      <c r="L13" s="65" t="s">
        <v>127</v>
      </c>
      <c r="M13" s="44" t="s">
        <v>165</v>
      </c>
      <c r="N13" s="81" t="s">
        <v>57</v>
      </c>
      <c r="O13" s="44" t="e">
        <f>$R$12</f>
        <v>#N/A</v>
      </c>
      <c r="P13" s="44" t="e">
        <f>ROUNDUP($T$12/100,0)</f>
        <v>#N/A</v>
      </c>
      <c r="Q13" s="152" t="s">
        <v>77</v>
      </c>
      <c r="R13" s="68" t="e">
        <f>'Fiche fab'!$J$14-199</f>
        <v>#N/A</v>
      </c>
      <c r="S13" s="34" t="s">
        <v>9</v>
      </c>
      <c r="T13" s="66" t="e">
        <f>IF('Fiche fab'!$H$18&gt;'Fiche fab'!$F$18,'Fiche fab'!$H$18+27,'Fiche fab'!$F$18+27)</f>
        <v>#N/A</v>
      </c>
    </row>
    <row r="14" spans="1:20" x14ac:dyDescent="0.2">
      <c r="A14" s="248"/>
      <c r="B14" s="65" t="s">
        <v>129</v>
      </c>
      <c r="C14" s="44" t="s">
        <v>166</v>
      </c>
      <c r="D14" s="81" t="s">
        <v>53</v>
      </c>
      <c r="E14" s="44" t="e">
        <f>$H$12</f>
        <v>#N/A</v>
      </c>
      <c r="F14" s="44" t="e">
        <f>ROUNDUP($J$12/300,0)</f>
        <v>#N/A</v>
      </c>
      <c r="G14" s="152" t="s">
        <v>77</v>
      </c>
      <c r="H14" t="e">
        <f>'Fiche fab'!$G$14-199</f>
        <v>#N/A</v>
      </c>
      <c r="I14" s="34" t="s">
        <v>9</v>
      </c>
      <c r="J14" s="66" t="e">
        <f>IF('Fiche fab'!$H$18&gt;'Fiche fab'!$F$18,'Fiche fab'!$H$18+27,'Fiche fab'!$F$18+27)</f>
        <v>#N/A</v>
      </c>
      <c r="K14" s="248"/>
      <c r="L14" s="65" t="s">
        <v>129</v>
      </c>
      <c r="M14" s="44" t="s">
        <v>166</v>
      </c>
      <c r="N14" s="81" t="s">
        <v>53</v>
      </c>
      <c r="O14" s="44" t="e">
        <f>$R$12</f>
        <v>#N/A</v>
      </c>
      <c r="P14" s="44" t="e">
        <f>ROUNDUP($T$12/300,0)</f>
        <v>#N/A</v>
      </c>
      <c r="Q14" s="152" t="s">
        <v>77</v>
      </c>
      <c r="R14" s="68" t="e">
        <f>'Fiche fab'!$J$14-199</f>
        <v>#N/A</v>
      </c>
      <c r="S14" s="34" t="s">
        <v>9</v>
      </c>
      <c r="T14" s="66" t="e">
        <f>IF('Fiche fab'!$H$18&gt;'Fiche fab'!$F$18,'Fiche fab'!$H$18+27,'Fiche fab'!$F$18+27)</f>
        <v>#N/A</v>
      </c>
    </row>
    <row r="15" spans="1:20" x14ac:dyDescent="0.2">
      <c r="A15" s="248"/>
      <c r="B15" s="65" t="s">
        <v>126</v>
      </c>
      <c r="C15" s="44" t="s">
        <v>167</v>
      </c>
      <c r="D15" s="81" t="s">
        <v>57</v>
      </c>
      <c r="E15" s="67" t="e">
        <f>SQRT(($J$12*$J$12)*2)</f>
        <v>#N/A</v>
      </c>
      <c r="F15" s="44" t="e">
        <f>ROUNDUP(H12/141.42,0)</f>
        <v>#N/A</v>
      </c>
      <c r="G15" s="152" t="s">
        <v>77</v>
      </c>
      <c r="H15" t="e">
        <f>'Fiche fab'!$G$14-199</f>
        <v>#N/A</v>
      </c>
      <c r="I15" s="34" t="s">
        <v>9</v>
      </c>
      <c r="J15" s="66" t="e">
        <f>IF('Fiche fab'!$H$18&gt;'Fiche fab'!$F$18,'Fiche fab'!$H$18+27,'Fiche fab'!$F$18+27)</f>
        <v>#N/A</v>
      </c>
      <c r="K15" s="248"/>
      <c r="L15" s="65" t="s">
        <v>126</v>
      </c>
      <c r="M15" s="44" t="s">
        <v>167</v>
      </c>
      <c r="N15" s="81" t="s">
        <v>57</v>
      </c>
      <c r="O15" s="67" t="e">
        <f>(SQRT(($T$12*$T$12)*2))</f>
        <v>#N/A</v>
      </c>
      <c r="P15" s="44" t="e">
        <f>ROUNDUP($R$12/141.42,0)</f>
        <v>#N/A</v>
      </c>
      <c r="Q15" s="152" t="s">
        <v>77</v>
      </c>
      <c r="R15" s="68" t="e">
        <f>'Fiche fab'!$J$14-199</f>
        <v>#N/A</v>
      </c>
      <c r="S15" s="34" t="s">
        <v>9</v>
      </c>
      <c r="T15" s="66" t="e">
        <f>IF('Fiche fab'!$H$18&gt;'Fiche fab'!$F$18,'Fiche fab'!$H$18+27,'Fiche fab'!$F$18+27)</f>
        <v>#N/A</v>
      </c>
    </row>
    <row r="16" spans="1:20" x14ac:dyDescent="0.2">
      <c r="A16" s="248"/>
      <c r="B16" s="65" t="s">
        <v>124</v>
      </c>
      <c r="C16" s="44" t="s">
        <v>168</v>
      </c>
      <c r="D16" s="149">
        <v>1006213</v>
      </c>
      <c r="E16" s="44" t="e">
        <f>$J$12</f>
        <v>#N/A</v>
      </c>
      <c r="F16" s="44" t="e">
        <f>VLOOKUP($H$12-80,$D$20:$E$35,2)</f>
        <v>#N/A</v>
      </c>
      <c r="G16" s="191" t="e">
        <f>($H$12-$F$2)/2</f>
        <v>#N/A</v>
      </c>
      <c r="H16" s="34" t="s">
        <v>77</v>
      </c>
      <c r="I16" s="34" t="s">
        <v>77</v>
      </c>
      <c r="J16" s="183" t="s">
        <v>77</v>
      </c>
      <c r="K16" s="248"/>
      <c r="L16" s="65" t="s">
        <v>124</v>
      </c>
      <c r="M16" s="44" t="s">
        <v>168</v>
      </c>
      <c r="N16" s="149">
        <v>1006213</v>
      </c>
      <c r="O16" s="44" t="e">
        <f>$T$12</f>
        <v>#N/A</v>
      </c>
      <c r="P16" s="44" t="e">
        <f>VLOOKUP($R$12-80,$D$20:$E$35,2)</f>
        <v>#N/A</v>
      </c>
      <c r="Q16" s="191" t="e">
        <f>($R$12-$O$2)/2</f>
        <v>#N/A</v>
      </c>
      <c r="R16" s="34" t="s">
        <v>77</v>
      </c>
      <c r="S16" s="34" t="s">
        <v>77</v>
      </c>
      <c r="T16" s="183" t="s">
        <v>77</v>
      </c>
    </row>
    <row r="17" spans="1:20" x14ac:dyDescent="0.2">
      <c r="A17" s="248"/>
      <c r="B17" s="65" t="s">
        <v>123</v>
      </c>
      <c r="C17" s="44" t="s">
        <v>169</v>
      </c>
      <c r="D17" s="149">
        <v>1006214</v>
      </c>
      <c r="E17" s="44" t="e">
        <f>$J$12</f>
        <v>#N/A</v>
      </c>
      <c r="F17" s="44" t="e">
        <f>VLOOKUP($H$12-80,$D$20:$E$35,2)</f>
        <v>#N/A</v>
      </c>
      <c r="G17" s="191" t="e">
        <f>($H$12-$F$2)/2</f>
        <v>#N/A</v>
      </c>
      <c r="H17" s="34" t="s">
        <v>77</v>
      </c>
      <c r="I17" s="34" t="s">
        <v>77</v>
      </c>
      <c r="J17" s="183" t="s">
        <v>77</v>
      </c>
      <c r="K17" s="248"/>
      <c r="L17" s="65" t="s">
        <v>123</v>
      </c>
      <c r="M17" s="44" t="s">
        <v>169</v>
      </c>
      <c r="N17" s="149">
        <v>1006214</v>
      </c>
      <c r="O17" s="44" t="e">
        <f>$T$12</f>
        <v>#N/A</v>
      </c>
      <c r="P17" s="44" t="e">
        <f>VLOOKUP($R$12-80,$D$20:$E$35,2)</f>
        <v>#N/A</v>
      </c>
      <c r="Q17" s="191" t="e">
        <f>($R$12-$O$2)/2</f>
        <v>#N/A</v>
      </c>
      <c r="R17" s="34" t="s">
        <v>77</v>
      </c>
      <c r="S17" s="34" t="s">
        <v>77</v>
      </c>
      <c r="T17" s="183" t="s">
        <v>77</v>
      </c>
    </row>
    <row r="18" spans="1:20" ht="13.5" thickBot="1" x14ac:dyDescent="0.25">
      <c r="A18" s="270"/>
      <c r="B18" s="70" t="s">
        <v>125</v>
      </c>
      <c r="C18" s="58" t="s">
        <v>163</v>
      </c>
      <c r="D18" s="177" t="s">
        <v>57</v>
      </c>
      <c r="E18" s="58" t="e">
        <f>$J$12</f>
        <v>#N/A</v>
      </c>
      <c r="F18" s="58" t="e">
        <f>ROUNDUP($H$12/100,0)</f>
        <v>#N/A</v>
      </c>
      <c r="G18" s="182" t="s">
        <v>77</v>
      </c>
      <c r="H18" s="70" t="e">
        <f>'Fiche fab'!$G$14-199</f>
        <v>#N/A</v>
      </c>
      <c r="I18" s="182" t="s">
        <v>9</v>
      </c>
      <c r="J18" s="150" t="e">
        <f>IF('Fiche fab'!$H$18&gt;'Fiche fab'!$F$18,'Fiche fab'!$H$18+27,'Fiche fab'!$F$18+27)</f>
        <v>#N/A</v>
      </c>
      <c r="K18" s="270"/>
      <c r="L18" s="70" t="s">
        <v>125</v>
      </c>
      <c r="M18" s="58" t="s">
        <v>163</v>
      </c>
      <c r="N18" s="177" t="s">
        <v>57</v>
      </c>
      <c r="O18" s="58" t="e">
        <f>$T$12</f>
        <v>#N/A</v>
      </c>
      <c r="P18" s="58" t="e">
        <f>ROUNDUP($R$12/100,0)</f>
        <v>#N/A</v>
      </c>
      <c r="Q18" s="182" t="s">
        <v>77</v>
      </c>
      <c r="R18" s="245" t="e">
        <f>'Fiche fab'!$J$14-199</f>
        <v>#N/A</v>
      </c>
      <c r="S18" s="182" t="s">
        <v>9</v>
      </c>
      <c r="T18" s="150" t="e">
        <f>IF('Fiche fab'!$H$18&gt;'Fiche fab'!$F$18,'Fiche fab'!$H$18+27,'Fiche fab'!$F$18+27)</f>
        <v>#N/A</v>
      </c>
    </row>
    <row r="20" spans="1:20" x14ac:dyDescent="0.2">
      <c r="C20">
        <v>1</v>
      </c>
      <c r="D20">
        <v>80</v>
      </c>
      <c r="E20" s="88">
        <v>1</v>
      </c>
      <c r="H20" s="156" t="s">
        <v>124</v>
      </c>
      <c r="I20" s="156"/>
      <c r="J20" s="158" t="s">
        <v>26</v>
      </c>
      <c r="K20" t="s">
        <v>126</v>
      </c>
      <c r="L20" s="75" t="s">
        <v>197</v>
      </c>
      <c r="M20" s="75" t="s">
        <v>201</v>
      </c>
      <c r="O20" s="75" t="s">
        <v>217</v>
      </c>
    </row>
    <row r="21" spans="1:20" x14ac:dyDescent="0.2">
      <c r="C21">
        <v>2</v>
      </c>
      <c r="D21" s="148">
        <v>210</v>
      </c>
      <c r="E21" s="88">
        <v>2</v>
      </c>
      <c r="F21" s="115"/>
      <c r="H21" s="156" t="s">
        <v>123</v>
      </c>
      <c r="I21" s="156"/>
      <c r="J21" s="158" t="s">
        <v>191</v>
      </c>
      <c r="L21" s="75" t="s">
        <v>198</v>
      </c>
      <c r="M21" s="75" t="s">
        <v>202</v>
      </c>
      <c r="O21" s="75" t="s">
        <v>146</v>
      </c>
    </row>
    <row r="22" spans="1:20" x14ac:dyDescent="0.2">
      <c r="C22">
        <v>3</v>
      </c>
      <c r="D22">
        <v>340</v>
      </c>
      <c r="E22">
        <v>3</v>
      </c>
      <c r="H22" s="75" t="s">
        <v>126</v>
      </c>
      <c r="I22" s="75"/>
      <c r="L22" s="75" t="s">
        <v>199</v>
      </c>
      <c r="M22" s="75" t="s">
        <v>203</v>
      </c>
      <c r="O22" s="75" t="s">
        <v>223</v>
      </c>
    </row>
    <row r="23" spans="1:20" x14ac:dyDescent="0.2">
      <c r="C23">
        <v>4</v>
      </c>
      <c r="D23">
        <v>470</v>
      </c>
      <c r="E23">
        <v>4</v>
      </c>
      <c r="H23" s="75" t="s">
        <v>125</v>
      </c>
      <c r="I23" s="75"/>
      <c r="J23" s="75" t="s">
        <v>192</v>
      </c>
      <c r="L23" s="115" t="s">
        <v>200</v>
      </c>
    </row>
    <row r="24" spans="1:20" x14ac:dyDescent="0.2">
      <c r="C24">
        <v>5</v>
      </c>
      <c r="D24">
        <v>600</v>
      </c>
      <c r="E24">
        <v>5</v>
      </c>
      <c r="H24" s="75" t="s">
        <v>127</v>
      </c>
      <c r="I24" s="75"/>
      <c r="J24" s="75" t="s">
        <v>193</v>
      </c>
    </row>
    <row r="25" spans="1:20" x14ac:dyDescent="0.2">
      <c r="C25">
        <v>6</v>
      </c>
      <c r="D25">
        <v>730</v>
      </c>
      <c r="E25">
        <v>6</v>
      </c>
      <c r="H25" s="75" t="s">
        <v>128</v>
      </c>
      <c r="I25" s="75"/>
      <c r="J25" s="75" t="s">
        <v>83</v>
      </c>
    </row>
    <row r="26" spans="1:20" x14ac:dyDescent="0.2">
      <c r="C26">
        <v>7</v>
      </c>
      <c r="D26">
        <v>860</v>
      </c>
      <c r="E26">
        <v>7</v>
      </c>
      <c r="H26" s="75" t="s">
        <v>129</v>
      </c>
      <c r="I26" s="75"/>
    </row>
    <row r="27" spans="1:20" x14ac:dyDescent="0.2">
      <c r="C27">
        <v>8</v>
      </c>
      <c r="D27">
        <v>990</v>
      </c>
      <c r="E27">
        <v>8</v>
      </c>
    </row>
    <row r="28" spans="1:20" x14ac:dyDescent="0.2">
      <c r="C28">
        <v>9</v>
      </c>
      <c r="D28">
        <v>1120</v>
      </c>
      <c r="E28">
        <v>9</v>
      </c>
    </row>
    <row r="29" spans="1:20" x14ac:dyDescent="0.2">
      <c r="C29">
        <v>10</v>
      </c>
      <c r="D29">
        <v>1250</v>
      </c>
      <c r="E29">
        <v>10</v>
      </c>
    </row>
    <row r="30" spans="1:20" x14ac:dyDescent="0.2">
      <c r="C30">
        <v>11</v>
      </c>
      <c r="D30">
        <v>1380</v>
      </c>
      <c r="E30">
        <v>11</v>
      </c>
    </row>
    <row r="31" spans="1:20" x14ac:dyDescent="0.2">
      <c r="C31">
        <v>12</v>
      </c>
      <c r="D31">
        <v>1510</v>
      </c>
      <c r="E31">
        <v>12</v>
      </c>
    </row>
    <row r="32" spans="1:20" x14ac:dyDescent="0.2">
      <c r="C32">
        <v>13</v>
      </c>
      <c r="D32">
        <v>1640</v>
      </c>
      <c r="E32">
        <v>13</v>
      </c>
    </row>
    <row r="33" spans="3:5" x14ac:dyDescent="0.2">
      <c r="C33">
        <v>14</v>
      </c>
      <c r="D33">
        <v>1770</v>
      </c>
      <c r="E33">
        <v>14</v>
      </c>
    </row>
    <row r="34" spans="3:5" x14ac:dyDescent="0.2">
      <c r="C34">
        <v>15</v>
      </c>
      <c r="D34">
        <v>1900</v>
      </c>
      <c r="E34">
        <v>15</v>
      </c>
    </row>
    <row r="35" spans="3:5" x14ac:dyDescent="0.2">
      <c r="C35">
        <v>16</v>
      </c>
      <c r="D35">
        <v>2030</v>
      </c>
      <c r="E35">
        <v>16</v>
      </c>
    </row>
  </sheetData>
  <mergeCells count="6">
    <mergeCell ref="K11:K18"/>
    <mergeCell ref="A4:A10"/>
    <mergeCell ref="A11:A18"/>
    <mergeCell ref="R2:T2"/>
    <mergeCell ref="K4:K10"/>
    <mergeCell ref="H2:J2"/>
  </mergeCells>
  <conditionalFormatting sqref="H20:I20 B10 B4 B6 L8 L10 L4 L6">
    <cfRule type="expression" dxfId="0" priority="1" stopIfTrue="1">
      <formula>$B$14=Tendance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INDIRECT('Table modèle'!$H$42)</xm:f>
          </x14:formula1>
          <xm:sqref>K20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6"/>
  <sheetViews>
    <sheetView workbookViewId="0">
      <selection activeCell="B2" sqref="B2:B16"/>
    </sheetView>
  </sheetViews>
  <sheetFormatPr baseColWidth="10" defaultRowHeight="12.75" x14ac:dyDescent="0.2"/>
  <cols>
    <col min="1" max="1" width="3.85546875" customWidth="1"/>
    <col min="2" max="2" width="13.28515625" bestFit="1" customWidth="1"/>
  </cols>
  <sheetData>
    <row r="1" spans="1:2" ht="18" x14ac:dyDescent="0.25">
      <c r="B1" s="161" t="s">
        <v>189</v>
      </c>
    </row>
    <row r="2" spans="1:2" x14ac:dyDescent="0.2">
      <c r="A2">
        <v>1</v>
      </c>
      <c r="B2" s="88" t="s">
        <v>207</v>
      </c>
    </row>
    <row r="3" spans="1:2" x14ac:dyDescent="0.2">
      <c r="A3">
        <v>2</v>
      </c>
      <c r="B3" s="75" t="s">
        <v>204</v>
      </c>
    </row>
    <row r="4" spans="1:2" x14ac:dyDescent="0.2">
      <c r="A4">
        <v>3</v>
      </c>
      <c r="B4" s="75" t="s">
        <v>205</v>
      </c>
    </row>
    <row r="5" spans="1:2" x14ac:dyDescent="0.2">
      <c r="A5">
        <v>4</v>
      </c>
      <c r="B5" s="75" t="s">
        <v>206</v>
      </c>
    </row>
    <row r="6" spans="1:2" x14ac:dyDescent="0.2">
      <c r="A6">
        <v>5</v>
      </c>
      <c r="B6" s="4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16</vt:i4>
      </vt:variant>
    </vt:vector>
  </HeadingPairs>
  <TitlesOfParts>
    <vt:vector size="23" baseType="lpstr">
      <vt:lpstr>Saisie</vt:lpstr>
      <vt:lpstr>Fiche fab</vt:lpstr>
      <vt:lpstr>Colisage</vt:lpstr>
      <vt:lpstr>Table modèle</vt:lpstr>
      <vt:lpstr>Code dispo</vt:lpstr>
      <vt:lpstr>Remp</vt:lpstr>
      <vt:lpstr>ACCESSOIRES</vt:lpstr>
      <vt:lpstr>ACCESS</vt:lpstr>
      <vt:lpstr>AGENCE</vt:lpstr>
      <vt:lpstr>BAR</vt:lpstr>
      <vt:lpstr>CO</vt:lpstr>
      <vt:lpstr>CODE_FERM</vt:lpstr>
      <vt:lpstr>Dispo</vt:lpstr>
      <vt:lpstr>GOND</vt:lpstr>
      <vt:lpstr>LAMB</vt:lpstr>
      <vt:lpstr>LISSE</vt:lpstr>
      <vt:lpstr>MODELE</vt:lpstr>
      <vt:lpstr>P</vt:lpstr>
      <vt:lpstr>PC</vt:lpstr>
      <vt:lpstr>PHR</vt:lpstr>
      <vt:lpstr>PT</vt:lpstr>
      <vt:lpstr>TS_REMP</vt:lpstr>
      <vt:lpstr>'Fiche fab'!Zone_d_impression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KICLOS</dc:creator>
  <cp:lastModifiedBy>Portable MH36</cp:lastModifiedBy>
  <cp:lastPrinted>2018-10-06T22:42:39Z</cp:lastPrinted>
  <dcterms:created xsi:type="dcterms:W3CDTF">2017-06-14T09:29:37Z</dcterms:created>
  <dcterms:modified xsi:type="dcterms:W3CDTF">2018-10-07T10:09:02Z</dcterms:modified>
</cp:coreProperties>
</file>