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InfoConcept LC\Divers\Immobilier\"/>
    </mc:Choice>
  </mc:AlternateContent>
  <bookViews>
    <workbookView xWindow="0" yWindow="40500" windowWidth="24000" windowHeight="9735" tabRatio="878"/>
  </bookViews>
  <sheets>
    <sheet name=" Exemple avec SCHL" sheetId="10" r:id="rId1"/>
    <sheet name="Financement avec SCHL" sheetId="11" r:id="rId2"/>
    <sheet name="Flux financier avec SCHL" sheetId="15" r:id="rId3"/>
    <sheet name=" Exemple sans SCHL" sheetId="7" r:id="rId4"/>
    <sheet name="Financement sans SCHL" sheetId="13" r:id="rId5"/>
    <sheet name="Flux financier sans SCHL" sheetId="16" r:id="rId6"/>
    <sheet name="Ratio endettement (ABD &amp; ATD)" sheetId="14" r:id="rId7"/>
  </sheets>
  <definedNames>
    <definedName name="OLE_LINK72" localSheetId="0">' Exemple avec SCHL'!$G$19</definedName>
  </definedNames>
  <calcPr calcId="162913" concurrentCalc="0"/>
</workbook>
</file>

<file path=xl/calcChain.xml><?xml version="1.0" encoding="utf-8"?>
<calcChain xmlns="http://schemas.openxmlformats.org/spreadsheetml/2006/main">
  <c r="E18" i="10" l="1"/>
  <c r="B14" i="7"/>
  <c r="B14" i="10"/>
  <c r="C18" i="10"/>
  <c r="B18" i="10"/>
  <c r="B22" i="7"/>
  <c r="B26" i="10"/>
  <c r="B37" i="10"/>
  <c r="B36" i="10"/>
  <c r="B38" i="10"/>
  <c r="E19" i="10"/>
  <c r="E21" i="10"/>
  <c r="E16" i="10"/>
  <c r="E20" i="10"/>
  <c r="B40" i="10"/>
  <c r="B41" i="10"/>
  <c r="C41" i="10"/>
  <c r="B19" i="10"/>
  <c r="O2" i="10"/>
  <c r="P2" i="10"/>
  <c r="O3" i="10"/>
  <c r="P3" i="10"/>
  <c r="O4" i="10"/>
  <c r="P4" i="10"/>
  <c r="O5" i="10"/>
  <c r="P5" i="10"/>
  <c r="O6" i="10"/>
  <c r="P6" i="10"/>
  <c r="O7" i="10"/>
  <c r="P7" i="10"/>
  <c r="B20" i="10"/>
  <c r="B21" i="10"/>
  <c r="D1" i="11"/>
  <c r="D16" i="11"/>
  <c r="E16" i="11"/>
  <c r="D4" i="11"/>
  <c r="B12" i="10"/>
  <c r="H12" i="10"/>
  <c r="C18" i="7"/>
  <c r="B18" i="7"/>
  <c r="B19" i="7"/>
  <c r="C4" i="16"/>
  <c r="C11" i="16"/>
  <c r="I2" i="7"/>
  <c r="B45" i="7"/>
  <c r="B46" i="7"/>
  <c r="B47" i="7"/>
  <c r="I4" i="7"/>
  <c r="H34" i="7"/>
  <c r="H35" i="7"/>
  <c r="H37" i="7"/>
  <c r="H38" i="7"/>
  <c r="H40" i="7"/>
  <c r="H41" i="7"/>
  <c r="H42" i="7"/>
  <c r="H43" i="7"/>
  <c r="H44" i="7"/>
  <c r="H45" i="7"/>
  <c r="H46" i="7"/>
  <c r="H47" i="7"/>
  <c r="C17" i="16"/>
  <c r="H36" i="7"/>
  <c r="H39" i="7"/>
  <c r="C19" i="16"/>
  <c r="C20" i="16"/>
  <c r="C21" i="16"/>
  <c r="C23" i="16"/>
  <c r="B24" i="7"/>
  <c r="B34" i="7"/>
  <c r="B35" i="7"/>
  <c r="B36" i="7"/>
  <c r="D3" i="16"/>
  <c r="D11" i="16"/>
  <c r="E10" i="7"/>
  <c r="E11" i="7"/>
  <c r="E12" i="7"/>
  <c r="E13" i="7"/>
  <c r="E14" i="7"/>
  <c r="E15" i="7"/>
  <c r="E16" i="7"/>
  <c r="E17" i="7"/>
  <c r="E18" i="7"/>
  <c r="E21" i="7"/>
  <c r="E22" i="7"/>
  <c r="E23" i="7"/>
  <c r="E24" i="7"/>
  <c r="E25" i="7"/>
  <c r="E26" i="7"/>
  <c r="E27" i="7"/>
  <c r="E28" i="7"/>
  <c r="E29" i="7"/>
  <c r="E30" i="7"/>
  <c r="E31" i="7"/>
  <c r="E32" i="7"/>
  <c r="E33" i="7"/>
  <c r="E34" i="7"/>
  <c r="E35" i="7"/>
  <c r="E36" i="7"/>
  <c r="E37" i="7"/>
  <c r="D14" i="16"/>
  <c r="E19" i="7"/>
  <c r="D15" i="16"/>
  <c r="D16" i="16"/>
  <c r="D1" i="13"/>
  <c r="D16" i="13"/>
  <c r="D17" i="13"/>
  <c r="D18" i="13"/>
  <c r="D19" i="13"/>
  <c r="D20" i="13"/>
  <c r="D21" i="13"/>
  <c r="D22" i="13"/>
  <c r="D23" i="13"/>
  <c r="D24" i="13"/>
  <c r="D25" i="13"/>
  <c r="D26" i="13"/>
  <c r="D27" i="13"/>
  <c r="D28" i="13"/>
  <c r="D18" i="16"/>
  <c r="E16" i="13"/>
  <c r="E17" i="13"/>
  <c r="E18" i="13"/>
  <c r="E19" i="13"/>
  <c r="E20" i="13"/>
  <c r="E21" i="13"/>
  <c r="E22" i="13"/>
  <c r="E23" i="13"/>
  <c r="E24" i="13"/>
  <c r="E25" i="13"/>
  <c r="E26" i="13"/>
  <c r="E27" i="13"/>
  <c r="E28" i="13"/>
  <c r="D7" i="16"/>
  <c r="D21" i="16"/>
  <c r="D23" i="16"/>
  <c r="E3" i="16"/>
  <c r="E11" i="16"/>
  <c r="E14" i="16"/>
  <c r="E15" i="16"/>
  <c r="E16" i="16"/>
  <c r="C16" i="13"/>
  <c r="C17" i="13"/>
  <c r="C18" i="13"/>
  <c r="C19" i="13"/>
  <c r="C20" i="13"/>
  <c r="C21" i="13"/>
  <c r="C22" i="13"/>
  <c r="C23" i="13"/>
  <c r="C24" i="13"/>
  <c r="C25" i="13"/>
  <c r="C26" i="13"/>
  <c r="C27" i="13"/>
  <c r="D29" i="13"/>
  <c r="E29" i="13"/>
  <c r="C29" i="13"/>
  <c r="D30" i="13"/>
  <c r="E30" i="13"/>
  <c r="C30" i="13"/>
  <c r="D31" i="13"/>
  <c r="E31" i="13"/>
  <c r="C31" i="13"/>
  <c r="D32" i="13"/>
  <c r="E32" i="13"/>
  <c r="C32" i="13"/>
  <c r="D33" i="13"/>
  <c r="E33" i="13"/>
  <c r="C33" i="13"/>
  <c r="D34" i="13"/>
  <c r="E34" i="13"/>
  <c r="C34" i="13"/>
  <c r="D35" i="13"/>
  <c r="E35" i="13"/>
  <c r="C35" i="13"/>
  <c r="D36" i="13"/>
  <c r="E36" i="13"/>
  <c r="C36" i="13"/>
  <c r="D37" i="13"/>
  <c r="E37" i="13"/>
  <c r="C37" i="13"/>
  <c r="D38" i="13"/>
  <c r="E38" i="13"/>
  <c r="C38" i="13"/>
  <c r="D39" i="13"/>
  <c r="E39" i="13"/>
  <c r="C39" i="13"/>
  <c r="D40" i="13"/>
  <c r="D41" i="13"/>
  <c r="E18" i="16"/>
  <c r="E40" i="13"/>
  <c r="E41" i="13"/>
  <c r="E7" i="16"/>
  <c r="E21" i="16"/>
  <c r="E23" i="16"/>
  <c r="F3" i="16"/>
  <c r="F11" i="16"/>
  <c r="F14" i="16"/>
  <c r="F15" i="16"/>
  <c r="F16" i="16"/>
  <c r="C40" i="13"/>
  <c r="D42" i="13"/>
  <c r="E42" i="13"/>
  <c r="C42" i="13"/>
  <c r="D43" i="13"/>
  <c r="E43" i="13"/>
  <c r="C43" i="13"/>
  <c r="D44" i="13"/>
  <c r="E44" i="13"/>
  <c r="C44" i="13"/>
  <c r="D45" i="13"/>
  <c r="E45" i="13"/>
  <c r="C45" i="13"/>
  <c r="D46" i="13"/>
  <c r="E46" i="13"/>
  <c r="C46" i="13"/>
  <c r="D47" i="13"/>
  <c r="E47" i="13"/>
  <c r="C47" i="13"/>
  <c r="D48" i="13"/>
  <c r="E48" i="13"/>
  <c r="C48" i="13"/>
  <c r="D49" i="13"/>
  <c r="E49" i="13"/>
  <c r="C49" i="13"/>
  <c r="D50" i="13"/>
  <c r="E50" i="13"/>
  <c r="C50" i="13"/>
  <c r="D51" i="13"/>
  <c r="E51" i="13"/>
  <c r="C51" i="13"/>
  <c r="D52" i="13"/>
  <c r="E52" i="13"/>
  <c r="C52" i="13"/>
  <c r="D53" i="13"/>
  <c r="D54" i="13"/>
  <c r="F18" i="16"/>
  <c r="E53" i="13"/>
  <c r="E54" i="13"/>
  <c r="F7" i="16"/>
  <c r="F21" i="16"/>
  <c r="F23" i="16"/>
  <c r="G3" i="16"/>
  <c r="G11" i="16"/>
  <c r="G14" i="16"/>
  <c r="G15" i="16"/>
  <c r="G16" i="16"/>
  <c r="C53" i="13"/>
  <c r="D55" i="13"/>
  <c r="E55" i="13"/>
  <c r="C55" i="13"/>
  <c r="D56" i="13"/>
  <c r="E56" i="13"/>
  <c r="C56" i="13"/>
  <c r="D57" i="13"/>
  <c r="E57" i="13"/>
  <c r="C57" i="13"/>
  <c r="D58" i="13"/>
  <c r="E58" i="13"/>
  <c r="C58" i="13"/>
  <c r="D59" i="13"/>
  <c r="E59" i="13"/>
  <c r="C59" i="13"/>
  <c r="D60" i="13"/>
  <c r="E60" i="13"/>
  <c r="C60" i="13"/>
  <c r="D61" i="13"/>
  <c r="E61" i="13"/>
  <c r="C61" i="13"/>
  <c r="D62" i="13"/>
  <c r="E62" i="13"/>
  <c r="C62" i="13"/>
  <c r="D63" i="13"/>
  <c r="E63" i="13"/>
  <c r="C63" i="13"/>
  <c r="D64" i="13"/>
  <c r="E64" i="13"/>
  <c r="C64" i="13"/>
  <c r="D65" i="13"/>
  <c r="E65" i="13"/>
  <c r="C65" i="13"/>
  <c r="D66" i="13"/>
  <c r="D67" i="13"/>
  <c r="G18" i="16"/>
  <c r="E66" i="13"/>
  <c r="E67" i="13"/>
  <c r="G7" i="16"/>
  <c r="G21" i="16"/>
  <c r="G23" i="16"/>
  <c r="H3" i="16"/>
  <c r="H11" i="16"/>
  <c r="H14" i="16"/>
  <c r="H15" i="16"/>
  <c r="H16" i="16"/>
  <c r="C66" i="13"/>
  <c r="D68" i="13"/>
  <c r="E68" i="13"/>
  <c r="C68" i="13"/>
  <c r="D69" i="13"/>
  <c r="E69" i="13"/>
  <c r="C69" i="13"/>
  <c r="D70" i="13"/>
  <c r="E70" i="13"/>
  <c r="C70" i="13"/>
  <c r="D71" i="13"/>
  <c r="E71" i="13"/>
  <c r="C71" i="13"/>
  <c r="D72" i="13"/>
  <c r="E72" i="13"/>
  <c r="C72" i="13"/>
  <c r="D73" i="13"/>
  <c r="E73" i="13"/>
  <c r="C73" i="13"/>
  <c r="D74" i="13"/>
  <c r="E74" i="13"/>
  <c r="C74" i="13"/>
  <c r="D75" i="13"/>
  <c r="E75" i="13"/>
  <c r="C75" i="13"/>
  <c r="D76" i="13"/>
  <c r="E76" i="13"/>
  <c r="C76" i="13"/>
  <c r="D77" i="13"/>
  <c r="E77" i="13"/>
  <c r="C77" i="13"/>
  <c r="D78" i="13"/>
  <c r="E78" i="13"/>
  <c r="C78" i="13"/>
  <c r="D79" i="13"/>
  <c r="D80" i="13"/>
  <c r="H18" i="16"/>
  <c r="E79" i="13"/>
  <c r="E80" i="13"/>
  <c r="H7" i="16"/>
  <c r="H21" i="16"/>
  <c r="H23" i="16"/>
  <c r="I3" i="16"/>
  <c r="I11" i="16"/>
  <c r="I14" i="16"/>
  <c r="I15" i="16"/>
  <c r="I16" i="16"/>
  <c r="C79" i="13"/>
  <c r="D81" i="13"/>
  <c r="E81" i="13"/>
  <c r="C81" i="13"/>
  <c r="D82" i="13"/>
  <c r="E82" i="13"/>
  <c r="C82" i="13"/>
  <c r="D83" i="13"/>
  <c r="E83" i="13"/>
  <c r="C83" i="13"/>
  <c r="D84" i="13"/>
  <c r="E84" i="13"/>
  <c r="C84" i="13"/>
  <c r="D85" i="13"/>
  <c r="E85" i="13"/>
  <c r="C85" i="13"/>
  <c r="D86" i="13"/>
  <c r="E86" i="13"/>
  <c r="C86" i="13"/>
  <c r="D87" i="13"/>
  <c r="E87" i="13"/>
  <c r="C87" i="13"/>
  <c r="D88" i="13"/>
  <c r="E88" i="13"/>
  <c r="C88" i="13"/>
  <c r="D89" i="13"/>
  <c r="E89" i="13"/>
  <c r="C89" i="13"/>
  <c r="D90" i="13"/>
  <c r="E90" i="13"/>
  <c r="C90" i="13"/>
  <c r="D91" i="13"/>
  <c r="E91" i="13"/>
  <c r="C91" i="13"/>
  <c r="D92" i="13"/>
  <c r="D93" i="13"/>
  <c r="I18" i="16"/>
  <c r="E92" i="13"/>
  <c r="E93" i="13"/>
  <c r="I7" i="16"/>
  <c r="I21" i="16"/>
  <c r="I23" i="16"/>
  <c r="J3" i="16"/>
  <c r="J11" i="16"/>
  <c r="J14" i="16"/>
  <c r="J15" i="16"/>
  <c r="J16" i="16"/>
  <c r="C92" i="13"/>
  <c r="D94" i="13"/>
  <c r="E94" i="13"/>
  <c r="C94" i="13"/>
  <c r="D95" i="13"/>
  <c r="E95" i="13"/>
  <c r="C95" i="13"/>
  <c r="D96" i="13"/>
  <c r="E96" i="13"/>
  <c r="C96" i="13"/>
  <c r="D97" i="13"/>
  <c r="E97" i="13"/>
  <c r="C97" i="13"/>
  <c r="D98" i="13"/>
  <c r="E98" i="13"/>
  <c r="C98" i="13"/>
  <c r="D99" i="13"/>
  <c r="E99" i="13"/>
  <c r="C99" i="13"/>
  <c r="D100" i="13"/>
  <c r="E100" i="13"/>
  <c r="C100" i="13"/>
  <c r="D101" i="13"/>
  <c r="E101" i="13"/>
  <c r="C101" i="13"/>
  <c r="D102" i="13"/>
  <c r="E102" i="13"/>
  <c r="C102" i="13"/>
  <c r="D103" i="13"/>
  <c r="E103" i="13"/>
  <c r="C103" i="13"/>
  <c r="D104" i="13"/>
  <c r="E104" i="13"/>
  <c r="C104" i="13"/>
  <c r="D105" i="13"/>
  <c r="D106" i="13"/>
  <c r="J18" i="16"/>
  <c r="E105" i="13"/>
  <c r="E106" i="13"/>
  <c r="J7" i="16"/>
  <c r="J21" i="16"/>
  <c r="J23" i="16"/>
  <c r="K3" i="16"/>
  <c r="K11" i="16"/>
  <c r="K14" i="16"/>
  <c r="K15" i="16"/>
  <c r="K16" i="16"/>
  <c r="C105" i="13"/>
  <c r="D107" i="13"/>
  <c r="E107" i="13"/>
  <c r="C107" i="13"/>
  <c r="D108" i="13"/>
  <c r="E108" i="13"/>
  <c r="C108" i="13"/>
  <c r="D109" i="13"/>
  <c r="E109" i="13"/>
  <c r="C109" i="13"/>
  <c r="D110" i="13"/>
  <c r="E110" i="13"/>
  <c r="C110" i="13"/>
  <c r="D111" i="13"/>
  <c r="E111" i="13"/>
  <c r="C111" i="13"/>
  <c r="D112" i="13"/>
  <c r="E112" i="13"/>
  <c r="C112" i="13"/>
  <c r="D113" i="13"/>
  <c r="E113" i="13"/>
  <c r="C113" i="13"/>
  <c r="D114" i="13"/>
  <c r="E114" i="13"/>
  <c r="C114" i="13"/>
  <c r="D115" i="13"/>
  <c r="E115" i="13"/>
  <c r="C115" i="13"/>
  <c r="D116" i="13"/>
  <c r="E116" i="13"/>
  <c r="C116" i="13"/>
  <c r="D117" i="13"/>
  <c r="E117" i="13"/>
  <c r="C117" i="13"/>
  <c r="D118" i="13"/>
  <c r="D119" i="13"/>
  <c r="K18" i="16"/>
  <c r="E118" i="13"/>
  <c r="E119" i="13"/>
  <c r="K7" i="16"/>
  <c r="K21" i="16"/>
  <c r="K23" i="16"/>
  <c r="L3" i="16"/>
  <c r="L11" i="16"/>
  <c r="L14" i="16"/>
  <c r="L15" i="16"/>
  <c r="L16" i="16"/>
  <c r="C118" i="13"/>
  <c r="D120" i="13"/>
  <c r="E120" i="13"/>
  <c r="C120" i="13"/>
  <c r="D121" i="13"/>
  <c r="E121" i="13"/>
  <c r="C121" i="13"/>
  <c r="D122" i="13"/>
  <c r="E122" i="13"/>
  <c r="C122" i="13"/>
  <c r="D123" i="13"/>
  <c r="E123" i="13"/>
  <c r="C123" i="13"/>
  <c r="D124" i="13"/>
  <c r="E124" i="13"/>
  <c r="C124" i="13"/>
  <c r="D125" i="13"/>
  <c r="E125" i="13"/>
  <c r="C125" i="13"/>
  <c r="D126" i="13"/>
  <c r="E126" i="13"/>
  <c r="C126" i="13"/>
  <c r="D127" i="13"/>
  <c r="E127" i="13"/>
  <c r="C127" i="13"/>
  <c r="D128" i="13"/>
  <c r="E128" i="13"/>
  <c r="C128" i="13"/>
  <c r="D129" i="13"/>
  <c r="E129" i="13"/>
  <c r="C129" i="13"/>
  <c r="D130" i="13"/>
  <c r="E130" i="13"/>
  <c r="C130" i="13"/>
  <c r="D131" i="13"/>
  <c r="D132" i="13"/>
  <c r="L18" i="16"/>
  <c r="E131" i="13"/>
  <c r="E132" i="13"/>
  <c r="L7" i="16"/>
  <c r="L21" i="16"/>
  <c r="L23" i="16"/>
  <c r="M3" i="16"/>
  <c r="M11" i="16"/>
  <c r="M14" i="16"/>
  <c r="M15" i="16"/>
  <c r="M16" i="16"/>
  <c r="C131" i="13"/>
  <c r="D133" i="13"/>
  <c r="E133" i="13"/>
  <c r="C133" i="13"/>
  <c r="D134" i="13"/>
  <c r="E134" i="13"/>
  <c r="C134" i="13"/>
  <c r="D135" i="13"/>
  <c r="E135" i="13"/>
  <c r="C135" i="13"/>
  <c r="D136" i="13"/>
  <c r="E136" i="13"/>
  <c r="C136" i="13"/>
  <c r="D137" i="13"/>
  <c r="E137" i="13"/>
  <c r="C137" i="13"/>
  <c r="D138" i="13"/>
  <c r="E138" i="13"/>
  <c r="C138" i="13"/>
  <c r="D139" i="13"/>
  <c r="E139" i="13"/>
  <c r="C139" i="13"/>
  <c r="D140" i="13"/>
  <c r="E140" i="13"/>
  <c r="C140" i="13"/>
  <c r="D141" i="13"/>
  <c r="E141" i="13"/>
  <c r="C141" i="13"/>
  <c r="D142" i="13"/>
  <c r="E142" i="13"/>
  <c r="C142" i="13"/>
  <c r="D143" i="13"/>
  <c r="E143" i="13"/>
  <c r="C143" i="13"/>
  <c r="D144" i="13"/>
  <c r="D145" i="13"/>
  <c r="M18" i="16"/>
  <c r="E144" i="13"/>
  <c r="E145" i="13"/>
  <c r="M7" i="16"/>
  <c r="M21" i="16"/>
  <c r="M23" i="16"/>
  <c r="N3" i="16"/>
  <c r="N11" i="16"/>
  <c r="N14" i="16"/>
  <c r="N15" i="16"/>
  <c r="N16" i="16"/>
  <c r="C144" i="13"/>
  <c r="D146" i="13"/>
  <c r="E146" i="13"/>
  <c r="C146" i="13"/>
  <c r="D147" i="13"/>
  <c r="E147" i="13"/>
  <c r="C147" i="13"/>
  <c r="D148" i="13"/>
  <c r="E148" i="13"/>
  <c r="C148" i="13"/>
  <c r="D149" i="13"/>
  <c r="E149" i="13"/>
  <c r="C149" i="13"/>
  <c r="D150" i="13"/>
  <c r="E150" i="13"/>
  <c r="C150" i="13"/>
  <c r="D151" i="13"/>
  <c r="E151" i="13"/>
  <c r="C151" i="13"/>
  <c r="D152" i="13"/>
  <c r="E152" i="13"/>
  <c r="C152" i="13"/>
  <c r="D153" i="13"/>
  <c r="E153" i="13"/>
  <c r="C153" i="13"/>
  <c r="D154" i="13"/>
  <c r="E154" i="13"/>
  <c r="C154" i="13"/>
  <c r="D155" i="13"/>
  <c r="E155" i="13"/>
  <c r="C155" i="13"/>
  <c r="D156" i="13"/>
  <c r="E156" i="13"/>
  <c r="C156" i="13"/>
  <c r="D157" i="13"/>
  <c r="D158" i="13"/>
  <c r="N18" i="16"/>
  <c r="E157" i="13"/>
  <c r="E158" i="13"/>
  <c r="N7" i="16"/>
  <c r="N21" i="16"/>
  <c r="N23" i="16"/>
  <c r="O3" i="16"/>
  <c r="O11" i="16"/>
  <c r="O14" i="16"/>
  <c r="O15" i="16"/>
  <c r="O16" i="16"/>
  <c r="C157" i="13"/>
  <c r="D159" i="13"/>
  <c r="E159" i="13"/>
  <c r="C159" i="13"/>
  <c r="D160" i="13"/>
  <c r="E160" i="13"/>
  <c r="C160" i="13"/>
  <c r="D161" i="13"/>
  <c r="E161" i="13"/>
  <c r="C161" i="13"/>
  <c r="D162" i="13"/>
  <c r="E162" i="13"/>
  <c r="C162" i="13"/>
  <c r="D163" i="13"/>
  <c r="E163" i="13"/>
  <c r="C163" i="13"/>
  <c r="D164" i="13"/>
  <c r="E164" i="13"/>
  <c r="C164" i="13"/>
  <c r="D165" i="13"/>
  <c r="E165" i="13"/>
  <c r="C165" i="13"/>
  <c r="D166" i="13"/>
  <c r="E166" i="13"/>
  <c r="C166" i="13"/>
  <c r="D167" i="13"/>
  <c r="E167" i="13"/>
  <c r="C167" i="13"/>
  <c r="D168" i="13"/>
  <c r="E168" i="13"/>
  <c r="C168" i="13"/>
  <c r="D169" i="13"/>
  <c r="E169" i="13"/>
  <c r="C169" i="13"/>
  <c r="D170" i="13"/>
  <c r="D171" i="13"/>
  <c r="O18" i="16"/>
  <c r="E170" i="13"/>
  <c r="E171" i="13"/>
  <c r="O7" i="16"/>
  <c r="O21" i="16"/>
  <c r="O23" i="16"/>
  <c r="P3" i="16"/>
  <c r="P11" i="16"/>
  <c r="P14" i="16"/>
  <c r="P15" i="16"/>
  <c r="P16" i="16"/>
  <c r="C170" i="13"/>
  <c r="D172" i="13"/>
  <c r="E172" i="13"/>
  <c r="C172" i="13"/>
  <c r="D173" i="13"/>
  <c r="E173" i="13"/>
  <c r="C173" i="13"/>
  <c r="D174" i="13"/>
  <c r="E174" i="13"/>
  <c r="C174" i="13"/>
  <c r="D175" i="13"/>
  <c r="E175" i="13"/>
  <c r="C175" i="13"/>
  <c r="D176" i="13"/>
  <c r="E176" i="13"/>
  <c r="C176" i="13"/>
  <c r="D177" i="13"/>
  <c r="E177" i="13"/>
  <c r="C177" i="13"/>
  <c r="D178" i="13"/>
  <c r="E178" i="13"/>
  <c r="C178" i="13"/>
  <c r="D179" i="13"/>
  <c r="E179" i="13"/>
  <c r="C179" i="13"/>
  <c r="D180" i="13"/>
  <c r="E180" i="13"/>
  <c r="C180" i="13"/>
  <c r="D181" i="13"/>
  <c r="E181" i="13"/>
  <c r="C181" i="13"/>
  <c r="D182" i="13"/>
  <c r="E182" i="13"/>
  <c r="C182" i="13"/>
  <c r="D183" i="13"/>
  <c r="D184" i="13"/>
  <c r="P18" i="16"/>
  <c r="E183" i="13"/>
  <c r="E184" i="13"/>
  <c r="P7" i="16"/>
  <c r="P21" i="16"/>
  <c r="P23" i="16"/>
  <c r="Q3" i="16"/>
  <c r="Q11" i="16"/>
  <c r="Q14" i="16"/>
  <c r="Q15" i="16"/>
  <c r="Q16" i="16"/>
  <c r="C183" i="13"/>
  <c r="D185" i="13"/>
  <c r="E185" i="13"/>
  <c r="C185" i="13"/>
  <c r="D186" i="13"/>
  <c r="E186" i="13"/>
  <c r="C186" i="13"/>
  <c r="D187" i="13"/>
  <c r="E187" i="13"/>
  <c r="C187" i="13"/>
  <c r="D188" i="13"/>
  <c r="E188" i="13"/>
  <c r="C188" i="13"/>
  <c r="D189" i="13"/>
  <c r="E189" i="13"/>
  <c r="C189" i="13"/>
  <c r="D190" i="13"/>
  <c r="E190" i="13"/>
  <c r="C190" i="13"/>
  <c r="D191" i="13"/>
  <c r="E191" i="13"/>
  <c r="C191" i="13"/>
  <c r="D192" i="13"/>
  <c r="E192" i="13"/>
  <c r="C192" i="13"/>
  <c r="D193" i="13"/>
  <c r="E193" i="13"/>
  <c r="C193" i="13"/>
  <c r="D194" i="13"/>
  <c r="E194" i="13"/>
  <c r="C194" i="13"/>
  <c r="D195" i="13"/>
  <c r="E195" i="13"/>
  <c r="C195" i="13"/>
  <c r="D196" i="13"/>
  <c r="D197" i="13"/>
  <c r="Q18" i="16"/>
  <c r="E196" i="13"/>
  <c r="E197" i="13"/>
  <c r="Q7" i="16"/>
  <c r="Q21" i="16"/>
  <c r="Q23" i="16"/>
  <c r="R3" i="16"/>
  <c r="R11" i="16"/>
  <c r="R14" i="16"/>
  <c r="R15" i="16"/>
  <c r="R16" i="16"/>
  <c r="C196" i="13"/>
  <c r="D198" i="13"/>
  <c r="E198" i="13"/>
  <c r="C198" i="13"/>
  <c r="D199" i="13"/>
  <c r="E199" i="13"/>
  <c r="C199" i="13"/>
  <c r="D200" i="13"/>
  <c r="E200" i="13"/>
  <c r="C200" i="13"/>
  <c r="D201" i="13"/>
  <c r="E201" i="13"/>
  <c r="C201" i="13"/>
  <c r="D202" i="13"/>
  <c r="E202" i="13"/>
  <c r="C202" i="13"/>
  <c r="D203" i="13"/>
  <c r="E203" i="13"/>
  <c r="C203" i="13"/>
  <c r="D204" i="13"/>
  <c r="E204" i="13"/>
  <c r="C204" i="13"/>
  <c r="D205" i="13"/>
  <c r="E205" i="13"/>
  <c r="C205" i="13"/>
  <c r="D206" i="13"/>
  <c r="E206" i="13"/>
  <c r="C206" i="13"/>
  <c r="D207" i="13"/>
  <c r="E207" i="13"/>
  <c r="C207" i="13"/>
  <c r="D208" i="13"/>
  <c r="E208" i="13"/>
  <c r="C208" i="13"/>
  <c r="D209" i="13"/>
  <c r="D210" i="13"/>
  <c r="R18" i="16"/>
  <c r="E209" i="13"/>
  <c r="E210" i="13"/>
  <c r="R7" i="16"/>
  <c r="R21" i="16"/>
  <c r="R23" i="16"/>
  <c r="S3" i="16"/>
  <c r="S11" i="16"/>
  <c r="S14" i="16"/>
  <c r="S15" i="16"/>
  <c r="S16" i="16"/>
  <c r="C209" i="13"/>
  <c r="D211" i="13"/>
  <c r="E211" i="13"/>
  <c r="C211" i="13"/>
  <c r="D212" i="13"/>
  <c r="E212" i="13"/>
  <c r="C212" i="13"/>
  <c r="D213" i="13"/>
  <c r="E213" i="13"/>
  <c r="C213" i="13"/>
  <c r="D214" i="13"/>
  <c r="E214" i="13"/>
  <c r="C214" i="13"/>
  <c r="D215" i="13"/>
  <c r="E215" i="13"/>
  <c r="C215" i="13"/>
  <c r="D216" i="13"/>
  <c r="E216" i="13"/>
  <c r="C216" i="13"/>
  <c r="D217" i="13"/>
  <c r="E217" i="13"/>
  <c r="C217" i="13"/>
  <c r="D218" i="13"/>
  <c r="E218" i="13"/>
  <c r="C218" i="13"/>
  <c r="D219" i="13"/>
  <c r="E219" i="13"/>
  <c r="C219" i="13"/>
  <c r="D220" i="13"/>
  <c r="E220" i="13"/>
  <c r="C220" i="13"/>
  <c r="D221" i="13"/>
  <c r="E221" i="13"/>
  <c r="C221" i="13"/>
  <c r="D222" i="13"/>
  <c r="D223" i="13"/>
  <c r="S18" i="16"/>
  <c r="E222" i="13"/>
  <c r="E223" i="13"/>
  <c r="S7" i="16"/>
  <c r="S21" i="16"/>
  <c r="S23" i="16"/>
  <c r="T3" i="16"/>
  <c r="T11" i="16"/>
  <c r="T14" i="16"/>
  <c r="T15" i="16"/>
  <c r="T16" i="16"/>
  <c r="C222" i="13"/>
  <c r="D224" i="13"/>
  <c r="E224" i="13"/>
  <c r="C224" i="13"/>
  <c r="D225" i="13"/>
  <c r="E225" i="13"/>
  <c r="C225" i="13"/>
  <c r="D226" i="13"/>
  <c r="E226" i="13"/>
  <c r="C226" i="13"/>
  <c r="D227" i="13"/>
  <c r="E227" i="13"/>
  <c r="C227" i="13"/>
  <c r="D228" i="13"/>
  <c r="E228" i="13"/>
  <c r="C228" i="13"/>
  <c r="D229" i="13"/>
  <c r="E229" i="13"/>
  <c r="C229" i="13"/>
  <c r="D230" i="13"/>
  <c r="E230" i="13"/>
  <c r="C230" i="13"/>
  <c r="D231" i="13"/>
  <c r="E231" i="13"/>
  <c r="C231" i="13"/>
  <c r="D232" i="13"/>
  <c r="E232" i="13"/>
  <c r="C232" i="13"/>
  <c r="D233" i="13"/>
  <c r="E233" i="13"/>
  <c r="C233" i="13"/>
  <c r="D234" i="13"/>
  <c r="E234" i="13"/>
  <c r="C234" i="13"/>
  <c r="D235" i="13"/>
  <c r="D236" i="13"/>
  <c r="T18" i="16"/>
  <c r="E235" i="13"/>
  <c r="E236" i="13"/>
  <c r="T7" i="16"/>
  <c r="T21" i="16"/>
  <c r="T23" i="16"/>
  <c r="U3" i="16"/>
  <c r="U11" i="16"/>
  <c r="U14" i="16"/>
  <c r="U15" i="16"/>
  <c r="U16" i="16"/>
  <c r="C235" i="13"/>
  <c r="D237" i="13"/>
  <c r="E237" i="13"/>
  <c r="C237" i="13"/>
  <c r="D238" i="13"/>
  <c r="E238" i="13"/>
  <c r="C238" i="13"/>
  <c r="D239" i="13"/>
  <c r="E239" i="13"/>
  <c r="C239" i="13"/>
  <c r="D240" i="13"/>
  <c r="E240" i="13"/>
  <c r="C240" i="13"/>
  <c r="D241" i="13"/>
  <c r="E241" i="13"/>
  <c r="C241" i="13"/>
  <c r="D242" i="13"/>
  <c r="E242" i="13"/>
  <c r="C242" i="13"/>
  <c r="D243" i="13"/>
  <c r="E243" i="13"/>
  <c r="C243" i="13"/>
  <c r="D244" i="13"/>
  <c r="E244" i="13"/>
  <c r="C244" i="13"/>
  <c r="D245" i="13"/>
  <c r="E245" i="13"/>
  <c r="C245" i="13"/>
  <c r="D246" i="13"/>
  <c r="E246" i="13"/>
  <c r="C246" i="13"/>
  <c r="D247" i="13"/>
  <c r="E247" i="13"/>
  <c r="C247" i="13"/>
  <c r="D248" i="13"/>
  <c r="D249" i="13"/>
  <c r="U18" i="16"/>
  <c r="E248" i="13"/>
  <c r="E249" i="13"/>
  <c r="U7" i="16"/>
  <c r="U21" i="16"/>
  <c r="U23" i="16"/>
  <c r="V3" i="16"/>
  <c r="V11" i="16"/>
  <c r="V14" i="16"/>
  <c r="V15" i="16"/>
  <c r="V16" i="16"/>
  <c r="C248" i="13"/>
  <c r="D250" i="13"/>
  <c r="E250" i="13"/>
  <c r="C250" i="13"/>
  <c r="D251" i="13"/>
  <c r="E251" i="13"/>
  <c r="C251" i="13"/>
  <c r="D252" i="13"/>
  <c r="E252" i="13"/>
  <c r="C252" i="13"/>
  <c r="D253" i="13"/>
  <c r="E253" i="13"/>
  <c r="C253" i="13"/>
  <c r="D254" i="13"/>
  <c r="E254" i="13"/>
  <c r="C254" i="13"/>
  <c r="D255" i="13"/>
  <c r="E255" i="13"/>
  <c r="C255" i="13"/>
  <c r="D256" i="13"/>
  <c r="E256" i="13"/>
  <c r="C256" i="13"/>
  <c r="D257" i="13"/>
  <c r="E257" i="13"/>
  <c r="C257" i="13"/>
  <c r="D258" i="13"/>
  <c r="E258" i="13"/>
  <c r="C258" i="13"/>
  <c r="D259" i="13"/>
  <c r="E259" i="13"/>
  <c r="C259" i="13"/>
  <c r="D260" i="13"/>
  <c r="E260" i="13"/>
  <c r="C260" i="13"/>
  <c r="D261" i="13"/>
  <c r="D262" i="13"/>
  <c r="V18" i="16"/>
  <c r="E261" i="13"/>
  <c r="E262" i="13"/>
  <c r="V7" i="16"/>
  <c r="V21" i="16"/>
  <c r="V23" i="16"/>
  <c r="W3" i="16"/>
  <c r="W11" i="16"/>
  <c r="W14" i="16"/>
  <c r="W15" i="16"/>
  <c r="W16" i="16"/>
  <c r="C261" i="13"/>
  <c r="D263" i="13"/>
  <c r="E263" i="13"/>
  <c r="C263" i="13"/>
  <c r="D264" i="13"/>
  <c r="E264" i="13"/>
  <c r="C264" i="13"/>
  <c r="D265" i="13"/>
  <c r="E265" i="13"/>
  <c r="C265" i="13"/>
  <c r="D266" i="13"/>
  <c r="E266" i="13"/>
  <c r="C266" i="13"/>
  <c r="D267" i="13"/>
  <c r="E267" i="13"/>
  <c r="C267" i="13"/>
  <c r="D268" i="13"/>
  <c r="E268" i="13"/>
  <c r="C268" i="13"/>
  <c r="D269" i="13"/>
  <c r="E269" i="13"/>
  <c r="C269" i="13"/>
  <c r="D270" i="13"/>
  <c r="E270" i="13"/>
  <c r="C270" i="13"/>
  <c r="D271" i="13"/>
  <c r="E271" i="13"/>
  <c r="C271" i="13"/>
  <c r="D272" i="13"/>
  <c r="E272" i="13"/>
  <c r="C272" i="13"/>
  <c r="D273" i="13"/>
  <c r="E273" i="13"/>
  <c r="C273" i="13"/>
  <c r="D274" i="13"/>
  <c r="D275" i="13"/>
  <c r="W18" i="16"/>
  <c r="E274" i="13"/>
  <c r="E275" i="13"/>
  <c r="W7" i="16"/>
  <c r="W21" i="16"/>
  <c r="W23" i="16"/>
  <c r="X3" i="16"/>
  <c r="X11" i="16"/>
  <c r="X14" i="16"/>
  <c r="X15" i="16"/>
  <c r="X16" i="16"/>
  <c r="C274" i="13"/>
  <c r="D276" i="13"/>
  <c r="E276" i="13"/>
  <c r="C276" i="13"/>
  <c r="D277" i="13"/>
  <c r="E277" i="13"/>
  <c r="C277" i="13"/>
  <c r="D278" i="13"/>
  <c r="E278" i="13"/>
  <c r="C278" i="13"/>
  <c r="D279" i="13"/>
  <c r="E279" i="13"/>
  <c r="C279" i="13"/>
  <c r="D280" i="13"/>
  <c r="E280" i="13"/>
  <c r="C280" i="13"/>
  <c r="D281" i="13"/>
  <c r="E281" i="13"/>
  <c r="C281" i="13"/>
  <c r="D282" i="13"/>
  <c r="E282" i="13"/>
  <c r="C282" i="13"/>
  <c r="D283" i="13"/>
  <c r="E283" i="13"/>
  <c r="C283" i="13"/>
  <c r="D284" i="13"/>
  <c r="E284" i="13"/>
  <c r="C284" i="13"/>
  <c r="D285" i="13"/>
  <c r="E285" i="13"/>
  <c r="C285" i="13"/>
  <c r="D286" i="13"/>
  <c r="E286" i="13"/>
  <c r="C286" i="13"/>
  <c r="D287" i="13"/>
  <c r="D288" i="13"/>
  <c r="X18" i="16"/>
  <c r="E287" i="13"/>
  <c r="E288" i="13"/>
  <c r="X7" i="16"/>
  <c r="X21" i="16"/>
  <c r="X23" i="16"/>
  <c r="Y3" i="16"/>
  <c r="Y11" i="16"/>
  <c r="Y14" i="16"/>
  <c r="Y15" i="16"/>
  <c r="Y16" i="16"/>
  <c r="C287" i="13"/>
  <c r="D289" i="13"/>
  <c r="E289" i="13"/>
  <c r="C289" i="13"/>
  <c r="D290" i="13"/>
  <c r="E290" i="13"/>
  <c r="C290" i="13"/>
  <c r="D291" i="13"/>
  <c r="E291" i="13"/>
  <c r="C291" i="13"/>
  <c r="D292" i="13"/>
  <c r="E292" i="13"/>
  <c r="C292" i="13"/>
  <c r="D293" i="13"/>
  <c r="E293" i="13"/>
  <c r="C293" i="13"/>
  <c r="D294" i="13"/>
  <c r="E294" i="13"/>
  <c r="C294" i="13"/>
  <c r="D295" i="13"/>
  <c r="E295" i="13"/>
  <c r="C295" i="13"/>
  <c r="D296" i="13"/>
  <c r="E296" i="13"/>
  <c r="C296" i="13"/>
  <c r="D297" i="13"/>
  <c r="E297" i="13"/>
  <c r="C297" i="13"/>
  <c r="D298" i="13"/>
  <c r="E298" i="13"/>
  <c r="C298" i="13"/>
  <c r="D299" i="13"/>
  <c r="E299" i="13"/>
  <c r="C299" i="13"/>
  <c r="D300" i="13"/>
  <c r="D301" i="13"/>
  <c r="Y18" i="16"/>
  <c r="E300" i="13"/>
  <c r="E301" i="13"/>
  <c r="Y7" i="16"/>
  <c r="Y21" i="16"/>
  <c r="Y23" i="16"/>
  <c r="Z3" i="16"/>
  <c r="Z11" i="16"/>
  <c r="Z14" i="16"/>
  <c r="Z15" i="16"/>
  <c r="Z16" i="16"/>
  <c r="C300" i="13"/>
  <c r="D302" i="13"/>
  <c r="E302" i="13"/>
  <c r="C302" i="13"/>
  <c r="D303" i="13"/>
  <c r="E303" i="13"/>
  <c r="C303" i="13"/>
  <c r="D304" i="13"/>
  <c r="E304" i="13"/>
  <c r="C304" i="13"/>
  <c r="D305" i="13"/>
  <c r="E305" i="13"/>
  <c r="C305" i="13"/>
  <c r="D306" i="13"/>
  <c r="E306" i="13"/>
  <c r="C306" i="13"/>
  <c r="D307" i="13"/>
  <c r="E307" i="13"/>
  <c r="C307" i="13"/>
  <c r="D308" i="13"/>
  <c r="E308" i="13"/>
  <c r="C308" i="13"/>
  <c r="D309" i="13"/>
  <c r="E309" i="13"/>
  <c r="C309" i="13"/>
  <c r="D310" i="13"/>
  <c r="E310" i="13"/>
  <c r="C310" i="13"/>
  <c r="D311" i="13"/>
  <c r="E311" i="13"/>
  <c r="C311" i="13"/>
  <c r="D312" i="13"/>
  <c r="E312" i="13"/>
  <c r="C312" i="13"/>
  <c r="D313" i="13"/>
  <c r="D314" i="13"/>
  <c r="Z18" i="16"/>
  <c r="E313" i="13"/>
  <c r="E314" i="13"/>
  <c r="Z7" i="16"/>
  <c r="Z21" i="16"/>
  <c r="Z23" i="16"/>
  <c r="AA3" i="16"/>
  <c r="AA11" i="16"/>
  <c r="AA14" i="16"/>
  <c r="AA15" i="16"/>
  <c r="AA16" i="16"/>
  <c r="C313" i="13"/>
  <c r="D315" i="13"/>
  <c r="E315" i="13"/>
  <c r="C315" i="13"/>
  <c r="D316" i="13"/>
  <c r="E316" i="13"/>
  <c r="C316" i="13"/>
  <c r="D317" i="13"/>
  <c r="E317" i="13"/>
  <c r="C317" i="13"/>
  <c r="D318" i="13"/>
  <c r="E318" i="13"/>
  <c r="C318" i="13"/>
  <c r="D319" i="13"/>
  <c r="E319" i="13"/>
  <c r="C319" i="13"/>
  <c r="D320" i="13"/>
  <c r="E320" i="13"/>
  <c r="C320" i="13"/>
  <c r="D321" i="13"/>
  <c r="E321" i="13"/>
  <c r="C321" i="13"/>
  <c r="D322" i="13"/>
  <c r="E322" i="13"/>
  <c r="C322" i="13"/>
  <c r="D323" i="13"/>
  <c r="E323" i="13"/>
  <c r="C323" i="13"/>
  <c r="D324" i="13"/>
  <c r="E324" i="13"/>
  <c r="C324" i="13"/>
  <c r="D325" i="13"/>
  <c r="E325" i="13"/>
  <c r="C325" i="13"/>
  <c r="D326" i="13"/>
  <c r="D327" i="13"/>
  <c r="AA18" i="16"/>
  <c r="E326" i="13"/>
  <c r="E327" i="13"/>
  <c r="AA7" i="16"/>
  <c r="AA21" i="16"/>
  <c r="AA23" i="16"/>
  <c r="AB3" i="16"/>
  <c r="AB11" i="16"/>
  <c r="AB14" i="16"/>
  <c r="AB15" i="16"/>
  <c r="AB16" i="16"/>
  <c r="C326" i="13"/>
  <c r="D328" i="13"/>
  <c r="E328" i="13"/>
  <c r="C328" i="13"/>
  <c r="D329" i="13"/>
  <c r="E329" i="13"/>
  <c r="C329" i="13"/>
  <c r="D330" i="13"/>
  <c r="E330" i="13"/>
  <c r="C330" i="13"/>
  <c r="D331" i="13"/>
  <c r="E331" i="13"/>
  <c r="C331" i="13"/>
  <c r="D332" i="13"/>
  <c r="E332" i="13"/>
  <c r="C332" i="13"/>
  <c r="D333" i="13"/>
  <c r="E333" i="13"/>
  <c r="C333" i="13"/>
  <c r="D334" i="13"/>
  <c r="E334" i="13"/>
  <c r="C334" i="13"/>
  <c r="D335" i="13"/>
  <c r="E335" i="13"/>
  <c r="C335" i="13"/>
  <c r="D336" i="13"/>
  <c r="E336" i="13"/>
  <c r="C336" i="13"/>
  <c r="D337" i="13"/>
  <c r="E337" i="13"/>
  <c r="C337" i="13"/>
  <c r="D338" i="13"/>
  <c r="E338" i="13"/>
  <c r="C338" i="13"/>
  <c r="D339" i="13"/>
  <c r="D340" i="13"/>
  <c r="AB18" i="16"/>
  <c r="E339" i="13"/>
  <c r="E340" i="13"/>
  <c r="AB7" i="16"/>
  <c r="AB21" i="16"/>
  <c r="AB23" i="16"/>
  <c r="H21" i="7"/>
  <c r="C4" i="15"/>
  <c r="C11" i="15"/>
  <c r="B49" i="10"/>
  <c r="I4" i="10"/>
  <c r="H34" i="10"/>
  <c r="C17" i="15"/>
  <c r="H36" i="10"/>
  <c r="H37" i="10"/>
  <c r="C19" i="15"/>
  <c r="C20" i="15"/>
  <c r="C21" i="15"/>
  <c r="C22" i="15"/>
  <c r="C24" i="15"/>
  <c r="D3" i="15"/>
  <c r="D11" i="15"/>
  <c r="D14" i="15"/>
  <c r="D15" i="15"/>
  <c r="D16" i="15"/>
  <c r="D17" i="11"/>
  <c r="D18" i="11"/>
  <c r="D19" i="11"/>
  <c r="D20" i="11"/>
  <c r="D21" i="11"/>
  <c r="D22" i="11"/>
  <c r="D23" i="11"/>
  <c r="D24" i="11"/>
  <c r="D25" i="11"/>
  <c r="D26" i="11"/>
  <c r="D27" i="11"/>
  <c r="D28" i="11"/>
  <c r="D18" i="15"/>
  <c r="E17" i="11"/>
  <c r="E18" i="11"/>
  <c r="E19" i="11"/>
  <c r="E20" i="11"/>
  <c r="E21" i="11"/>
  <c r="E22" i="11"/>
  <c r="E23" i="11"/>
  <c r="E24" i="11"/>
  <c r="E25" i="11"/>
  <c r="E26" i="11"/>
  <c r="E27" i="11"/>
  <c r="E28" i="11"/>
  <c r="D7" i="15"/>
  <c r="D22" i="15"/>
  <c r="D24" i="15"/>
  <c r="E3" i="15"/>
  <c r="E11" i="15"/>
  <c r="E14" i="15"/>
  <c r="E15" i="15"/>
  <c r="E16" i="15"/>
  <c r="C16" i="11"/>
  <c r="C17" i="11"/>
  <c r="C18" i="11"/>
  <c r="C19" i="11"/>
  <c r="C20" i="11"/>
  <c r="C21" i="11"/>
  <c r="C22" i="11"/>
  <c r="C23" i="11"/>
  <c r="C24" i="11"/>
  <c r="C25" i="11"/>
  <c r="C26" i="11"/>
  <c r="C27" i="11"/>
  <c r="D29" i="11"/>
  <c r="E29" i="11"/>
  <c r="C29" i="11"/>
  <c r="D30" i="11"/>
  <c r="E30" i="11"/>
  <c r="C30" i="11"/>
  <c r="D31" i="11"/>
  <c r="E31" i="11"/>
  <c r="C31" i="11"/>
  <c r="D32" i="11"/>
  <c r="E32" i="11"/>
  <c r="C32" i="11"/>
  <c r="D33" i="11"/>
  <c r="E33" i="11"/>
  <c r="C33" i="11"/>
  <c r="D34" i="11"/>
  <c r="E34" i="11"/>
  <c r="C34" i="11"/>
  <c r="D35" i="11"/>
  <c r="E35" i="11"/>
  <c r="C35" i="11"/>
  <c r="D36" i="11"/>
  <c r="E36" i="11"/>
  <c r="C36" i="11"/>
  <c r="D37" i="11"/>
  <c r="E37" i="11"/>
  <c r="C37" i="11"/>
  <c r="D38" i="11"/>
  <c r="E38" i="11"/>
  <c r="C38" i="11"/>
  <c r="D39" i="11"/>
  <c r="E39" i="11"/>
  <c r="C39" i="11"/>
  <c r="D40" i="11"/>
  <c r="D41" i="11"/>
  <c r="E18" i="15"/>
  <c r="E40" i="11"/>
  <c r="E41" i="11"/>
  <c r="E7" i="15"/>
  <c r="E22" i="15"/>
  <c r="E24" i="15"/>
  <c r="F3" i="15"/>
  <c r="F11" i="15"/>
  <c r="F14" i="15"/>
  <c r="F15" i="15"/>
  <c r="F16" i="15"/>
  <c r="C40" i="11"/>
  <c r="D42" i="11"/>
  <c r="E42" i="11"/>
  <c r="C42" i="11"/>
  <c r="D43" i="11"/>
  <c r="E43" i="11"/>
  <c r="C43" i="11"/>
  <c r="D44" i="11"/>
  <c r="E44" i="11"/>
  <c r="C44" i="11"/>
  <c r="D45" i="11"/>
  <c r="E45" i="11"/>
  <c r="C45" i="11"/>
  <c r="D46" i="11"/>
  <c r="E46" i="11"/>
  <c r="C46" i="11"/>
  <c r="D47" i="11"/>
  <c r="E47" i="11"/>
  <c r="C47" i="11"/>
  <c r="D48" i="11"/>
  <c r="E48" i="11"/>
  <c r="C48" i="11"/>
  <c r="D49" i="11"/>
  <c r="E49" i="11"/>
  <c r="C49" i="11"/>
  <c r="D50" i="11"/>
  <c r="E50" i="11"/>
  <c r="C50" i="11"/>
  <c r="D51" i="11"/>
  <c r="E51" i="11"/>
  <c r="C51" i="11"/>
  <c r="D52" i="11"/>
  <c r="E52" i="11"/>
  <c r="C52" i="11"/>
  <c r="D53" i="11"/>
  <c r="D54" i="11"/>
  <c r="F18" i="15"/>
  <c r="E53" i="11"/>
  <c r="E54" i="11"/>
  <c r="F7" i="15"/>
  <c r="F22" i="15"/>
  <c r="F24" i="15"/>
  <c r="G3" i="15"/>
  <c r="G11" i="15"/>
  <c r="G14" i="15"/>
  <c r="G15" i="15"/>
  <c r="G16" i="15"/>
  <c r="C53" i="11"/>
  <c r="D55" i="11"/>
  <c r="E55" i="11"/>
  <c r="C55" i="11"/>
  <c r="D56" i="11"/>
  <c r="E56" i="11"/>
  <c r="C56" i="11"/>
  <c r="D57" i="11"/>
  <c r="E57" i="11"/>
  <c r="C57" i="11"/>
  <c r="D58" i="11"/>
  <c r="E58" i="11"/>
  <c r="C58" i="11"/>
  <c r="D59" i="11"/>
  <c r="E59" i="11"/>
  <c r="C59" i="11"/>
  <c r="D60" i="11"/>
  <c r="E60" i="11"/>
  <c r="C60" i="11"/>
  <c r="D61" i="11"/>
  <c r="E61" i="11"/>
  <c r="C61" i="11"/>
  <c r="D62" i="11"/>
  <c r="E62" i="11"/>
  <c r="C62" i="11"/>
  <c r="D63" i="11"/>
  <c r="E63" i="11"/>
  <c r="C63" i="11"/>
  <c r="D64" i="11"/>
  <c r="E64" i="11"/>
  <c r="C64" i="11"/>
  <c r="D65" i="11"/>
  <c r="E65" i="11"/>
  <c r="C65" i="11"/>
  <c r="D66" i="11"/>
  <c r="D67" i="11"/>
  <c r="G18" i="15"/>
  <c r="E66" i="11"/>
  <c r="E67" i="11"/>
  <c r="G7" i="15"/>
  <c r="G22" i="15"/>
  <c r="G24" i="15"/>
  <c r="H3" i="15"/>
  <c r="H11" i="15"/>
  <c r="H14" i="15"/>
  <c r="H15" i="15"/>
  <c r="H16" i="15"/>
  <c r="C66" i="11"/>
  <c r="D68" i="11"/>
  <c r="E68" i="11"/>
  <c r="C68" i="11"/>
  <c r="D69" i="11"/>
  <c r="E69" i="11"/>
  <c r="C69" i="11"/>
  <c r="D70" i="11"/>
  <c r="E70" i="11"/>
  <c r="C70" i="11"/>
  <c r="D71" i="11"/>
  <c r="E71" i="11"/>
  <c r="C71" i="11"/>
  <c r="D72" i="11"/>
  <c r="E72" i="11"/>
  <c r="C72" i="11"/>
  <c r="D73" i="11"/>
  <c r="E73" i="11"/>
  <c r="C73" i="11"/>
  <c r="D74" i="11"/>
  <c r="E74" i="11"/>
  <c r="C74" i="11"/>
  <c r="D75" i="11"/>
  <c r="E75" i="11"/>
  <c r="C75" i="11"/>
  <c r="D76" i="11"/>
  <c r="E76" i="11"/>
  <c r="C76" i="11"/>
  <c r="D77" i="11"/>
  <c r="E77" i="11"/>
  <c r="C77" i="11"/>
  <c r="D78" i="11"/>
  <c r="E78" i="11"/>
  <c r="C78" i="11"/>
  <c r="D79" i="11"/>
  <c r="D80" i="11"/>
  <c r="H18" i="15"/>
  <c r="E79" i="11"/>
  <c r="E80" i="11"/>
  <c r="H7" i="15"/>
  <c r="H22" i="15"/>
  <c r="H24" i="15"/>
  <c r="I3" i="15"/>
  <c r="I11" i="15"/>
  <c r="I14" i="15"/>
  <c r="I15" i="15"/>
  <c r="I16" i="15"/>
  <c r="C79" i="11"/>
  <c r="D81" i="11"/>
  <c r="E81" i="11"/>
  <c r="C81" i="11"/>
  <c r="D82" i="11"/>
  <c r="E82" i="11"/>
  <c r="C82" i="11"/>
  <c r="D83" i="11"/>
  <c r="E83" i="11"/>
  <c r="C83" i="11"/>
  <c r="D84" i="11"/>
  <c r="E84" i="11"/>
  <c r="C84" i="11"/>
  <c r="D85" i="11"/>
  <c r="E85" i="11"/>
  <c r="C85" i="11"/>
  <c r="D86" i="11"/>
  <c r="E86" i="11"/>
  <c r="C86" i="11"/>
  <c r="D87" i="11"/>
  <c r="E87" i="11"/>
  <c r="C87" i="11"/>
  <c r="D88" i="11"/>
  <c r="E88" i="11"/>
  <c r="C88" i="11"/>
  <c r="D89" i="11"/>
  <c r="E89" i="11"/>
  <c r="C89" i="11"/>
  <c r="D90" i="11"/>
  <c r="E90" i="11"/>
  <c r="C90" i="11"/>
  <c r="D91" i="11"/>
  <c r="E91" i="11"/>
  <c r="C91" i="11"/>
  <c r="D92" i="11"/>
  <c r="D93" i="11"/>
  <c r="I18" i="15"/>
  <c r="E92" i="11"/>
  <c r="E93" i="11"/>
  <c r="I7" i="15"/>
  <c r="I22" i="15"/>
  <c r="I24" i="15"/>
  <c r="J3" i="15"/>
  <c r="J11" i="15"/>
  <c r="J14" i="15"/>
  <c r="J15" i="15"/>
  <c r="J16" i="15"/>
  <c r="C92" i="11"/>
  <c r="D94" i="11"/>
  <c r="E94" i="11"/>
  <c r="C94" i="11"/>
  <c r="D95" i="11"/>
  <c r="E95" i="11"/>
  <c r="C95" i="11"/>
  <c r="D96" i="11"/>
  <c r="E96" i="11"/>
  <c r="C96" i="11"/>
  <c r="D97" i="11"/>
  <c r="E97" i="11"/>
  <c r="C97" i="11"/>
  <c r="D98" i="11"/>
  <c r="E98" i="11"/>
  <c r="C98" i="11"/>
  <c r="D99" i="11"/>
  <c r="E99" i="11"/>
  <c r="C99" i="11"/>
  <c r="D100" i="11"/>
  <c r="E100" i="11"/>
  <c r="C100" i="11"/>
  <c r="D101" i="11"/>
  <c r="E101" i="11"/>
  <c r="C101" i="11"/>
  <c r="D102" i="11"/>
  <c r="E102" i="11"/>
  <c r="C102" i="11"/>
  <c r="D103" i="11"/>
  <c r="E103" i="11"/>
  <c r="C103" i="11"/>
  <c r="D104" i="11"/>
  <c r="E104" i="11"/>
  <c r="C104" i="11"/>
  <c r="D105" i="11"/>
  <c r="D106" i="11"/>
  <c r="J18" i="15"/>
  <c r="E105" i="11"/>
  <c r="E106" i="11"/>
  <c r="J7" i="15"/>
  <c r="J22" i="15"/>
  <c r="J24" i="15"/>
  <c r="K3" i="15"/>
  <c r="K11" i="15"/>
  <c r="K14" i="15"/>
  <c r="K15" i="15"/>
  <c r="K16" i="15"/>
  <c r="C105" i="11"/>
  <c r="D107" i="11"/>
  <c r="E107" i="11"/>
  <c r="C107" i="11"/>
  <c r="D108" i="11"/>
  <c r="E108" i="11"/>
  <c r="C108" i="11"/>
  <c r="D109" i="11"/>
  <c r="E109" i="11"/>
  <c r="C109" i="11"/>
  <c r="D110" i="11"/>
  <c r="E110" i="11"/>
  <c r="C110" i="11"/>
  <c r="D111" i="11"/>
  <c r="E111" i="11"/>
  <c r="C111" i="11"/>
  <c r="D112" i="11"/>
  <c r="E112" i="11"/>
  <c r="C112" i="11"/>
  <c r="D113" i="11"/>
  <c r="E113" i="11"/>
  <c r="C113" i="11"/>
  <c r="D114" i="11"/>
  <c r="E114" i="11"/>
  <c r="C114" i="11"/>
  <c r="D115" i="11"/>
  <c r="E115" i="11"/>
  <c r="C115" i="11"/>
  <c r="D116" i="11"/>
  <c r="E116" i="11"/>
  <c r="C116" i="11"/>
  <c r="D117" i="11"/>
  <c r="E117" i="11"/>
  <c r="C117" i="11"/>
  <c r="D118" i="11"/>
  <c r="D119" i="11"/>
  <c r="K18" i="15"/>
  <c r="E118" i="11"/>
  <c r="E119" i="11"/>
  <c r="K7" i="15"/>
  <c r="K22" i="15"/>
  <c r="K24" i="15"/>
  <c r="L3" i="15"/>
  <c r="L11" i="15"/>
  <c r="L14" i="15"/>
  <c r="L15" i="15"/>
  <c r="L16" i="15"/>
  <c r="C118" i="11"/>
  <c r="D120" i="11"/>
  <c r="E120" i="11"/>
  <c r="C120" i="11"/>
  <c r="D121" i="11"/>
  <c r="E121" i="11"/>
  <c r="C121" i="11"/>
  <c r="D122" i="11"/>
  <c r="E122" i="11"/>
  <c r="C122" i="11"/>
  <c r="D123" i="11"/>
  <c r="E123" i="11"/>
  <c r="C123" i="11"/>
  <c r="D124" i="11"/>
  <c r="E124" i="11"/>
  <c r="C124" i="11"/>
  <c r="D125" i="11"/>
  <c r="E125" i="11"/>
  <c r="C125" i="11"/>
  <c r="D126" i="11"/>
  <c r="E126" i="11"/>
  <c r="C126" i="11"/>
  <c r="D127" i="11"/>
  <c r="E127" i="11"/>
  <c r="C127" i="11"/>
  <c r="D128" i="11"/>
  <c r="E128" i="11"/>
  <c r="C128" i="11"/>
  <c r="D129" i="11"/>
  <c r="E129" i="11"/>
  <c r="C129" i="11"/>
  <c r="D130" i="11"/>
  <c r="E130" i="11"/>
  <c r="C130" i="11"/>
  <c r="D131" i="11"/>
  <c r="D132" i="11"/>
  <c r="L18" i="15"/>
  <c r="E131" i="11"/>
  <c r="E132" i="11"/>
  <c r="L7" i="15"/>
  <c r="L22" i="15"/>
  <c r="L24" i="15"/>
  <c r="M3" i="15"/>
  <c r="M11" i="15"/>
  <c r="M14" i="15"/>
  <c r="M15" i="15"/>
  <c r="M16" i="15"/>
  <c r="C131" i="11"/>
  <c r="D133" i="11"/>
  <c r="E133" i="11"/>
  <c r="C133" i="11"/>
  <c r="D134" i="11"/>
  <c r="E134" i="11"/>
  <c r="C134" i="11"/>
  <c r="D135" i="11"/>
  <c r="E135" i="11"/>
  <c r="C135" i="11"/>
  <c r="D136" i="11"/>
  <c r="E136" i="11"/>
  <c r="C136" i="11"/>
  <c r="D137" i="11"/>
  <c r="E137" i="11"/>
  <c r="C137" i="11"/>
  <c r="D138" i="11"/>
  <c r="E138" i="11"/>
  <c r="C138" i="11"/>
  <c r="D139" i="11"/>
  <c r="E139" i="11"/>
  <c r="C139" i="11"/>
  <c r="D140" i="11"/>
  <c r="E140" i="11"/>
  <c r="C140" i="11"/>
  <c r="D141" i="11"/>
  <c r="E141" i="11"/>
  <c r="C141" i="11"/>
  <c r="D142" i="11"/>
  <c r="E142" i="11"/>
  <c r="C142" i="11"/>
  <c r="D143" i="11"/>
  <c r="E143" i="11"/>
  <c r="C143" i="11"/>
  <c r="D144" i="11"/>
  <c r="D145" i="11"/>
  <c r="M18" i="15"/>
  <c r="E144" i="11"/>
  <c r="E145" i="11"/>
  <c r="M7" i="15"/>
  <c r="M22" i="15"/>
  <c r="M24" i="15"/>
  <c r="N3" i="15"/>
  <c r="N11" i="15"/>
  <c r="N14" i="15"/>
  <c r="N15" i="15"/>
  <c r="N16" i="15"/>
  <c r="C144" i="11"/>
  <c r="D146" i="11"/>
  <c r="E146" i="11"/>
  <c r="C146" i="11"/>
  <c r="D147" i="11"/>
  <c r="E147" i="11"/>
  <c r="C147" i="11"/>
  <c r="D148" i="11"/>
  <c r="E148" i="11"/>
  <c r="C148" i="11"/>
  <c r="D149" i="11"/>
  <c r="E149" i="11"/>
  <c r="C149" i="11"/>
  <c r="D150" i="11"/>
  <c r="E150" i="11"/>
  <c r="C150" i="11"/>
  <c r="D151" i="11"/>
  <c r="E151" i="11"/>
  <c r="C151" i="11"/>
  <c r="D152" i="11"/>
  <c r="E152" i="11"/>
  <c r="C152" i="11"/>
  <c r="D153" i="11"/>
  <c r="E153" i="11"/>
  <c r="C153" i="11"/>
  <c r="D154" i="11"/>
  <c r="E154" i="11"/>
  <c r="C154" i="11"/>
  <c r="D155" i="11"/>
  <c r="E155" i="11"/>
  <c r="C155" i="11"/>
  <c r="D156" i="11"/>
  <c r="E156" i="11"/>
  <c r="C156" i="11"/>
  <c r="D157" i="11"/>
  <c r="D158" i="11"/>
  <c r="N18" i="15"/>
  <c r="E157" i="11"/>
  <c r="E158" i="11"/>
  <c r="N7" i="15"/>
  <c r="N22" i="15"/>
  <c r="N24" i="15"/>
  <c r="O3" i="15"/>
  <c r="O11" i="15"/>
  <c r="O14" i="15"/>
  <c r="O15" i="15"/>
  <c r="O16" i="15"/>
  <c r="C157" i="11"/>
  <c r="D159" i="11"/>
  <c r="E159" i="11"/>
  <c r="C159" i="11"/>
  <c r="D160" i="11"/>
  <c r="E160" i="11"/>
  <c r="C160" i="11"/>
  <c r="D161" i="11"/>
  <c r="E161" i="11"/>
  <c r="C161" i="11"/>
  <c r="D162" i="11"/>
  <c r="E162" i="11"/>
  <c r="C162" i="11"/>
  <c r="D163" i="11"/>
  <c r="E163" i="11"/>
  <c r="C163" i="11"/>
  <c r="D164" i="11"/>
  <c r="E164" i="11"/>
  <c r="C164" i="11"/>
  <c r="D165" i="11"/>
  <c r="E165" i="11"/>
  <c r="C165" i="11"/>
  <c r="D166" i="11"/>
  <c r="E166" i="11"/>
  <c r="C166" i="11"/>
  <c r="D167" i="11"/>
  <c r="E167" i="11"/>
  <c r="C167" i="11"/>
  <c r="D168" i="11"/>
  <c r="E168" i="11"/>
  <c r="C168" i="11"/>
  <c r="D169" i="11"/>
  <c r="E169" i="11"/>
  <c r="C169" i="11"/>
  <c r="D170" i="11"/>
  <c r="D171" i="11"/>
  <c r="O18" i="15"/>
  <c r="E170" i="11"/>
  <c r="E171" i="11"/>
  <c r="O7" i="15"/>
  <c r="O22" i="15"/>
  <c r="O24" i="15"/>
  <c r="P3" i="15"/>
  <c r="P11" i="15"/>
  <c r="P14" i="15"/>
  <c r="P15" i="15"/>
  <c r="P16" i="15"/>
  <c r="C170" i="11"/>
  <c r="D172" i="11"/>
  <c r="E172" i="11"/>
  <c r="C172" i="11"/>
  <c r="D173" i="11"/>
  <c r="E173" i="11"/>
  <c r="C173" i="11"/>
  <c r="D174" i="11"/>
  <c r="E174" i="11"/>
  <c r="C174" i="11"/>
  <c r="D175" i="11"/>
  <c r="E175" i="11"/>
  <c r="C175" i="11"/>
  <c r="D176" i="11"/>
  <c r="E176" i="11"/>
  <c r="C176" i="11"/>
  <c r="D177" i="11"/>
  <c r="E177" i="11"/>
  <c r="C177" i="11"/>
  <c r="D178" i="11"/>
  <c r="E178" i="11"/>
  <c r="C178" i="11"/>
  <c r="D179" i="11"/>
  <c r="E179" i="11"/>
  <c r="C179" i="11"/>
  <c r="D180" i="11"/>
  <c r="E180" i="11"/>
  <c r="C180" i="11"/>
  <c r="D181" i="11"/>
  <c r="E181" i="11"/>
  <c r="C181" i="11"/>
  <c r="D182" i="11"/>
  <c r="E182" i="11"/>
  <c r="C182" i="11"/>
  <c r="D183" i="11"/>
  <c r="D184" i="11"/>
  <c r="P18" i="15"/>
  <c r="E183" i="11"/>
  <c r="E184" i="11"/>
  <c r="P7" i="15"/>
  <c r="P22" i="15"/>
  <c r="P24" i="15"/>
  <c r="Q3" i="15"/>
  <c r="Q11" i="15"/>
  <c r="Q14" i="15"/>
  <c r="Q15" i="15"/>
  <c r="Q16" i="15"/>
  <c r="C183" i="11"/>
  <c r="D185" i="11"/>
  <c r="E185" i="11"/>
  <c r="C185" i="11"/>
  <c r="D186" i="11"/>
  <c r="E186" i="11"/>
  <c r="C186" i="11"/>
  <c r="D187" i="11"/>
  <c r="E187" i="11"/>
  <c r="C187" i="11"/>
  <c r="D188" i="11"/>
  <c r="E188" i="11"/>
  <c r="C188" i="11"/>
  <c r="D189" i="11"/>
  <c r="E189" i="11"/>
  <c r="C189" i="11"/>
  <c r="D190" i="11"/>
  <c r="E190" i="11"/>
  <c r="C190" i="11"/>
  <c r="D191" i="11"/>
  <c r="E191" i="11"/>
  <c r="C191" i="11"/>
  <c r="D192" i="11"/>
  <c r="E192" i="11"/>
  <c r="C192" i="11"/>
  <c r="D193" i="11"/>
  <c r="E193" i="11"/>
  <c r="C193" i="11"/>
  <c r="D194" i="11"/>
  <c r="E194" i="11"/>
  <c r="C194" i="11"/>
  <c r="D195" i="11"/>
  <c r="E195" i="11"/>
  <c r="C195" i="11"/>
  <c r="D196" i="11"/>
  <c r="D197" i="11"/>
  <c r="Q18" i="15"/>
  <c r="E196" i="11"/>
  <c r="E197" i="11"/>
  <c r="Q7" i="15"/>
  <c r="Q22" i="15"/>
  <c r="Q24" i="15"/>
  <c r="R3" i="15"/>
  <c r="R11" i="15"/>
  <c r="R14" i="15"/>
  <c r="R15" i="15"/>
  <c r="R16" i="15"/>
  <c r="C196" i="11"/>
  <c r="D198" i="11"/>
  <c r="E198" i="11"/>
  <c r="C198" i="11"/>
  <c r="D199" i="11"/>
  <c r="E199" i="11"/>
  <c r="C199" i="11"/>
  <c r="D200" i="11"/>
  <c r="E200" i="11"/>
  <c r="C200" i="11"/>
  <c r="D201" i="11"/>
  <c r="E201" i="11"/>
  <c r="C201" i="11"/>
  <c r="D202" i="11"/>
  <c r="E202" i="11"/>
  <c r="C202" i="11"/>
  <c r="D203" i="11"/>
  <c r="E203" i="11"/>
  <c r="C203" i="11"/>
  <c r="D204" i="11"/>
  <c r="E204" i="11"/>
  <c r="C204" i="11"/>
  <c r="D205" i="11"/>
  <c r="E205" i="11"/>
  <c r="C205" i="11"/>
  <c r="D206" i="11"/>
  <c r="E206" i="11"/>
  <c r="C206" i="11"/>
  <c r="D207" i="11"/>
  <c r="E207" i="11"/>
  <c r="C207" i="11"/>
  <c r="D208" i="11"/>
  <c r="E208" i="11"/>
  <c r="C208" i="11"/>
  <c r="D209" i="11"/>
  <c r="D210" i="11"/>
  <c r="R18" i="15"/>
  <c r="E209" i="11"/>
  <c r="E210" i="11"/>
  <c r="R7" i="15"/>
  <c r="R22" i="15"/>
  <c r="R24" i="15"/>
  <c r="S3" i="15"/>
  <c r="S11" i="15"/>
  <c r="S14" i="15"/>
  <c r="S15" i="15"/>
  <c r="S16" i="15"/>
  <c r="C209" i="11"/>
  <c r="D211" i="11"/>
  <c r="E211" i="11"/>
  <c r="C211" i="11"/>
  <c r="D212" i="11"/>
  <c r="E212" i="11"/>
  <c r="C212" i="11"/>
  <c r="D213" i="11"/>
  <c r="E213" i="11"/>
  <c r="C213" i="11"/>
  <c r="D214" i="11"/>
  <c r="E214" i="11"/>
  <c r="C214" i="11"/>
  <c r="D215" i="11"/>
  <c r="E215" i="11"/>
  <c r="C215" i="11"/>
  <c r="D216" i="11"/>
  <c r="E216" i="11"/>
  <c r="C216" i="11"/>
  <c r="D217" i="11"/>
  <c r="E217" i="11"/>
  <c r="C217" i="11"/>
  <c r="D218" i="11"/>
  <c r="E218" i="11"/>
  <c r="C218" i="11"/>
  <c r="D219" i="11"/>
  <c r="E219" i="11"/>
  <c r="C219" i="11"/>
  <c r="D220" i="11"/>
  <c r="E220" i="11"/>
  <c r="C220" i="11"/>
  <c r="D221" i="11"/>
  <c r="E221" i="11"/>
  <c r="C221" i="11"/>
  <c r="D222" i="11"/>
  <c r="D223" i="11"/>
  <c r="S18" i="15"/>
  <c r="E222" i="11"/>
  <c r="E223" i="11"/>
  <c r="S7" i="15"/>
  <c r="S22" i="15"/>
  <c r="S24" i="15"/>
  <c r="T3" i="15"/>
  <c r="T11" i="15"/>
  <c r="T14" i="15"/>
  <c r="T15" i="15"/>
  <c r="T16" i="15"/>
  <c r="C222" i="11"/>
  <c r="D224" i="11"/>
  <c r="E224" i="11"/>
  <c r="C224" i="11"/>
  <c r="D225" i="11"/>
  <c r="E225" i="11"/>
  <c r="C225" i="11"/>
  <c r="D226" i="11"/>
  <c r="E226" i="11"/>
  <c r="C226" i="11"/>
  <c r="D227" i="11"/>
  <c r="E227" i="11"/>
  <c r="C227" i="11"/>
  <c r="D228" i="11"/>
  <c r="E228" i="11"/>
  <c r="C228" i="11"/>
  <c r="D229" i="11"/>
  <c r="E229" i="11"/>
  <c r="C229" i="11"/>
  <c r="D230" i="11"/>
  <c r="E230" i="11"/>
  <c r="C230" i="11"/>
  <c r="D231" i="11"/>
  <c r="E231" i="11"/>
  <c r="C231" i="11"/>
  <c r="D232" i="11"/>
  <c r="E232" i="11"/>
  <c r="C232" i="11"/>
  <c r="D233" i="11"/>
  <c r="E233" i="11"/>
  <c r="C233" i="11"/>
  <c r="D234" i="11"/>
  <c r="E234" i="11"/>
  <c r="C234" i="11"/>
  <c r="D235" i="11"/>
  <c r="D236" i="11"/>
  <c r="T18" i="15"/>
  <c r="E235" i="11"/>
  <c r="E236" i="11"/>
  <c r="T7" i="15"/>
  <c r="T22" i="15"/>
  <c r="T24" i="15"/>
  <c r="U3" i="15"/>
  <c r="U11" i="15"/>
  <c r="U14" i="15"/>
  <c r="U15" i="15"/>
  <c r="U16" i="15"/>
  <c r="C235" i="11"/>
  <c r="D237" i="11"/>
  <c r="E237" i="11"/>
  <c r="C237" i="11"/>
  <c r="D238" i="11"/>
  <c r="E238" i="11"/>
  <c r="C238" i="11"/>
  <c r="D239" i="11"/>
  <c r="E239" i="11"/>
  <c r="C239" i="11"/>
  <c r="D240" i="11"/>
  <c r="E240" i="11"/>
  <c r="C240" i="11"/>
  <c r="D241" i="11"/>
  <c r="E241" i="11"/>
  <c r="C241" i="11"/>
  <c r="D242" i="11"/>
  <c r="E242" i="11"/>
  <c r="C242" i="11"/>
  <c r="D243" i="11"/>
  <c r="E243" i="11"/>
  <c r="C243" i="11"/>
  <c r="D244" i="11"/>
  <c r="E244" i="11"/>
  <c r="C244" i="11"/>
  <c r="D245" i="11"/>
  <c r="E245" i="11"/>
  <c r="C245" i="11"/>
  <c r="D246" i="11"/>
  <c r="E246" i="11"/>
  <c r="C246" i="11"/>
  <c r="D247" i="11"/>
  <c r="E247" i="11"/>
  <c r="C247" i="11"/>
  <c r="D248" i="11"/>
  <c r="D249" i="11"/>
  <c r="U18" i="15"/>
  <c r="E248" i="11"/>
  <c r="E249" i="11"/>
  <c r="U7" i="15"/>
  <c r="U22" i="15"/>
  <c r="U24" i="15"/>
  <c r="V3" i="15"/>
  <c r="V11" i="15"/>
  <c r="V14" i="15"/>
  <c r="V15" i="15"/>
  <c r="V16" i="15"/>
  <c r="C248" i="11"/>
  <c r="D250" i="11"/>
  <c r="E250" i="11"/>
  <c r="C250" i="11"/>
  <c r="D251" i="11"/>
  <c r="E251" i="11"/>
  <c r="C251" i="11"/>
  <c r="D252" i="11"/>
  <c r="E252" i="11"/>
  <c r="C252" i="11"/>
  <c r="D253" i="11"/>
  <c r="E253" i="11"/>
  <c r="C253" i="11"/>
  <c r="D254" i="11"/>
  <c r="E254" i="11"/>
  <c r="C254" i="11"/>
  <c r="D255" i="11"/>
  <c r="E255" i="11"/>
  <c r="C255" i="11"/>
  <c r="D256" i="11"/>
  <c r="E256" i="11"/>
  <c r="C256" i="11"/>
  <c r="D257" i="11"/>
  <c r="E257" i="11"/>
  <c r="C257" i="11"/>
  <c r="D258" i="11"/>
  <c r="E258" i="11"/>
  <c r="C258" i="11"/>
  <c r="D259" i="11"/>
  <c r="E259" i="11"/>
  <c r="C259" i="11"/>
  <c r="D260" i="11"/>
  <c r="E260" i="11"/>
  <c r="C260" i="11"/>
  <c r="D261" i="11"/>
  <c r="D262" i="11"/>
  <c r="V18" i="15"/>
  <c r="E261" i="11"/>
  <c r="E262" i="11"/>
  <c r="V7" i="15"/>
  <c r="V22" i="15"/>
  <c r="V24" i="15"/>
  <c r="W3" i="15"/>
  <c r="W11" i="15"/>
  <c r="W14" i="15"/>
  <c r="W15" i="15"/>
  <c r="W16" i="15"/>
  <c r="C261" i="11"/>
  <c r="D263" i="11"/>
  <c r="E263" i="11"/>
  <c r="C263" i="11"/>
  <c r="D264" i="11"/>
  <c r="E264" i="11"/>
  <c r="C264" i="11"/>
  <c r="D265" i="11"/>
  <c r="E265" i="11"/>
  <c r="C265" i="11"/>
  <c r="D266" i="11"/>
  <c r="E266" i="11"/>
  <c r="C266" i="11"/>
  <c r="D267" i="11"/>
  <c r="E267" i="11"/>
  <c r="C267" i="11"/>
  <c r="D268" i="11"/>
  <c r="E268" i="11"/>
  <c r="C268" i="11"/>
  <c r="D269" i="11"/>
  <c r="E269" i="11"/>
  <c r="C269" i="11"/>
  <c r="D270" i="11"/>
  <c r="E270" i="11"/>
  <c r="C270" i="11"/>
  <c r="D271" i="11"/>
  <c r="E271" i="11"/>
  <c r="C271" i="11"/>
  <c r="D272" i="11"/>
  <c r="E272" i="11"/>
  <c r="C272" i="11"/>
  <c r="D273" i="11"/>
  <c r="E273" i="11"/>
  <c r="C273" i="11"/>
  <c r="D274" i="11"/>
  <c r="D275" i="11"/>
  <c r="W18" i="15"/>
  <c r="E274" i="11"/>
  <c r="E275" i="11"/>
  <c r="W7" i="15"/>
  <c r="W22" i="15"/>
  <c r="W24" i="15"/>
  <c r="X3" i="15"/>
  <c r="X11" i="15"/>
  <c r="X14" i="15"/>
  <c r="X15" i="15"/>
  <c r="X16" i="15"/>
  <c r="C274" i="11"/>
  <c r="D276" i="11"/>
  <c r="E276" i="11"/>
  <c r="C276" i="11"/>
  <c r="D277" i="11"/>
  <c r="E277" i="11"/>
  <c r="C277" i="11"/>
  <c r="D278" i="11"/>
  <c r="E278" i="11"/>
  <c r="C278" i="11"/>
  <c r="D279" i="11"/>
  <c r="E279" i="11"/>
  <c r="C279" i="11"/>
  <c r="D280" i="11"/>
  <c r="E280" i="11"/>
  <c r="C280" i="11"/>
  <c r="D281" i="11"/>
  <c r="E281" i="11"/>
  <c r="C281" i="11"/>
  <c r="D282" i="11"/>
  <c r="E282" i="11"/>
  <c r="C282" i="11"/>
  <c r="D283" i="11"/>
  <c r="E283" i="11"/>
  <c r="C283" i="11"/>
  <c r="D284" i="11"/>
  <c r="E284" i="11"/>
  <c r="C284" i="11"/>
  <c r="D285" i="11"/>
  <c r="E285" i="11"/>
  <c r="C285" i="11"/>
  <c r="D286" i="11"/>
  <c r="E286" i="11"/>
  <c r="C286" i="11"/>
  <c r="D287" i="11"/>
  <c r="D288" i="11"/>
  <c r="X18" i="15"/>
  <c r="E287" i="11"/>
  <c r="E288" i="11"/>
  <c r="X7" i="15"/>
  <c r="X22" i="15"/>
  <c r="X24" i="15"/>
  <c r="Y3" i="15"/>
  <c r="Y11" i="15"/>
  <c r="Y14" i="15"/>
  <c r="Y15" i="15"/>
  <c r="Y16" i="15"/>
  <c r="C287" i="11"/>
  <c r="D289" i="11"/>
  <c r="E289" i="11"/>
  <c r="C289" i="11"/>
  <c r="D290" i="11"/>
  <c r="E290" i="11"/>
  <c r="C290" i="11"/>
  <c r="D291" i="11"/>
  <c r="E291" i="11"/>
  <c r="C291" i="11"/>
  <c r="D292" i="11"/>
  <c r="E292" i="11"/>
  <c r="C292" i="11"/>
  <c r="D293" i="11"/>
  <c r="E293" i="11"/>
  <c r="C293" i="11"/>
  <c r="D294" i="11"/>
  <c r="E294" i="11"/>
  <c r="C294" i="11"/>
  <c r="D295" i="11"/>
  <c r="E295" i="11"/>
  <c r="C295" i="11"/>
  <c r="D296" i="11"/>
  <c r="E296" i="11"/>
  <c r="C296" i="11"/>
  <c r="D297" i="11"/>
  <c r="E297" i="11"/>
  <c r="C297" i="11"/>
  <c r="D298" i="11"/>
  <c r="E298" i="11"/>
  <c r="C298" i="11"/>
  <c r="D299" i="11"/>
  <c r="E299" i="11"/>
  <c r="C299" i="11"/>
  <c r="D300" i="11"/>
  <c r="D301" i="11"/>
  <c r="Y18" i="15"/>
  <c r="E300" i="11"/>
  <c r="E301" i="11"/>
  <c r="Y7" i="15"/>
  <c r="Y22" i="15"/>
  <c r="Y24" i="15"/>
  <c r="Z3" i="15"/>
  <c r="Z11" i="15"/>
  <c r="Z14" i="15"/>
  <c r="Z15" i="15"/>
  <c r="Z16" i="15"/>
  <c r="C300" i="11"/>
  <c r="D302" i="11"/>
  <c r="E302" i="11"/>
  <c r="C302" i="11"/>
  <c r="D303" i="11"/>
  <c r="E303" i="11"/>
  <c r="C303" i="11"/>
  <c r="D304" i="11"/>
  <c r="E304" i="11"/>
  <c r="C304" i="11"/>
  <c r="D305" i="11"/>
  <c r="E305" i="11"/>
  <c r="C305" i="11"/>
  <c r="D306" i="11"/>
  <c r="E306" i="11"/>
  <c r="C306" i="11"/>
  <c r="D307" i="11"/>
  <c r="E307" i="11"/>
  <c r="C307" i="11"/>
  <c r="D308" i="11"/>
  <c r="E308" i="11"/>
  <c r="C308" i="11"/>
  <c r="D309" i="11"/>
  <c r="E309" i="11"/>
  <c r="C309" i="11"/>
  <c r="D310" i="11"/>
  <c r="E310" i="11"/>
  <c r="C310" i="11"/>
  <c r="D311" i="11"/>
  <c r="E311" i="11"/>
  <c r="C311" i="11"/>
  <c r="D312" i="11"/>
  <c r="E312" i="11"/>
  <c r="C312" i="11"/>
  <c r="D313" i="11"/>
  <c r="D314" i="11"/>
  <c r="Z18" i="15"/>
  <c r="E313" i="11"/>
  <c r="E314" i="11"/>
  <c r="Z7" i="15"/>
  <c r="Z22" i="15"/>
  <c r="Z24" i="15"/>
  <c r="AA3" i="15"/>
  <c r="AA11" i="15"/>
  <c r="AA14" i="15"/>
  <c r="AA15" i="15"/>
  <c r="AA16" i="15"/>
  <c r="C313" i="11"/>
  <c r="D315" i="11"/>
  <c r="E315" i="11"/>
  <c r="C315" i="11"/>
  <c r="D316" i="11"/>
  <c r="E316" i="11"/>
  <c r="C316" i="11"/>
  <c r="D317" i="11"/>
  <c r="E317" i="11"/>
  <c r="C317" i="11"/>
  <c r="D318" i="11"/>
  <c r="E318" i="11"/>
  <c r="C318" i="11"/>
  <c r="D319" i="11"/>
  <c r="E319" i="11"/>
  <c r="C319" i="11"/>
  <c r="D320" i="11"/>
  <c r="E320" i="11"/>
  <c r="C320" i="11"/>
  <c r="D321" i="11"/>
  <c r="E321" i="11"/>
  <c r="C321" i="11"/>
  <c r="D322" i="11"/>
  <c r="E322" i="11"/>
  <c r="C322" i="11"/>
  <c r="D323" i="11"/>
  <c r="E323" i="11"/>
  <c r="C323" i="11"/>
  <c r="D324" i="11"/>
  <c r="E324" i="11"/>
  <c r="C324" i="11"/>
  <c r="D325" i="11"/>
  <c r="E325" i="11"/>
  <c r="C325" i="11"/>
  <c r="D326" i="11"/>
  <c r="D327" i="11"/>
  <c r="AA18" i="15"/>
  <c r="E326" i="11"/>
  <c r="E327" i="11"/>
  <c r="AA7" i="15"/>
  <c r="AA22" i="15"/>
  <c r="AA24" i="15"/>
  <c r="AB3" i="15"/>
  <c r="AB11" i="15"/>
  <c r="AB14" i="15"/>
  <c r="AB15" i="15"/>
  <c r="AB16" i="15"/>
  <c r="C326" i="11"/>
  <c r="D328" i="11"/>
  <c r="E328" i="11"/>
  <c r="C328" i="11"/>
  <c r="D329" i="11"/>
  <c r="E329" i="11"/>
  <c r="C329" i="11"/>
  <c r="D330" i="11"/>
  <c r="E330" i="11"/>
  <c r="C330" i="11"/>
  <c r="D331" i="11"/>
  <c r="E331" i="11"/>
  <c r="C331" i="11"/>
  <c r="D332" i="11"/>
  <c r="E332" i="11"/>
  <c r="C332" i="11"/>
  <c r="D333" i="11"/>
  <c r="E333" i="11"/>
  <c r="C333" i="11"/>
  <c r="D334" i="11"/>
  <c r="E334" i="11"/>
  <c r="C334" i="11"/>
  <c r="D335" i="11"/>
  <c r="E335" i="11"/>
  <c r="C335" i="11"/>
  <c r="D336" i="11"/>
  <c r="E336" i="11"/>
  <c r="C336" i="11"/>
  <c r="D337" i="11"/>
  <c r="E337" i="11"/>
  <c r="C337" i="11"/>
  <c r="D338" i="11"/>
  <c r="E338" i="11"/>
  <c r="C338" i="11"/>
  <c r="D339" i="11"/>
  <c r="D340" i="11"/>
  <c r="AB18" i="15"/>
  <c r="E339" i="11"/>
  <c r="E340" i="11"/>
  <c r="AB7" i="15"/>
  <c r="AB22" i="15"/>
  <c r="AB24" i="15"/>
  <c r="H23" i="10"/>
  <c r="H10" i="7"/>
  <c r="H23" i="7"/>
  <c r="G10" i="7"/>
  <c r="B11" i="10"/>
  <c r="B30" i="10"/>
  <c r="C30" i="10"/>
  <c r="B25" i="10"/>
  <c r="H11" i="10"/>
  <c r="H11" i="7"/>
  <c r="N5" i="10"/>
  <c r="B42" i="10"/>
  <c r="B45" i="10"/>
  <c r="C45" i="10"/>
  <c r="C44" i="10"/>
  <c r="B35" i="10"/>
  <c r="C28" i="10"/>
  <c r="A13" i="7"/>
  <c r="H13" i="10"/>
  <c r="B13" i="10"/>
  <c r="B13" i="7"/>
  <c r="C13" i="10"/>
  <c r="C13" i="7"/>
  <c r="A52" i="7"/>
  <c r="C12" i="10"/>
  <c r="C12" i="7"/>
  <c r="D39" i="15"/>
  <c r="D40" i="15"/>
  <c r="D41" i="15"/>
  <c r="E39" i="15"/>
  <c r="E40" i="15"/>
  <c r="E41" i="15"/>
  <c r="F39" i="15"/>
  <c r="F40" i="15"/>
  <c r="F41" i="15"/>
  <c r="G39" i="15"/>
  <c r="G40" i="15"/>
  <c r="G41" i="15"/>
  <c r="H39" i="15"/>
  <c r="H40" i="15"/>
  <c r="H41" i="15"/>
  <c r="I40" i="15"/>
  <c r="I41" i="15"/>
  <c r="J40" i="15"/>
  <c r="J41" i="15"/>
  <c r="K40" i="15"/>
  <c r="K41" i="15"/>
  <c r="L40" i="15"/>
  <c r="L41" i="15"/>
  <c r="M40" i="15"/>
  <c r="M41" i="15"/>
  <c r="N40" i="15"/>
  <c r="N41" i="15"/>
  <c r="O40" i="15"/>
  <c r="O41" i="15"/>
  <c r="P40" i="15"/>
  <c r="P41" i="15"/>
  <c r="Q40" i="15"/>
  <c r="Q41" i="15"/>
  <c r="R40" i="15"/>
  <c r="R41" i="15"/>
  <c r="S40" i="15"/>
  <c r="S41" i="15"/>
  <c r="T40" i="15"/>
  <c r="T41" i="15"/>
  <c r="U40" i="15"/>
  <c r="U41" i="15"/>
  <c r="V40" i="15"/>
  <c r="V41" i="15"/>
  <c r="W40" i="15"/>
  <c r="W41" i="15"/>
  <c r="X40" i="15"/>
  <c r="X41" i="15"/>
  <c r="Y40" i="15"/>
  <c r="Y41" i="15"/>
  <c r="Z40" i="15"/>
  <c r="Z41" i="15"/>
  <c r="AA40" i="15"/>
  <c r="AA41" i="15"/>
  <c r="AB40" i="15"/>
  <c r="AB41" i="15"/>
  <c r="C41" i="15"/>
  <c r="D32" i="15"/>
  <c r="D25" i="15"/>
  <c r="D31" i="15"/>
  <c r="E32" i="15"/>
  <c r="E25" i="15"/>
  <c r="E31" i="15"/>
  <c r="F32" i="15"/>
  <c r="F25" i="15"/>
  <c r="F31" i="15"/>
  <c r="G32" i="15"/>
  <c r="G25" i="15"/>
  <c r="G31" i="15"/>
  <c r="H32" i="15"/>
  <c r="H25" i="15"/>
  <c r="H31" i="15"/>
  <c r="I32" i="15"/>
  <c r="I25" i="15"/>
  <c r="I31" i="15"/>
  <c r="J32" i="15"/>
  <c r="J25" i="15"/>
  <c r="J31" i="15"/>
  <c r="K32" i="15"/>
  <c r="K25" i="15"/>
  <c r="K31" i="15"/>
  <c r="L32" i="15"/>
  <c r="L25" i="15"/>
  <c r="L31" i="15"/>
  <c r="M32" i="15"/>
  <c r="M25" i="15"/>
  <c r="M31" i="15"/>
  <c r="N32" i="15"/>
  <c r="N25" i="15"/>
  <c r="N31" i="15"/>
  <c r="O32" i="15"/>
  <c r="O25" i="15"/>
  <c r="O31" i="15"/>
  <c r="P32" i="15"/>
  <c r="P25" i="15"/>
  <c r="P31" i="15"/>
  <c r="Q32" i="15"/>
  <c r="Q25" i="15"/>
  <c r="Q31" i="15"/>
  <c r="R32" i="15"/>
  <c r="R25" i="15"/>
  <c r="R31" i="15"/>
  <c r="S32" i="15"/>
  <c r="S25" i="15"/>
  <c r="S31" i="15"/>
  <c r="T32" i="15"/>
  <c r="T25" i="15"/>
  <c r="T31" i="15"/>
  <c r="U32" i="15"/>
  <c r="U25" i="15"/>
  <c r="U31" i="15"/>
  <c r="V32" i="15"/>
  <c r="V25" i="15"/>
  <c r="V31" i="15"/>
  <c r="W32" i="15"/>
  <c r="W25" i="15"/>
  <c r="W31" i="15"/>
  <c r="X32" i="15"/>
  <c r="X25" i="15"/>
  <c r="X31" i="15"/>
  <c r="Y32" i="15"/>
  <c r="Y25" i="15"/>
  <c r="Y31" i="15"/>
  <c r="Z32" i="15"/>
  <c r="Z25" i="15"/>
  <c r="Z31" i="15"/>
  <c r="AA32" i="15"/>
  <c r="AA25" i="15"/>
  <c r="AA31" i="15"/>
  <c r="AB32" i="15"/>
  <c r="AB25" i="15"/>
  <c r="AB31" i="15"/>
  <c r="C31" i="15"/>
  <c r="D6" i="15"/>
  <c r="E6" i="15"/>
  <c r="F6" i="15"/>
  <c r="G6" i="15"/>
  <c r="H6" i="15"/>
  <c r="I6" i="15"/>
  <c r="J6" i="15"/>
  <c r="K6" i="15"/>
  <c r="L6" i="15"/>
  <c r="M6" i="15"/>
  <c r="N6" i="15"/>
  <c r="O6" i="15"/>
  <c r="P6" i="15"/>
  <c r="Q6" i="15"/>
  <c r="R6" i="15"/>
  <c r="S6" i="15"/>
  <c r="T6" i="15"/>
  <c r="U6" i="15"/>
  <c r="V6" i="15"/>
  <c r="W6" i="15"/>
  <c r="X6" i="15"/>
  <c r="Y6" i="15"/>
  <c r="Z6" i="15"/>
  <c r="AA6" i="15"/>
  <c r="AB6" i="15"/>
  <c r="C5" i="15"/>
  <c r="C33" i="15"/>
  <c r="D2" i="13"/>
  <c r="D31" i="16"/>
  <c r="D24" i="16"/>
  <c r="D30" i="16"/>
  <c r="E31" i="16"/>
  <c r="E24" i="16"/>
  <c r="E30" i="16"/>
  <c r="F31" i="16"/>
  <c r="F24" i="16"/>
  <c r="F30" i="16"/>
  <c r="G31" i="16"/>
  <c r="G24" i="16"/>
  <c r="G30" i="16"/>
  <c r="H31" i="16"/>
  <c r="H24" i="16"/>
  <c r="H30" i="16"/>
  <c r="I31" i="16"/>
  <c r="I24" i="16"/>
  <c r="I30" i="16"/>
  <c r="J31" i="16"/>
  <c r="J24" i="16"/>
  <c r="J30" i="16"/>
  <c r="K31" i="16"/>
  <c r="K24" i="16"/>
  <c r="K30" i="16"/>
  <c r="L31" i="16"/>
  <c r="L24" i="16"/>
  <c r="L30" i="16"/>
  <c r="M31" i="16"/>
  <c r="M24" i="16"/>
  <c r="M30" i="16"/>
  <c r="N31" i="16"/>
  <c r="N24" i="16"/>
  <c r="N30" i="16"/>
  <c r="O31" i="16"/>
  <c r="O24" i="16"/>
  <c r="O30" i="16"/>
  <c r="P31" i="16"/>
  <c r="P24" i="16"/>
  <c r="P30" i="16"/>
  <c r="Q31" i="16"/>
  <c r="Q24" i="16"/>
  <c r="Q30" i="16"/>
  <c r="R31" i="16"/>
  <c r="R24" i="16"/>
  <c r="R30" i="16"/>
  <c r="S31" i="16"/>
  <c r="S24" i="16"/>
  <c r="S30" i="16"/>
  <c r="T31" i="16"/>
  <c r="T24" i="16"/>
  <c r="T30" i="16"/>
  <c r="U31" i="16"/>
  <c r="U24" i="16"/>
  <c r="U30" i="16"/>
  <c r="V31" i="16"/>
  <c r="V24" i="16"/>
  <c r="V30" i="16"/>
  <c r="W31" i="16"/>
  <c r="W24" i="16"/>
  <c r="W30" i="16"/>
  <c r="X31" i="16"/>
  <c r="X24" i="16"/>
  <c r="X30" i="16"/>
  <c r="Y31" i="16"/>
  <c r="Y24" i="16"/>
  <c r="Y30" i="16"/>
  <c r="Z31" i="16"/>
  <c r="Z24" i="16"/>
  <c r="Z30" i="16"/>
  <c r="AA31" i="16"/>
  <c r="AA24" i="16"/>
  <c r="AA30" i="16"/>
  <c r="AB31" i="16"/>
  <c r="AB24" i="16"/>
  <c r="AB30" i="16"/>
  <c r="C30" i="16"/>
  <c r="D54" i="7"/>
  <c r="D38" i="16"/>
  <c r="D55" i="7"/>
  <c r="E38" i="16"/>
  <c r="D56" i="7"/>
  <c r="F38" i="16"/>
  <c r="D57" i="7"/>
  <c r="G38" i="16"/>
  <c r="D58" i="7"/>
  <c r="H38" i="16"/>
  <c r="D59" i="7"/>
  <c r="I38" i="16"/>
  <c r="D60" i="7"/>
  <c r="J38" i="16"/>
  <c r="D61" i="7"/>
  <c r="K38" i="16"/>
  <c r="D62" i="7"/>
  <c r="L38" i="16"/>
  <c r="D63" i="7"/>
  <c r="M38" i="16"/>
  <c r="D64" i="7"/>
  <c r="N38" i="16"/>
  <c r="D65" i="7"/>
  <c r="O38" i="16"/>
  <c r="D66" i="7"/>
  <c r="P38" i="16"/>
  <c r="D67" i="7"/>
  <c r="Q38" i="16"/>
  <c r="D68" i="7"/>
  <c r="R38" i="16"/>
  <c r="D69" i="7"/>
  <c r="S38" i="16"/>
  <c r="D70" i="7"/>
  <c r="T38" i="16"/>
  <c r="D71" i="7"/>
  <c r="U38" i="16"/>
  <c r="D72" i="7"/>
  <c r="V38" i="16"/>
  <c r="D73" i="7"/>
  <c r="W38" i="16"/>
  <c r="D74" i="7"/>
  <c r="X38" i="16"/>
  <c r="D75" i="7"/>
  <c r="Y38" i="16"/>
  <c r="D76" i="7"/>
  <c r="Z38" i="16"/>
  <c r="D77" i="7"/>
  <c r="AA38" i="16"/>
  <c r="D78" i="7"/>
  <c r="AB38" i="16"/>
  <c r="C38" i="16"/>
  <c r="D6" i="16"/>
  <c r="E6" i="16"/>
  <c r="F6" i="16"/>
  <c r="G6" i="16"/>
  <c r="H6" i="16"/>
  <c r="I6" i="16"/>
  <c r="J6" i="16"/>
  <c r="K6" i="16"/>
  <c r="L6" i="16"/>
  <c r="M6" i="16"/>
  <c r="N6" i="16"/>
  <c r="O6" i="16"/>
  <c r="P6" i="16"/>
  <c r="Q6" i="16"/>
  <c r="R6" i="16"/>
  <c r="S6" i="16"/>
  <c r="T6" i="16"/>
  <c r="U6" i="16"/>
  <c r="V6" i="16"/>
  <c r="W6" i="16"/>
  <c r="X6" i="16"/>
  <c r="Y6" i="16"/>
  <c r="Z6" i="16"/>
  <c r="AA6" i="16"/>
  <c r="AB6" i="16"/>
  <c r="C5" i="16"/>
  <c r="C32" i="16"/>
  <c r="C34" i="15"/>
  <c r="C35" i="15"/>
  <c r="B2" i="16"/>
  <c r="C33" i="16"/>
  <c r="C34" i="16"/>
  <c r="A34" i="16"/>
  <c r="A33" i="16"/>
  <c r="A32" i="16"/>
  <c r="C339" i="11"/>
  <c r="D341" i="11"/>
  <c r="E341" i="11"/>
  <c r="C341" i="11"/>
  <c r="D342" i="11"/>
  <c r="E342" i="11"/>
  <c r="C342" i="11"/>
  <c r="D343" i="11"/>
  <c r="E343" i="11"/>
  <c r="C343" i="11"/>
  <c r="D344" i="11"/>
  <c r="E344" i="11"/>
  <c r="C344" i="11"/>
  <c r="D345" i="11"/>
  <c r="E345" i="11"/>
  <c r="C345" i="11"/>
  <c r="D346" i="11"/>
  <c r="E346" i="11"/>
  <c r="C346" i="11"/>
  <c r="D347" i="11"/>
  <c r="E347" i="11"/>
  <c r="C347" i="11"/>
  <c r="D348" i="11"/>
  <c r="E348" i="11"/>
  <c r="C348" i="11"/>
  <c r="D349" i="11"/>
  <c r="E349" i="11"/>
  <c r="C349" i="11"/>
  <c r="D350" i="11"/>
  <c r="E350" i="11"/>
  <c r="C350" i="11"/>
  <c r="D351" i="11"/>
  <c r="E351" i="11"/>
  <c r="C351" i="11"/>
  <c r="D352" i="11"/>
  <c r="D353" i="11"/>
  <c r="E352" i="11"/>
  <c r="C352" i="11"/>
  <c r="D354" i="11"/>
  <c r="E354" i="11"/>
  <c r="C354" i="11"/>
  <c r="D355" i="11"/>
  <c r="E355" i="11"/>
  <c r="C355" i="11"/>
  <c r="D356" i="11"/>
  <c r="E356" i="11"/>
  <c r="C356" i="11"/>
  <c r="D357" i="11"/>
  <c r="E357" i="11"/>
  <c r="C357" i="11"/>
  <c r="D358" i="11"/>
  <c r="E358" i="11"/>
  <c r="C358" i="11"/>
  <c r="D359" i="11"/>
  <c r="E359" i="11"/>
  <c r="C359" i="11"/>
  <c r="D360" i="11"/>
  <c r="E360" i="11"/>
  <c r="C360" i="11"/>
  <c r="D361" i="11"/>
  <c r="E361" i="11"/>
  <c r="C361" i="11"/>
  <c r="D362" i="11"/>
  <c r="E362" i="11"/>
  <c r="C362" i="11"/>
  <c r="D363" i="11"/>
  <c r="E363" i="11"/>
  <c r="C363" i="11"/>
  <c r="D364" i="11"/>
  <c r="E364" i="11"/>
  <c r="C364" i="11"/>
  <c r="D365" i="11"/>
  <c r="D366" i="11"/>
  <c r="E365" i="11"/>
  <c r="C365" i="11"/>
  <c r="D367" i="11"/>
  <c r="E367" i="11"/>
  <c r="C367" i="11"/>
  <c r="D368" i="11"/>
  <c r="E368" i="11"/>
  <c r="C368" i="11"/>
  <c r="D369" i="11"/>
  <c r="E369" i="11"/>
  <c r="C369" i="11"/>
  <c r="D370" i="11"/>
  <c r="E370" i="11"/>
  <c r="C370" i="11"/>
  <c r="D371" i="11"/>
  <c r="E371" i="11"/>
  <c r="C371" i="11"/>
  <c r="D372" i="11"/>
  <c r="E372" i="11"/>
  <c r="C372" i="11"/>
  <c r="D373" i="11"/>
  <c r="E373" i="11"/>
  <c r="C373" i="11"/>
  <c r="D374" i="11"/>
  <c r="E374" i="11"/>
  <c r="C374" i="11"/>
  <c r="D375" i="11"/>
  <c r="E375" i="11"/>
  <c r="C375" i="11"/>
  <c r="D376" i="11"/>
  <c r="E376" i="11"/>
  <c r="C376" i="11"/>
  <c r="D377" i="11"/>
  <c r="E377" i="11"/>
  <c r="C377" i="11"/>
  <c r="D378" i="11"/>
  <c r="D379" i="11"/>
  <c r="E378" i="11"/>
  <c r="C378" i="11"/>
  <c r="D380" i="11"/>
  <c r="E380" i="11"/>
  <c r="C380" i="11"/>
  <c r="D381" i="11"/>
  <c r="E381" i="11"/>
  <c r="C381" i="11"/>
  <c r="D382" i="11"/>
  <c r="E382" i="11"/>
  <c r="C382" i="11"/>
  <c r="D383" i="11"/>
  <c r="E383" i="11"/>
  <c r="C383" i="11"/>
  <c r="D384" i="11"/>
  <c r="E384" i="11"/>
  <c r="C384" i="11"/>
  <c r="D385" i="11"/>
  <c r="E385" i="11"/>
  <c r="C385" i="11"/>
  <c r="D386" i="11"/>
  <c r="E386" i="11"/>
  <c r="C386" i="11"/>
  <c r="D387" i="11"/>
  <c r="E387" i="11"/>
  <c r="C387" i="11"/>
  <c r="D388" i="11"/>
  <c r="E388" i="11"/>
  <c r="C388" i="11"/>
  <c r="D389" i="11"/>
  <c r="E389" i="11"/>
  <c r="C389" i="11"/>
  <c r="D390" i="11"/>
  <c r="E390" i="11"/>
  <c r="C390" i="11"/>
  <c r="D391" i="11"/>
  <c r="D392" i="11"/>
  <c r="E391" i="11"/>
  <c r="C391" i="11"/>
  <c r="D393" i="11"/>
  <c r="E393" i="11"/>
  <c r="C393" i="11"/>
  <c r="D394" i="11"/>
  <c r="E394" i="11"/>
  <c r="C394" i="11"/>
  <c r="D395" i="11"/>
  <c r="E395" i="11"/>
  <c r="C395" i="11"/>
  <c r="D396" i="11"/>
  <c r="E396" i="11"/>
  <c r="C396" i="11"/>
  <c r="D397" i="11"/>
  <c r="E397" i="11"/>
  <c r="C397" i="11"/>
  <c r="D398" i="11"/>
  <c r="E398" i="11"/>
  <c r="C398" i="11"/>
  <c r="D399" i="11"/>
  <c r="E399" i="11"/>
  <c r="C399" i="11"/>
  <c r="D400" i="11"/>
  <c r="E400" i="11"/>
  <c r="C400" i="11"/>
  <c r="D401" i="11"/>
  <c r="E401" i="11"/>
  <c r="C401" i="11"/>
  <c r="D402" i="11"/>
  <c r="E402" i="11"/>
  <c r="C402" i="11"/>
  <c r="D403" i="11"/>
  <c r="E403" i="11"/>
  <c r="C403" i="11"/>
  <c r="D404" i="11"/>
  <c r="D405" i="11"/>
  <c r="E404" i="11"/>
  <c r="C404" i="11"/>
  <c r="D406" i="11"/>
  <c r="E406" i="11"/>
  <c r="C406" i="11"/>
  <c r="D407" i="11"/>
  <c r="E407" i="11"/>
  <c r="C407" i="11"/>
  <c r="D408" i="11"/>
  <c r="E408" i="11"/>
  <c r="C408" i="11"/>
  <c r="D409" i="11"/>
  <c r="E409" i="11"/>
  <c r="C409" i="11"/>
  <c r="D410" i="11"/>
  <c r="E410" i="11"/>
  <c r="C410" i="11"/>
  <c r="D411" i="11"/>
  <c r="E411" i="11"/>
  <c r="C411" i="11"/>
  <c r="D412" i="11"/>
  <c r="E412" i="11"/>
  <c r="C412" i="11"/>
  <c r="D413" i="11"/>
  <c r="E413" i="11"/>
  <c r="C413" i="11"/>
  <c r="D414" i="11"/>
  <c r="E414" i="11"/>
  <c r="C414" i="11"/>
  <c r="D415" i="11"/>
  <c r="E415" i="11"/>
  <c r="C415" i="11"/>
  <c r="D416" i="11"/>
  <c r="E416" i="11"/>
  <c r="C416" i="11"/>
  <c r="D417" i="11"/>
  <c r="D418" i="11"/>
  <c r="E417" i="11"/>
  <c r="C417" i="11"/>
  <c r="D419" i="11"/>
  <c r="E419" i="11"/>
  <c r="C419" i="11"/>
  <c r="D420" i="11"/>
  <c r="E420" i="11"/>
  <c r="C420" i="11"/>
  <c r="D421" i="11"/>
  <c r="E421" i="11"/>
  <c r="C421" i="11"/>
  <c r="D422" i="11"/>
  <c r="E422" i="11"/>
  <c r="C422" i="11"/>
  <c r="D423" i="11"/>
  <c r="E423" i="11"/>
  <c r="C423" i="11"/>
  <c r="D424" i="11"/>
  <c r="E424" i="11"/>
  <c r="C424" i="11"/>
  <c r="D425" i="11"/>
  <c r="E425" i="11"/>
  <c r="C425" i="11"/>
  <c r="D426" i="11"/>
  <c r="E426" i="11"/>
  <c r="C426" i="11"/>
  <c r="D427" i="11"/>
  <c r="E427" i="11"/>
  <c r="C427" i="11"/>
  <c r="D428" i="11"/>
  <c r="E428" i="11"/>
  <c r="C428" i="11"/>
  <c r="D429" i="11"/>
  <c r="E429" i="11"/>
  <c r="C429" i="11"/>
  <c r="D430" i="11"/>
  <c r="D431" i="11"/>
  <c r="E430" i="11"/>
  <c r="C430" i="11"/>
  <c r="D432" i="11"/>
  <c r="E432" i="11"/>
  <c r="C432" i="11"/>
  <c r="D433" i="11"/>
  <c r="E433" i="11"/>
  <c r="C433" i="11"/>
  <c r="D434" i="11"/>
  <c r="E434" i="11"/>
  <c r="C434" i="11"/>
  <c r="D435" i="11"/>
  <c r="E435" i="11"/>
  <c r="C435" i="11"/>
  <c r="D436" i="11"/>
  <c r="E436" i="11"/>
  <c r="C436" i="11"/>
  <c r="D437" i="11"/>
  <c r="E437" i="11"/>
  <c r="C437" i="11"/>
  <c r="D438" i="11"/>
  <c r="E438" i="11"/>
  <c r="C438" i="11"/>
  <c r="D439" i="11"/>
  <c r="E439" i="11"/>
  <c r="C439" i="11"/>
  <c r="D440" i="11"/>
  <c r="E440" i="11"/>
  <c r="C440" i="11"/>
  <c r="D441" i="11"/>
  <c r="E441" i="11"/>
  <c r="C441" i="11"/>
  <c r="D442" i="11"/>
  <c r="E442" i="11"/>
  <c r="C442" i="11"/>
  <c r="D443" i="11"/>
  <c r="D444" i="11"/>
  <c r="E443" i="11"/>
  <c r="C443" i="11"/>
  <c r="D445" i="11"/>
  <c r="E445" i="11"/>
  <c r="C445" i="11"/>
  <c r="D446" i="11"/>
  <c r="E446" i="11"/>
  <c r="C446" i="11"/>
  <c r="D447" i="11"/>
  <c r="E447" i="11"/>
  <c r="C447" i="11"/>
  <c r="D448" i="11"/>
  <c r="E448" i="11"/>
  <c r="C448" i="11"/>
  <c r="D449" i="11"/>
  <c r="E449" i="11"/>
  <c r="C449" i="11"/>
  <c r="D450" i="11"/>
  <c r="E450" i="11"/>
  <c r="C450" i="11"/>
  <c r="D451" i="11"/>
  <c r="E451" i="11"/>
  <c r="C451" i="11"/>
  <c r="D452" i="11"/>
  <c r="E452" i="11"/>
  <c r="C452" i="11"/>
  <c r="D453" i="11"/>
  <c r="E453" i="11"/>
  <c r="C453" i="11"/>
  <c r="D454" i="11"/>
  <c r="E454" i="11"/>
  <c r="C454" i="11"/>
  <c r="D455" i="11"/>
  <c r="E455" i="11"/>
  <c r="C455" i="11"/>
  <c r="D456" i="11"/>
  <c r="D457" i="11"/>
  <c r="E456" i="11"/>
  <c r="C456" i="11"/>
  <c r="D458" i="11"/>
  <c r="E458" i="11"/>
  <c r="C458" i="11"/>
  <c r="D459" i="11"/>
  <c r="E459" i="11"/>
  <c r="C459" i="11"/>
  <c r="D460" i="11"/>
  <c r="E460" i="11"/>
  <c r="C460" i="11"/>
  <c r="D461" i="11"/>
  <c r="E461" i="11"/>
  <c r="C461" i="11"/>
  <c r="D462" i="11"/>
  <c r="E462" i="11"/>
  <c r="C462" i="11"/>
  <c r="D463" i="11"/>
  <c r="E463" i="11"/>
  <c r="C463" i="11"/>
  <c r="D464" i="11"/>
  <c r="E464" i="11"/>
  <c r="C464" i="11"/>
  <c r="D465" i="11"/>
  <c r="E465" i="11"/>
  <c r="C465" i="11"/>
  <c r="D466" i="11"/>
  <c r="E466" i="11"/>
  <c r="C466" i="11"/>
  <c r="D467" i="11"/>
  <c r="E467" i="11"/>
  <c r="C467" i="11"/>
  <c r="D468" i="11"/>
  <c r="E468" i="11"/>
  <c r="C468" i="11"/>
  <c r="D469" i="11"/>
  <c r="D470" i="11"/>
  <c r="E469" i="11"/>
  <c r="C469" i="11"/>
  <c r="D471" i="11"/>
  <c r="E471" i="11"/>
  <c r="C471" i="11"/>
  <c r="D472" i="11"/>
  <c r="E472" i="11"/>
  <c r="C472" i="11"/>
  <c r="D473" i="11"/>
  <c r="E473" i="11"/>
  <c r="C473" i="11"/>
  <c r="D474" i="11"/>
  <c r="E474" i="11"/>
  <c r="C474" i="11"/>
  <c r="D475" i="11"/>
  <c r="E475" i="11"/>
  <c r="C475" i="11"/>
  <c r="D476" i="11"/>
  <c r="E476" i="11"/>
  <c r="C476" i="11"/>
  <c r="D477" i="11"/>
  <c r="E477" i="11"/>
  <c r="C477" i="11"/>
  <c r="D478" i="11"/>
  <c r="E478" i="11"/>
  <c r="C478" i="11"/>
  <c r="D479" i="11"/>
  <c r="E479" i="11"/>
  <c r="C479" i="11"/>
  <c r="D480" i="11"/>
  <c r="E480" i="11"/>
  <c r="C480" i="11"/>
  <c r="D481" i="11"/>
  <c r="E481" i="11"/>
  <c r="C481" i="11"/>
  <c r="D482" i="11"/>
  <c r="D483" i="11"/>
  <c r="E482" i="11"/>
  <c r="C482" i="11"/>
  <c r="D484" i="11"/>
  <c r="E484" i="11"/>
  <c r="C484" i="11"/>
  <c r="D485" i="11"/>
  <c r="E485" i="11"/>
  <c r="C485" i="11"/>
  <c r="D486" i="11"/>
  <c r="E486" i="11"/>
  <c r="C486" i="11"/>
  <c r="D487" i="11"/>
  <c r="E487" i="11"/>
  <c r="C487" i="11"/>
  <c r="D488" i="11"/>
  <c r="E488" i="11"/>
  <c r="C488" i="11"/>
  <c r="D489" i="11"/>
  <c r="E489" i="11"/>
  <c r="C489" i="11"/>
  <c r="D490" i="11"/>
  <c r="E490" i="11"/>
  <c r="C490" i="11"/>
  <c r="D491" i="11"/>
  <c r="E491" i="11"/>
  <c r="C491" i="11"/>
  <c r="D492" i="11"/>
  <c r="E492" i="11"/>
  <c r="C492" i="11"/>
  <c r="D493" i="11"/>
  <c r="E493" i="11"/>
  <c r="C493" i="11"/>
  <c r="D494" i="11"/>
  <c r="E494" i="11"/>
  <c r="C494" i="11"/>
  <c r="D495" i="11"/>
  <c r="D496" i="11"/>
  <c r="E495" i="11"/>
  <c r="C495" i="11"/>
  <c r="D497" i="11"/>
  <c r="E497" i="11"/>
  <c r="C497" i="11"/>
  <c r="D498" i="11"/>
  <c r="E498" i="11"/>
  <c r="C498" i="11"/>
  <c r="D499" i="11"/>
  <c r="E499" i="11"/>
  <c r="C499" i="11"/>
  <c r="D500" i="11"/>
  <c r="E500" i="11"/>
  <c r="C500" i="11"/>
  <c r="D501" i="11"/>
  <c r="E501" i="11"/>
  <c r="C501" i="11"/>
  <c r="D502" i="11"/>
  <c r="E502" i="11"/>
  <c r="C502" i="11"/>
  <c r="D503" i="11"/>
  <c r="E503" i="11"/>
  <c r="C503" i="11"/>
  <c r="D504" i="11"/>
  <c r="E504" i="11"/>
  <c r="C504" i="11"/>
  <c r="D505" i="11"/>
  <c r="E505" i="11"/>
  <c r="C505" i="11"/>
  <c r="D506" i="11"/>
  <c r="E506" i="11"/>
  <c r="C506" i="11"/>
  <c r="D507" i="11"/>
  <c r="E507" i="11"/>
  <c r="C507" i="11"/>
  <c r="D508" i="11"/>
  <c r="D509" i="11"/>
  <c r="E508" i="11"/>
  <c r="C508" i="11"/>
  <c r="D510" i="11"/>
  <c r="E510" i="11"/>
  <c r="C510" i="11"/>
  <c r="D511" i="11"/>
  <c r="E511" i="11"/>
  <c r="C511" i="11"/>
  <c r="D512" i="11"/>
  <c r="E512" i="11"/>
  <c r="C512" i="11"/>
  <c r="D513" i="11"/>
  <c r="E513" i="11"/>
  <c r="C513" i="11"/>
  <c r="D514" i="11"/>
  <c r="E514" i="11"/>
  <c r="C514" i="11"/>
  <c r="D515" i="11"/>
  <c r="E515" i="11"/>
  <c r="C515" i="11"/>
  <c r="D516" i="11"/>
  <c r="E516" i="11"/>
  <c r="C516" i="11"/>
  <c r="D517" i="11"/>
  <c r="E517" i="11"/>
  <c r="C517" i="11"/>
  <c r="D518" i="11"/>
  <c r="E518" i="11"/>
  <c r="C518" i="11"/>
  <c r="D519" i="11"/>
  <c r="E519" i="11"/>
  <c r="C519" i="11"/>
  <c r="D520" i="11"/>
  <c r="E520" i="11"/>
  <c r="C520" i="11"/>
  <c r="D521" i="11"/>
  <c r="D522" i="11"/>
  <c r="E521" i="11"/>
  <c r="C521" i="11"/>
  <c r="D523" i="11"/>
  <c r="E523" i="11"/>
  <c r="C523" i="11"/>
  <c r="D524" i="11"/>
  <c r="E524" i="11"/>
  <c r="C524" i="11"/>
  <c r="D525" i="11"/>
  <c r="E525" i="11"/>
  <c r="C525" i="11"/>
  <c r="D526" i="11"/>
  <c r="E526" i="11"/>
  <c r="C526" i="11"/>
  <c r="D527" i="11"/>
  <c r="E527" i="11"/>
  <c r="C527" i="11"/>
  <c r="D528" i="11"/>
  <c r="E528" i="11"/>
  <c r="C528" i="11"/>
  <c r="D529" i="11"/>
  <c r="E529" i="11"/>
  <c r="C529" i="11"/>
  <c r="D530" i="11"/>
  <c r="E530" i="11"/>
  <c r="C530" i="11"/>
  <c r="D531" i="11"/>
  <c r="E531" i="11"/>
  <c r="C531" i="11"/>
  <c r="D532" i="11"/>
  <c r="E532" i="11"/>
  <c r="C532" i="11"/>
  <c r="D533" i="11"/>
  <c r="E533" i="11"/>
  <c r="C533" i="11"/>
  <c r="D534" i="11"/>
  <c r="D535" i="11"/>
  <c r="D12" i="11"/>
  <c r="B12" i="13"/>
  <c r="B16" i="13"/>
  <c r="B17" i="13"/>
  <c r="B18" i="13"/>
  <c r="B19" i="13"/>
  <c r="B20" i="13"/>
  <c r="B21" i="13"/>
  <c r="B22" i="13"/>
  <c r="B23" i="13"/>
  <c r="B24" i="13"/>
  <c r="B25" i="13"/>
  <c r="B26" i="13"/>
  <c r="B27" i="13"/>
  <c r="B29" i="13"/>
  <c r="B30" i="13"/>
  <c r="B31" i="13"/>
  <c r="B32" i="13"/>
  <c r="B33" i="13"/>
  <c r="B34" i="13"/>
  <c r="B35" i="13"/>
  <c r="B36" i="13"/>
  <c r="B37" i="13"/>
  <c r="B38" i="13"/>
  <c r="B39" i="13"/>
  <c r="B40" i="13"/>
  <c r="B42" i="13"/>
  <c r="B43" i="13"/>
  <c r="B44" i="13"/>
  <c r="B45" i="13"/>
  <c r="B46" i="13"/>
  <c r="B47" i="13"/>
  <c r="B48" i="13"/>
  <c r="B49" i="13"/>
  <c r="B50" i="13"/>
  <c r="B51" i="13"/>
  <c r="B52" i="13"/>
  <c r="B53" i="13"/>
  <c r="B55" i="13"/>
  <c r="B56" i="13"/>
  <c r="B57" i="13"/>
  <c r="B58" i="13"/>
  <c r="B59" i="13"/>
  <c r="B60" i="13"/>
  <c r="B61" i="13"/>
  <c r="B62" i="13"/>
  <c r="B63" i="13"/>
  <c r="B64" i="13"/>
  <c r="B65" i="13"/>
  <c r="B66" i="13"/>
  <c r="B68" i="13"/>
  <c r="B69" i="13"/>
  <c r="B70" i="13"/>
  <c r="B71" i="13"/>
  <c r="B72" i="13"/>
  <c r="B73" i="13"/>
  <c r="B74" i="13"/>
  <c r="B75" i="13"/>
  <c r="B76" i="13"/>
  <c r="B77" i="13"/>
  <c r="B78" i="13"/>
  <c r="B79" i="13"/>
  <c r="B81" i="13"/>
  <c r="B82" i="13"/>
  <c r="B83" i="13"/>
  <c r="B84" i="13"/>
  <c r="B85" i="13"/>
  <c r="B86" i="13"/>
  <c r="B87" i="13"/>
  <c r="B88" i="13"/>
  <c r="B89" i="13"/>
  <c r="B90" i="13"/>
  <c r="B91" i="13"/>
  <c r="B92" i="13"/>
  <c r="B94" i="13"/>
  <c r="B95" i="13"/>
  <c r="B96" i="13"/>
  <c r="B97" i="13"/>
  <c r="B98" i="13"/>
  <c r="B99" i="13"/>
  <c r="B100" i="13"/>
  <c r="B101" i="13"/>
  <c r="B102" i="13"/>
  <c r="B103" i="13"/>
  <c r="B104" i="13"/>
  <c r="B105" i="13"/>
  <c r="B107" i="13"/>
  <c r="B108" i="13"/>
  <c r="B109" i="13"/>
  <c r="B110" i="13"/>
  <c r="B111" i="13"/>
  <c r="B112" i="13"/>
  <c r="B113" i="13"/>
  <c r="B114" i="13"/>
  <c r="B115" i="13"/>
  <c r="B116" i="13"/>
  <c r="B117" i="13"/>
  <c r="B118" i="13"/>
  <c r="B120" i="13"/>
  <c r="B121" i="13"/>
  <c r="B122" i="13"/>
  <c r="B123" i="13"/>
  <c r="B124" i="13"/>
  <c r="B125" i="13"/>
  <c r="B126" i="13"/>
  <c r="B127" i="13"/>
  <c r="B128" i="13"/>
  <c r="B129" i="13"/>
  <c r="B130" i="13"/>
  <c r="B131" i="13"/>
  <c r="B133" i="13"/>
  <c r="B134" i="13"/>
  <c r="B135" i="13"/>
  <c r="B136" i="13"/>
  <c r="B137" i="13"/>
  <c r="B138" i="13"/>
  <c r="B139" i="13"/>
  <c r="B140" i="13"/>
  <c r="B141" i="13"/>
  <c r="B142" i="13"/>
  <c r="B143" i="13"/>
  <c r="B144" i="13"/>
  <c r="B146" i="13"/>
  <c r="B147" i="13"/>
  <c r="B148" i="13"/>
  <c r="B149" i="13"/>
  <c r="B150" i="13"/>
  <c r="B151" i="13"/>
  <c r="B152" i="13"/>
  <c r="B153" i="13"/>
  <c r="B154" i="13"/>
  <c r="B155" i="13"/>
  <c r="B156" i="13"/>
  <c r="B157" i="13"/>
  <c r="B159" i="13"/>
  <c r="B160" i="13"/>
  <c r="B161" i="13"/>
  <c r="B162" i="13"/>
  <c r="B163" i="13"/>
  <c r="B164" i="13"/>
  <c r="B165" i="13"/>
  <c r="B166" i="13"/>
  <c r="B167" i="13"/>
  <c r="B168" i="13"/>
  <c r="B169" i="13"/>
  <c r="B170" i="13"/>
  <c r="B172" i="13"/>
  <c r="B173" i="13"/>
  <c r="B174" i="13"/>
  <c r="B175" i="13"/>
  <c r="B176" i="13"/>
  <c r="B177" i="13"/>
  <c r="B178" i="13"/>
  <c r="B179" i="13"/>
  <c r="B180" i="13"/>
  <c r="B181" i="13"/>
  <c r="B182" i="13"/>
  <c r="B183" i="13"/>
  <c r="B185" i="13"/>
  <c r="B186" i="13"/>
  <c r="B187" i="13"/>
  <c r="B188" i="13"/>
  <c r="B189" i="13"/>
  <c r="B190" i="13"/>
  <c r="B191" i="13"/>
  <c r="B192" i="13"/>
  <c r="B193" i="13"/>
  <c r="B194" i="13"/>
  <c r="B195" i="13"/>
  <c r="B196" i="13"/>
  <c r="B198" i="13"/>
  <c r="B199" i="13"/>
  <c r="B200" i="13"/>
  <c r="B201" i="13"/>
  <c r="B202" i="13"/>
  <c r="B203" i="13"/>
  <c r="B204" i="13"/>
  <c r="B205" i="13"/>
  <c r="B206" i="13"/>
  <c r="B207" i="13"/>
  <c r="B208" i="13"/>
  <c r="B209" i="13"/>
  <c r="B211" i="13"/>
  <c r="B212" i="13"/>
  <c r="B213" i="13"/>
  <c r="B214" i="13"/>
  <c r="B215" i="13"/>
  <c r="B216" i="13"/>
  <c r="B217" i="13"/>
  <c r="B218" i="13"/>
  <c r="B219" i="13"/>
  <c r="B220" i="13"/>
  <c r="B221" i="13"/>
  <c r="B222" i="13"/>
  <c r="B224" i="13"/>
  <c r="B225" i="13"/>
  <c r="B226" i="13"/>
  <c r="B227" i="13"/>
  <c r="B228" i="13"/>
  <c r="B229" i="13"/>
  <c r="B230" i="13"/>
  <c r="B231" i="13"/>
  <c r="B232" i="13"/>
  <c r="B233" i="13"/>
  <c r="B234" i="13"/>
  <c r="B235" i="13"/>
  <c r="B237" i="13"/>
  <c r="B238" i="13"/>
  <c r="B239" i="13"/>
  <c r="B240" i="13"/>
  <c r="B241" i="13"/>
  <c r="B242" i="13"/>
  <c r="B243" i="13"/>
  <c r="B244" i="13"/>
  <c r="B245" i="13"/>
  <c r="B246" i="13"/>
  <c r="B247" i="13"/>
  <c r="B248" i="13"/>
  <c r="B250" i="13"/>
  <c r="B251" i="13"/>
  <c r="B252" i="13"/>
  <c r="B253" i="13"/>
  <c r="B254" i="13"/>
  <c r="B255" i="13"/>
  <c r="B256" i="13"/>
  <c r="B257" i="13"/>
  <c r="B258" i="13"/>
  <c r="B259" i="13"/>
  <c r="B260" i="13"/>
  <c r="B261" i="13"/>
  <c r="B263" i="13"/>
  <c r="B264" i="13"/>
  <c r="B265" i="13"/>
  <c r="B266" i="13"/>
  <c r="B267" i="13"/>
  <c r="B268" i="13"/>
  <c r="B269" i="13"/>
  <c r="B270" i="13"/>
  <c r="B271" i="13"/>
  <c r="B272" i="13"/>
  <c r="B273" i="13"/>
  <c r="B274" i="13"/>
  <c r="B276" i="13"/>
  <c r="B277" i="13"/>
  <c r="B278" i="13"/>
  <c r="B279" i="13"/>
  <c r="B280" i="13"/>
  <c r="B281" i="13"/>
  <c r="B282" i="13"/>
  <c r="B283" i="13"/>
  <c r="B284" i="13"/>
  <c r="B285" i="13"/>
  <c r="B286" i="13"/>
  <c r="B287" i="13"/>
  <c r="B289" i="13"/>
  <c r="B290" i="13"/>
  <c r="B291" i="13"/>
  <c r="B292" i="13"/>
  <c r="B293" i="13"/>
  <c r="B294" i="13"/>
  <c r="B295" i="13"/>
  <c r="B296" i="13"/>
  <c r="B297" i="13"/>
  <c r="B298" i="13"/>
  <c r="B299" i="13"/>
  <c r="B300" i="13"/>
  <c r="B302" i="13"/>
  <c r="B303" i="13"/>
  <c r="B304" i="13"/>
  <c r="B305" i="13"/>
  <c r="B306" i="13"/>
  <c r="B307" i="13"/>
  <c r="B308" i="13"/>
  <c r="B309" i="13"/>
  <c r="B310" i="13"/>
  <c r="B311" i="13"/>
  <c r="B312" i="13"/>
  <c r="B313" i="13"/>
  <c r="B315" i="13"/>
  <c r="B316" i="13"/>
  <c r="B317" i="13"/>
  <c r="B318" i="13"/>
  <c r="B319" i="13"/>
  <c r="B320" i="13"/>
  <c r="B321" i="13"/>
  <c r="B322" i="13"/>
  <c r="B323" i="13"/>
  <c r="B324" i="13"/>
  <c r="B325" i="13"/>
  <c r="B326" i="13"/>
  <c r="B328" i="13"/>
  <c r="B329" i="13"/>
  <c r="B330" i="13"/>
  <c r="B331" i="13"/>
  <c r="B332" i="13"/>
  <c r="B333" i="13"/>
  <c r="B334" i="13"/>
  <c r="B335" i="13"/>
  <c r="B336" i="13"/>
  <c r="B337" i="13"/>
  <c r="B338" i="13"/>
  <c r="B339" i="13"/>
  <c r="C339" i="13"/>
  <c r="D341" i="13"/>
  <c r="B341" i="13"/>
  <c r="E341" i="13"/>
  <c r="C341" i="13"/>
  <c r="D342" i="13"/>
  <c r="B342" i="13"/>
  <c r="E342" i="13"/>
  <c r="C342" i="13"/>
  <c r="D343" i="13"/>
  <c r="B343" i="13"/>
  <c r="E343" i="13"/>
  <c r="C343" i="13"/>
  <c r="D344" i="13"/>
  <c r="B344" i="13"/>
  <c r="E344" i="13"/>
  <c r="C344" i="13"/>
  <c r="D345" i="13"/>
  <c r="B345" i="13"/>
  <c r="E345" i="13"/>
  <c r="C345" i="13"/>
  <c r="D346" i="13"/>
  <c r="B346" i="13"/>
  <c r="E346" i="13"/>
  <c r="C346" i="13"/>
  <c r="D347" i="13"/>
  <c r="B347" i="13"/>
  <c r="E347" i="13"/>
  <c r="C347" i="13"/>
  <c r="D348" i="13"/>
  <c r="B348" i="13"/>
  <c r="E348" i="13"/>
  <c r="C348" i="13"/>
  <c r="D349" i="13"/>
  <c r="B349" i="13"/>
  <c r="E349" i="13"/>
  <c r="C349" i="13"/>
  <c r="D350" i="13"/>
  <c r="B350" i="13"/>
  <c r="E350" i="13"/>
  <c r="C350" i="13"/>
  <c r="D351" i="13"/>
  <c r="B351" i="13"/>
  <c r="E351" i="13"/>
  <c r="C351" i="13"/>
  <c r="D352" i="13"/>
  <c r="D353" i="13"/>
  <c r="B352" i="13"/>
  <c r="E352" i="13"/>
  <c r="C352" i="13"/>
  <c r="D354" i="13"/>
  <c r="B354" i="13"/>
  <c r="E354" i="13"/>
  <c r="C354" i="13"/>
  <c r="D355" i="13"/>
  <c r="B355" i="13"/>
  <c r="E355" i="13"/>
  <c r="C355" i="13"/>
  <c r="D356" i="13"/>
  <c r="B356" i="13"/>
  <c r="E356" i="13"/>
  <c r="C356" i="13"/>
  <c r="D357" i="13"/>
  <c r="B357" i="13"/>
  <c r="E357" i="13"/>
  <c r="C357" i="13"/>
  <c r="D358" i="13"/>
  <c r="B358" i="13"/>
  <c r="E358" i="13"/>
  <c r="C358" i="13"/>
  <c r="D359" i="13"/>
  <c r="B359" i="13"/>
  <c r="E359" i="13"/>
  <c r="C359" i="13"/>
  <c r="D360" i="13"/>
  <c r="B360" i="13"/>
  <c r="E360" i="13"/>
  <c r="C360" i="13"/>
  <c r="D361" i="13"/>
  <c r="B361" i="13"/>
  <c r="E361" i="13"/>
  <c r="C361" i="13"/>
  <c r="D362" i="13"/>
  <c r="B362" i="13"/>
  <c r="E362" i="13"/>
  <c r="C362" i="13"/>
  <c r="D363" i="13"/>
  <c r="B363" i="13"/>
  <c r="E363" i="13"/>
  <c r="C363" i="13"/>
  <c r="D364" i="13"/>
  <c r="B364" i="13"/>
  <c r="E364" i="13"/>
  <c r="C364" i="13"/>
  <c r="D365" i="13"/>
  <c r="D366" i="13"/>
  <c r="B365" i="13"/>
  <c r="E365" i="13"/>
  <c r="C365" i="13"/>
  <c r="D367" i="13"/>
  <c r="B367" i="13"/>
  <c r="E367" i="13"/>
  <c r="C367" i="13"/>
  <c r="D368" i="13"/>
  <c r="B368" i="13"/>
  <c r="E368" i="13"/>
  <c r="C368" i="13"/>
  <c r="D369" i="13"/>
  <c r="B369" i="13"/>
  <c r="E369" i="13"/>
  <c r="C369" i="13"/>
  <c r="D370" i="13"/>
  <c r="B370" i="13"/>
  <c r="E370" i="13"/>
  <c r="C370" i="13"/>
  <c r="D371" i="13"/>
  <c r="B371" i="13"/>
  <c r="E371" i="13"/>
  <c r="C371" i="13"/>
  <c r="D372" i="13"/>
  <c r="B372" i="13"/>
  <c r="E372" i="13"/>
  <c r="C372" i="13"/>
  <c r="D373" i="13"/>
  <c r="B373" i="13"/>
  <c r="E373" i="13"/>
  <c r="C373" i="13"/>
  <c r="D374" i="13"/>
  <c r="B374" i="13"/>
  <c r="E374" i="13"/>
  <c r="C374" i="13"/>
  <c r="D375" i="13"/>
  <c r="B375" i="13"/>
  <c r="E375" i="13"/>
  <c r="C375" i="13"/>
  <c r="D376" i="13"/>
  <c r="B376" i="13"/>
  <c r="E376" i="13"/>
  <c r="C376" i="13"/>
  <c r="D377" i="13"/>
  <c r="B377" i="13"/>
  <c r="E377" i="13"/>
  <c r="C377" i="13"/>
  <c r="D378" i="13"/>
  <c r="D379" i="13"/>
  <c r="B378" i="13"/>
  <c r="E378" i="13"/>
  <c r="C378" i="13"/>
  <c r="D380" i="13"/>
  <c r="B380" i="13"/>
  <c r="E380" i="13"/>
  <c r="C380" i="13"/>
  <c r="D381" i="13"/>
  <c r="B381" i="13"/>
  <c r="E381" i="13"/>
  <c r="C381" i="13"/>
  <c r="D382" i="13"/>
  <c r="B382" i="13"/>
  <c r="E382" i="13"/>
  <c r="C382" i="13"/>
  <c r="D383" i="13"/>
  <c r="B383" i="13"/>
  <c r="E383" i="13"/>
  <c r="C383" i="13"/>
  <c r="D384" i="13"/>
  <c r="B384" i="13"/>
  <c r="E384" i="13"/>
  <c r="C384" i="13"/>
  <c r="D385" i="13"/>
  <c r="B385" i="13"/>
  <c r="E385" i="13"/>
  <c r="C385" i="13"/>
  <c r="D386" i="13"/>
  <c r="B386" i="13"/>
  <c r="E386" i="13"/>
  <c r="C386" i="13"/>
  <c r="D387" i="13"/>
  <c r="B387" i="13"/>
  <c r="E387" i="13"/>
  <c r="C387" i="13"/>
  <c r="D388" i="13"/>
  <c r="B388" i="13"/>
  <c r="E388" i="13"/>
  <c r="C388" i="13"/>
  <c r="D389" i="13"/>
  <c r="B389" i="13"/>
  <c r="E389" i="13"/>
  <c r="C389" i="13"/>
  <c r="D390" i="13"/>
  <c r="B390" i="13"/>
  <c r="E390" i="13"/>
  <c r="C390" i="13"/>
  <c r="D391" i="13"/>
  <c r="D392" i="13"/>
  <c r="B391" i="13"/>
  <c r="E391" i="13"/>
  <c r="C391" i="13"/>
  <c r="D393" i="13"/>
  <c r="B393" i="13"/>
  <c r="E393" i="13"/>
  <c r="C393" i="13"/>
  <c r="D394" i="13"/>
  <c r="B394" i="13"/>
  <c r="E394" i="13"/>
  <c r="C394" i="13"/>
  <c r="D395" i="13"/>
  <c r="B395" i="13"/>
  <c r="E395" i="13"/>
  <c r="C395" i="13"/>
  <c r="D396" i="13"/>
  <c r="B396" i="13"/>
  <c r="E396" i="13"/>
  <c r="C396" i="13"/>
  <c r="D397" i="13"/>
  <c r="B397" i="13"/>
  <c r="E397" i="13"/>
  <c r="C397" i="13"/>
  <c r="D398" i="13"/>
  <c r="B398" i="13"/>
  <c r="E398" i="13"/>
  <c r="C398" i="13"/>
  <c r="D399" i="13"/>
  <c r="B399" i="13"/>
  <c r="E399" i="13"/>
  <c r="C399" i="13"/>
  <c r="D400" i="13"/>
  <c r="B400" i="13"/>
  <c r="E400" i="13"/>
  <c r="C400" i="13"/>
  <c r="D401" i="13"/>
  <c r="B401" i="13"/>
  <c r="E401" i="13"/>
  <c r="C401" i="13"/>
  <c r="D402" i="13"/>
  <c r="B402" i="13"/>
  <c r="E402" i="13"/>
  <c r="C402" i="13"/>
  <c r="D403" i="13"/>
  <c r="B403" i="13"/>
  <c r="E403" i="13"/>
  <c r="C403" i="13"/>
  <c r="D404" i="13"/>
  <c r="D405" i="13"/>
  <c r="B404" i="13"/>
  <c r="E404" i="13"/>
  <c r="C404" i="13"/>
  <c r="D406" i="13"/>
  <c r="B406" i="13"/>
  <c r="E406" i="13"/>
  <c r="C406" i="13"/>
  <c r="D407" i="13"/>
  <c r="B407" i="13"/>
  <c r="E407" i="13"/>
  <c r="C407" i="13"/>
  <c r="D408" i="13"/>
  <c r="B408" i="13"/>
  <c r="E408" i="13"/>
  <c r="C408" i="13"/>
  <c r="D409" i="13"/>
  <c r="B409" i="13"/>
  <c r="E409" i="13"/>
  <c r="C409" i="13"/>
  <c r="D410" i="13"/>
  <c r="B410" i="13"/>
  <c r="E410" i="13"/>
  <c r="C410" i="13"/>
  <c r="D411" i="13"/>
  <c r="B411" i="13"/>
  <c r="E411" i="13"/>
  <c r="C411" i="13"/>
  <c r="D412" i="13"/>
  <c r="B412" i="13"/>
  <c r="E412" i="13"/>
  <c r="C412" i="13"/>
  <c r="D413" i="13"/>
  <c r="B413" i="13"/>
  <c r="E413" i="13"/>
  <c r="C413" i="13"/>
  <c r="D414" i="13"/>
  <c r="B414" i="13"/>
  <c r="E414" i="13"/>
  <c r="C414" i="13"/>
  <c r="D415" i="13"/>
  <c r="B415" i="13"/>
  <c r="E415" i="13"/>
  <c r="C415" i="13"/>
  <c r="D416" i="13"/>
  <c r="B416" i="13"/>
  <c r="E416" i="13"/>
  <c r="C416" i="13"/>
  <c r="D417" i="13"/>
  <c r="D418" i="13"/>
  <c r="B417" i="13"/>
  <c r="E417" i="13"/>
  <c r="C417" i="13"/>
  <c r="D419" i="13"/>
  <c r="B419" i="13"/>
  <c r="E419" i="13"/>
  <c r="C419" i="13"/>
  <c r="D420" i="13"/>
  <c r="B420" i="13"/>
  <c r="E420" i="13"/>
  <c r="C420" i="13"/>
  <c r="D421" i="13"/>
  <c r="B421" i="13"/>
  <c r="E421" i="13"/>
  <c r="C421" i="13"/>
  <c r="D422" i="13"/>
  <c r="B422" i="13"/>
  <c r="E422" i="13"/>
  <c r="C422" i="13"/>
  <c r="D423" i="13"/>
  <c r="B423" i="13"/>
  <c r="E423" i="13"/>
  <c r="C423" i="13"/>
  <c r="D424" i="13"/>
  <c r="B424" i="13"/>
  <c r="E424" i="13"/>
  <c r="C424" i="13"/>
  <c r="D425" i="13"/>
  <c r="B425" i="13"/>
  <c r="E425" i="13"/>
  <c r="C425" i="13"/>
  <c r="D426" i="13"/>
  <c r="B426" i="13"/>
  <c r="E426" i="13"/>
  <c r="C426" i="13"/>
  <c r="D427" i="13"/>
  <c r="B427" i="13"/>
  <c r="E427" i="13"/>
  <c r="C427" i="13"/>
  <c r="D428" i="13"/>
  <c r="B428" i="13"/>
  <c r="E428" i="13"/>
  <c r="C428" i="13"/>
  <c r="D429" i="13"/>
  <c r="B429" i="13"/>
  <c r="E429" i="13"/>
  <c r="C429" i="13"/>
  <c r="D430" i="13"/>
  <c r="D431" i="13"/>
  <c r="B430" i="13"/>
  <c r="E430" i="13"/>
  <c r="C430" i="13"/>
  <c r="D432" i="13"/>
  <c r="B432" i="13"/>
  <c r="E432" i="13"/>
  <c r="C432" i="13"/>
  <c r="D433" i="13"/>
  <c r="B433" i="13"/>
  <c r="E433" i="13"/>
  <c r="C433" i="13"/>
  <c r="D434" i="13"/>
  <c r="B434" i="13"/>
  <c r="E434" i="13"/>
  <c r="C434" i="13"/>
  <c r="D435" i="13"/>
  <c r="B435" i="13"/>
  <c r="E435" i="13"/>
  <c r="C435" i="13"/>
  <c r="D436" i="13"/>
  <c r="B436" i="13"/>
  <c r="E436" i="13"/>
  <c r="C436" i="13"/>
  <c r="D437" i="13"/>
  <c r="B437" i="13"/>
  <c r="E437" i="13"/>
  <c r="C437" i="13"/>
  <c r="D438" i="13"/>
  <c r="B438" i="13"/>
  <c r="E438" i="13"/>
  <c r="C438" i="13"/>
  <c r="D439" i="13"/>
  <c r="B439" i="13"/>
  <c r="E439" i="13"/>
  <c r="C439" i="13"/>
  <c r="D440" i="13"/>
  <c r="B440" i="13"/>
  <c r="E440" i="13"/>
  <c r="C440" i="13"/>
  <c r="D441" i="13"/>
  <c r="B441" i="13"/>
  <c r="E441" i="13"/>
  <c r="C441" i="13"/>
  <c r="D442" i="13"/>
  <c r="B442" i="13"/>
  <c r="E442" i="13"/>
  <c r="C442" i="13"/>
  <c r="D443" i="13"/>
  <c r="D444" i="13"/>
  <c r="B443" i="13"/>
  <c r="E443" i="13"/>
  <c r="C443" i="13"/>
  <c r="D445" i="13"/>
  <c r="B445" i="13"/>
  <c r="E445" i="13"/>
  <c r="C445" i="13"/>
  <c r="D446" i="13"/>
  <c r="B446" i="13"/>
  <c r="E446" i="13"/>
  <c r="C446" i="13"/>
  <c r="D447" i="13"/>
  <c r="B447" i="13"/>
  <c r="E447" i="13"/>
  <c r="C447" i="13"/>
  <c r="D448" i="13"/>
  <c r="B448" i="13"/>
  <c r="E448" i="13"/>
  <c r="C448" i="13"/>
  <c r="D449" i="13"/>
  <c r="B449" i="13"/>
  <c r="E449" i="13"/>
  <c r="C449" i="13"/>
  <c r="D450" i="13"/>
  <c r="B450" i="13"/>
  <c r="E450" i="13"/>
  <c r="C450" i="13"/>
  <c r="D451" i="13"/>
  <c r="B451" i="13"/>
  <c r="E451" i="13"/>
  <c r="C451" i="13"/>
  <c r="D452" i="13"/>
  <c r="B452" i="13"/>
  <c r="E452" i="13"/>
  <c r="C452" i="13"/>
  <c r="D453" i="13"/>
  <c r="B453" i="13"/>
  <c r="E453" i="13"/>
  <c r="C453" i="13"/>
  <c r="D454" i="13"/>
  <c r="B454" i="13"/>
  <c r="E454" i="13"/>
  <c r="C454" i="13"/>
  <c r="D455" i="13"/>
  <c r="B455" i="13"/>
  <c r="E455" i="13"/>
  <c r="C455" i="13"/>
  <c r="D456" i="13"/>
  <c r="D457" i="13"/>
  <c r="B456" i="13"/>
  <c r="E456" i="13"/>
  <c r="C456" i="13"/>
  <c r="D458" i="13"/>
  <c r="B458" i="13"/>
  <c r="E458" i="13"/>
  <c r="C458" i="13"/>
  <c r="D459" i="13"/>
  <c r="B459" i="13"/>
  <c r="E459" i="13"/>
  <c r="C459" i="13"/>
  <c r="D460" i="13"/>
  <c r="B460" i="13"/>
  <c r="E460" i="13"/>
  <c r="C460" i="13"/>
  <c r="D461" i="13"/>
  <c r="B461" i="13"/>
  <c r="E461" i="13"/>
  <c r="C461" i="13"/>
  <c r="D462" i="13"/>
  <c r="B462" i="13"/>
  <c r="E462" i="13"/>
  <c r="C462" i="13"/>
  <c r="D463" i="13"/>
  <c r="B463" i="13"/>
  <c r="E463" i="13"/>
  <c r="C463" i="13"/>
  <c r="D464" i="13"/>
  <c r="B464" i="13"/>
  <c r="E464" i="13"/>
  <c r="C464" i="13"/>
  <c r="D465" i="13"/>
  <c r="B465" i="13"/>
  <c r="E465" i="13"/>
  <c r="C465" i="13"/>
  <c r="D466" i="13"/>
  <c r="B466" i="13"/>
  <c r="E466" i="13"/>
  <c r="C466" i="13"/>
  <c r="D467" i="13"/>
  <c r="B467" i="13"/>
  <c r="E467" i="13"/>
  <c r="C467" i="13"/>
  <c r="D468" i="13"/>
  <c r="B468" i="13"/>
  <c r="E468" i="13"/>
  <c r="C468" i="13"/>
  <c r="D469" i="13"/>
  <c r="D470" i="13"/>
  <c r="B469" i="13"/>
  <c r="E469" i="13"/>
  <c r="C469" i="13"/>
  <c r="D471" i="13"/>
  <c r="B471" i="13"/>
  <c r="E471" i="13"/>
  <c r="C471" i="13"/>
  <c r="D472" i="13"/>
  <c r="B472" i="13"/>
  <c r="E472" i="13"/>
  <c r="C472" i="13"/>
  <c r="D473" i="13"/>
  <c r="B473" i="13"/>
  <c r="E473" i="13"/>
  <c r="C473" i="13"/>
  <c r="D474" i="13"/>
  <c r="B474" i="13"/>
  <c r="E474" i="13"/>
  <c r="C474" i="13"/>
  <c r="D475" i="13"/>
  <c r="B475" i="13"/>
  <c r="E475" i="13"/>
  <c r="C475" i="13"/>
  <c r="D476" i="13"/>
  <c r="B476" i="13"/>
  <c r="E476" i="13"/>
  <c r="C476" i="13"/>
  <c r="D477" i="13"/>
  <c r="B477" i="13"/>
  <c r="E477" i="13"/>
  <c r="C477" i="13"/>
  <c r="D478" i="13"/>
  <c r="B478" i="13"/>
  <c r="E478" i="13"/>
  <c r="C478" i="13"/>
  <c r="D479" i="13"/>
  <c r="B479" i="13"/>
  <c r="E479" i="13"/>
  <c r="C479" i="13"/>
  <c r="D480" i="13"/>
  <c r="B480" i="13"/>
  <c r="E480" i="13"/>
  <c r="C480" i="13"/>
  <c r="D481" i="13"/>
  <c r="B481" i="13"/>
  <c r="E481" i="13"/>
  <c r="C481" i="13"/>
  <c r="D482" i="13"/>
  <c r="D483" i="13"/>
  <c r="B482" i="13"/>
  <c r="E482" i="13"/>
  <c r="C482" i="13"/>
  <c r="D484" i="13"/>
  <c r="B484" i="13"/>
  <c r="E484" i="13"/>
  <c r="C484" i="13"/>
  <c r="D485" i="13"/>
  <c r="B485" i="13"/>
  <c r="E485" i="13"/>
  <c r="C485" i="13"/>
  <c r="D486" i="13"/>
  <c r="B486" i="13"/>
  <c r="E486" i="13"/>
  <c r="C486" i="13"/>
  <c r="D487" i="13"/>
  <c r="B487" i="13"/>
  <c r="E487" i="13"/>
  <c r="C487" i="13"/>
  <c r="D488" i="13"/>
  <c r="B488" i="13"/>
  <c r="E488" i="13"/>
  <c r="C488" i="13"/>
  <c r="D489" i="13"/>
  <c r="B489" i="13"/>
  <c r="E489" i="13"/>
  <c r="C489" i="13"/>
  <c r="D490" i="13"/>
  <c r="B490" i="13"/>
  <c r="E490" i="13"/>
  <c r="C490" i="13"/>
  <c r="D491" i="13"/>
  <c r="B491" i="13"/>
  <c r="E491" i="13"/>
  <c r="C491" i="13"/>
  <c r="D492" i="13"/>
  <c r="B492" i="13"/>
  <c r="E492" i="13"/>
  <c r="C492" i="13"/>
  <c r="D493" i="13"/>
  <c r="B493" i="13"/>
  <c r="E493" i="13"/>
  <c r="C493" i="13"/>
  <c r="D494" i="13"/>
  <c r="B494" i="13"/>
  <c r="E494" i="13"/>
  <c r="C494" i="13"/>
  <c r="D495" i="13"/>
  <c r="D496" i="13"/>
  <c r="B495" i="13"/>
  <c r="E495" i="13"/>
  <c r="C495" i="13"/>
  <c r="D497" i="13"/>
  <c r="B497" i="13"/>
  <c r="E497" i="13"/>
  <c r="C497" i="13"/>
  <c r="D498" i="13"/>
  <c r="B498" i="13"/>
  <c r="E498" i="13"/>
  <c r="C498" i="13"/>
  <c r="D499" i="13"/>
  <c r="B499" i="13"/>
  <c r="E499" i="13"/>
  <c r="C499" i="13"/>
  <c r="D500" i="13"/>
  <c r="B500" i="13"/>
  <c r="E500" i="13"/>
  <c r="C500" i="13"/>
  <c r="D501" i="13"/>
  <c r="B501" i="13"/>
  <c r="E501" i="13"/>
  <c r="C501" i="13"/>
  <c r="D502" i="13"/>
  <c r="B502" i="13"/>
  <c r="E502" i="13"/>
  <c r="C502" i="13"/>
  <c r="D503" i="13"/>
  <c r="B503" i="13"/>
  <c r="E503" i="13"/>
  <c r="C503" i="13"/>
  <c r="D504" i="13"/>
  <c r="B504" i="13"/>
  <c r="E504" i="13"/>
  <c r="C504" i="13"/>
  <c r="D505" i="13"/>
  <c r="B505" i="13"/>
  <c r="E505" i="13"/>
  <c r="C505" i="13"/>
  <c r="D506" i="13"/>
  <c r="B506" i="13"/>
  <c r="E506" i="13"/>
  <c r="C506" i="13"/>
  <c r="D507" i="13"/>
  <c r="B507" i="13"/>
  <c r="E507" i="13"/>
  <c r="C507" i="13"/>
  <c r="D508" i="13"/>
  <c r="D509" i="13"/>
  <c r="B508" i="13"/>
  <c r="E508" i="13"/>
  <c r="C508" i="13"/>
  <c r="D510" i="13"/>
  <c r="B510" i="13"/>
  <c r="E510" i="13"/>
  <c r="C510" i="13"/>
  <c r="D511" i="13"/>
  <c r="B511" i="13"/>
  <c r="E511" i="13"/>
  <c r="C511" i="13"/>
  <c r="D512" i="13"/>
  <c r="B512" i="13"/>
  <c r="E512" i="13"/>
  <c r="C512" i="13"/>
  <c r="D513" i="13"/>
  <c r="B513" i="13"/>
  <c r="E513" i="13"/>
  <c r="C513" i="13"/>
  <c r="D514" i="13"/>
  <c r="B514" i="13"/>
  <c r="E514" i="13"/>
  <c r="C514" i="13"/>
  <c r="D515" i="13"/>
  <c r="B515" i="13"/>
  <c r="E515" i="13"/>
  <c r="C515" i="13"/>
  <c r="D516" i="13"/>
  <c r="B516" i="13"/>
  <c r="E516" i="13"/>
  <c r="C516" i="13"/>
  <c r="D517" i="13"/>
  <c r="B517" i="13"/>
  <c r="E517" i="13"/>
  <c r="C517" i="13"/>
  <c r="D518" i="13"/>
  <c r="B518" i="13"/>
  <c r="E518" i="13"/>
  <c r="C518" i="13"/>
  <c r="D519" i="13"/>
  <c r="B519" i="13"/>
  <c r="E519" i="13"/>
  <c r="C519" i="13"/>
  <c r="D520" i="13"/>
  <c r="B520" i="13"/>
  <c r="E520" i="13"/>
  <c r="C520" i="13"/>
  <c r="D521" i="13"/>
  <c r="D522" i="13"/>
  <c r="B521" i="13"/>
  <c r="E521" i="13"/>
  <c r="C521" i="13"/>
  <c r="D523" i="13"/>
  <c r="B523" i="13"/>
  <c r="E523" i="13"/>
  <c r="C523" i="13"/>
  <c r="D524" i="13"/>
  <c r="B524" i="13"/>
  <c r="E524" i="13"/>
  <c r="C524" i="13"/>
  <c r="D525" i="13"/>
  <c r="B525" i="13"/>
  <c r="E525" i="13"/>
  <c r="C525" i="13"/>
  <c r="D526" i="13"/>
  <c r="B526" i="13"/>
  <c r="E526" i="13"/>
  <c r="C526" i="13"/>
  <c r="D527" i="13"/>
  <c r="B527" i="13"/>
  <c r="E527" i="13"/>
  <c r="C527" i="13"/>
  <c r="D528" i="13"/>
  <c r="B528" i="13"/>
  <c r="E528" i="13"/>
  <c r="C528" i="13"/>
  <c r="D529" i="13"/>
  <c r="B529" i="13"/>
  <c r="E529" i="13"/>
  <c r="C529" i="13"/>
  <c r="D530" i="13"/>
  <c r="B530" i="13"/>
  <c r="E530" i="13"/>
  <c r="C530" i="13"/>
  <c r="D531" i="13"/>
  <c r="B531" i="13"/>
  <c r="E531" i="13"/>
  <c r="C531" i="13"/>
  <c r="D532" i="13"/>
  <c r="B532" i="13"/>
  <c r="E532" i="13"/>
  <c r="C532" i="13"/>
  <c r="D533" i="13"/>
  <c r="B533" i="13"/>
  <c r="E533" i="13"/>
  <c r="C533" i="13"/>
  <c r="D534" i="13"/>
  <c r="D535" i="13"/>
  <c r="D12" i="13"/>
  <c r="D5" i="13"/>
  <c r="D6" i="13"/>
  <c r="D7" i="13"/>
  <c r="C6" i="16"/>
  <c r="C18" i="15"/>
  <c r="B18" i="15"/>
  <c r="C14" i="16"/>
  <c r="C15" i="16"/>
  <c r="C14" i="15"/>
  <c r="C15" i="15"/>
  <c r="C16" i="16"/>
  <c r="C16" i="15"/>
  <c r="D9" i="15"/>
  <c r="B8" i="15"/>
  <c r="D5" i="11"/>
  <c r="D6" i="11"/>
  <c r="D7" i="11"/>
  <c r="D8" i="11"/>
  <c r="D9" i="11"/>
  <c r="D10" i="11"/>
  <c r="D11" i="11"/>
  <c r="D9" i="13"/>
  <c r="D10" i="13"/>
  <c r="D11" i="13"/>
  <c r="B7" i="15"/>
  <c r="H19" i="10"/>
  <c r="H19" i="7"/>
  <c r="G19" i="7"/>
  <c r="B44" i="10"/>
  <c r="B43" i="10"/>
  <c r="E20" i="7"/>
  <c r="B38" i="7"/>
  <c r="B39" i="7"/>
  <c r="A41" i="7"/>
  <c r="C43" i="10"/>
  <c r="G13" i="7"/>
  <c r="H13" i="7"/>
  <c r="A25" i="7"/>
  <c r="B25" i="7"/>
  <c r="A2" i="16"/>
  <c r="A14" i="7"/>
  <c r="A15" i="7"/>
  <c r="G8" i="7"/>
  <c r="C39" i="7"/>
  <c r="C38" i="7"/>
  <c r="F37" i="7"/>
  <c r="F38" i="7"/>
  <c r="F36" i="7"/>
  <c r="F35" i="7"/>
  <c r="F34" i="7"/>
  <c r="F33" i="7"/>
  <c r="F32" i="7"/>
  <c r="F31" i="7"/>
  <c r="F30" i="7"/>
  <c r="F29" i="7"/>
  <c r="F28" i="7"/>
  <c r="F27" i="7"/>
  <c r="F26" i="7"/>
  <c r="F25" i="7"/>
  <c r="F24" i="7"/>
  <c r="F23" i="7"/>
  <c r="F22" i="7"/>
  <c r="F21" i="7"/>
  <c r="F20" i="7"/>
  <c r="F19" i="7"/>
  <c r="F18" i="7"/>
  <c r="F17" i="7"/>
  <c r="F16" i="7"/>
  <c r="F15" i="7"/>
  <c r="F14" i="7"/>
  <c r="F13" i="7"/>
  <c r="F12" i="7"/>
  <c r="F11" i="7"/>
  <c r="F10" i="7"/>
  <c r="C40" i="10"/>
  <c r="F37" i="10"/>
  <c r="F36" i="10"/>
  <c r="F35" i="10"/>
  <c r="F34" i="10"/>
  <c r="F33" i="10"/>
  <c r="F32" i="10"/>
  <c r="F31" i="10"/>
  <c r="F30" i="10"/>
  <c r="F29" i="10"/>
  <c r="F28" i="10"/>
  <c r="F27" i="10"/>
  <c r="F26" i="10"/>
  <c r="F25" i="10"/>
  <c r="F24" i="10"/>
  <c r="F23" i="10"/>
  <c r="F22" i="10"/>
  <c r="F21" i="10"/>
  <c r="F20" i="10"/>
  <c r="F18" i="10"/>
  <c r="F17" i="10"/>
  <c r="F16" i="10"/>
  <c r="F15" i="10"/>
  <c r="F14" i="10"/>
  <c r="F13" i="10"/>
  <c r="F12" i="10"/>
  <c r="F11" i="10"/>
  <c r="F10" i="10"/>
  <c r="F19" i="10"/>
  <c r="G12" i="7"/>
  <c r="A12" i="7"/>
  <c r="B33" i="7"/>
  <c r="D20" i="7"/>
  <c r="A42" i="7"/>
  <c r="C27" i="7"/>
  <c r="B31" i="10"/>
  <c r="D36" i="7"/>
  <c r="G17" i="7"/>
  <c r="A8" i="16"/>
  <c r="A9" i="16"/>
  <c r="A35" i="7"/>
  <c r="C35" i="7"/>
  <c r="A17" i="7"/>
  <c r="B2" i="7"/>
  <c r="C34" i="7"/>
  <c r="G23" i="7"/>
  <c r="G21" i="7"/>
  <c r="A29" i="7"/>
  <c r="B29" i="7"/>
  <c r="A30" i="7"/>
  <c r="A31" i="7"/>
  <c r="A28" i="7"/>
  <c r="A27" i="7"/>
  <c r="A26" i="7"/>
  <c r="A24" i="7"/>
  <c r="A23" i="7"/>
  <c r="A22" i="7"/>
  <c r="B27" i="7"/>
  <c r="C28" i="7"/>
  <c r="B28" i="7"/>
  <c r="A18" i="7"/>
  <c r="A16" i="7"/>
  <c r="B5" i="7"/>
  <c r="B4" i="7"/>
  <c r="B3" i="7"/>
  <c r="I25" i="7"/>
  <c r="A30" i="16"/>
  <c r="F5" i="7"/>
  <c r="F6" i="7"/>
  <c r="F4" i="7"/>
  <c r="F3" i="7"/>
  <c r="F2" i="7"/>
  <c r="F1" i="7"/>
  <c r="C8" i="14"/>
  <c r="B8" i="14"/>
  <c r="A18" i="14"/>
  <c r="A12" i="14"/>
  <c r="A11" i="14"/>
  <c r="A10" i="14"/>
  <c r="A9" i="14"/>
  <c r="A36" i="16"/>
  <c r="A26" i="16"/>
  <c r="A21" i="16"/>
  <c r="A11" i="16"/>
  <c r="E1" i="16"/>
  <c r="F1" i="16"/>
  <c r="G1" i="16"/>
  <c r="H1" i="16"/>
  <c r="I1" i="16"/>
  <c r="J1" i="16"/>
  <c r="K1" i="16"/>
  <c r="L1" i="16"/>
  <c r="M1" i="16"/>
  <c r="N1" i="16"/>
  <c r="O1" i="16"/>
  <c r="P1" i="16"/>
  <c r="Q1" i="16"/>
  <c r="R1" i="16"/>
  <c r="S1" i="16"/>
  <c r="T1" i="16"/>
  <c r="U1" i="16"/>
  <c r="V1" i="16"/>
  <c r="W1" i="16"/>
  <c r="X1" i="16"/>
  <c r="Y1" i="16"/>
  <c r="Z1" i="16"/>
  <c r="AA1" i="16"/>
  <c r="AB1" i="16"/>
  <c r="D1" i="16"/>
  <c r="C1" i="16"/>
  <c r="E3" i="13"/>
  <c r="B28" i="13"/>
  <c r="B41" i="13"/>
  <c r="B54" i="13"/>
  <c r="B67" i="13"/>
  <c r="B80" i="13"/>
  <c r="B93" i="13"/>
  <c r="B106" i="13"/>
  <c r="B119" i="13"/>
  <c r="B132" i="13"/>
  <c r="B145" i="13"/>
  <c r="B158" i="13"/>
  <c r="B171" i="13"/>
  <c r="B184" i="13"/>
  <c r="B197" i="13"/>
  <c r="B210" i="13"/>
  <c r="B223" i="13"/>
  <c r="B236" i="13"/>
  <c r="B249" i="13"/>
  <c r="B262" i="13"/>
  <c r="B275" i="13"/>
  <c r="B288" i="13"/>
  <c r="B301" i="13"/>
  <c r="B314" i="13"/>
  <c r="B327" i="13"/>
  <c r="B340" i="13"/>
  <c r="B353" i="13"/>
  <c r="B366" i="13"/>
  <c r="B379" i="13"/>
  <c r="B392" i="13"/>
  <c r="B405" i="13"/>
  <c r="B418" i="13"/>
  <c r="B431" i="13"/>
  <c r="B444" i="13"/>
  <c r="B457" i="13"/>
  <c r="B470" i="13"/>
  <c r="B483" i="13"/>
  <c r="B496" i="13"/>
  <c r="B509" i="13"/>
  <c r="B522" i="13"/>
  <c r="B534" i="13"/>
  <c r="B535" i="13"/>
  <c r="C15" i="13"/>
  <c r="D15" i="13"/>
  <c r="E15" i="13"/>
  <c r="B15" i="13"/>
  <c r="B2" i="13"/>
  <c r="B3" i="13"/>
  <c r="B4" i="13"/>
  <c r="B5" i="13"/>
  <c r="B6" i="13"/>
  <c r="B7" i="13"/>
  <c r="B8" i="13"/>
  <c r="B9" i="13"/>
  <c r="B10" i="13"/>
  <c r="B11" i="13"/>
  <c r="B1" i="13"/>
  <c r="J37" i="7"/>
  <c r="J38" i="7"/>
  <c r="J39" i="7"/>
  <c r="J40" i="7"/>
  <c r="J41" i="7"/>
  <c r="J42" i="7"/>
  <c r="J43" i="7"/>
  <c r="J44" i="7"/>
  <c r="J45" i="7"/>
  <c r="J46" i="7"/>
  <c r="J47" i="7"/>
  <c r="J36" i="7"/>
  <c r="J35" i="7"/>
  <c r="J34" i="7"/>
  <c r="G38" i="7"/>
  <c r="G39" i="7"/>
  <c r="G40" i="7"/>
  <c r="G41" i="7"/>
  <c r="G42" i="7"/>
  <c r="G43" i="7"/>
  <c r="G44" i="7"/>
  <c r="G45" i="7"/>
  <c r="G46" i="7"/>
  <c r="G47" i="7"/>
  <c r="G37" i="7"/>
  <c r="G36" i="7"/>
  <c r="G35" i="7"/>
  <c r="G34" i="7"/>
  <c r="J33" i="7"/>
  <c r="G33" i="7"/>
  <c r="G29" i="7"/>
  <c r="G27" i="7"/>
  <c r="G25" i="7"/>
  <c r="G11" i="7"/>
  <c r="G15" i="7"/>
  <c r="E53" i="7"/>
  <c r="D53" i="7"/>
  <c r="A53" i="7"/>
  <c r="A34" i="7"/>
  <c r="A33" i="7"/>
  <c r="A36" i="7"/>
  <c r="A38" i="7"/>
  <c r="A39" i="7"/>
  <c r="A40" i="7"/>
  <c r="A43" i="7"/>
  <c r="A45" i="7"/>
  <c r="A46" i="7"/>
  <c r="A47" i="7"/>
  <c r="A48" i="7"/>
  <c r="A49" i="7"/>
  <c r="B21" i="7"/>
  <c r="A19" i="7"/>
  <c r="A11" i="7"/>
  <c r="A10" i="7"/>
  <c r="A3" i="7"/>
  <c r="A4" i="7"/>
  <c r="A5" i="7"/>
  <c r="A2" i="7"/>
  <c r="D87" i="10"/>
  <c r="D79" i="7"/>
  <c r="D80" i="7"/>
  <c r="D81" i="7"/>
  <c r="D82" i="7"/>
  <c r="D83" i="7"/>
  <c r="D84" i="7"/>
  <c r="A1" i="16"/>
  <c r="A13" i="16"/>
  <c r="A37" i="16"/>
  <c r="A28" i="16"/>
  <c r="A29" i="16"/>
  <c r="A31" i="16"/>
  <c r="A27" i="16"/>
  <c r="A24" i="16"/>
  <c r="A23" i="16"/>
  <c r="A7" i="16"/>
  <c r="A20" i="16"/>
  <c r="A19" i="16"/>
  <c r="A18" i="16"/>
  <c r="A17" i="16"/>
  <c r="A16" i="16"/>
  <c r="A15" i="16"/>
  <c r="A14" i="16"/>
  <c r="A4" i="16"/>
  <c r="A5" i="16"/>
  <c r="A6" i="16"/>
  <c r="A10" i="16"/>
  <c r="A3" i="16"/>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54" i="7"/>
  <c r="C38" i="15"/>
  <c r="U28" i="16"/>
  <c r="M28" i="16"/>
  <c r="E28" i="16"/>
  <c r="AB28" i="16"/>
  <c r="AA28" i="16"/>
  <c r="Z28" i="16"/>
  <c r="Y28" i="16"/>
  <c r="X28" i="16"/>
  <c r="W28" i="16"/>
  <c r="V28" i="16"/>
  <c r="T28" i="16"/>
  <c r="S28" i="16"/>
  <c r="R28" i="16"/>
  <c r="Q28" i="16"/>
  <c r="P28" i="16"/>
  <c r="O28" i="16"/>
  <c r="N28" i="16"/>
  <c r="L28" i="16"/>
  <c r="K28" i="16"/>
  <c r="J28" i="16"/>
  <c r="I28" i="16"/>
  <c r="H28" i="16"/>
  <c r="G28" i="16"/>
  <c r="F28" i="16"/>
  <c r="D28" i="16"/>
  <c r="X29" i="15"/>
  <c r="V29" i="15"/>
  <c r="U29" i="15"/>
  <c r="P29" i="15"/>
  <c r="N29" i="15"/>
  <c r="M29" i="15"/>
  <c r="H29" i="15"/>
  <c r="F29" i="15"/>
  <c r="E29" i="15"/>
  <c r="AB29" i="15"/>
  <c r="AA29" i="15"/>
  <c r="Y29" i="15"/>
  <c r="W29" i="15"/>
  <c r="T29" i="15"/>
  <c r="S29" i="15"/>
  <c r="R29" i="15"/>
  <c r="Q29" i="15"/>
  <c r="O29" i="15"/>
  <c r="L29" i="15"/>
  <c r="K29" i="15"/>
  <c r="I29" i="15"/>
  <c r="G29" i="15"/>
  <c r="D29" i="15"/>
  <c r="J29" i="15"/>
  <c r="Z29" i="15"/>
  <c r="B55" i="10"/>
  <c r="B56" i="10"/>
  <c r="D14" i="7"/>
  <c r="D15" i="7"/>
  <c r="D16" i="7"/>
  <c r="D17" i="7"/>
  <c r="D18" i="7"/>
  <c r="D19" i="7"/>
  <c r="D21" i="7"/>
  <c r="D22" i="7"/>
  <c r="D23" i="7"/>
  <c r="D24" i="7"/>
  <c r="D25" i="7"/>
  <c r="D26" i="7"/>
  <c r="D27" i="7"/>
  <c r="D28" i="7"/>
  <c r="D29" i="7"/>
  <c r="D30" i="7"/>
  <c r="D31" i="7"/>
  <c r="D32" i="7"/>
  <c r="D33" i="7"/>
  <c r="D34" i="7"/>
  <c r="D35" i="7"/>
  <c r="D37" i="7"/>
  <c r="D38" i="7"/>
  <c r="D13" i="7"/>
  <c r="D12" i="7"/>
  <c r="D11" i="7"/>
  <c r="D10" i="7"/>
  <c r="B23" i="7"/>
  <c r="B26" i="7"/>
  <c r="E56" i="10"/>
  <c r="B57" i="10"/>
  <c r="B18" i="14"/>
  <c r="B12" i="14"/>
  <c r="B11" i="14"/>
  <c r="B10" i="14"/>
  <c r="B9" i="14"/>
  <c r="C9" i="14"/>
  <c r="C2" i="14"/>
  <c r="D85" i="7"/>
  <c r="B50" i="10"/>
  <c r="I6" i="10"/>
  <c r="B53" i="7"/>
  <c r="B54" i="7"/>
  <c r="C37" i="16"/>
  <c r="E57" i="10"/>
  <c r="E38" i="15"/>
  <c r="D38" i="15"/>
  <c r="B48" i="7"/>
  <c r="E54" i="7"/>
  <c r="D37" i="16"/>
  <c r="B58" i="10"/>
  <c r="E58" i="10"/>
  <c r="I6" i="7"/>
  <c r="E55" i="7"/>
  <c r="B56" i="7"/>
  <c r="B55" i="7"/>
  <c r="F38" i="15"/>
  <c r="B59" i="10"/>
  <c r="E59" i="10"/>
  <c r="E37" i="16"/>
  <c r="E56" i="7"/>
  <c r="F37" i="16"/>
  <c r="G38" i="15"/>
  <c r="E60" i="10"/>
  <c r="B60" i="10"/>
  <c r="E57" i="7"/>
  <c r="B57" i="7"/>
  <c r="G37" i="16"/>
  <c r="E58" i="7"/>
  <c r="B58" i="7"/>
  <c r="H38" i="15"/>
  <c r="B61" i="10"/>
  <c r="E61" i="10"/>
  <c r="H37" i="16"/>
  <c r="B59" i="7"/>
  <c r="E59" i="7"/>
  <c r="I38" i="15"/>
  <c r="E62" i="10"/>
  <c r="B62" i="10"/>
  <c r="I37" i="16"/>
  <c r="B60" i="7"/>
  <c r="E60" i="7"/>
  <c r="J38" i="15"/>
  <c r="E63" i="10"/>
  <c r="B63" i="10"/>
  <c r="J37" i="16"/>
  <c r="B61" i="7"/>
  <c r="E61" i="7"/>
  <c r="K38" i="15"/>
  <c r="B64" i="10"/>
  <c r="E64" i="10"/>
  <c r="K37" i="16"/>
  <c r="B62" i="7"/>
  <c r="E62" i="7"/>
  <c r="L38" i="15"/>
  <c r="B65" i="10"/>
  <c r="E65" i="10"/>
  <c r="L37" i="16"/>
  <c r="E63" i="7"/>
  <c r="B63" i="7"/>
  <c r="M38" i="15"/>
  <c r="B66" i="10"/>
  <c r="E66" i="10"/>
  <c r="M37" i="16"/>
  <c r="E64" i="7"/>
  <c r="B64" i="7"/>
  <c r="N38" i="15"/>
  <c r="E67" i="10"/>
  <c r="B67" i="10"/>
  <c r="N37" i="16"/>
  <c r="E65" i="7"/>
  <c r="B65" i="7"/>
  <c r="O38" i="15"/>
  <c r="B68" i="10"/>
  <c r="E68" i="10"/>
  <c r="O37" i="16"/>
  <c r="E66" i="7"/>
  <c r="B66" i="7"/>
  <c r="P38" i="15"/>
  <c r="B69" i="10"/>
  <c r="E69" i="10"/>
  <c r="P37" i="16"/>
  <c r="B67" i="7"/>
  <c r="E67" i="7"/>
  <c r="Q38" i="15"/>
  <c r="E70" i="10"/>
  <c r="B70" i="10"/>
  <c r="Q37" i="16"/>
  <c r="B68" i="7"/>
  <c r="E68" i="7"/>
  <c r="R38" i="15"/>
  <c r="E71" i="10"/>
  <c r="B71" i="10"/>
  <c r="R37" i="16"/>
  <c r="B69" i="7"/>
  <c r="E69" i="7"/>
  <c r="S38" i="15"/>
  <c r="B72" i="10"/>
  <c r="E72" i="10"/>
  <c r="S37" i="16"/>
  <c r="B70" i="7"/>
  <c r="E70" i="7"/>
  <c r="T38" i="15"/>
  <c r="B73" i="10"/>
  <c r="E73" i="10"/>
  <c r="T37" i="16"/>
  <c r="E71" i="7"/>
  <c r="B71" i="7"/>
  <c r="U38" i="15"/>
  <c r="B74" i="10"/>
  <c r="E74" i="10"/>
  <c r="U37" i="16"/>
  <c r="E72" i="7"/>
  <c r="B72" i="7"/>
  <c r="V38" i="15"/>
  <c r="E75" i="10"/>
  <c r="B75" i="10"/>
  <c r="V37" i="16"/>
  <c r="E73" i="7"/>
  <c r="B73" i="7"/>
  <c r="W38" i="15"/>
  <c r="E76" i="10"/>
  <c r="B76" i="10"/>
  <c r="W37" i="16"/>
  <c r="E74" i="7"/>
  <c r="B74" i="7"/>
  <c r="X38" i="15"/>
  <c r="E77" i="10"/>
  <c r="B77" i="10"/>
  <c r="X37" i="16"/>
  <c r="B75" i="7"/>
  <c r="E75" i="7"/>
  <c r="Y38" i="15"/>
  <c r="E78" i="10"/>
  <c r="B78" i="10"/>
  <c r="Y37" i="16"/>
  <c r="B76" i="7"/>
  <c r="E76" i="7"/>
  <c r="Z38" i="15"/>
  <c r="B79" i="10"/>
  <c r="E79" i="10"/>
  <c r="Z37" i="16"/>
  <c r="B77" i="7"/>
  <c r="E77" i="7"/>
  <c r="AA38" i="15"/>
  <c r="B80" i="10"/>
  <c r="E80" i="10"/>
  <c r="AA37" i="16"/>
  <c r="E78" i="7"/>
  <c r="B78" i="7"/>
  <c r="AB38" i="15"/>
  <c r="B81" i="10"/>
  <c r="E81" i="10"/>
  <c r="AB37" i="16"/>
  <c r="E79" i="7"/>
  <c r="B79" i="7"/>
  <c r="E82" i="10"/>
  <c r="B82" i="10"/>
  <c r="E80" i="7"/>
  <c r="B80" i="7"/>
  <c r="B83" i="10"/>
  <c r="E83" i="10"/>
  <c r="E81" i="7"/>
  <c r="B81" i="7"/>
  <c r="E84" i="10"/>
  <c r="B84" i="10"/>
  <c r="E82" i="7"/>
  <c r="B82" i="7"/>
  <c r="E85" i="10"/>
  <c r="B85" i="10"/>
  <c r="B83" i="7"/>
  <c r="E83" i="7"/>
  <c r="B86" i="10"/>
  <c r="E86" i="10"/>
  <c r="B87" i="10"/>
  <c r="B84" i="7"/>
  <c r="E84" i="7"/>
  <c r="B85" i="7"/>
  <c r="C10" i="7"/>
  <c r="E38" i="7"/>
  <c r="E38" i="10"/>
  <c r="C26" i="7"/>
  <c r="F38" i="10"/>
  <c r="B10" i="10"/>
  <c r="B10" i="7"/>
  <c r="H27" i="10"/>
  <c r="B17" i="10"/>
  <c r="B17" i="7"/>
  <c r="B51" i="10"/>
  <c r="I5" i="10"/>
  <c r="B33" i="10"/>
  <c r="B32" i="10"/>
  <c r="C33" i="10"/>
  <c r="C31" i="7"/>
  <c r="B31" i="7"/>
  <c r="H27" i="7"/>
  <c r="B30" i="7"/>
  <c r="H29" i="10"/>
  <c r="H29" i="7"/>
  <c r="H48" i="7"/>
  <c r="I38" i="7"/>
  <c r="I46" i="7"/>
  <c r="I36" i="7"/>
  <c r="I42" i="7"/>
  <c r="I44" i="7"/>
  <c r="I43" i="7"/>
  <c r="I48" i="7"/>
  <c r="I45" i="7"/>
  <c r="I35" i="7"/>
  <c r="I47" i="7"/>
  <c r="I37" i="7"/>
  <c r="I40" i="7"/>
  <c r="I39" i="7"/>
  <c r="I41" i="7"/>
  <c r="I34" i="7"/>
  <c r="B49" i="7"/>
  <c r="I5" i="7"/>
  <c r="E534" i="13"/>
  <c r="C534" i="13"/>
  <c r="E379" i="13"/>
  <c r="E444" i="13"/>
  <c r="E405" i="13"/>
  <c r="E522" i="13"/>
  <c r="E431" i="13"/>
  <c r="E392" i="13"/>
  <c r="E366" i="13"/>
  <c r="E418" i="13"/>
  <c r="E483" i="13"/>
  <c r="E470" i="13"/>
  <c r="E535" i="13"/>
  <c r="E457" i="13"/>
  <c r="E496" i="13"/>
  <c r="E509" i="13"/>
  <c r="H50" i="10"/>
  <c r="I37" i="10"/>
  <c r="I34" i="10"/>
  <c r="I42" i="10"/>
  <c r="I39" i="10"/>
  <c r="I49" i="10"/>
  <c r="I48" i="10"/>
  <c r="I46" i="10"/>
  <c r="I50" i="10"/>
  <c r="I38" i="10"/>
  <c r="I41" i="10"/>
  <c r="I47" i="10"/>
  <c r="I35" i="10"/>
  <c r="I40" i="10"/>
  <c r="I44" i="10"/>
  <c r="I43" i="10"/>
  <c r="I45" i="10"/>
  <c r="I36" i="10"/>
  <c r="C20" i="10"/>
  <c r="AB10" i="15"/>
  <c r="AA10" i="15"/>
  <c r="Z10" i="15"/>
  <c r="Y10" i="15"/>
  <c r="X10" i="15"/>
  <c r="W10" i="15"/>
  <c r="V10" i="15"/>
  <c r="U10" i="15"/>
  <c r="T10" i="15"/>
  <c r="S10" i="15"/>
  <c r="R10" i="15"/>
  <c r="Q10" i="15"/>
  <c r="P10" i="15"/>
  <c r="O10" i="15"/>
  <c r="N10" i="15"/>
  <c r="M10" i="15"/>
  <c r="L10" i="15"/>
  <c r="K10" i="15"/>
  <c r="J10" i="15"/>
  <c r="I10" i="15"/>
  <c r="H10" i="15"/>
  <c r="G10" i="15"/>
  <c r="F10" i="15"/>
  <c r="E10" i="15"/>
  <c r="D10" i="15"/>
  <c r="H15" i="10"/>
  <c r="E534" i="11"/>
  <c r="C534" i="11"/>
  <c r="E444" i="11"/>
  <c r="E483" i="11"/>
  <c r="E392" i="11"/>
  <c r="E496" i="11"/>
  <c r="E457" i="11"/>
  <c r="E535" i="11"/>
  <c r="E379" i="11"/>
  <c r="E509" i="11"/>
  <c r="E470" i="11"/>
  <c r="E431" i="11"/>
  <c r="E405" i="11"/>
  <c r="E522" i="11"/>
  <c r="E366" i="11"/>
  <c r="E418" i="11"/>
  <c r="AB28" i="15"/>
  <c r="AB30" i="15"/>
  <c r="AA28" i="15"/>
  <c r="AA30" i="15"/>
  <c r="Z28" i="15"/>
  <c r="Z30" i="15"/>
  <c r="Y28" i="15"/>
  <c r="Y30" i="15"/>
  <c r="X28" i="15"/>
  <c r="X30" i="15"/>
  <c r="W28" i="15"/>
  <c r="W30" i="15"/>
  <c r="V28" i="15"/>
  <c r="V30" i="15"/>
  <c r="U28" i="15"/>
  <c r="U30" i="15"/>
  <c r="T28" i="15"/>
  <c r="T30" i="15"/>
  <c r="S28" i="15"/>
  <c r="S30" i="15"/>
  <c r="R28" i="15"/>
  <c r="R30" i="15"/>
  <c r="Q28" i="15"/>
  <c r="Q30" i="15"/>
  <c r="P28" i="15"/>
  <c r="P30" i="15"/>
  <c r="O28" i="15"/>
  <c r="O30" i="15"/>
  <c r="N28" i="15"/>
  <c r="N30" i="15"/>
  <c r="M28" i="15"/>
  <c r="M30" i="15"/>
  <c r="L28" i="15"/>
  <c r="L30" i="15"/>
  <c r="K28" i="15"/>
  <c r="K30" i="15"/>
  <c r="J28" i="15"/>
  <c r="J30" i="15"/>
  <c r="I28" i="15"/>
  <c r="I30" i="15"/>
  <c r="H28" i="15"/>
  <c r="H30" i="15"/>
  <c r="G28" i="15"/>
  <c r="G30" i="15"/>
  <c r="F28" i="15"/>
  <c r="F30" i="15"/>
  <c r="E28" i="15"/>
  <c r="E30" i="15"/>
  <c r="D28" i="15"/>
  <c r="D30" i="15"/>
  <c r="H25" i="10"/>
  <c r="E9" i="15"/>
  <c r="F9" i="15"/>
  <c r="G9" i="15"/>
  <c r="H9" i="15"/>
  <c r="I9" i="15"/>
  <c r="J9" i="15"/>
  <c r="K9" i="15"/>
  <c r="L9" i="15"/>
  <c r="M9" i="15"/>
  <c r="N9" i="15"/>
  <c r="O9" i="15"/>
  <c r="P9" i="15"/>
  <c r="Q9" i="15"/>
  <c r="R9" i="15"/>
  <c r="S9" i="15"/>
  <c r="T9" i="15"/>
  <c r="U9" i="15"/>
  <c r="V9" i="15"/>
  <c r="W9" i="15"/>
  <c r="X9" i="15"/>
  <c r="Y9" i="15"/>
  <c r="Z9" i="15"/>
  <c r="AA9" i="15"/>
  <c r="AB9" i="15"/>
  <c r="H21" i="10"/>
  <c r="H17" i="10"/>
  <c r="E353" i="11"/>
  <c r="D8" i="15"/>
  <c r="E8" i="15"/>
  <c r="F8" i="15"/>
  <c r="G8" i="15"/>
  <c r="H8" i="15"/>
  <c r="I8" i="15"/>
  <c r="J8" i="15"/>
  <c r="K8" i="15"/>
  <c r="L8" i="15"/>
  <c r="M8" i="15"/>
  <c r="N8" i="15"/>
  <c r="O8" i="15"/>
  <c r="P8" i="15"/>
  <c r="Q8" i="15"/>
  <c r="R8" i="15"/>
  <c r="S8" i="15"/>
  <c r="T8" i="15"/>
  <c r="U8" i="15"/>
  <c r="V8" i="15"/>
  <c r="W8" i="15"/>
  <c r="X8" i="15"/>
  <c r="Y8" i="15"/>
  <c r="Z8" i="15"/>
  <c r="AA8" i="15"/>
  <c r="AB8" i="15"/>
  <c r="C42" i="10"/>
  <c r="D4" i="13"/>
  <c r="B12" i="7"/>
  <c r="H12" i="7"/>
  <c r="AB10" i="16"/>
  <c r="AA10" i="16"/>
  <c r="Z10" i="16"/>
  <c r="Y10" i="16"/>
  <c r="X10" i="16"/>
  <c r="W10" i="16"/>
  <c r="V10" i="16"/>
  <c r="U10" i="16"/>
  <c r="T10" i="16"/>
  <c r="S10" i="16"/>
  <c r="R10" i="16"/>
  <c r="Q10" i="16"/>
  <c r="P10" i="16"/>
  <c r="O10" i="16"/>
  <c r="N10" i="16"/>
  <c r="M10" i="16"/>
  <c r="L10" i="16"/>
  <c r="K10" i="16"/>
  <c r="J10" i="16"/>
  <c r="I10" i="16"/>
  <c r="H10" i="16"/>
  <c r="G10" i="16"/>
  <c r="F10" i="16"/>
  <c r="E10" i="16"/>
  <c r="D10" i="16"/>
  <c r="AB27" i="16"/>
  <c r="AB29" i="16"/>
  <c r="AA27" i="16"/>
  <c r="AA29" i="16"/>
  <c r="Z27" i="16"/>
  <c r="Z29" i="16"/>
  <c r="Y27" i="16"/>
  <c r="Y29" i="16"/>
  <c r="X27" i="16"/>
  <c r="X29" i="16"/>
  <c r="W27" i="16"/>
  <c r="W29" i="16"/>
  <c r="V27" i="16"/>
  <c r="V29" i="16"/>
  <c r="U27" i="16"/>
  <c r="U29" i="16"/>
  <c r="T27" i="16"/>
  <c r="T29" i="16"/>
  <c r="S27" i="16"/>
  <c r="S29" i="16"/>
  <c r="R27" i="16"/>
  <c r="R29" i="16"/>
  <c r="Q27" i="16"/>
  <c r="Q29" i="16"/>
  <c r="P27" i="16"/>
  <c r="P29" i="16"/>
  <c r="O27" i="16"/>
  <c r="O29" i="16"/>
  <c r="N27" i="16"/>
  <c r="N29" i="16"/>
  <c r="M27" i="16"/>
  <c r="M29" i="16"/>
  <c r="L27" i="16"/>
  <c r="L29" i="16"/>
  <c r="K27" i="16"/>
  <c r="K29" i="16"/>
  <c r="J27" i="16"/>
  <c r="J29" i="16"/>
  <c r="I27" i="16"/>
  <c r="I29" i="16"/>
  <c r="H27" i="16"/>
  <c r="H29" i="16"/>
  <c r="G27" i="16"/>
  <c r="G29" i="16"/>
  <c r="F27" i="16"/>
  <c r="F29" i="16"/>
  <c r="E27" i="16"/>
  <c r="E29" i="16"/>
  <c r="B40" i="7"/>
  <c r="B43" i="7"/>
  <c r="H25" i="7"/>
  <c r="D27" i="16"/>
  <c r="D29" i="16"/>
  <c r="H15" i="7"/>
  <c r="F9" i="16"/>
  <c r="G9" i="16"/>
  <c r="H9" i="16"/>
  <c r="I9" i="16"/>
  <c r="J9" i="16"/>
  <c r="K9" i="16"/>
  <c r="L9" i="16"/>
  <c r="M9" i="16"/>
  <c r="N9" i="16"/>
  <c r="O9" i="16"/>
  <c r="P9" i="16"/>
  <c r="Q9" i="16"/>
  <c r="R9" i="16"/>
  <c r="S9" i="16"/>
  <c r="T9" i="16"/>
  <c r="U9" i="16"/>
  <c r="V9" i="16"/>
  <c r="W9" i="16"/>
  <c r="X9" i="16"/>
  <c r="Y9" i="16"/>
  <c r="Z9" i="16"/>
  <c r="AA9" i="16"/>
  <c r="AB9" i="16"/>
  <c r="H17" i="7"/>
  <c r="E9" i="16"/>
  <c r="E353" i="13"/>
  <c r="D8" i="16"/>
  <c r="E8" i="16"/>
  <c r="F8" i="16"/>
  <c r="G8" i="16"/>
  <c r="H8" i="16"/>
  <c r="I8" i="16"/>
  <c r="J8" i="16"/>
  <c r="K8" i="16"/>
  <c r="L8" i="16"/>
  <c r="M8" i="16"/>
  <c r="N8" i="16"/>
  <c r="O8" i="16"/>
  <c r="P8" i="16"/>
  <c r="Q8" i="16"/>
  <c r="R8" i="16"/>
  <c r="S8" i="16"/>
  <c r="T8" i="16"/>
  <c r="U8" i="16"/>
  <c r="V8" i="16"/>
  <c r="W8" i="16"/>
  <c r="X8" i="16"/>
  <c r="Y8" i="16"/>
  <c r="Z8" i="16"/>
  <c r="AA8" i="16"/>
  <c r="AB8" i="16"/>
  <c r="C40" i="7"/>
  <c r="C43" i="7"/>
  <c r="C42" i="7"/>
  <c r="C41" i="7"/>
  <c r="B42" i="7"/>
  <c r="B41" i="7"/>
  <c r="B7" i="16"/>
  <c r="B8" i="16"/>
  <c r="D9" i="16"/>
  <c r="C18" i="16"/>
  <c r="B18" i="16"/>
  <c r="D8" i="13"/>
  <c r="C6" i="15"/>
  <c r="C11" i="10"/>
  <c r="C11" i="7"/>
  <c r="B11" i="7"/>
  <c r="B15" i="7"/>
  <c r="B15" i="10"/>
</calcChain>
</file>

<file path=xl/comments1.xml><?xml version="1.0" encoding="utf-8"?>
<comments xmlns="http://schemas.openxmlformats.org/spreadsheetml/2006/main">
  <authors>
    <author>Utilisateur Windows</author>
  </authors>
  <commentList>
    <comment ref="B1" authorId="0" shapeId="0">
      <text>
        <r>
          <rPr>
            <b/>
            <sz val="9"/>
            <color indexed="81"/>
            <rFont val="Tahoma"/>
            <family val="2"/>
          </rPr>
          <t>COPROPRIÉTÉ DIVISE (devient propriétaire d'un des logements)
Si vous faites l'achat d'une copropriété divise, vous ferez l'achat d'une partie privative 
(ex.: votre appartement, votre stationnement privé) et aussi d'un pourcentage des 
parties communes de l'immeuble (ex: les corridors, les cages d'ascenseurs, la piscine, etc.).
Vous serez le seul propriétaire de votre partie privative et partagerez, avec les autres copropriétaires, 
la propriété des parties communes.
Dans ce type de copropriété, il est possible qu'un des copropriétaires ait l'usage exclusif 
de certaines parties communes à usage restreint (ex.: une terrasse ou un balcon). 
Cette information doit être inscrite dans la section « Description sommaire de l'immeuble » 
de votre contrat de courtage.
En achetant une copropriété divise, votre appartement aura son propre numéro de lot (cadastre). 
Vous aurez aussi vos propres comptes de taxes scolaires et municipales.
Puisqu'il s'agit d'une copropriété divise, il vous sera possible de vendre votre fraction sans l'avis 
des autres copropriétaires. D'ailleurs, advenant un problème de solvabilité d'un voisin, vous ne serez 
pas affecté par la situation hypothécaire de ce dernier.
Une autre caractéristique de la copropriété divise est la présence d'un syndicat
de copropriété qui a pour mission de veiller à l'administration de l'immeuble.
===================
COPROPRIÉTÉ INDIVISE (tous les partenaires ont un pourcentage de part dans le logement)
Si vous faites l'achat d'une copropriété indivise, vous ferez l'achat d'un pourcentage 
d'un immeuble entier. L'immeuble appartient donc à plusieurs propriétaires.
Dans la copropriété indivise, il n'y a pas de syndicat de copropriété comme dans la 
copropriété divise. C'est une convention d'indivision qui permet d'administrer les 
droits de tous les propriétaires et d'établir les droits d'usage exclusif attribués à 
chacun d'entre eux (ex.: votre appartement, votre stationnement privé).
La convention d'indivision est facultative, mais généralement recommandée. 
On y indique le fonctionnement et la gestion de la copropriété. C'est également dans 
la convention d'indivision qu'on détermine si, au moment de la revente de votre part, 
vous êtes libre de la vendre ou de la céder à n'importe qui ou encore si vous êtes obligé 
de l'offrir aux autres propriétaires déjà en place. Cette convention doit être publiée au 
Registre foncier du Québec pour que tout futur acheteur soit tenu de la respecter.
Dans le cas d'une copropriété indivise, un seul numéro de lot (cadastre) décrit l'ensemble 
de la propriété. Les taxes scolaires et municipales sont communes entre les propriétaires. 
Aussi, les charges de l'immeuble sont assumées par tous les propriétaires, et ce, en proportion 
de leur part respective.
===================
Vente d’immeuble : exonération du droit de mutation
Lors de la vente d’un immeuble locatif détenue par une société, les droits de mutation 
peuvent être évités lorsque ce sont les actions de la société qui sont transigées.
Par : Frédéric Roy14 mai 2018 11:04
PARTAGER
«Pour les investisseurs immobiliers, le fait de transiger les actions au lieu de l’immeuble 
ne donne pas aux autorités municipales une nouvelle valeur pour l’immeuble», a indiqué 
Richard d’Amour, avocat et associé chez Fortier, D’Amour, Goyette S.E.N.C.R.L., lors de 
l’événement organisé par Desjardins – Entreprises Est de Montréal, le 8 mai.
L’article 19 de la Loi concernant les droits sur les mutations immobilières prévoit une 
exonération du paiement du droit de mutation lorsque le transfert de l’immeuble est 
fait par une personne physique vers une personne morale, si le cédant est propriétaire 
de 90 % du capital-actions de la personne morale par la suite.
L’autre cas prévu dans la loi est celui d’une personne morale qui cède l’immeuble à 
une personne physique, si : «tout au long de la période de 24 mois qui précède immédiatement 
le transfert, ou lorsque la personne morale est constituée depuis moins de 24 mois à la date du 
transfert, tout au long de la période qui commence à la date de constitution de la personne morale
 et qui se termine à la date du transfert, le cessionnaire est propriétaire d’actions du capital-actions 
du cédant qui lui confèrent au moins 90% des droits de vote pouvant être exercés en toute circonstance
à l’assemblée annuelle des actionnaires du cédant», peut-on lire dans l’article 19.
Ainsi, «s’il y a un immeuble en vente, nous achetons l’entreprise plutôt que d’acheter l’immeuble directement», 
comme l’a souligné Alexandre Blouin, associé en fiscalité chez Barricad Fiscalistes, lors de l’événement.</t>
        </r>
      </text>
    </comment>
    <comment ref="H11" authorId="0" shapeId="0">
      <text>
        <r>
          <rPr>
            <b/>
            <sz val="9"/>
            <color indexed="81"/>
            <rFont val="Tahoma"/>
            <family val="2"/>
          </rPr>
          <t>Prendre le TGA du secteur pour savoir la valeur marchande approximatif de l'immeuble.
Il faut prendre le pourcentage le plus haut possible du secteur pour payer le moins cher possible.
===============
Plus le TGA est bas plus le prix d'achat ou la valeur est élevé.
Plus le TGA est élevé, plus les revenus représentent une grosse part sur le prix de vente.
Pour un acheteur le TGA ne doit pas être plus haut que le TGA du secteur.</t>
        </r>
      </text>
    </comment>
    <comment ref="H12" authorId="0" shapeId="0">
      <text>
        <r>
          <rPr>
            <b/>
            <sz val="9"/>
            <color indexed="81"/>
            <rFont val="Tahoma"/>
            <family val="2"/>
          </rPr>
          <t>Prendre le TGA du secteur pour savoir la valeur marchande approximatif de l'immeuble.
Il faut prendre le pourcentage le plus haut possible du secteur pour payer le moins cher possible.</t>
        </r>
      </text>
    </comment>
    <comment ref="H13" authorId="0" shapeId="0">
      <text>
        <r>
          <rPr>
            <b/>
            <sz val="9"/>
            <color indexed="81"/>
            <rFont val="Tahoma"/>
            <family val="2"/>
          </rPr>
          <t>Le TGA Paritaire veut dire que les immeubles se vendent approximativement au même prix l'un de l'autre (Juste Valeur Marchande &amp; Valeur Économique)
COMPARABLES VENDUS
Moyenne revenu net ÷ moyenne prix de vente</t>
        </r>
      </text>
    </comment>
    <comment ref="B14" authorId="0" shapeId="0">
      <text>
        <r>
          <rPr>
            <b/>
            <sz val="9"/>
            <color indexed="81"/>
            <rFont val="Tahoma"/>
            <family val="2"/>
          </rPr>
          <t>PROPRIÉTAIRE OCCUPANT
2 LOGEMENTS: jusqu'à 95% de mise de fonds
3-4 LOGEMENTS: jusqu'à 90% de mise de fonds
5+ LOGEMENTS: jusqu'à 85% de mise de fonds
==============================
PROPRIÉTAIRE NON-OCCUPANT
2-4 LOGEMENTS: jusqu'à 80% de mise de fonds
5-6 LOGEMENTS: jusqu'à 75% de mise de fonds
7+ LOGEMENTS: jusqu'à 85% de mise de fonds</t>
        </r>
      </text>
    </comment>
    <comment ref="H15" authorId="0" shapeId="0">
      <text>
        <r>
          <rPr>
            <b/>
            <sz val="9"/>
            <color indexed="81"/>
            <rFont val="Tahoma"/>
            <family val="2"/>
          </rPr>
          <t>Il démontre la relation entre le comptant disponible par rapport au service 
de la dette en d’autres mots, votre capacité de remboursement.</t>
        </r>
      </text>
    </comment>
    <comment ref="E16" authorId="0" shapeId="0">
      <text>
        <r>
          <rPr>
            <b/>
            <sz val="9"/>
            <color indexed="81"/>
            <rFont val="Tahoma"/>
            <family val="2"/>
          </rPr>
          <t>6 LOGEMENTS: 125$ par année par logement
7-11 LOGEMENTS: 175$ par année par logement
12+ LOGEMENTS: 300$ par année par logement</t>
        </r>
      </text>
    </comment>
    <comment ref="H17" authorId="0" shapeId="0">
      <text>
        <r>
          <rPr>
            <b/>
            <sz val="9"/>
            <color indexed="81"/>
            <rFont val="Tahoma"/>
            <family val="2"/>
          </rPr>
          <t>Ce ratio indique le taux d’occupation requis pour faire face
à l’hypothèque et aux dépenses d’exploitation.</t>
        </r>
      </text>
    </comment>
    <comment ref="B18" authorId="0" shapeId="0">
      <text>
        <r>
          <rPr>
            <b/>
            <sz val="9"/>
            <color indexed="81"/>
            <rFont val="Tahoma"/>
            <family val="2"/>
          </rPr>
          <t>La banque finance le moindre des 2 valeurs suivantes:
Juste Valeur Marchande (JVM) - est financé jusqu'à 85% SCHL
OU
Valeur Économique (VÉ) - est financé jusqu'à 75%</t>
        </r>
      </text>
    </comment>
    <comment ref="E18" authorId="0" shapeId="0">
      <text>
        <r>
          <rPr>
            <b/>
            <sz val="9"/>
            <color indexed="81"/>
            <rFont val="Tahoma"/>
            <family val="2"/>
          </rPr>
          <t>2-6 LOGEMENTS: 3% des revenus bruts effectifs
7-11 LOGEMENTS: 4% des revenus bruts effectifs
12+ LOGEMENTS: 5% des revenus bruts effectifs</t>
        </r>
      </text>
    </comment>
    <comment ref="E19" authorId="0" shapeId="0">
      <text>
        <r>
          <rPr>
            <b/>
            <sz val="9"/>
            <color indexed="81"/>
            <rFont val="Tahoma"/>
            <family val="2"/>
          </rPr>
          <t>6+ LOGEMENTS: 500$ par année par logement</t>
        </r>
      </text>
    </comment>
    <comment ref="E20" authorId="0" shapeId="0">
      <text>
        <r>
          <rPr>
            <b/>
            <sz val="9"/>
            <color indexed="81"/>
            <rFont val="Tahoma"/>
            <family val="2"/>
          </rPr>
          <t>6+ LOGEMENTS: 500$ par année par logement</t>
        </r>
      </text>
    </comment>
    <comment ref="E21" authorId="0" shapeId="0">
      <text>
        <r>
          <rPr>
            <b/>
            <sz val="9"/>
            <color indexed="81"/>
            <rFont val="Tahoma"/>
            <family val="2"/>
          </rPr>
          <t>6 LOGEMENTS: 5% des revenus bruts effectifs
7-11 LOGEMENTS: 5% des revenus bruts effectifs
12+ LOGEMENTS: 5% des revenus bruts effectifs</t>
        </r>
      </text>
    </comment>
    <comment ref="H21" authorId="0" shapeId="0">
      <text>
        <r>
          <rPr>
            <b/>
            <sz val="9"/>
            <color indexed="81"/>
            <rFont val="Tahoma"/>
            <family val="2"/>
          </rPr>
          <t>Son calcul permet de savoir quel est le taux de rentabilité moyenne que procure 
un placement sur plusieurs années en tenant compte de tous les paramètres.
Si le TRI est plus haut que votre TGA, c'est bon.
Idéalement, un investisseur recherche un projet immobilier avec un TGA supérieur au TRI.</t>
        </r>
      </text>
    </comment>
    <comment ref="H23" authorId="0" shapeId="0">
      <text>
        <r>
          <rPr>
            <b/>
            <sz val="9"/>
            <color indexed="81"/>
            <rFont val="Tahoma"/>
            <family val="2"/>
          </rPr>
          <t xml:space="preserve">La VAN désigne un flux de trésorerie actualisé qui représente l’enrichissement 
supplémentaire d’un investissement en comparaison avec ce qui avait été exigé 
comme étant le minimum à réaliser pour les investisseurs.
Une VAN supérieure à 0 signifie qu'un projet est acceptable.
Plus la VAN est élevée et plus l’investissement est rentable.
</t>
        </r>
      </text>
    </comment>
    <comment ref="H27" authorId="0" shapeId="0">
      <text>
        <r>
          <rPr>
            <b/>
            <sz val="9"/>
            <color indexed="81"/>
            <rFont val="Tahoma"/>
            <family val="2"/>
          </rPr>
          <t>Un bon résultat doit être entre 9 et 13</t>
        </r>
      </text>
    </comment>
    <comment ref="B29" authorId="0" shapeId="0">
      <text>
        <r>
          <rPr>
            <b/>
            <sz val="9"/>
            <color indexed="81"/>
            <rFont val="Tahoma"/>
            <family val="2"/>
          </rPr>
          <t>Pour savoir les prix des loyers</t>
        </r>
      </text>
    </comment>
    <comment ref="H29" authorId="0" shapeId="0">
      <text>
        <r>
          <rPr>
            <b/>
            <sz val="9"/>
            <color indexed="81"/>
            <rFont val="Tahoma"/>
            <family val="2"/>
          </rPr>
          <t>Un bon résultat doit être entre 10 et 16</t>
        </r>
      </text>
    </comment>
    <comment ref="E36" authorId="0" shapeId="0">
      <text>
        <r>
          <rPr>
            <b/>
            <sz val="9"/>
            <color indexed="81"/>
            <rFont val="Tahoma"/>
            <family val="2"/>
          </rPr>
          <t>6 LOGEMENTS: 125$ par année par logement
7-11 LOGEMENTS: 175$ par année par logement
12+ LOGEMENTS: 300$ par année par logement</t>
        </r>
      </text>
    </comment>
  </commentList>
</comments>
</file>

<file path=xl/comments2.xml><?xml version="1.0" encoding="utf-8"?>
<comments xmlns="http://schemas.openxmlformats.org/spreadsheetml/2006/main">
  <authors>
    <author>Utilisateur Windows</author>
  </authors>
  <commentList>
    <comment ref="B1" authorId="0" shapeId="0">
      <text>
        <r>
          <rPr>
            <b/>
            <sz val="9"/>
            <color indexed="81"/>
            <rFont val="Tahoma"/>
            <family val="2"/>
          </rPr>
          <t>COPROPRIÉTÉ DIVISE (devient propriétaire d'un des logements)
Si vous faites l'achat d'une copropriété divise, vous ferez l'achat d'une partie privative 
(ex.: votre appartement, votre stationnement privé) et aussi d'un pourcentage des 
parties communes de l'immeuble (ex: les corridors, les cages d'ascenseurs, la piscine, etc.).
Vous serez le seul propriétaire de votre partie privative et partagerez, avec les autres copropriétaires, 
la propriété des parties communes.
Dans ce type de copropriété, il est possible qu'un des copropriétaires ait l'usage exclusif 
de certaines parties communes à usage restreint (ex.: une terrasse ou un balcon). 
Cette information doit être inscrite dans la section « Description sommaire de l'immeuble » 
de votre contrat de courtage.
En achetant une copropriété divise, votre appartement aura son propre numéro de lot (cadastre). 
Vous aurez aussi vos propres comptes de taxes scolaires et municipales.
Puisqu'il s'agit d'une copropriété divise, il vous sera possible de vendre votre fraction sans l'avis 
des autres copropriétaires. D'ailleurs, advenant un problème de solvabilité d'un voisin, vous ne serez 
pas affecté par la situation hypothécaire de ce dernier.
Une autre caractéristique de la copropriété divise est la présence d'un syndicat
de copropriété qui a pour mission de veiller à l'administration de l'immeuble.
===================
COPROPRIÉTÉ INDIVISE (tous les partenaires ont un pourcentage de part dans le logement)
Si vous faites l'achat d'une copropriété indivise, vous ferez l'achat d'un pourcentage 
d'un immeuble entier. L'immeuble appartient donc à plusieurs propriétaires.
Dans la copropriété indivise, il n'y a pas de syndicat de copropriété comme dans la 
copropriété divise. C'est une convention d'indivision qui permet d'administrer les 
droits de tous les propriétaires et d'établir les droits d'usage exclusif attribués à 
chacun d'entre eux (ex.: votre appartement, votre stationnement privé).
La convention d'indivision est facultative, mais généralement recommandée. 
On y indique le fonctionnement et la gestion de la copropriété. C'est également dans 
la convention d'indivision qu'on détermine si, au moment de la revente de votre part, 
vous êtes libre de la vendre ou de la céder à n'importe qui ou encore si vous êtes obligé 
de l'offrir aux autres propriétaires déjà en place. Cette convention doit être publiée au 
Registre foncier du Québec pour que tout futur acheteur soit tenu de la respecter.
Dans le cas d'une copropriété indivise, un seul numéro de lot (cadastre) décrit l'ensemble 
de la propriété. Les taxes scolaires et municipales sont communes entre les propriétaires. 
Aussi, les charges de l'immeuble sont assumées par tous les propriétaires, et ce, en proportion 
de leur part respective.
===================
Vente d’immeuble : exonération du droit de mutation
Lors de la vente d’un immeuble locatif détenue par une société, les droits de mutation 
peuvent être évités lorsque ce sont les actions de la société qui sont transigées.
Par : Frédéric Roy14 mai 2018 11:04
PARTAGER
«Pour les investisseurs immobiliers, le fait de transiger les actions au lieu de l’immeuble 
ne donne pas aux autorités municipales une nouvelle valeur pour l’immeuble», a indiqué 
Richard d’Amour, avocat et associé chez Fortier, D’Amour, Goyette S.E.N.C.R.L., lors de 
l’événement organisé par Desjardins – Entreprises Est de Montréal, le 8 mai.
L’article 19 de la Loi concernant les droits sur les mutations immobilières prévoit une 
exonération du paiement du droit de mutation lorsque le transfert de l’immeuble est 
fait par une personne physique vers une personne morale, si le cédant est propriétaire 
de 90 % du capital-actions de la personne morale par la suite.
L’autre cas prévu dans la loi est celui d’une personne morale qui cède l’immeuble à 
une personne physique, si : «tout au long de la période de 24 mois qui précède immédiatement 
le transfert, ou lorsque la personne morale est constituée depuis moins de 24 mois à la date du 
transfert, tout au long de la période qui commence à la date de constitution de la personne morale
 et qui se termine à la date du transfert, le cessionnaire est propriétaire d’actions du capital-actions 
du cédant qui lui confèrent au moins 90% des droits de vote pouvant être exercés en toute circonstance
à l’assemblée annuelle des actionnaires du cédant», peut-on lire dans l’article 19.
Ainsi, «s’il y a un immeuble en vente, nous achetons l’entreprise plutôt que d’acheter l’immeuble directement», 
comme l’a souligné Alexandre Blouin, associé en fiscalité chez Barricad Fiscalistes, lors de l’événement.</t>
        </r>
      </text>
    </comment>
    <comment ref="H11" authorId="0" shapeId="0">
      <text>
        <r>
          <rPr>
            <b/>
            <sz val="9"/>
            <color indexed="81"/>
            <rFont val="Tahoma"/>
            <family val="2"/>
          </rPr>
          <t>Prendre le TGA du secteur pour savoir la valeur marchande approximatif de l'immeuble.
Il faut prendre le pourcentage le plus haut possible du secteur pour payer le moins cher possible.
===============
Plus le TGA est bas plus le prix d'achat ou la valeur est élevé.
Plus le TGA est élevé, plus les revenus représentent une grosse part sur le prix de vente.
Pour un acheteur le TGA ne doit pas être plus haut que le TGA du secteur.</t>
        </r>
      </text>
    </comment>
    <comment ref="H12" authorId="0" shapeId="0">
      <text>
        <r>
          <rPr>
            <b/>
            <sz val="9"/>
            <color indexed="81"/>
            <rFont val="Tahoma"/>
            <family val="2"/>
          </rPr>
          <t>Prendre le TGA du secteur pour savoir la valeur marchande approximatif de l'immeuble.
Il faut prendre le pourcentage le plus haut possible du secteur pour payer le moins cher possible.</t>
        </r>
      </text>
    </comment>
    <comment ref="H13" authorId="0" shapeId="0">
      <text>
        <r>
          <rPr>
            <b/>
            <sz val="9"/>
            <color indexed="81"/>
            <rFont val="Tahoma"/>
            <family val="2"/>
          </rPr>
          <t>Le TGA Paritaire veut dire que les immeubles se vendent approximativement au même prix l'un de l'autre (Juste Valeur Marchande &amp; Valeur Économique)
COMPARABLES VENDUS
Moyenne revenu net ÷ moyenne prix de vente</t>
        </r>
      </text>
    </comment>
    <comment ref="B14" authorId="0" shapeId="0">
      <text>
        <r>
          <rPr>
            <b/>
            <sz val="9"/>
            <color indexed="81"/>
            <rFont val="Tahoma"/>
            <family val="2"/>
          </rPr>
          <t>2-4 LOGEMENTS: jusqu'à 80% de mise de fonds
5+ LOGEMENTS: jusqu'à 75% de mise de fonds</t>
        </r>
      </text>
    </comment>
    <comment ref="H15" authorId="0" shapeId="0">
      <text>
        <r>
          <rPr>
            <b/>
            <sz val="9"/>
            <color indexed="81"/>
            <rFont val="Tahoma"/>
            <family val="2"/>
          </rPr>
          <t>Il démontre la relation entre le comptant disponible par rapport 
au service de la dette en d’autres mots, votre capacité de remboursement.</t>
        </r>
      </text>
    </comment>
    <comment ref="E16" authorId="0" shapeId="0">
      <text>
        <r>
          <rPr>
            <b/>
            <sz val="9"/>
            <color indexed="81"/>
            <rFont val="Tahoma"/>
            <family val="2"/>
          </rPr>
          <t>6 LOGEMENTS: 125$ par année par logement
7-11 LOGEMENTS: 175$ par année par logement
12+ LOGEMENTS: 300$ par année par logement</t>
        </r>
      </text>
    </comment>
    <comment ref="H17" authorId="0" shapeId="0">
      <text>
        <r>
          <rPr>
            <b/>
            <sz val="9"/>
            <color indexed="81"/>
            <rFont val="Tahoma"/>
            <family val="2"/>
          </rPr>
          <t>Ce ratio indique le taux d’occupation requis pour faire face
à l’hypothèque et aux dépenses d’exploitation.</t>
        </r>
      </text>
    </comment>
    <comment ref="B18" authorId="0" shapeId="0">
      <text>
        <r>
          <rPr>
            <b/>
            <sz val="9"/>
            <color indexed="81"/>
            <rFont val="Tahoma"/>
            <family val="2"/>
          </rPr>
          <t>La banque finance le moindre des 2 valeurs suivantes:
Juste Valeur Marchande (JVM) - est financé jusqu'à 85% SCHL
OU
Valeur Économique (VÉ) - est financé jusqu'à 75%</t>
        </r>
      </text>
    </comment>
    <comment ref="E18" authorId="0" shapeId="0">
      <text>
        <r>
          <rPr>
            <b/>
            <sz val="9"/>
            <color indexed="81"/>
            <rFont val="Tahoma"/>
            <family val="2"/>
          </rPr>
          <t>2-6 LOGEMENTS: 3% des revenus bruts effectifs
7-11 LOGEMENTS: 4% des revenus bruts effectifs
12+ LOGEMENTS: 5% des revenus bruts effectifs</t>
        </r>
      </text>
    </comment>
    <comment ref="E19" authorId="0" shapeId="0">
      <text>
        <r>
          <rPr>
            <b/>
            <sz val="9"/>
            <color indexed="81"/>
            <rFont val="Tahoma"/>
            <family val="2"/>
          </rPr>
          <t>6+ LOGEMENTS: 500$ par année par logement</t>
        </r>
      </text>
    </comment>
    <comment ref="E20" authorId="0" shapeId="0">
      <text>
        <r>
          <rPr>
            <b/>
            <sz val="9"/>
            <color indexed="81"/>
            <rFont val="Tahoma"/>
            <family val="2"/>
          </rPr>
          <t>6+ LOGEMENTS: 500$ par année par logement</t>
        </r>
      </text>
    </comment>
    <comment ref="E21" authorId="0" shapeId="0">
      <text>
        <r>
          <rPr>
            <b/>
            <sz val="9"/>
            <color indexed="81"/>
            <rFont val="Tahoma"/>
            <family val="2"/>
          </rPr>
          <t>6 LOGEMENTS: 5% des revenus bruts effectifs
7-11 LOGEMENTS: 5% des revenus bruts effectifs
12+ LOGEMENTS: 5% des revenus bruts effectifs</t>
        </r>
      </text>
    </comment>
    <comment ref="H21" authorId="0" shapeId="0">
      <text>
        <r>
          <rPr>
            <b/>
            <sz val="9"/>
            <color indexed="81"/>
            <rFont val="Tahoma"/>
            <family val="2"/>
          </rPr>
          <t>Son calcul permet de savoir quel est le taux de rentabilité moyenne que 
procure un placement sur plusieurs années en tenant compte de tous les paramètres.
Si le TRI est plus haut que votre TGA, c'est bon.
Idéalement, un investisseur recherche un projet immobilier avec un TGA supérieur au TRI.</t>
        </r>
      </text>
    </comment>
    <comment ref="H23" authorId="0" shapeId="0">
      <text>
        <r>
          <rPr>
            <b/>
            <sz val="9"/>
            <color indexed="81"/>
            <rFont val="Tahoma"/>
            <family val="2"/>
          </rPr>
          <t>La VAN désigne un flux de trésorerie actualisé qui représente l’enrichissement 
supplémentaire d’un investissement en comparaison avec ce qui avait été exigé
comme étant le minimum à réaliser pour les investisseurs.
Une VAN supérieure à 0 signifie qu'un projet est acceptable.
Plus la VAN est élevée et plus l’investissement est rentable.</t>
        </r>
      </text>
    </comment>
    <comment ref="B27" authorId="0" shapeId="0">
      <text>
        <r>
          <rPr>
            <b/>
            <sz val="9"/>
            <color indexed="81"/>
            <rFont val="Tahoma"/>
            <family val="2"/>
          </rPr>
          <t>Pour savoir les prix des loyers</t>
        </r>
      </text>
    </comment>
    <comment ref="H27" authorId="0" shapeId="0">
      <text>
        <r>
          <rPr>
            <b/>
            <sz val="9"/>
            <color indexed="81"/>
            <rFont val="Tahoma"/>
            <family val="2"/>
          </rPr>
          <t>Un bon résultat doit être entre 9 et 13</t>
        </r>
      </text>
    </comment>
    <comment ref="H29" authorId="0" shapeId="0">
      <text>
        <r>
          <rPr>
            <b/>
            <sz val="9"/>
            <color indexed="81"/>
            <rFont val="Tahoma"/>
            <family val="2"/>
          </rPr>
          <t>Un bon résultat doit être entre 10 et 16</t>
        </r>
      </text>
    </comment>
    <comment ref="E36" authorId="0" shapeId="0">
      <text>
        <r>
          <rPr>
            <b/>
            <sz val="9"/>
            <color indexed="81"/>
            <rFont val="Tahoma"/>
            <family val="2"/>
          </rPr>
          <t>6 LOGEMENTS: 125$ par année par logement
7-11 LOGEMENTS: 175$ par année par logement
12+ LOGEMENTS: 300$ par année par logement</t>
        </r>
      </text>
    </comment>
  </commentList>
</comments>
</file>

<file path=xl/comments3.xml><?xml version="1.0" encoding="utf-8"?>
<comments xmlns="http://schemas.openxmlformats.org/spreadsheetml/2006/main">
  <authors>
    <author>Utilisateur Windows</author>
  </authors>
  <commentList>
    <comment ref="C2" authorId="0" shapeId="0">
      <text>
        <r>
          <rPr>
            <b/>
            <sz val="9"/>
            <color indexed="81"/>
            <rFont val="Tahoma"/>
            <family val="2"/>
          </rPr>
          <t>Doit être plus petit que 39%</t>
        </r>
      </text>
    </comment>
    <comment ref="C9" authorId="0" shapeId="0">
      <text>
        <r>
          <rPr>
            <b/>
            <sz val="9"/>
            <color indexed="81"/>
            <rFont val="Tahoma"/>
            <family val="2"/>
          </rPr>
          <t>Entre 0% et 30% = Excellent
Entre 30% à 36% = Moyen
Entre 40% à 44% = Mauvais</t>
        </r>
      </text>
    </comment>
  </commentList>
</comments>
</file>

<file path=xl/sharedStrings.xml><?xml version="1.0" encoding="utf-8"?>
<sst xmlns="http://schemas.openxmlformats.org/spreadsheetml/2006/main" count="700" uniqueCount="298">
  <si>
    <t>Valeur</t>
  </si>
  <si>
    <t>Évaluation municipale du terrain</t>
  </si>
  <si>
    <t>Évaluation municipale de la bâtisse</t>
  </si>
  <si>
    <t>Buanderie</t>
  </si>
  <si>
    <t>Remise</t>
  </si>
  <si>
    <t>Stationnements</t>
  </si>
  <si>
    <t>Cabanons</t>
  </si>
  <si>
    <t>Garage</t>
  </si>
  <si>
    <t>Chauffage</t>
  </si>
  <si>
    <t>Eau</t>
  </si>
  <si>
    <t>Égout</t>
  </si>
  <si>
    <t>Vidange</t>
  </si>
  <si>
    <t>Déneigement</t>
  </si>
  <si>
    <t>Gazon</t>
  </si>
  <si>
    <t>Publicité (2%)</t>
  </si>
  <si>
    <t>TOTAL DES DÉPENSES</t>
  </si>
  <si>
    <t>Droits de mutations (taxe de bienvenue)</t>
  </si>
  <si>
    <t>Frais de notaire</t>
  </si>
  <si>
    <t>Ajustement de taxes municipale &amp; scolaire</t>
  </si>
  <si>
    <t>Infrastructures</t>
  </si>
  <si>
    <t>Déménagement</t>
  </si>
  <si>
    <t>Inspection du bâtiment</t>
  </si>
  <si>
    <t>A FAIRE AVANT L'ACHAT DU BÂTIMENT</t>
  </si>
  <si>
    <t>Inspection du batiment avec une responsabilité civile</t>
  </si>
  <si>
    <t>Preuve des bails</t>
  </si>
  <si>
    <t>Preuve des réparations</t>
  </si>
  <si>
    <t>Preuve de l'APCHQ (si valide)</t>
  </si>
  <si>
    <t>Déclaration du vendeur</t>
  </si>
  <si>
    <t>Déclaration de l'agent immobilier</t>
  </si>
  <si>
    <t>Conditionnel au financement et autres conditions</t>
  </si>
  <si>
    <t>Dépenses</t>
  </si>
  <si>
    <t>Revenus</t>
  </si>
  <si>
    <t>TOTAL A PAYER DES AUTRES DÉPENSES</t>
  </si>
  <si>
    <t>MRB (Multiplicateur de revenu brut)</t>
  </si>
  <si>
    <t>MRN (Multiplicateur de revenu net)</t>
  </si>
  <si>
    <t>Dette (capital &amp; intérêts)</t>
  </si>
  <si>
    <t>Ratio de couverture de la dette</t>
  </si>
  <si>
    <t>Montant de l'hypothèque à financer</t>
  </si>
  <si>
    <t>Total évaluation municipale de l'immeuble</t>
  </si>
  <si>
    <t>Assurance prêt SCHL</t>
  </si>
  <si>
    <t>GRAND TOTAL du montant de l'hypothèque à financer</t>
  </si>
  <si>
    <t>Montant de l'hypothèque</t>
  </si>
  <si>
    <t>Valeur calcul amortissement</t>
  </si>
  <si>
    <t>Ratio valeur bâtisse / Valeur total</t>
  </si>
  <si>
    <t>RATIO</t>
  </si>
  <si>
    <t>5-6 logements</t>
  </si>
  <si>
    <t>7 logements et plus</t>
  </si>
  <si>
    <t>AMORTISSEMENT</t>
  </si>
  <si>
    <t>MISE DE FOND</t>
  </si>
  <si>
    <t>25 ans</t>
  </si>
  <si>
    <t>Prix d'achat</t>
  </si>
  <si>
    <t>https://www.ratehub.ca/calculatrice-hypothecaire</t>
  </si>
  <si>
    <t>DROITS DE MUTATION (taxe de bienvenue)</t>
  </si>
  <si>
    <t>Si l'immeuble est hors Montréal, inscrire &lt; 0 &gt; =======&gt;</t>
  </si>
  <si>
    <t>Si l'immeuble est à Montréal, inscrire &lt; 1 &gt;  =========&gt;</t>
  </si>
  <si>
    <t>Montant sur lequel est calculé le droit de mutation</t>
  </si>
  <si>
    <t>Partie commune (1%)</t>
  </si>
  <si>
    <t>Total amortissement</t>
  </si>
  <si>
    <t>Date:</t>
  </si>
  <si>
    <t>Adresse complète:</t>
  </si>
  <si>
    <t>Ville:</t>
  </si>
  <si>
    <t>Code postal:</t>
  </si>
  <si>
    <t>Identification de l'immeuble</t>
  </si>
  <si>
    <t>Taxes municipales (10% à 16%)</t>
  </si>
  <si>
    <t>Taxes scolaires (2% à 4%)</t>
  </si>
  <si>
    <t>Conciergerie (2% à 5%)</t>
  </si>
  <si>
    <t>Entretien (4% à 8%)</t>
  </si>
  <si>
    <t>Divers (1% à 5%)</t>
  </si>
  <si>
    <t>Taux d'inoccupation des logements (3% à 8%)</t>
  </si>
  <si>
    <t>Autres</t>
  </si>
  <si>
    <t>Frais d'incorporation</t>
  </si>
  <si>
    <t>Réparations à l'acquisition</t>
  </si>
  <si>
    <t>Évaluateur agréé</t>
  </si>
  <si>
    <t>Test de pyrite</t>
  </si>
  <si>
    <t>Test d'amiante</t>
  </si>
  <si>
    <t>Test d'environnement / Sol</t>
  </si>
  <si>
    <t>DÉPENSES FIXES D'ACQUISITION</t>
  </si>
  <si>
    <t>Électricité, gaz, huile</t>
  </si>
  <si>
    <t>Location chauffe-eau</t>
  </si>
  <si>
    <t>Entretien piscine</t>
  </si>
  <si>
    <t>ans</t>
  </si>
  <si>
    <t>Période (versements)</t>
  </si>
  <si>
    <t>Balance due fin période</t>
  </si>
  <si>
    <t>Intérêts</t>
  </si>
  <si>
    <t>Capital</t>
  </si>
  <si>
    <t>Total après 3 ans</t>
  </si>
  <si>
    <t>Total après 2 ans</t>
  </si>
  <si>
    <t>Total après 1 an</t>
  </si>
  <si>
    <t>Total après 4 ans</t>
  </si>
  <si>
    <t>Total après 5 ans</t>
  </si>
  <si>
    <t>Total après 6 ans</t>
  </si>
  <si>
    <t>Total après 7 ans</t>
  </si>
  <si>
    <t>Total après 8 ans</t>
  </si>
  <si>
    <t>Total après 9 ans</t>
  </si>
  <si>
    <t>Total après 10 ans</t>
  </si>
  <si>
    <t>Total après 11 ans</t>
  </si>
  <si>
    <t>Total après 12 ans</t>
  </si>
  <si>
    <t>Total après 13 ans</t>
  </si>
  <si>
    <t>Total après 14 ans</t>
  </si>
  <si>
    <t>Total après 15 ans</t>
  </si>
  <si>
    <t>Total après 16 ans</t>
  </si>
  <si>
    <t>Total après 17 ans</t>
  </si>
  <si>
    <t>Total après 18 ans</t>
  </si>
  <si>
    <t>Total après 19 ans</t>
  </si>
  <si>
    <t>Total après 20 ans</t>
  </si>
  <si>
    <t>Total après 21 ans</t>
  </si>
  <si>
    <t>Total après 22 ans</t>
  </si>
  <si>
    <t>Total après 23 ans</t>
  </si>
  <si>
    <t>Total après 24 ans</t>
  </si>
  <si>
    <t>Total après 25 ans</t>
  </si>
  <si>
    <t>Total après 26 ans</t>
  </si>
  <si>
    <t>Total après 27 ans</t>
  </si>
  <si>
    <t>Total après 28 ans</t>
  </si>
  <si>
    <t>Total après 29 ans</t>
  </si>
  <si>
    <t>Total après 30 ans</t>
  </si>
  <si>
    <t>Taux d'intérêt annuel</t>
  </si>
  <si>
    <t>Période d'amortissement</t>
  </si>
  <si>
    <t>Versement mensuel</t>
  </si>
  <si>
    <t>Total des intérêts payé (25 ans)</t>
  </si>
  <si>
    <t>Total des intérêts payé (30 ans)</t>
  </si>
  <si>
    <t>Solde</t>
  </si>
  <si>
    <t>Amortissement qui a été pris</t>
  </si>
  <si>
    <t>Évaluation municipale de la bâtisse (4%)</t>
  </si>
  <si>
    <t>Total de l'amortissement que je peux prendre (4% MAX)</t>
  </si>
  <si>
    <t>Total des intérêts payé (35 ans)</t>
  </si>
  <si>
    <t>Total des intérêts payé (40 ans)</t>
  </si>
  <si>
    <t>Total après 31 ans</t>
  </si>
  <si>
    <t>Total après 32 ans</t>
  </si>
  <si>
    <t>Total après 33 ans</t>
  </si>
  <si>
    <t>Total après 34 ans</t>
  </si>
  <si>
    <t>Total après 35 ans</t>
  </si>
  <si>
    <t>Total après 36 ans</t>
  </si>
  <si>
    <t>Total après 37 ans</t>
  </si>
  <si>
    <t>Total après 38 ans</t>
  </si>
  <si>
    <t>Total après 39 ans</t>
  </si>
  <si>
    <t>Total après 40 ans</t>
  </si>
  <si>
    <t>Total des intérêts payé (15 ans)</t>
  </si>
  <si>
    <t>Total des intérêts payé (10 ans)</t>
  </si>
  <si>
    <t>Certificat de localisation</t>
  </si>
  <si>
    <t>ATD</t>
  </si>
  <si>
    <t>PROPRIÉTAIRE OCCUPANT AVEC SCHL</t>
  </si>
  <si>
    <t>Duplex</t>
  </si>
  <si>
    <t>Triplex</t>
  </si>
  <si>
    <t>Quadruplex</t>
  </si>
  <si>
    <t>PROPRIÉTAIRE NON-OCCUPANT AVEC SCHL</t>
  </si>
  <si>
    <t>1.10% à 1.30%</t>
  </si>
  <si>
    <t>PROPRIÉTAIRE OCCUPANT (PRÊT CONVENTIONNEL)</t>
  </si>
  <si>
    <t>PROPRIÉTAIRE NON-OCCUPANT (PRÊT CONVENTIONNEL)</t>
  </si>
  <si>
    <t>Résultat %</t>
  </si>
  <si>
    <t>Pension alimentaire</t>
  </si>
  <si>
    <t>Marge de crédit</t>
  </si>
  <si>
    <t>Prêts personnels ou tous autres prêts</t>
  </si>
  <si>
    <t>Prêt automobile</t>
  </si>
  <si>
    <t>Cartes de crédit</t>
  </si>
  <si>
    <t>Taxes foncières (Municipale et Scolaires)</t>
  </si>
  <si>
    <t>Versement hypothécaire (Capital et intérêts)</t>
  </si>
  <si>
    <t>RÈGLES DE FINANCEMENT</t>
  </si>
  <si>
    <t>Valeur de l'immeuble MRB (Multiplicateur de revenu brut)</t>
  </si>
  <si>
    <r>
      <rPr>
        <b/>
        <sz val="10"/>
        <rFont val="Arial"/>
        <family val="2"/>
      </rPr>
      <t>RÈGLES DE FINANCEMENT:</t>
    </r>
    <r>
      <rPr>
        <sz val="10"/>
        <rFont val="Arial"/>
        <family val="2"/>
      </rPr>
      <t xml:space="preserve"> Valeur MRB (Multiplicateur de revenu brut)</t>
    </r>
  </si>
  <si>
    <t>Valeur Actuelle Nette (VAN)</t>
  </si>
  <si>
    <t>Taux de Rentabilité Interne (TRI)</t>
  </si>
  <si>
    <t>Frais de condo</t>
  </si>
  <si>
    <t>Total des intérêts payé (20 ans)</t>
  </si>
  <si>
    <t>COUVERTURE DE LA DETTE</t>
  </si>
  <si>
    <r>
      <rPr>
        <b/>
        <sz val="10"/>
        <rFont val="Arial"/>
        <family val="2"/>
      </rPr>
      <t>RÈGLES DE FINANCEMENT:</t>
    </r>
    <r>
      <rPr>
        <sz val="10"/>
        <rFont val="Arial"/>
        <family val="2"/>
      </rPr>
      <t xml:space="preserve"> Valeur économique, valeur marchande ou coût de reconstruction</t>
    </r>
  </si>
  <si>
    <t>Revenu net d'opération</t>
  </si>
  <si>
    <t>Montant mensuel</t>
  </si>
  <si>
    <t>Capitalisable = X</t>
  </si>
  <si>
    <t>X</t>
  </si>
  <si>
    <t>Dépense</t>
  </si>
  <si>
    <t>Achat (année 0)</t>
  </si>
  <si>
    <t>Hypothèque</t>
  </si>
  <si>
    <t>Valeur de revente</t>
  </si>
  <si>
    <t>Équité</t>
  </si>
  <si>
    <t>FLUX POSITIFS</t>
  </si>
  <si>
    <t>TOTAL des dépenses annuelles</t>
  </si>
  <si>
    <t>Dépenses fixes lors de l'acquisition de l'immeuble</t>
  </si>
  <si>
    <t>Investissement principal</t>
  </si>
  <si>
    <t>Prime SCHL</t>
  </si>
  <si>
    <t>FLUX NÉGATIFS</t>
  </si>
  <si>
    <t>ENCAISSE NET ANNUEL (CASH-FLOW) (avant impôt)</t>
  </si>
  <si>
    <t>ENCAISSE NET ANNUEL (CASH-FLOW)  (après impôt)</t>
  </si>
  <si>
    <t>IMPÔTS</t>
  </si>
  <si>
    <t>Résultats bruts</t>
  </si>
  <si>
    <t>Total</t>
  </si>
  <si>
    <t>Solde restante de l'amortissement sur immeuble</t>
  </si>
  <si>
    <t>Année 1</t>
  </si>
  <si>
    <t>Année 2</t>
  </si>
  <si>
    <t>Année 3</t>
  </si>
  <si>
    <t>Année 4</t>
  </si>
  <si>
    <t>Année 5</t>
  </si>
  <si>
    <t>Année 6</t>
  </si>
  <si>
    <t>Année 7</t>
  </si>
  <si>
    <t>Année 8</t>
  </si>
  <si>
    <t>Année 9</t>
  </si>
  <si>
    <t>Année 10</t>
  </si>
  <si>
    <t>Année 11</t>
  </si>
  <si>
    <t>Année 12</t>
  </si>
  <si>
    <t>Année 13</t>
  </si>
  <si>
    <t>Année 14</t>
  </si>
  <si>
    <t>Année 15</t>
  </si>
  <si>
    <t>Année 16</t>
  </si>
  <si>
    <t>Année 17</t>
  </si>
  <si>
    <t>Année 18</t>
  </si>
  <si>
    <t>Année 19</t>
  </si>
  <si>
    <t>Année 20</t>
  </si>
  <si>
    <t>Année 21</t>
  </si>
  <si>
    <t>Année 22</t>
  </si>
  <si>
    <t>Année 23</t>
  </si>
  <si>
    <t>Année 24</t>
  </si>
  <si>
    <t>Année 25</t>
  </si>
  <si>
    <t>Année 26</t>
  </si>
  <si>
    <t>Année 27</t>
  </si>
  <si>
    <t>Année 28</t>
  </si>
  <si>
    <t>Année 29</t>
  </si>
  <si>
    <t>Année 30</t>
  </si>
  <si>
    <t>Année 31</t>
  </si>
  <si>
    <t>ANNÉE D'EXPLOITATION</t>
  </si>
  <si>
    <t>DÉPENSES ANNUELLES</t>
  </si>
  <si>
    <t>Total amortissable (immeuble + SCHL) - Ajouter au gain en capital lors de la vente</t>
  </si>
  <si>
    <t>Total amortissable (ajouter au gain en capital lors de la vente)</t>
  </si>
  <si>
    <t>Amortissement sur l'immeuble (par année)</t>
  </si>
  <si>
    <t>Amortissement (4% de l'évaluation municipale de la bâtisse)</t>
  </si>
  <si>
    <t>Délai de récupération MDF (payback)</t>
  </si>
  <si>
    <t>Pertes reportées (ajouter lors de la vente)</t>
  </si>
  <si>
    <t>Mauvais: en dessous de 560</t>
  </si>
  <si>
    <t>Correct: 560-659</t>
  </si>
  <si>
    <t>Bon: 660-724</t>
  </si>
  <si>
    <t>Très bon: 725-759</t>
  </si>
  <si>
    <t>Excellent: 760 et plus</t>
  </si>
  <si>
    <t>Mise de fonds initiale</t>
  </si>
  <si>
    <t>Nombre de logement dans l'immeuble</t>
  </si>
  <si>
    <t>Nouvelle valeur marchande de l'immeuble selon le MRB</t>
  </si>
  <si>
    <t>Optimisation de la valeur de l'immeuble</t>
  </si>
  <si>
    <t>Revenu total ACTUEL de location (mensuel)</t>
  </si>
  <si>
    <t>Nouveau revenu total de loyer du marché (mensuel)</t>
  </si>
  <si>
    <t>Prix du loyer ACTUEL du marché (mensuel)</t>
  </si>
  <si>
    <t>Nouveau revenu de location annuel (optimisé du marché)</t>
  </si>
  <si>
    <t>Ascenseurs</t>
  </si>
  <si>
    <t>Prix par logement</t>
  </si>
  <si>
    <t>Nouveau revenu de location ANNUEL (suite au renouvellement de bail)</t>
  </si>
  <si>
    <t>Valeur marchande de l'immeuble (référence à 13x les revenus)</t>
  </si>
  <si>
    <t>Revenus mensuels</t>
  </si>
  <si>
    <t>Dépenses capitalisables lors de la présumé vente de l'immeuble</t>
  </si>
  <si>
    <t>Intérêts sur l'hypothèque</t>
  </si>
  <si>
    <t>Remboursement du capital sur l'hypothèque (annuel)</t>
  </si>
  <si>
    <t>Total des revenus annuel bruts POTENTIELS</t>
  </si>
  <si>
    <t>Total des revenus annuel bruts EFFECTIFS</t>
  </si>
  <si>
    <t>Prime s'appliquant au montant du prêt</t>
  </si>
  <si>
    <t>Mise de fonds</t>
  </si>
  <si>
    <t>Montant assurance prêt hypothécaire</t>
  </si>
  <si>
    <t>Remboursement cumulative du capital sur l'hypothèque (capitalisation)</t>
  </si>
  <si>
    <t>Dépenses annuelles (frais d'exploitation)</t>
  </si>
  <si>
    <t>Ratio minimum d'occupation (TMO)</t>
  </si>
  <si>
    <t>Ratio endettement - ABD (Amortissement brut de la dette)</t>
  </si>
  <si>
    <t>Ratio endettement - ATD (Amortissement total de la dette)</t>
  </si>
  <si>
    <t>Électroménagers</t>
  </si>
  <si>
    <t>Salaire et ratio d'emprunt (ABD 39% ou ATD 44%)</t>
  </si>
  <si>
    <t>Mapliv</t>
  </si>
  <si>
    <t>www.patricemenard.com/indice</t>
  </si>
  <si>
    <t>Encaisse net (cash flow) ANNUEL</t>
  </si>
  <si>
    <t>Encaisse net (cash flow) MENSUEL</t>
  </si>
  <si>
    <t>Réserve</t>
  </si>
  <si>
    <t>https://support.office.com/fr-fr/excel</t>
  </si>
  <si>
    <t>Valeur Économique de l'immeuble</t>
  </si>
  <si>
    <t>Montant que la banque va financer entre JVM et VÉ</t>
  </si>
  <si>
    <t>Financement de la banque</t>
  </si>
  <si>
    <t>Revenus annuel bruts EFFECTIFS + taux d'inflation annuel</t>
  </si>
  <si>
    <t>Plus-value annuelle de l'immeuble</t>
  </si>
  <si>
    <t>Dépenses annuelles (sans Fonds de prévoyance + taux d'inflation annuel)</t>
  </si>
  <si>
    <t>Fonds de prévoyance (avec un taux d'inflation annuel)</t>
  </si>
  <si>
    <t>Rendement annuel sur la mise de fond (cash flow + capitalisation + plus-value)</t>
  </si>
  <si>
    <t>Taux d'inflation annuel &amp; plus-value</t>
  </si>
  <si>
    <t>Revenu total ACTUEL de location (annuel)</t>
  </si>
  <si>
    <t>Prix de location ACTUEL par logement (mensuel)</t>
  </si>
  <si>
    <t>Assurance prêt (Taxe TVQ) + Droits d'évaluation des logements SCHL (frais dossier)</t>
  </si>
  <si>
    <t>jusqu'à 40 ans</t>
  </si>
  <si>
    <t>jusqu'à 30 ans</t>
  </si>
  <si>
    <t>Fonds de prévoyance (10%)</t>
  </si>
  <si>
    <t>Assurance prêt SCHL (TVQ sur le prêt)</t>
  </si>
  <si>
    <t>Encaisse net (cash flow) PAR LOGEMENT</t>
  </si>
  <si>
    <t>Ratio prix d’achat / Évaluation municipale</t>
  </si>
  <si>
    <t>Total payé sur la période d'amortissement (capital et intérêts)</t>
  </si>
  <si>
    <t>Montant à remettre à l'impôt lors de la vente de l'immeuble</t>
  </si>
  <si>
    <t>Montant sur lequel l'impôt est calculé et payable lors de la vente de l'immeuble</t>
  </si>
  <si>
    <t>Profit NET après impôt dans mes poches</t>
  </si>
  <si>
    <t>Impôts NET à payer sur les revenus annuels</t>
  </si>
  <si>
    <t>Frais de gestion (5% à 10%)</t>
  </si>
  <si>
    <t>Assurance (3% à 5%)</t>
  </si>
  <si>
    <t>Mauvaises créances (1% à 3%)</t>
  </si>
  <si>
    <t>TGA Juste Valeur Machande (indice résultat)</t>
  </si>
  <si>
    <t>Juste Valeur Marchande de l'immeuble</t>
  </si>
  <si>
    <t>Valeur Paritaire de l'immeuble</t>
  </si>
  <si>
    <t>TGA Juste Valeur Machande (JVM)</t>
  </si>
  <si>
    <t>TGA Valeur Économique (indice résultat)</t>
  </si>
  <si>
    <t>TGA Paritaire (indice résultat)</t>
  </si>
  <si>
    <t>Droits d'évaluation SCHL (frais par logement)</t>
  </si>
  <si>
    <t>Administration (3% à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</si>
</sst>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44" formatCode="_ * #,##0.00_)\ &quot;$&quot;_ ;_ * \(#,##0.00\)\ &quot;$&quot;_ ;_ * &quot;-&quot;??_)\ &quot;$&quot;_ ;_ @_ "/>
    <numFmt numFmtId="164" formatCode="_-* #,##0.00\ &quot;$&quot;_-;_-* #,##0.00\ &quot;$&quot;\-;_-* &quot;-&quot;??\ &quot;$&quot;_-;_-@_-"/>
    <numFmt numFmtId="165" formatCode="_-* #,##0.00\ _$_-;_-* #,##0.00\ _$\-;_-* &quot;-&quot;??\ _$_-;_-@_-"/>
    <numFmt numFmtId="166" formatCode="#,##0.00\ &quot;$&quot;"/>
    <numFmt numFmtId="167" formatCode="_-* #,##0\ _$_-;\-* #,##0\ _$_-;_-* &quot;-&quot;??\ _$_-;_-@_-"/>
    <numFmt numFmtId="168" formatCode="[$-F800]dddd\,/mmmm/dd\,/yyyy"/>
    <numFmt numFmtId="169" formatCode="0.00000%"/>
    <numFmt numFmtId="170" formatCode="#,##0_ ;\-#,##0\ "/>
    <numFmt numFmtId="171" formatCode="#,##0.00\ &quot;$&quot;;[Red]\-#,##0.00\ &quot;$&quot;"/>
    <numFmt numFmtId="172" formatCode="_-* #,##0.00\ &quot;$&quot;_-;\-* #,##0.00\ &quot;$&quot;_-;_-* &quot;-&quot;??\ &quot;$&quot;_-;_-@_-"/>
    <numFmt numFmtId="173" formatCode="#,##0\ &quot;$&quot;"/>
    <numFmt numFmtId="174" formatCode="0.0000%"/>
    <numFmt numFmtId="175" formatCode="0.00_);[Red]\(0.00\)"/>
    <numFmt numFmtId="176" formatCode="#,##0.00\ _$"/>
    <numFmt numFmtId="177" formatCode="0.000"/>
    <numFmt numFmtId="178" formatCode="0.000%"/>
    <numFmt numFmtId="179" formatCode="#,##0.00\ &quot;$&quot;;[Red]#,##0.00\ &quot;$&quot;"/>
    <numFmt numFmtId="180" formatCode="#,##0.000"/>
    <numFmt numFmtId="186" formatCode="#,##0.000\ _$"/>
  </numFmts>
  <fonts count="41" x14ac:knownFonts="1">
    <font>
      <sz val="10"/>
      <name val="Arial"/>
    </font>
    <font>
      <sz val="11"/>
      <color theme="1"/>
      <name val="Calibri"/>
      <family val="2"/>
      <scheme val="minor"/>
    </font>
    <font>
      <sz val="11"/>
      <color theme="1"/>
      <name val="Calibri"/>
      <family val="2"/>
      <scheme val="minor"/>
    </font>
    <font>
      <sz val="10"/>
      <name val="Arial"/>
      <family val="2"/>
    </font>
    <font>
      <b/>
      <sz val="10"/>
      <color indexed="9"/>
      <name val="Arial"/>
      <family val="2"/>
    </font>
    <font>
      <b/>
      <sz val="10"/>
      <name val="Arial"/>
      <family val="2"/>
    </font>
    <font>
      <b/>
      <sz val="10"/>
      <color indexed="22"/>
      <name val="Arial"/>
      <family val="2"/>
    </font>
    <font>
      <b/>
      <sz val="10"/>
      <color rgb="FFFF0000"/>
      <name val="Arial"/>
      <family val="2"/>
    </font>
    <font>
      <b/>
      <sz val="10"/>
      <color theme="0"/>
      <name val="Arial"/>
      <family val="2"/>
    </font>
    <font>
      <u/>
      <sz val="10"/>
      <color theme="10"/>
      <name val="Arial"/>
      <family val="2"/>
    </font>
    <font>
      <u/>
      <sz val="10"/>
      <color theme="11"/>
      <name val="Arial"/>
      <family val="2"/>
    </font>
    <font>
      <sz val="11"/>
      <color theme="1"/>
      <name val="Calibri"/>
      <family val="2"/>
      <scheme val="minor"/>
    </font>
    <font>
      <b/>
      <sz val="10"/>
      <color rgb="FFFFFF00"/>
      <name val="Arial"/>
      <family val="2"/>
    </font>
    <font>
      <b/>
      <sz val="8"/>
      <color rgb="FFFFFF00"/>
      <name val="Arial"/>
      <family val="2"/>
    </font>
    <font>
      <b/>
      <u/>
      <sz val="10"/>
      <color theme="0"/>
      <name val="Arial"/>
      <family val="2"/>
    </font>
    <font>
      <b/>
      <sz val="10"/>
      <color theme="1"/>
      <name val="Arial"/>
      <family val="2"/>
    </font>
    <font>
      <sz val="10"/>
      <color theme="0"/>
      <name val="Arial"/>
      <family val="2"/>
    </font>
    <font>
      <b/>
      <u/>
      <sz val="10"/>
      <color theme="1"/>
      <name val="Arial"/>
      <family val="2"/>
    </font>
    <font>
      <b/>
      <sz val="11"/>
      <color theme="0"/>
      <name val="Calibri"/>
      <family val="2"/>
      <scheme val="minor"/>
    </font>
    <font>
      <b/>
      <sz val="11"/>
      <color rgb="FFFF0000"/>
      <name val="Calibri"/>
      <family val="2"/>
      <scheme val="minor"/>
    </font>
    <font>
      <b/>
      <u/>
      <sz val="11"/>
      <color theme="0"/>
      <name val="Calibri"/>
      <family val="2"/>
      <scheme val="minor"/>
    </font>
    <font>
      <b/>
      <sz val="14"/>
      <color theme="0"/>
      <name val="Arial"/>
      <family val="2"/>
    </font>
    <font>
      <b/>
      <sz val="9"/>
      <name val="Arial"/>
      <family val="2"/>
    </font>
    <font>
      <b/>
      <sz val="9"/>
      <color rgb="FF000000"/>
      <name val="Arial"/>
      <family val="2"/>
    </font>
    <font>
      <sz val="9"/>
      <color rgb="FF000000"/>
      <name val="Arial"/>
      <family val="2"/>
    </font>
    <font>
      <sz val="10"/>
      <color theme="0" tint="-0.14999847407452621"/>
      <name val="Arial"/>
      <family val="2"/>
    </font>
    <font>
      <sz val="9"/>
      <name val="Arial"/>
      <family val="2"/>
    </font>
    <font>
      <b/>
      <sz val="11"/>
      <color indexed="8"/>
      <name val="Calibri"/>
      <family val="2"/>
    </font>
    <font>
      <b/>
      <u/>
      <sz val="10"/>
      <name val="Arial"/>
      <family val="2"/>
    </font>
    <font>
      <b/>
      <sz val="12"/>
      <color theme="0"/>
      <name val="Arial"/>
      <family val="2"/>
    </font>
    <font>
      <sz val="12"/>
      <color theme="0"/>
      <name val="Arial"/>
      <family val="2"/>
    </font>
    <font>
      <b/>
      <sz val="12"/>
      <name val="Arial"/>
      <family val="2"/>
    </font>
    <font>
      <b/>
      <sz val="9"/>
      <color indexed="81"/>
      <name val="Tahoma"/>
      <family val="2"/>
    </font>
    <font>
      <b/>
      <u/>
      <sz val="9"/>
      <color rgb="FFFFFF00"/>
      <name val="Arial"/>
      <family val="2"/>
    </font>
    <font>
      <b/>
      <u/>
      <sz val="10"/>
      <color rgb="FFFFFF00"/>
      <name val="Arial"/>
      <family val="2"/>
    </font>
    <font>
      <b/>
      <u/>
      <sz val="12"/>
      <color rgb="FFFFFF00"/>
      <name val="Arial"/>
      <family val="2"/>
    </font>
    <font>
      <u/>
      <sz val="10"/>
      <color theme="0"/>
      <name val="Arial"/>
      <family val="2"/>
    </font>
    <font>
      <b/>
      <u/>
      <sz val="12"/>
      <color theme="0"/>
      <name val="Arial"/>
      <family val="2"/>
    </font>
    <font>
      <u/>
      <sz val="12"/>
      <name val="Arial"/>
      <family val="2"/>
    </font>
    <font>
      <sz val="10"/>
      <color theme="1"/>
      <name val="Arial"/>
      <family val="2"/>
    </font>
    <font>
      <sz val="12"/>
      <name val="Arial"/>
      <family val="2"/>
    </font>
  </fonts>
  <fills count="14">
    <fill>
      <patternFill patternType="none"/>
    </fill>
    <fill>
      <patternFill patternType="gray125"/>
    </fill>
    <fill>
      <patternFill patternType="solid">
        <fgColor indexed="63"/>
        <bgColor indexed="64"/>
      </patternFill>
    </fill>
    <fill>
      <patternFill patternType="solid">
        <fgColor indexed="8"/>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333333"/>
        <bgColor indexed="64"/>
      </patternFill>
    </fill>
    <fill>
      <patternFill patternType="solid">
        <fgColor rgb="FF00B050"/>
        <bgColor indexed="64"/>
      </patternFill>
    </fill>
    <fill>
      <patternFill patternType="solid">
        <fgColor theme="1"/>
        <bgColor indexed="64"/>
      </patternFill>
    </fill>
    <fill>
      <patternFill patternType="solid">
        <fgColor rgb="FFFF0000"/>
        <bgColor indexed="64"/>
      </patternFill>
    </fill>
    <fill>
      <patternFill patternType="solid">
        <fgColor theme="6" tint="0.59999389629810485"/>
        <bgColor indexed="64"/>
      </patternFill>
    </fill>
    <fill>
      <patternFill patternType="solid">
        <fgColor rgb="FFFFFFFF"/>
        <bgColor indexed="64"/>
      </patternFill>
    </fill>
    <fill>
      <patternFill patternType="solid">
        <fgColor rgb="FF00B0F0"/>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indexed="64"/>
      </left>
      <right/>
      <top/>
      <bottom style="thin">
        <color auto="1"/>
      </bottom>
      <diagonal/>
    </border>
    <border>
      <left/>
      <right/>
      <top/>
      <bottom style="thin">
        <color auto="1"/>
      </bottom>
      <diagonal/>
    </border>
    <border>
      <left/>
      <right style="thin">
        <color auto="1"/>
      </right>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medium">
        <color indexed="64"/>
      </left>
      <right/>
      <top style="thin">
        <color auto="1"/>
      </top>
      <bottom style="thin">
        <color auto="1"/>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auto="1"/>
      </top>
      <bottom/>
      <diagonal/>
    </border>
    <border>
      <left style="thin">
        <color rgb="FF000000"/>
      </left>
      <right/>
      <top style="thin">
        <color rgb="FF000000"/>
      </top>
      <bottom style="thin">
        <color rgb="FF000000"/>
      </bottom>
      <diagonal/>
    </border>
    <border>
      <left style="thin">
        <color auto="1"/>
      </left>
      <right/>
      <top/>
      <bottom/>
      <diagonal/>
    </border>
    <border>
      <left/>
      <right style="thin">
        <color auto="1"/>
      </right>
      <top style="thin">
        <color auto="1"/>
      </top>
      <bottom/>
      <diagonal/>
    </border>
    <border>
      <left style="thin">
        <color auto="1"/>
      </left>
      <right style="thin">
        <color auto="1"/>
      </right>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s>
  <cellStyleXfs count="23">
    <xf numFmtId="168" fontId="0" fillId="0" borderId="0"/>
    <xf numFmtId="165"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168" fontId="9" fillId="0" borderId="0" applyNumberFormat="0" applyFill="0" applyBorder="0" applyAlignment="0" applyProtection="0"/>
    <xf numFmtId="168" fontId="10" fillId="0" borderId="0" applyNumberFormat="0" applyFill="0" applyBorder="0" applyAlignment="0" applyProtection="0"/>
    <xf numFmtId="168" fontId="11" fillId="0" borderId="0"/>
    <xf numFmtId="44" fontId="11" fillId="0" borderId="0" applyFont="0" applyFill="0" applyBorder="0" applyAlignment="0" applyProtection="0"/>
    <xf numFmtId="168" fontId="9" fillId="0" borderId="0" applyNumberFormat="0" applyFill="0" applyBorder="0" applyAlignment="0" applyProtection="0"/>
    <xf numFmtId="168" fontId="10" fillId="0" borderId="0" applyNumberFormat="0" applyFill="0" applyBorder="0" applyAlignment="0" applyProtection="0"/>
    <xf numFmtId="168" fontId="9" fillId="0" borderId="0" applyNumberFormat="0" applyFill="0" applyBorder="0" applyAlignment="0" applyProtection="0"/>
    <xf numFmtId="168" fontId="10" fillId="0" borderId="0" applyNumberFormat="0" applyFill="0" applyBorder="0" applyAlignment="0" applyProtection="0"/>
    <xf numFmtId="168" fontId="9" fillId="0" borderId="0" applyNumberFormat="0" applyFill="0" applyBorder="0" applyAlignment="0" applyProtection="0"/>
    <xf numFmtId="168" fontId="10" fillId="0" borderId="0" applyNumberFormat="0" applyFill="0" applyBorder="0" applyAlignment="0" applyProtection="0"/>
    <xf numFmtId="168" fontId="9" fillId="0" borderId="0" applyNumberFormat="0" applyFill="0" applyBorder="0" applyAlignment="0" applyProtection="0"/>
    <xf numFmtId="168" fontId="10" fillId="0" borderId="0" applyNumberFormat="0" applyFill="0" applyBorder="0" applyAlignment="0" applyProtection="0"/>
    <xf numFmtId="168" fontId="9" fillId="0" borderId="0" applyNumberFormat="0" applyFill="0" applyBorder="0" applyAlignment="0" applyProtection="0"/>
    <xf numFmtId="168" fontId="10" fillId="0" borderId="0" applyNumberFormat="0" applyFill="0" applyBorder="0" applyAlignment="0" applyProtection="0"/>
    <xf numFmtId="168" fontId="9" fillId="0" borderId="0" applyNumberFormat="0" applyFill="0" applyBorder="0" applyAlignment="0" applyProtection="0"/>
    <xf numFmtId="168" fontId="3" fillId="0" borderId="0"/>
    <xf numFmtId="168" fontId="2" fillId="0" borderId="0"/>
    <xf numFmtId="44" fontId="2" fillId="0" borderId="0" applyFont="0" applyFill="0" applyBorder="0" applyAlignment="0" applyProtection="0"/>
    <xf numFmtId="168" fontId="1" fillId="0" borderId="0"/>
  </cellStyleXfs>
  <cellXfs count="439">
    <xf numFmtId="168" fontId="0" fillId="0" borderId="0" xfId="0"/>
    <xf numFmtId="168" fontId="0" fillId="0" borderId="0" xfId="0" applyProtection="1">
      <protection locked="0"/>
    </xf>
    <xf numFmtId="168" fontId="0" fillId="0" borderId="0" xfId="0" applyFill="1" applyProtection="1">
      <protection locked="0"/>
    </xf>
    <xf numFmtId="165" fontId="0" fillId="0" borderId="0" xfId="1" applyFont="1" applyProtection="1">
      <protection locked="0"/>
    </xf>
    <xf numFmtId="168" fontId="0" fillId="4" borderId="0" xfId="0" applyFill="1" applyProtection="1"/>
    <xf numFmtId="166" fontId="5" fillId="5" borderId="0" xfId="2" applyNumberFormat="1" applyFont="1" applyFill="1" applyAlignment="1" applyProtection="1">
      <alignment horizontal="right"/>
      <protection locked="0"/>
    </xf>
    <xf numFmtId="166" fontId="5" fillId="5" borderId="0" xfId="0" applyNumberFormat="1" applyFont="1" applyFill="1" applyAlignment="1" applyProtection="1">
      <alignment horizontal="right"/>
    </xf>
    <xf numFmtId="166" fontId="5" fillId="5" borderId="0" xfId="2" applyNumberFormat="1" applyFont="1" applyFill="1" applyAlignment="1" applyProtection="1">
      <alignment horizontal="right"/>
    </xf>
    <xf numFmtId="168" fontId="13" fillId="2" borderId="0" xfId="0" applyFont="1" applyFill="1" applyAlignment="1" applyProtection="1">
      <alignment horizontal="left" vertical="center"/>
      <protection locked="0"/>
    </xf>
    <xf numFmtId="165" fontId="4" fillId="3" borderId="0" xfId="1" applyFont="1" applyFill="1" applyAlignment="1" applyProtection="1">
      <alignment horizontal="center" vertical="center"/>
      <protection locked="0"/>
    </xf>
    <xf numFmtId="168" fontId="8" fillId="7" borderId="1" xfId="0" applyFont="1" applyFill="1" applyBorder="1" applyAlignment="1">
      <alignment vertical="center"/>
    </xf>
    <xf numFmtId="168" fontId="7" fillId="6" borderId="1" xfId="0" applyFont="1" applyFill="1" applyBorder="1" applyAlignment="1">
      <alignment vertical="center"/>
    </xf>
    <xf numFmtId="166" fontId="7" fillId="6" borderId="1" xfId="0" applyNumberFormat="1" applyFont="1" applyFill="1" applyBorder="1" applyAlignment="1">
      <alignment horizontal="right" vertical="center"/>
    </xf>
    <xf numFmtId="168" fontId="8" fillId="2" borderId="0" xfId="0" applyFont="1" applyFill="1" applyAlignment="1" applyProtection="1">
      <alignment horizontal="center" vertical="center"/>
    </xf>
    <xf numFmtId="10" fontId="12" fillId="2" borderId="0" xfId="0" applyNumberFormat="1" applyFont="1" applyFill="1" applyAlignment="1" applyProtection="1">
      <alignment horizontal="center" vertical="center"/>
    </xf>
    <xf numFmtId="165" fontId="0" fillId="0" borderId="0" xfId="1" applyFont="1" applyAlignment="1" applyProtection="1">
      <alignment horizontal="center" vertical="center"/>
      <protection locked="0"/>
    </xf>
    <xf numFmtId="166" fontId="5" fillId="5" borderId="0" xfId="2" applyNumberFormat="1" applyFont="1" applyFill="1" applyAlignment="1" applyProtection="1">
      <alignment horizontal="right" vertical="center"/>
    </xf>
    <xf numFmtId="166" fontId="5" fillId="5" borderId="0" xfId="0" applyNumberFormat="1" applyFont="1" applyFill="1" applyAlignment="1" applyProtection="1">
      <alignment horizontal="right" vertical="center"/>
    </xf>
    <xf numFmtId="168" fontId="8" fillId="2" borderId="0" xfId="0" applyFont="1" applyFill="1" applyAlignment="1" applyProtection="1">
      <alignment horizontal="right" vertical="center"/>
    </xf>
    <xf numFmtId="168" fontId="8" fillId="7" borderId="0" xfId="0" applyFont="1" applyFill="1" applyAlignment="1" applyProtection="1">
      <alignment horizontal="right" vertical="center"/>
    </xf>
    <xf numFmtId="168" fontId="0" fillId="0" borderId="0" xfId="0" applyAlignment="1" applyProtection="1">
      <alignment vertical="center"/>
      <protection locked="0"/>
    </xf>
    <xf numFmtId="168" fontId="6" fillId="2" borderId="0" xfId="0" applyFont="1" applyFill="1" applyAlignment="1" applyProtection="1">
      <alignment horizontal="center" vertical="center"/>
      <protection locked="0"/>
    </xf>
    <xf numFmtId="168" fontId="6" fillId="2" borderId="0" xfId="0" applyFont="1" applyFill="1" applyAlignment="1" applyProtection="1">
      <alignment horizontal="left" vertical="center"/>
      <protection locked="0"/>
    </xf>
    <xf numFmtId="168" fontId="0" fillId="0" borderId="0" xfId="0" applyAlignment="1" applyProtection="1">
      <alignment horizontal="left" vertical="center"/>
      <protection locked="0"/>
    </xf>
    <xf numFmtId="168" fontId="13" fillId="2" borderId="0" xfId="0" applyFont="1" applyFill="1" applyAlignment="1" applyProtection="1">
      <alignment horizontal="center" vertical="center"/>
      <protection locked="0"/>
    </xf>
    <xf numFmtId="168" fontId="12" fillId="2" borderId="0" xfId="0" applyFont="1" applyFill="1" applyAlignment="1" applyProtection="1">
      <alignment horizontal="center" vertical="center"/>
      <protection locked="0"/>
    </xf>
    <xf numFmtId="10" fontId="12" fillId="7" borderId="0" xfId="0" applyNumberFormat="1" applyFont="1" applyFill="1" applyAlignment="1" applyProtection="1">
      <alignment horizontal="center" vertical="center"/>
    </xf>
    <xf numFmtId="166" fontId="5" fillId="8" borderId="0" xfId="2" applyNumberFormat="1" applyFont="1" applyFill="1" applyAlignment="1" applyProtection="1">
      <alignment horizontal="right" vertical="center"/>
      <protection locked="0"/>
    </xf>
    <xf numFmtId="166" fontId="5" fillId="8" borderId="0" xfId="0" applyNumberFormat="1" applyFont="1" applyFill="1" applyAlignment="1" applyProtection="1">
      <alignment horizontal="right" vertical="center"/>
    </xf>
    <xf numFmtId="168" fontId="14" fillId="2" borderId="0" xfId="18" applyFont="1" applyFill="1" applyAlignment="1" applyProtection="1">
      <alignment horizontal="right" vertical="center"/>
    </xf>
    <xf numFmtId="166" fontId="7" fillId="5" borderId="0" xfId="0" applyNumberFormat="1" applyFont="1" applyFill="1" applyAlignment="1" applyProtection="1">
      <alignment horizontal="right" vertical="center"/>
    </xf>
    <xf numFmtId="168" fontId="0" fillId="0" borderId="0" xfId="0" applyAlignment="1" applyProtection="1">
      <alignment horizontal="center" vertical="center"/>
      <protection locked="0"/>
    </xf>
    <xf numFmtId="166" fontId="5" fillId="5" borderId="0" xfId="2" applyNumberFormat="1" applyFont="1" applyFill="1" applyAlignment="1" applyProtection="1">
      <alignment horizontal="right" vertical="center"/>
      <protection locked="0"/>
    </xf>
    <xf numFmtId="168" fontId="8" fillId="7" borderId="0" xfId="0" applyFont="1" applyFill="1" applyAlignment="1">
      <alignment horizontal="right"/>
    </xf>
    <xf numFmtId="168" fontId="0" fillId="7" borderId="0" xfId="0" applyFill="1" applyAlignment="1" applyProtection="1">
      <alignment vertical="center"/>
      <protection locked="0"/>
    </xf>
    <xf numFmtId="168" fontId="8" fillId="0" borderId="0" xfId="0" applyFont="1" applyFill="1" applyAlignment="1" applyProtection="1">
      <alignment horizontal="right" vertical="center"/>
    </xf>
    <xf numFmtId="168" fontId="6" fillId="0" borderId="0" xfId="0" applyFont="1" applyFill="1" applyAlignment="1" applyProtection="1">
      <alignment horizontal="center" vertical="center"/>
      <protection locked="0"/>
    </xf>
    <xf numFmtId="168" fontId="6" fillId="0" borderId="0" xfId="0" applyFont="1" applyFill="1" applyAlignment="1" applyProtection="1">
      <alignment horizontal="center"/>
      <protection locked="0"/>
    </xf>
    <xf numFmtId="168" fontId="6" fillId="0" borderId="0" xfId="0" applyFont="1" applyFill="1" applyAlignment="1" applyProtection="1">
      <alignment horizontal="left" vertical="center"/>
      <protection locked="0"/>
    </xf>
    <xf numFmtId="168" fontId="8" fillId="9" borderId="0" xfId="0" applyFont="1" applyFill="1" applyAlignment="1" applyProtection="1">
      <alignment horizontal="center" vertical="center"/>
      <protection locked="0"/>
    </xf>
    <xf numFmtId="165" fontId="0" fillId="7" borderId="0" xfId="1" applyFont="1" applyFill="1" applyProtection="1">
      <protection locked="0"/>
    </xf>
    <xf numFmtId="165" fontId="0" fillId="7" borderId="0" xfId="1" applyFont="1" applyFill="1" applyAlignment="1" applyProtection="1">
      <alignment horizontal="center" vertical="center"/>
      <protection locked="0"/>
    </xf>
    <xf numFmtId="168" fontId="0" fillId="7" borderId="0" xfId="0" applyFill="1" applyAlignment="1" applyProtection="1">
      <alignment horizontal="left" vertical="center"/>
      <protection locked="0"/>
    </xf>
    <xf numFmtId="168" fontId="0" fillId="7" borderId="0" xfId="0" applyFill="1" applyAlignment="1" applyProtection="1">
      <alignment horizontal="center" vertical="center"/>
      <protection locked="0"/>
    </xf>
    <xf numFmtId="168" fontId="8" fillId="0" borderId="0" xfId="0" applyFont="1" applyFill="1" applyAlignment="1" applyProtection="1">
      <alignment horizontal="center" vertical="center"/>
    </xf>
    <xf numFmtId="168" fontId="0" fillId="0" borderId="0" xfId="0" applyFill="1" applyAlignment="1" applyProtection="1">
      <alignment vertical="center"/>
      <protection locked="0"/>
    </xf>
    <xf numFmtId="166" fontId="5" fillId="7" borderId="0" xfId="0" applyNumberFormat="1" applyFont="1" applyFill="1" applyAlignment="1" applyProtection="1">
      <alignment horizontal="center" vertical="center"/>
    </xf>
    <xf numFmtId="166" fontId="5" fillId="8" borderId="1" xfId="0" applyNumberFormat="1" applyFont="1" applyFill="1" applyBorder="1" applyAlignment="1">
      <alignment horizontal="right" vertical="center"/>
    </xf>
    <xf numFmtId="10" fontId="15" fillId="5" borderId="1" xfId="0" applyNumberFormat="1" applyFont="1" applyFill="1" applyBorder="1" applyAlignment="1" applyProtection="1">
      <alignment horizontal="center" vertical="center"/>
      <protection locked="0"/>
    </xf>
    <xf numFmtId="168" fontId="15" fillId="5" borderId="1" xfId="0" applyFont="1" applyFill="1" applyBorder="1" applyAlignment="1" applyProtection="1">
      <alignment horizontal="center" vertical="center"/>
      <protection locked="0"/>
    </xf>
    <xf numFmtId="168" fontId="15" fillId="5" borderId="1" xfId="0" applyFont="1" applyFill="1" applyBorder="1" applyAlignment="1" applyProtection="1">
      <alignment vertical="center"/>
      <protection locked="0"/>
    </xf>
    <xf numFmtId="168" fontId="6" fillId="7" borderId="0" xfId="0" applyFont="1" applyFill="1" applyBorder="1" applyAlignment="1" applyProtection="1">
      <alignment horizontal="center" vertical="center"/>
      <protection locked="0"/>
    </xf>
    <xf numFmtId="166" fontId="5" fillId="5" borderId="1" xfId="2" applyNumberFormat="1" applyFont="1" applyFill="1" applyBorder="1" applyAlignment="1">
      <alignment horizontal="center" vertical="center"/>
    </xf>
    <xf numFmtId="10" fontId="15" fillId="5" borderId="10" xfId="0" applyNumberFormat="1" applyFont="1" applyFill="1" applyBorder="1" applyAlignment="1" applyProtection="1">
      <alignment horizontal="center" vertical="center"/>
      <protection locked="0"/>
    </xf>
    <xf numFmtId="168" fontId="15" fillId="5" borderId="10" xfId="0" applyFont="1" applyFill="1" applyBorder="1" applyAlignment="1" applyProtection="1">
      <alignment horizontal="center" vertical="center"/>
      <protection locked="0"/>
    </xf>
    <xf numFmtId="168" fontId="0" fillId="7" borderId="0" xfId="0" applyFill="1" applyBorder="1" applyAlignment="1" applyProtection="1">
      <alignment vertical="center"/>
      <protection locked="0"/>
    </xf>
    <xf numFmtId="166" fontId="5" fillId="5" borderId="1" xfId="0" applyNumberFormat="1" applyFont="1" applyFill="1" applyBorder="1" applyAlignment="1">
      <alignment horizontal="right" vertical="center"/>
    </xf>
    <xf numFmtId="166" fontId="5" fillId="5" borderId="1" xfId="2" applyNumberFormat="1" applyFont="1" applyFill="1" applyBorder="1" applyAlignment="1">
      <alignment horizontal="center" vertical="center" wrapText="1"/>
    </xf>
    <xf numFmtId="168" fontId="8" fillId="0" borderId="0" xfId="0" applyFont="1" applyFill="1" applyAlignment="1" applyProtection="1">
      <alignment vertical="center"/>
      <protection locked="0"/>
    </xf>
    <xf numFmtId="168" fontId="8" fillId="7" borderId="0" xfId="0" applyFont="1" applyFill="1" applyBorder="1" applyAlignment="1" applyProtection="1">
      <alignment vertical="center"/>
      <protection locked="0"/>
    </xf>
    <xf numFmtId="168" fontId="8" fillId="0" borderId="0" xfId="0" applyFont="1" applyFill="1" applyBorder="1" applyAlignment="1" applyProtection="1">
      <alignment vertical="center"/>
      <protection locked="0"/>
    </xf>
    <xf numFmtId="168" fontId="6" fillId="0" borderId="0" xfId="0" applyFont="1" applyFill="1" applyBorder="1" applyAlignment="1" applyProtection="1">
      <alignment horizontal="center" vertical="center"/>
      <protection locked="0"/>
    </xf>
    <xf numFmtId="168" fontId="6" fillId="7" borderId="0" xfId="0" applyFont="1" applyFill="1" applyAlignment="1" applyProtection="1">
      <alignment horizontal="left" vertical="center"/>
      <protection locked="0"/>
    </xf>
    <xf numFmtId="166" fontId="5" fillId="5" borderId="0" xfId="3" applyNumberFormat="1" applyFont="1" applyFill="1" applyAlignment="1" applyProtection="1">
      <alignment horizontal="right"/>
      <protection locked="0"/>
    </xf>
    <xf numFmtId="168" fontId="8" fillId="7" borderId="0" xfId="0" applyFont="1" applyFill="1" applyBorder="1" applyAlignment="1">
      <alignment horizontal="right" vertical="center"/>
    </xf>
    <xf numFmtId="168" fontId="8" fillId="7" borderId="0" xfId="0" applyFont="1" applyFill="1" applyBorder="1" applyAlignment="1">
      <alignment horizontal="right"/>
    </xf>
    <xf numFmtId="168" fontId="21" fillId="7" borderId="0" xfId="0" applyFont="1" applyFill="1" applyBorder="1" applyAlignment="1">
      <alignment vertical="center"/>
    </xf>
    <xf numFmtId="168" fontId="18" fillId="7" borderId="1" xfId="0" applyFont="1" applyFill="1" applyBorder="1" applyAlignment="1">
      <alignment horizontal="right" vertical="center"/>
    </xf>
    <xf numFmtId="168" fontId="12" fillId="7" borderId="0" xfId="0" applyFont="1" applyFill="1" applyAlignment="1" applyProtection="1">
      <alignment horizontal="center" vertical="center"/>
      <protection locked="0"/>
    </xf>
    <xf numFmtId="9" fontId="0" fillId="11" borderId="14" xfId="3" applyFont="1" applyFill="1" applyBorder="1"/>
    <xf numFmtId="168" fontId="22" fillId="0" borderId="0" xfId="0" applyFont="1"/>
    <xf numFmtId="169" fontId="5" fillId="8" borderId="1" xfId="3" applyNumberFormat="1" applyFont="1" applyFill="1" applyBorder="1" applyAlignment="1">
      <alignment horizontal="center"/>
    </xf>
    <xf numFmtId="168" fontId="3" fillId="0" borderId="0" xfId="0" applyFont="1"/>
    <xf numFmtId="9" fontId="5" fillId="11" borderId="14" xfId="3" applyFont="1" applyFill="1" applyBorder="1"/>
    <xf numFmtId="9" fontId="0" fillId="0" borderId="0" xfId="3" applyFont="1" applyFill="1" applyAlignment="1" applyProtection="1">
      <alignment vertical="center"/>
      <protection locked="0"/>
    </xf>
    <xf numFmtId="10" fontId="0" fillId="0" borderId="0" xfId="3" applyNumberFormat="1" applyFont="1" applyFill="1" applyAlignment="1" applyProtection="1">
      <alignment horizontal="center" vertical="center"/>
      <protection locked="0"/>
    </xf>
    <xf numFmtId="167" fontId="0" fillId="0" borderId="0" xfId="0" applyNumberFormat="1" applyFill="1" applyAlignment="1" applyProtection="1">
      <alignment vertical="center"/>
      <protection locked="0"/>
    </xf>
    <xf numFmtId="9" fontId="23" fillId="12" borderId="16" xfId="3" applyFont="1" applyFill="1" applyBorder="1" applyAlignment="1">
      <alignment horizontal="center" vertical="center" wrapText="1"/>
    </xf>
    <xf numFmtId="10" fontId="24" fillId="12" borderId="1" xfId="3" applyNumberFormat="1" applyFont="1" applyFill="1" applyBorder="1" applyAlignment="1">
      <alignment horizontal="center" vertical="center" wrapText="1"/>
    </xf>
    <xf numFmtId="9" fontId="8" fillId="0" borderId="0" xfId="3" applyFont="1" applyFill="1" applyAlignment="1" applyProtection="1">
      <alignment horizontal="right" vertical="center"/>
    </xf>
    <xf numFmtId="10" fontId="8" fillId="0" borderId="0" xfId="3" applyNumberFormat="1" applyFont="1" applyFill="1" applyAlignment="1" applyProtection="1">
      <alignment horizontal="center" vertical="center"/>
    </xf>
    <xf numFmtId="167" fontId="8" fillId="0" borderId="0" xfId="0" applyNumberFormat="1" applyFont="1" applyFill="1" applyAlignment="1" applyProtection="1">
      <alignment horizontal="right" vertical="center"/>
    </xf>
    <xf numFmtId="172" fontId="5" fillId="0" borderId="0" xfId="0" applyNumberFormat="1" applyFont="1" applyFill="1" applyAlignment="1" applyProtection="1">
      <alignment horizontal="right" vertical="center"/>
    </xf>
    <xf numFmtId="9" fontId="6" fillId="0" borderId="0" xfId="3" applyFont="1" applyFill="1" applyAlignment="1" applyProtection="1">
      <alignment horizontal="center" vertical="center"/>
      <protection locked="0"/>
    </xf>
    <xf numFmtId="10" fontId="6" fillId="0" borderId="0" xfId="3" applyNumberFormat="1" applyFont="1" applyFill="1" applyAlignment="1" applyProtection="1">
      <alignment horizontal="center" vertical="center"/>
      <protection locked="0"/>
    </xf>
    <xf numFmtId="167" fontId="6" fillId="0" borderId="0" xfId="0" applyNumberFormat="1" applyFont="1" applyFill="1" applyAlignment="1" applyProtection="1">
      <alignment horizontal="center" vertical="center"/>
      <protection locked="0"/>
    </xf>
    <xf numFmtId="9" fontId="6" fillId="0" borderId="0" xfId="3" applyFont="1" applyFill="1" applyAlignment="1" applyProtection="1">
      <alignment horizontal="left" vertical="center"/>
      <protection locked="0"/>
    </xf>
    <xf numFmtId="167" fontId="6" fillId="0" borderId="0" xfId="0" applyNumberFormat="1" applyFont="1" applyFill="1" applyAlignment="1" applyProtection="1">
      <alignment horizontal="left" vertical="center"/>
      <protection locked="0"/>
    </xf>
    <xf numFmtId="9" fontId="8" fillId="0" borderId="0" xfId="3" applyFont="1" applyFill="1" applyAlignment="1" applyProtection="1">
      <alignment horizontal="center" vertical="center"/>
    </xf>
    <xf numFmtId="167" fontId="8" fillId="0" borderId="0" xfId="0" applyNumberFormat="1" applyFont="1" applyFill="1" applyAlignment="1" applyProtection="1">
      <alignment horizontal="center" vertical="center"/>
    </xf>
    <xf numFmtId="167" fontId="0" fillId="0" borderId="1" xfId="0" applyNumberFormat="1" applyFill="1" applyBorder="1" applyAlignment="1" applyProtection="1">
      <alignment horizontal="center" vertical="center"/>
      <protection locked="0"/>
    </xf>
    <xf numFmtId="10" fontId="8" fillId="9" borderId="0" xfId="3" applyNumberFormat="1" applyFont="1" applyFill="1" applyAlignment="1" applyProtection="1">
      <alignment horizontal="center" vertical="center"/>
      <protection locked="0"/>
    </xf>
    <xf numFmtId="9" fontId="8" fillId="9" borderId="0" xfId="3" applyFont="1" applyFill="1" applyAlignment="1" applyProtection="1">
      <alignment horizontal="center" vertical="center"/>
      <protection locked="0"/>
    </xf>
    <xf numFmtId="167" fontId="8" fillId="9" borderId="0" xfId="0" applyNumberFormat="1" applyFont="1" applyFill="1" applyAlignment="1" applyProtection="1">
      <alignment horizontal="center" vertical="center"/>
      <protection locked="0"/>
    </xf>
    <xf numFmtId="166" fontId="8" fillId="7" borderId="1" xfId="0" applyNumberFormat="1" applyFont="1" applyFill="1" applyBorder="1" applyAlignment="1" applyProtection="1">
      <alignment horizontal="center" vertical="center"/>
      <protection locked="0"/>
    </xf>
    <xf numFmtId="168" fontId="0" fillId="7" borderId="0" xfId="0" applyFill="1" applyAlignment="1" applyProtection="1">
      <alignment horizontal="center" vertical="center"/>
      <protection locked="0"/>
    </xf>
    <xf numFmtId="173" fontId="0" fillId="7" borderId="0" xfId="0" applyNumberFormat="1" applyFill="1" applyAlignment="1" applyProtection="1">
      <alignment horizontal="center" vertical="center"/>
      <protection locked="0"/>
    </xf>
    <xf numFmtId="173" fontId="25" fillId="7" borderId="0" xfId="0" applyNumberFormat="1" applyFont="1" applyFill="1" applyAlignment="1" applyProtection="1">
      <alignment vertical="center"/>
      <protection locked="0"/>
    </xf>
    <xf numFmtId="166" fontId="19" fillId="5" borderId="1" xfId="0" applyNumberFormat="1" applyFont="1" applyFill="1" applyBorder="1" applyAlignment="1">
      <alignment horizontal="center" vertical="center"/>
    </xf>
    <xf numFmtId="168" fontId="14" fillId="9" borderId="1" xfId="0" applyFont="1" applyFill="1" applyBorder="1" applyAlignment="1" applyProtection="1">
      <alignment horizontal="center" vertical="center"/>
    </xf>
    <xf numFmtId="168" fontId="18" fillId="7" borderId="1" xfId="22" applyNumberFormat="1" applyFont="1" applyFill="1" applyBorder="1" applyAlignment="1">
      <alignment horizontal="right"/>
    </xf>
    <xf numFmtId="168" fontId="14" fillId="9" borderId="18" xfId="0" applyFont="1" applyFill="1" applyBorder="1" applyAlignment="1" applyProtection="1">
      <alignment horizontal="center" vertical="center"/>
      <protection locked="0"/>
    </xf>
    <xf numFmtId="168" fontId="0" fillId="7" borderId="0" xfId="0" applyFill="1" applyBorder="1" applyAlignment="1" applyProtection="1">
      <alignment horizontal="left" vertical="center"/>
      <protection locked="0"/>
    </xf>
    <xf numFmtId="168" fontId="6" fillId="2" borderId="0" xfId="0" applyFont="1" applyFill="1" applyBorder="1" applyAlignment="1" applyProtection="1">
      <alignment vertical="center"/>
      <protection locked="0"/>
    </xf>
    <xf numFmtId="169" fontId="5" fillId="5" borderId="1" xfId="3" applyNumberFormat="1" applyFont="1" applyFill="1" applyBorder="1" applyAlignment="1">
      <alignment horizontal="center"/>
    </xf>
    <xf numFmtId="168" fontId="6" fillId="2" borderId="3" xfId="0" applyFont="1" applyFill="1" applyBorder="1" applyAlignment="1" applyProtection="1">
      <alignment vertical="center"/>
      <protection locked="0"/>
    </xf>
    <xf numFmtId="168" fontId="15" fillId="5" borderId="1" xfId="0" applyNumberFormat="1" applyFont="1" applyFill="1" applyBorder="1" applyAlignment="1" applyProtection="1">
      <alignment horizontal="center" vertical="center"/>
      <protection locked="0"/>
    </xf>
    <xf numFmtId="168" fontId="26" fillId="0" borderId="0" xfId="0" applyFont="1" applyBorder="1" applyAlignment="1" applyProtection="1">
      <alignment vertical="center"/>
      <protection locked="0"/>
    </xf>
    <xf numFmtId="168" fontId="26" fillId="7" borderId="0" xfId="0" applyFont="1" applyFill="1" applyBorder="1" applyAlignment="1" applyProtection="1">
      <alignment vertical="center"/>
      <protection locked="0"/>
    </xf>
    <xf numFmtId="168" fontId="8" fillId="9" borderId="10" xfId="0" applyFont="1" applyFill="1" applyBorder="1" applyAlignment="1" applyProtection="1">
      <alignment horizontal="center" vertical="center"/>
      <protection locked="0"/>
    </xf>
    <xf numFmtId="168" fontId="8" fillId="9" borderId="18" xfId="0" applyFont="1" applyFill="1" applyBorder="1" applyAlignment="1" applyProtection="1">
      <alignment horizontal="center" vertical="center"/>
      <protection locked="0"/>
    </xf>
    <xf numFmtId="168" fontId="8" fillId="9" borderId="1" xfId="0" applyFont="1" applyFill="1" applyBorder="1" applyAlignment="1" applyProtection="1">
      <alignment horizontal="center" vertical="center"/>
      <protection locked="0"/>
    </xf>
    <xf numFmtId="168" fontId="8" fillId="9" borderId="8" xfId="0" applyFont="1" applyFill="1" applyBorder="1" applyAlignment="1" applyProtection="1">
      <alignment horizontal="center" vertical="center"/>
      <protection locked="0"/>
    </xf>
    <xf numFmtId="168" fontId="0" fillId="0" borderId="0" xfId="0" applyAlignment="1">
      <alignment horizontal="center"/>
    </xf>
    <xf numFmtId="168" fontId="0" fillId="0" borderId="0" xfId="0" applyAlignment="1">
      <alignment horizontal="center"/>
    </xf>
    <xf numFmtId="166" fontId="5" fillId="8" borderId="1" xfId="0" applyNumberFormat="1" applyFont="1" applyFill="1" applyBorder="1" applyAlignment="1">
      <alignment horizontal="center"/>
    </xf>
    <xf numFmtId="166" fontId="5" fillId="5" borderId="1" xfId="0" applyNumberFormat="1" applyFont="1" applyFill="1" applyBorder="1" applyAlignment="1">
      <alignment horizontal="center"/>
    </xf>
    <xf numFmtId="168" fontId="8" fillId="7" borderId="1" xfId="0" applyFont="1" applyFill="1" applyBorder="1"/>
    <xf numFmtId="168" fontId="8" fillId="7" borderId="19" xfId="0" applyFont="1" applyFill="1" applyBorder="1"/>
    <xf numFmtId="166" fontId="5" fillId="8" borderId="19" xfId="0" applyNumberFormat="1" applyFont="1" applyFill="1" applyBorder="1" applyAlignment="1">
      <alignment horizontal="center"/>
    </xf>
    <xf numFmtId="168" fontId="8" fillId="9" borderId="1" xfId="0" applyFont="1" applyFill="1" applyBorder="1" applyAlignment="1">
      <alignment horizontal="center"/>
    </xf>
    <xf numFmtId="166" fontId="5" fillId="5" borderId="19" xfId="0" applyNumberFormat="1" applyFont="1" applyFill="1" applyBorder="1" applyAlignment="1">
      <alignment horizontal="center"/>
    </xf>
    <xf numFmtId="168" fontId="27" fillId="0" borderId="0" xfId="0" applyFont="1"/>
    <xf numFmtId="168" fontId="5" fillId="5" borderId="6" xfId="0" applyFont="1" applyFill="1" applyBorder="1" applyAlignment="1">
      <alignment horizontal="left" vertical="center"/>
    </xf>
    <xf numFmtId="168" fontId="5" fillId="5" borderId="7" xfId="0" applyFont="1" applyFill="1" applyBorder="1" applyAlignment="1">
      <alignment horizontal="left" vertical="center"/>
    </xf>
    <xf numFmtId="168" fontId="4" fillId="3" borderId="3" xfId="0" applyFont="1" applyFill="1" applyBorder="1" applyAlignment="1">
      <alignment vertical="center"/>
    </xf>
    <xf numFmtId="168" fontId="4" fillId="3" borderId="2" xfId="0" applyFont="1" applyFill="1" applyBorder="1" applyAlignment="1">
      <alignment horizontal="left" vertical="center"/>
    </xf>
    <xf numFmtId="168" fontId="4" fillId="3" borderId="6" xfId="0" applyFont="1" applyFill="1" applyBorder="1" applyAlignment="1">
      <alignment horizontal="left" vertical="center"/>
    </xf>
    <xf numFmtId="168" fontId="4" fillId="3" borderId="7" xfId="0" applyFont="1" applyFill="1" applyBorder="1" applyAlignment="1">
      <alignment horizontal="left" vertical="center"/>
    </xf>
    <xf numFmtId="168" fontId="4" fillId="3" borderId="8" xfId="0" applyFont="1" applyFill="1" applyBorder="1" applyAlignment="1">
      <alignment horizontal="left" vertical="center"/>
    </xf>
    <xf numFmtId="2" fontId="5" fillId="5" borderId="0" xfId="0" applyNumberFormat="1" applyFont="1" applyFill="1" applyAlignment="1" applyProtection="1">
      <alignment horizontal="center" vertical="center"/>
    </xf>
    <xf numFmtId="168" fontId="13" fillId="7" borderId="0" xfId="0" applyFont="1" applyFill="1" applyAlignment="1" applyProtection="1">
      <alignment horizontal="left" vertical="center"/>
      <protection locked="0"/>
    </xf>
    <xf numFmtId="168" fontId="5" fillId="5" borderId="20" xfId="0" applyFont="1" applyFill="1" applyBorder="1" applyAlignment="1">
      <alignment horizontal="center" vertical="center"/>
    </xf>
    <xf numFmtId="168" fontId="22" fillId="0" borderId="0" xfId="0" applyFont="1" applyFill="1"/>
    <xf numFmtId="9" fontId="8" fillId="9" borderId="21" xfId="3" applyFont="1" applyFill="1" applyBorder="1" applyAlignment="1">
      <alignment horizontal="center"/>
    </xf>
    <xf numFmtId="168" fontId="8" fillId="9" borderId="21" xfId="0" applyFont="1" applyFill="1" applyBorder="1" applyAlignment="1">
      <alignment horizontal="center"/>
    </xf>
    <xf numFmtId="1" fontId="0" fillId="11" borderId="22" xfId="3" applyNumberFormat="1" applyFont="1" applyFill="1" applyBorder="1" applyAlignment="1">
      <alignment horizontal="center"/>
    </xf>
    <xf numFmtId="164" fontId="0" fillId="11" borderId="22" xfId="2" applyNumberFormat="1" applyFont="1" applyFill="1" applyBorder="1"/>
    <xf numFmtId="171" fontId="0" fillId="11" borderId="22" xfId="3" applyNumberFormat="1" applyFont="1" applyFill="1" applyBorder="1"/>
    <xf numFmtId="1" fontId="5" fillId="5" borderId="20" xfId="3" applyNumberFormat="1" applyFont="1" applyFill="1" applyBorder="1" applyAlignment="1">
      <alignment horizontal="center"/>
    </xf>
    <xf numFmtId="171" fontId="5" fillId="5" borderId="20" xfId="3" applyNumberFormat="1" applyFont="1" applyFill="1" applyBorder="1"/>
    <xf numFmtId="164" fontId="5" fillId="5" borderId="20" xfId="2" applyNumberFormat="1" applyFont="1" applyFill="1" applyBorder="1"/>
    <xf numFmtId="168" fontId="5" fillId="5" borderId="20" xfId="0" applyFont="1" applyFill="1" applyBorder="1"/>
    <xf numFmtId="175" fontId="5" fillId="5" borderId="0" xfId="0" applyNumberFormat="1" applyFont="1" applyFill="1" applyAlignment="1" applyProtection="1">
      <alignment horizontal="center" vertical="center"/>
    </xf>
    <xf numFmtId="2" fontId="5" fillId="7" borderId="0" xfId="0" applyNumberFormat="1" applyFont="1" applyFill="1" applyAlignment="1" applyProtection="1">
      <alignment horizontal="center" vertical="center"/>
    </xf>
    <xf numFmtId="168" fontId="8" fillId="2" borderId="0" xfId="0" applyFont="1" applyFill="1" applyAlignment="1" applyProtection="1">
      <alignment horizontal="right" vertical="center"/>
    </xf>
    <xf numFmtId="168" fontId="8" fillId="2" borderId="0" xfId="0" applyFont="1" applyFill="1" applyAlignment="1" applyProtection="1">
      <alignment horizontal="center" vertical="center"/>
      <protection locked="0"/>
    </xf>
    <xf numFmtId="168" fontId="5" fillId="0" borderId="0" xfId="0" applyFont="1" applyAlignment="1">
      <alignment horizontal="right"/>
    </xf>
    <xf numFmtId="168" fontId="5" fillId="0" borderId="0" xfId="0" applyFont="1" applyBorder="1" applyAlignment="1">
      <alignment horizontal="right"/>
    </xf>
    <xf numFmtId="166" fontId="8" fillId="10" borderId="1" xfId="2" applyNumberFormat="1" applyFont="1" applyFill="1" applyBorder="1" applyAlignment="1" applyProtection="1">
      <alignment horizontal="right" vertical="center"/>
    </xf>
    <xf numFmtId="168" fontId="29" fillId="9" borderId="1" xfId="0" applyFont="1" applyFill="1" applyBorder="1" applyAlignment="1" applyProtection="1">
      <alignment horizontal="right" vertical="center"/>
    </xf>
    <xf numFmtId="165" fontId="29" fillId="9" borderId="1" xfId="1" applyFont="1" applyFill="1" applyBorder="1" applyAlignment="1" applyProtection="1">
      <alignment horizontal="right" vertical="center"/>
    </xf>
    <xf numFmtId="168" fontId="30" fillId="0" borderId="0" xfId="0" applyFont="1" applyFill="1" applyAlignment="1">
      <alignment horizontal="center" vertical="center"/>
    </xf>
    <xf numFmtId="176" fontId="8" fillId="7" borderId="1" xfId="0" applyNumberFormat="1" applyFont="1" applyFill="1" applyBorder="1" applyAlignment="1" applyProtection="1">
      <alignment horizontal="right"/>
    </xf>
    <xf numFmtId="166" fontId="8" fillId="9" borderId="1" xfId="2" applyNumberFormat="1" applyFont="1" applyFill="1" applyBorder="1" applyAlignment="1" applyProtection="1">
      <alignment horizontal="right" vertical="center"/>
    </xf>
    <xf numFmtId="168" fontId="0" fillId="0" borderId="0" xfId="0" applyAlignment="1">
      <alignment horizontal="right"/>
    </xf>
    <xf numFmtId="176" fontId="31" fillId="8" borderId="1" xfId="0" applyNumberFormat="1" applyFont="1" applyFill="1" applyBorder="1" applyAlignment="1" applyProtection="1">
      <alignment horizontal="right"/>
    </xf>
    <xf numFmtId="166" fontId="5" fillId="8" borderId="1" xfId="2" applyNumberFormat="1" applyFont="1" applyFill="1" applyBorder="1" applyAlignment="1" applyProtection="1">
      <alignment horizontal="right"/>
    </xf>
    <xf numFmtId="168" fontId="3" fillId="0" borderId="0" xfId="0" applyFont="1" applyFill="1" applyAlignment="1">
      <alignment horizontal="right"/>
    </xf>
    <xf numFmtId="168" fontId="5" fillId="0" borderId="0" xfId="0" applyFont="1" applyBorder="1" applyAlignment="1" applyProtection="1">
      <alignment horizontal="right"/>
    </xf>
    <xf numFmtId="168" fontId="8" fillId="7" borderId="1" xfId="0" applyFont="1" applyFill="1" applyBorder="1" applyAlignment="1" applyProtection="1">
      <alignment horizontal="right"/>
    </xf>
    <xf numFmtId="168" fontId="29" fillId="10" borderId="1" xfId="0" applyFont="1" applyFill="1" applyBorder="1" applyAlignment="1" applyProtection="1">
      <alignment horizontal="right"/>
    </xf>
    <xf numFmtId="168" fontId="16" fillId="0" borderId="0" xfId="0" applyFont="1" applyFill="1" applyAlignment="1">
      <alignment horizontal="right"/>
    </xf>
    <xf numFmtId="168" fontId="31" fillId="0" borderId="0" xfId="0" applyFont="1" applyFill="1" applyBorder="1" applyAlignment="1" applyProtection="1"/>
    <xf numFmtId="168" fontId="29" fillId="9" borderId="6" xfId="0" applyFont="1" applyFill="1" applyBorder="1" applyAlignment="1" applyProtection="1">
      <alignment horizontal="right" vertical="center"/>
    </xf>
    <xf numFmtId="165" fontId="8" fillId="9" borderId="7" xfId="1" applyFont="1" applyFill="1" applyBorder="1" applyAlignment="1" applyProtection="1">
      <alignment horizontal="right"/>
    </xf>
    <xf numFmtId="165" fontId="8" fillId="9" borderId="8" xfId="1" applyFont="1" applyFill="1" applyBorder="1" applyAlignment="1" applyProtection="1">
      <alignment horizontal="right"/>
    </xf>
    <xf numFmtId="168" fontId="8" fillId="2" borderId="0" xfId="0" applyFont="1" applyFill="1" applyAlignment="1" applyProtection="1">
      <alignment horizontal="right" vertical="center"/>
    </xf>
    <xf numFmtId="168" fontId="5" fillId="9" borderId="7" xfId="0" applyNumberFormat="1" applyFont="1" applyFill="1" applyBorder="1" applyAlignment="1" applyProtection="1">
      <alignment horizontal="right"/>
    </xf>
    <xf numFmtId="168" fontId="8" fillId="9" borderId="7" xfId="0" applyNumberFormat="1" applyFont="1" applyFill="1" applyBorder="1" applyAlignment="1" applyProtection="1">
      <alignment horizontal="right"/>
    </xf>
    <xf numFmtId="168" fontId="29" fillId="9" borderId="7" xfId="0" applyNumberFormat="1" applyFont="1" applyFill="1" applyBorder="1" applyAlignment="1" applyProtection="1">
      <alignment horizontal="right"/>
    </xf>
    <xf numFmtId="168" fontId="8" fillId="9" borderId="15" xfId="0" applyNumberFormat="1" applyFont="1" applyFill="1" applyBorder="1" applyAlignment="1" applyProtection="1">
      <alignment horizontal="right"/>
    </xf>
    <xf numFmtId="166" fontId="8" fillId="9" borderId="5" xfId="1" applyNumberFormat="1" applyFont="1" applyFill="1" applyBorder="1" applyAlignment="1" applyProtection="1">
      <alignment horizontal="center" vertical="center"/>
    </xf>
    <xf numFmtId="168" fontId="29" fillId="9" borderId="1" xfId="0" applyFont="1" applyFill="1" applyBorder="1" applyAlignment="1" applyProtection="1">
      <alignment horizontal="center" vertical="center"/>
    </xf>
    <xf numFmtId="168" fontId="0" fillId="0" borderId="0" xfId="0" applyAlignment="1">
      <alignment horizontal="center"/>
    </xf>
    <xf numFmtId="168" fontId="13" fillId="7" borderId="0" xfId="0" applyFont="1" applyFill="1" applyAlignment="1" applyProtection="1">
      <alignment vertical="center"/>
      <protection locked="0"/>
    </xf>
    <xf numFmtId="168" fontId="8" fillId="2" borderId="0" xfId="0" applyFont="1" applyFill="1" applyAlignment="1" applyProtection="1">
      <alignment horizontal="right" vertical="center"/>
    </xf>
    <xf numFmtId="168" fontId="8" fillId="7" borderId="0" xfId="0" applyFont="1" applyFill="1" applyAlignment="1" applyProtection="1">
      <alignment horizontal="right" vertical="center"/>
      <protection locked="0"/>
    </xf>
    <xf numFmtId="166" fontId="5" fillId="5" borderId="0" xfId="1" applyNumberFormat="1" applyFont="1" applyFill="1" applyProtection="1">
      <protection locked="0"/>
    </xf>
    <xf numFmtId="166" fontId="15" fillId="5" borderId="0" xfId="1" applyNumberFormat="1" applyFont="1" applyFill="1" applyAlignment="1" applyProtection="1">
      <alignment horizontal="right" vertical="center"/>
      <protection locked="0"/>
    </xf>
    <xf numFmtId="166" fontId="5" fillId="5" borderId="0" xfId="1" applyNumberFormat="1" applyFont="1" applyFill="1" applyAlignment="1" applyProtection="1">
      <alignment horizontal="right" vertical="center"/>
      <protection locked="0"/>
    </xf>
    <xf numFmtId="166" fontId="5" fillId="8" borderId="0" xfId="1" applyNumberFormat="1" applyFont="1" applyFill="1" applyAlignment="1" applyProtection="1">
      <alignment horizontal="right" vertical="center"/>
      <protection locked="0"/>
    </xf>
    <xf numFmtId="166" fontId="5" fillId="5" borderId="0" xfId="3" applyNumberFormat="1" applyFont="1" applyFill="1" applyAlignment="1" applyProtection="1">
      <alignment horizontal="right" vertical="center"/>
      <protection locked="0"/>
    </xf>
    <xf numFmtId="168" fontId="8" fillId="2" borderId="0" xfId="0" applyFont="1" applyFill="1" applyAlignment="1" applyProtection="1">
      <alignment horizontal="right" vertical="center"/>
    </xf>
    <xf numFmtId="168" fontId="8" fillId="2" borderId="0" xfId="0" applyFont="1" applyFill="1" applyAlignment="1" applyProtection="1">
      <alignment horizontal="center" vertical="center"/>
    </xf>
    <xf numFmtId="168" fontId="8" fillId="2" borderId="0" xfId="0" applyFont="1" applyFill="1" applyAlignment="1" applyProtection="1">
      <alignment horizontal="right" vertical="center"/>
    </xf>
    <xf numFmtId="174" fontId="5" fillId="5" borderId="0" xfId="0" applyNumberFormat="1" applyFont="1" applyFill="1" applyAlignment="1" applyProtection="1">
      <alignment horizontal="center" vertical="center"/>
    </xf>
    <xf numFmtId="166" fontId="5" fillId="5" borderId="0" xfId="0" applyNumberFormat="1" applyFont="1" applyFill="1" applyAlignment="1" applyProtection="1">
      <alignment horizontal="center" vertical="center"/>
    </xf>
    <xf numFmtId="168" fontId="0" fillId="7" borderId="0" xfId="0" applyFill="1" applyAlignment="1" applyProtection="1">
      <alignment horizontal="center" vertical="center"/>
      <protection locked="0"/>
    </xf>
    <xf numFmtId="174" fontId="5" fillId="5" borderId="0" xfId="0" applyNumberFormat="1" applyFont="1" applyFill="1" applyAlignment="1" applyProtection="1">
      <alignment horizontal="center" vertical="center"/>
      <protection locked="0"/>
    </xf>
    <xf numFmtId="166" fontId="15" fillId="9" borderId="1" xfId="2" applyNumberFormat="1" applyFont="1" applyFill="1" applyBorder="1" applyAlignment="1" applyProtection="1">
      <alignment horizontal="right" vertical="center"/>
    </xf>
    <xf numFmtId="168" fontId="12" fillId="2" borderId="0" xfId="0" applyFont="1" applyFill="1" applyAlignment="1" applyProtection="1">
      <alignment horizontal="right" vertical="center"/>
    </xf>
    <xf numFmtId="168" fontId="12" fillId="7" borderId="0" xfId="0" applyFont="1" applyFill="1" applyAlignment="1" applyProtection="1">
      <alignment horizontal="right" vertical="center"/>
    </xf>
    <xf numFmtId="166" fontId="5" fillId="8" borderId="0" xfId="2" applyNumberFormat="1" applyFont="1" applyFill="1" applyAlignment="1" applyProtection="1">
      <alignment horizontal="right"/>
      <protection locked="0"/>
    </xf>
    <xf numFmtId="172" fontId="0" fillId="0" borderId="1" xfId="0" applyNumberFormat="1" applyFill="1" applyBorder="1" applyAlignment="1" applyProtection="1">
      <alignment horizontal="center" vertical="top"/>
      <protection locked="0"/>
    </xf>
    <xf numFmtId="168" fontId="13" fillId="0" borderId="0" xfId="0" applyFont="1" applyFill="1" applyAlignment="1" applyProtection="1">
      <alignment vertical="center"/>
      <protection locked="0"/>
    </xf>
    <xf numFmtId="168" fontId="12" fillId="0" borderId="0" xfId="0" applyFont="1" applyFill="1" applyAlignment="1" applyProtection="1">
      <alignment horizontal="center" vertical="center"/>
      <protection locked="0"/>
    </xf>
    <xf numFmtId="168" fontId="26" fillId="0" borderId="0" xfId="0" applyFont="1" applyFill="1" applyBorder="1" applyAlignment="1" applyProtection="1">
      <alignment vertical="center"/>
      <protection locked="0"/>
    </xf>
    <xf numFmtId="168" fontId="8" fillId="2" borderId="0" xfId="0" applyFont="1" applyFill="1" applyAlignment="1" applyProtection="1">
      <alignment vertical="center"/>
    </xf>
    <xf numFmtId="168" fontId="6" fillId="7" borderId="0" xfId="0" applyFont="1" applyFill="1" applyAlignment="1" applyProtection="1">
      <alignment horizontal="center" vertical="center"/>
      <protection locked="0"/>
    </xf>
    <xf numFmtId="168" fontId="13" fillId="7" borderId="0" xfId="0" applyFont="1" applyFill="1" applyAlignment="1" applyProtection="1">
      <alignment horizontal="center" vertical="center"/>
      <protection locked="0"/>
    </xf>
    <xf numFmtId="168" fontId="8" fillId="7" borderId="0" xfId="0" applyFont="1" applyFill="1" applyAlignment="1" applyProtection="1">
      <alignment horizontal="center" vertical="center"/>
      <protection locked="0"/>
    </xf>
    <xf numFmtId="168" fontId="8" fillId="7" borderId="0" xfId="0" applyFont="1" applyFill="1" applyBorder="1" applyAlignment="1" applyProtection="1">
      <alignment horizontal="center" vertical="center"/>
      <protection locked="0"/>
    </xf>
    <xf numFmtId="168" fontId="17" fillId="7" borderId="0" xfId="0" applyFont="1" applyFill="1" applyBorder="1" applyAlignment="1" applyProtection="1">
      <alignment vertical="center"/>
      <protection locked="0"/>
    </xf>
    <xf numFmtId="168" fontId="15" fillId="7" borderId="0" xfId="0" applyFont="1" applyFill="1" applyBorder="1" applyAlignment="1" applyProtection="1">
      <alignment horizontal="center" vertical="center"/>
      <protection locked="0"/>
    </xf>
    <xf numFmtId="168" fontId="3" fillId="7" borderId="0" xfId="0" applyFont="1" applyFill="1" applyBorder="1" applyAlignment="1" applyProtection="1">
      <alignment vertical="center"/>
      <protection locked="0"/>
    </xf>
    <xf numFmtId="10" fontId="5" fillId="7" borderId="0" xfId="0" applyNumberFormat="1" applyFont="1" applyFill="1" applyAlignment="1" applyProtection="1">
      <alignment vertical="center"/>
    </xf>
    <xf numFmtId="168" fontId="8" fillId="7" borderId="0" xfId="0" applyFont="1" applyFill="1" applyAlignment="1" applyProtection="1">
      <alignment vertical="center"/>
    </xf>
    <xf numFmtId="10" fontId="5" fillId="7" borderId="0" xfId="0" applyNumberFormat="1" applyFont="1" applyFill="1" applyAlignment="1" applyProtection="1">
      <alignment horizontal="center" vertical="center"/>
    </xf>
    <xf numFmtId="168" fontId="33" fillId="7" borderId="0" xfId="0" applyFont="1" applyFill="1" applyAlignment="1" applyProtection="1">
      <alignment vertical="center"/>
      <protection locked="0"/>
    </xf>
    <xf numFmtId="168" fontId="33" fillId="7" borderId="0" xfId="18" applyFont="1" applyFill="1" applyAlignment="1" applyProtection="1">
      <alignment horizontal="center" vertical="center"/>
      <protection locked="0"/>
    </xf>
    <xf numFmtId="177" fontId="5" fillId="5" borderId="0" xfId="0" applyNumberFormat="1" applyFont="1" applyFill="1" applyAlignment="1" applyProtection="1">
      <alignment horizontal="center" vertical="center"/>
      <protection locked="0"/>
    </xf>
    <xf numFmtId="178" fontId="12" fillId="7" borderId="0" xfId="1" applyNumberFormat="1" applyFont="1" applyFill="1" applyAlignment="1" applyProtection="1">
      <alignment horizontal="center" vertical="center"/>
      <protection locked="0"/>
    </xf>
    <xf numFmtId="177" fontId="12" fillId="2" borderId="0" xfId="0" applyNumberFormat="1" applyFont="1" applyFill="1" applyAlignment="1" applyProtection="1">
      <alignment horizontal="center" vertical="center"/>
    </xf>
    <xf numFmtId="178" fontId="12" fillId="2" borderId="0" xfId="0" applyNumberFormat="1" applyFont="1" applyFill="1" applyAlignment="1" applyProtection="1">
      <alignment horizontal="center" vertical="center"/>
    </xf>
    <xf numFmtId="178" fontId="5" fillId="5" borderId="0" xfId="3" applyNumberFormat="1" applyFont="1" applyFill="1" applyAlignment="1" applyProtection="1">
      <alignment horizontal="right"/>
    </xf>
    <xf numFmtId="178" fontId="5" fillId="5" borderId="0" xfId="3" applyNumberFormat="1" applyFont="1" applyFill="1" applyAlignment="1" applyProtection="1">
      <alignment horizontal="right" vertical="center"/>
    </xf>
    <xf numFmtId="178" fontId="5" fillId="5" borderId="0" xfId="0" applyNumberFormat="1" applyFont="1" applyFill="1" applyAlignment="1" applyProtection="1">
      <alignment horizontal="center" vertical="center"/>
    </xf>
    <xf numFmtId="178" fontId="12" fillId="2" borderId="0" xfId="0" applyNumberFormat="1" applyFont="1" applyFill="1" applyAlignment="1" applyProtection="1">
      <alignment horizontal="center" vertical="center"/>
      <protection locked="0"/>
    </xf>
    <xf numFmtId="166" fontId="5" fillId="7" borderId="0" xfId="1" applyNumberFormat="1" applyFont="1" applyFill="1" applyProtection="1">
      <protection locked="0"/>
    </xf>
    <xf numFmtId="166" fontId="5" fillId="7" borderId="0" xfId="1" applyNumberFormat="1" applyFont="1" applyFill="1" applyAlignment="1" applyProtection="1">
      <alignment horizontal="right" vertical="center"/>
      <protection locked="0"/>
    </xf>
    <xf numFmtId="10" fontId="5" fillId="5" borderId="1" xfId="0" applyNumberFormat="1" applyFont="1" applyFill="1" applyBorder="1" applyAlignment="1" applyProtection="1">
      <alignment horizontal="center" vertical="center"/>
      <protection locked="0"/>
    </xf>
    <xf numFmtId="165" fontId="34" fillId="7" borderId="0" xfId="18" applyNumberFormat="1" applyFont="1" applyFill="1" applyAlignment="1" applyProtection="1">
      <alignment horizontal="center" vertical="center"/>
      <protection locked="0"/>
    </xf>
    <xf numFmtId="178" fontId="5" fillId="5" borderId="6" xfId="0" applyNumberFormat="1" applyFont="1" applyFill="1" applyBorder="1" applyAlignment="1">
      <alignment horizontal="right" vertical="center"/>
    </xf>
    <xf numFmtId="178" fontId="7" fillId="6" borderId="1" xfId="0" applyNumberFormat="1" applyFont="1" applyFill="1" applyBorder="1" applyAlignment="1">
      <alignment horizontal="right" vertical="center"/>
    </xf>
    <xf numFmtId="168" fontId="0" fillId="7" borderId="0" xfId="0" applyFill="1" applyAlignment="1" applyProtection="1">
      <alignment horizontal="center" vertical="center"/>
      <protection locked="0"/>
    </xf>
    <xf numFmtId="4" fontId="36" fillId="7" borderId="0" xfId="18" applyNumberFormat="1" applyFont="1" applyFill="1" applyBorder="1" applyAlignment="1">
      <alignment horizontal="left" vertical="center"/>
    </xf>
    <xf numFmtId="179" fontId="7" fillId="5" borderId="0" xfId="0" applyNumberFormat="1" applyFont="1" applyFill="1" applyAlignment="1" applyProtection="1">
      <alignment horizontal="right" vertical="center"/>
    </xf>
    <xf numFmtId="168" fontId="35" fillId="7" borderId="0" xfId="18" applyFont="1" applyFill="1" applyAlignment="1" applyProtection="1">
      <alignment vertical="center"/>
      <protection locked="0"/>
    </xf>
    <xf numFmtId="168" fontId="37" fillId="7" borderId="0" xfId="18" applyFont="1" applyFill="1" applyAlignment="1" applyProtection="1">
      <alignment vertical="center"/>
      <protection locked="0"/>
    </xf>
    <xf numFmtId="166" fontId="8" fillId="10" borderId="1" xfId="0" applyNumberFormat="1" applyFont="1" applyFill="1" applyBorder="1" applyAlignment="1" applyProtection="1">
      <alignment horizontal="center" vertical="center"/>
      <protection locked="0"/>
    </xf>
    <xf numFmtId="168" fontId="12" fillId="9" borderId="8" xfId="0" applyFont="1" applyFill="1" applyBorder="1" applyAlignment="1" applyProtection="1">
      <alignment horizontal="center" vertical="center"/>
      <protection locked="0"/>
    </xf>
    <xf numFmtId="176" fontId="3" fillId="7" borderId="0" xfId="0" applyNumberFormat="1" applyFont="1" applyFill="1" applyBorder="1" applyAlignment="1">
      <alignment horizontal="center"/>
    </xf>
    <xf numFmtId="176" fontId="3" fillId="7" borderId="0" xfId="1" applyNumberFormat="1" applyFont="1" applyFill="1" applyAlignment="1" applyProtection="1">
      <alignment horizontal="left"/>
      <protection locked="0"/>
    </xf>
    <xf numFmtId="166" fontId="3" fillId="7" borderId="0" xfId="0" applyNumberFormat="1" applyFont="1" applyFill="1" applyBorder="1" applyAlignment="1">
      <alignment horizontal="left"/>
    </xf>
    <xf numFmtId="176" fontId="3" fillId="7" borderId="0" xfId="0" applyNumberFormat="1" applyFont="1" applyFill="1" applyBorder="1" applyAlignment="1">
      <alignment horizontal="left"/>
    </xf>
    <xf numFmtId="166" fontId="3" fillId="7" borderId="0" xfId="0" applyNumberFormat="1" applyFont="1" applyFill="1" applyAlignment="1" applyProtection="1">
      <alignment vertical="center"/>
      <protection locked="0"/>
    </xf>
    <xf numFmtId="167" fontId="5" fillId="7" borderId="0" xfId="0" applyNumberFormat="1" applyFont="1" applyFill="1" applyBorder="1" applyAlignment="1">
      <alignment vertical="center"/>
    </xf>
    <xf numFmtId="168" fontId="3" fillId="7" borderId="0" xfId="0" applyFont="1" applyFill="1" applyBorder="1" applyAlignment="1">
      <alignment horizontal="right"/>
    </xf>
    <xf numFmtId="168" fontId="38" fillId="7" borderId="0" xfId="18" applyFont="1" applyFill="1" applyAlignment="1" applyProtection="1">
      <alignment vertical="center"/>
      <protection locked="0"/>
    </xf>
    <xf numFmtId="168" fontId="30" fillId="4" borderId="0" xfId="0" applyFont="1" applyFill="1" applyAlignment="1">
      <alignment horizontal="center" vertical="center"/>
    </xf>
    <xf numFmtId="168" fontId="29" fillId="9" borderId="15" xfId="0" applyNumberFormat="1" applyFont="1" applyFill="1" applyBorder="1" applyAlignment="1" applyProtection="1">
      <alignment horizontal="right"/>
    </xf>
    <xf numFmtId="168" fontId="29" fillId="9" borderId="7" xfId="0" applyFont="1" applyFill="1" applyBorder="1" applyAlignment="1" applyProtection="1">
      <alignment horizontal="right" vertical="center"/>
    </xf>
    <xf numFmtId="10" fontId="5" fillId="5" borderId="1" xfId="0" applyNumberFormat="1" applyFont="1" applyFill="1" applyBorder="1" applyAlignment="1" applyProtection="1">
      <alignment horizontal="center" vertical="center"/>
    </xf>
    <xf numFmtId="166" fontId="8" fillId="9" borderId="8" xfId="2" applyNumberFormat="1" applyFont="1" applyFill="1" applyBorder="1" applyAlignment="1" applyProtection="1">
      <alignment vertical="center"/>
    </xf>
    <xf numFmtId="168" fontId="5" fillId="0" borderId="0" xfId="0" applyFont="1" applyFill="1" applyBorder="1" applyAlignment="1" applyProtection="1">
      <alignment horizontal="right"/>
    </xf>
    <xf numFmtId="168" fontId="5" fillId="4" borderId="7" xfId="0" applyNumberFormat="1" applyFont="1" applyFill="1" applyBorder="1" applyAlignment="1" applyProtection="1"/>
    <xf numFmtId="168" fontId="31" fillId="4" borderId="7" xfId="0" applyFont="1" applyFill="1" applyBorder="1" applyAlignment="1" applyProtection="1"/>
    <xf numFmtId="165" fontId="29" fillId="4" borderId="6" xfId="1" applyFont="1" applyFill="1" applyBorder="1" applyAlignment="1" applyProtection="1">
      <alignment vertical="center"/>
    </xf>
    <xf numFmtId="165" fontId="29" fillId="4" borderId="7" xfId="1" applyFont="1" applyFill="1" applyBorder="1" applyAlignment="1" applyProtection="1">
      <alignment vertical="center"/>
    </xf>
    <xf numFmtId="165" fontId="29" fillId="4" borderId="8" xfId="1" applyFont="1" applyFill="1" applyBorder="1" applyAlignment="1" applyProtection="1">
      <alignment vertical="center"/>
    </xf>
    <xf numFmtId="168" fontId="5" fillId="4" borderId="7" xfId="0" applyFont="1" applyFill="1" applyBorder="1" applyAlignment="1" applyProtection="1"/>
    <xf numFmtId="168" fontId="8" fillId="0" borderId="0" xfId="0" applyFont="1" applyFill="1" applyBorder="1" applyAlignment="1" applyProtection="1">
      <alignment horizontal="right"/>
    </xf>
    <xf numFmtId="168" fontId="12" fillId="7" borderId="1" xfId="0" applyFont="1" applyFill="1" applyBorder="1" applyAlignment="1" applyProtection="1">
      <alignment horizontal="right"/>
    </xf>
    <xf numFmtId="176" fontId="12" fillId="7" borderId="1" xfId="0" applyNumberFormat="1" applyFont="1" applyFill="1" applyBorder="1" applyAlignment="1" applyProtection="1">
      <alignment horizontal="right"/>
    </xf>
    <xf numFmtId="168" fontId="8" fillId="9" borderId="19" xfId="0" applyFont="1" applyFill="1" applyBorder="1" applyAlignment="1" applyProtection="1">
      <alignment horizontal="center" vertical="center"/>
    </xf>
    <xf numFmtId="168" fontId="29" fillId="10" borderId="1" xfId="0" applyFont="1" applyFill="1" applyBorder="1" applyAlignment="1" applyProtection="1">
      <alignment horizontal="center" vertical="center"/>
    </xf>
    <xf numFmtId="10" fontId="5" fillId="5" borderId="0" xfId="2" applyNumberFormat="1" applyFont="1" applyFill="1" applyAlignment="1" applyProtection="1">
      <alignment horizontal="right" vertical="center"/>
      <protection locked="0"/>
    </xf>
    <xf numFmtId="10" fontId="5" fillId="5" borderId="0" xfId="0" applyNumberFormat="1" applyFont="1" applyFill="1" applyAlignment="1" applyProtection="1">
      <alignment horizontal="right" vertical="center"/>
    </xf>
    <xf numFmtId="168" fontId="7" fillId="5" borderId="6" xfId="0" applyFont="1" applyFill="1" applyBorder="1" applyAlignment="1" applyProtection="1">
      <alignment vertical="center"/>
      <protection locked="0"/>
    </xf>
    <xf numFmtId="168" fontId="7" fillId="5" borderId="7" xfId="0" applyFont="1" applyFill="1" applyBorder="1" applyAlignment="1" applyProtection="1">
      <alignment vertical="center"/>
      <protection locked="0"/>
    </xf>
    <xf numFmtId="168" fontId="7" fillId="5" borderId="8" xfId="0" applyFont="1" applyFill="1" applyBorder="1" applyAlignment="1" applyProtection="1">
      <alignment vertical="center"/>
      <protection locked="0"/>
    </xf>
    <xf numFmtId="168" fontId="3" fillId="4" borderId="6" xfId="0" applyFont="1" applyFill="1" applyBorder="1" applyAlignment="1" applyProtection="1">
      <alignment vertical="center"/>
      <protection locked="0"/>
    </xf>
    <xf numFmtId="168" fontId="3" fillId="4" borderId="7" xfId="0" applyFont="1" applyFill="1" applyBorder="1" applyAlignment="1" applyProtection="1">
      <alignment vertical="center"/>
      <protection locked="0"/>
    </xf>
    <xf numFmtId="168" fontId="3" fillId="4" borderId="8" xfId="0" applyFont="1" applyFill="1" applyBorder="1" applyAlignment="1" applyProtection="1">
      <alignment vertical="center"/>
      <protection locked="0"/>
    </xf>
    <xf numFmtId="168" fontId="28" fillId="4" borderId="11" xfId="0" applyFont="1" applyFill="1" applyBorder="1" applyAlignment="1" applyProtection="1">
      <alignment vertical="center"/>
      <protection locked="0"/>
    </xf>
    <xf numFmtId="168" fontId="28" fillId="4" borderId="15" xfId="0" applyFont="1" applyFill="1" applyBorder="1" applyAlignment="1" applyProtection="1">
      <alignment vertical="center"/>
      <protection locked="0"/>
    </xf>
    <xf numFmtId="168" fontId="28" fillId="4" borderId="18" xfId="0" applyFont="1" applyFill="1" applyBorder="1" applyAlignment="1" applyProtection="1">
      <alignment vertical="center"/>
      <protection locked="0"/>
    </xf>
    <xf numFmtId="168" fontId="3" fillId="4" borderId="17" xfId="0" applyFont="1" applyFill="1" applyBorder="1" applyAlignment="1" applyProtection="1">
      <alignment vertical="center"/>
      <protection locked="0"/>
    </xf>
    <xf numFmtId="168" fontId="3" fillId="4" borderId="0" xfId="0" applyFont="1" applyFill="1" applyBorder="1" applyAlignment="1" applyProtection="1">
      <alignment vertical="center"/>
      <protection locked="0"/>
    </xf>
    <xf numFmtId="168" fontId="3" fillId="4" borderId="4" xfId="0" applyFont="1" applyFill="1" applyBorder="1" applyAlignment="1" applyProtection="1">
      <alignment vertical="center"/>
      <protection locked="0"/>
    </xf>
    <xf numFmtId="168" fontId="3" fillId="4" borderId="2" xfId="0" applyFont="1" applyFill="1" applyBorder="1" applyAlignment="1" applyProtection="1">
      <alignment vertical="center"/>
      <protection locked="0"/>
    </xf>
    <xf numFmtId="168" fontId="3" fillId="4" borderId="3" xfId="0" applyFont="1" applyFill="1" applyBorder="1" applyAlignment="1" applyProtection="1">
      <alignment vertical="center"/>
      <protection locked="0"/>
    </xf>
    <xf numFmtId="168" fontId="3" fillId="4" borderId="9" xfId="0" applyFont="1" applyFill="1" applyBorder="1" applyAlignment="1" applyProtection="1">
      <alignment vertical="center"/>
      <protection locked="0"/>
    </xf>
    <xf numFmtId="168" fontId="3" fillId="0" borderId="6" xfId="0" applyFont="1" applyBorder="1" applyAlignment="1" applyProtection="1">
      <alignment vertical="center"/>
      <protection locked="0"/>
    </xf>
    <xf numFmtId="168" fontId="3" fillId="0" borderId="7" xfId="0" applyFont="1" applyBorder="1" applyAlignment="1" applyProtection="1">
      <alignment vertical="center"/>
      <protection locked="0"/>
    </xf>
    <xf numFmtId="168" fontId="3" fillId="0" borderId="8" xfId="0" applyFont="1" applyBorder="1" applyAlignment="1" applyProtection="1">
      <alignment vertical="center"/>
      <protection locked="0"/>
    </xf>
    <xf numFmtId="168" fontId="8" fillId="7" borderId="0" xfId="0" applyFont="1" applyFill="1" applyBorder="1" applyAlignment="1">
      <alignment horizontal="left" vertical="center"/>
    </xf>
    <xf numFmtId="166" fontId="5" fillId="7" borderId="0" xfId="2" applyNumberFormat="1" applyFont="1" applyFill="1" applyBorder="1" applyAlignment="1">
      <alignment horizontal="center" vertical="center" wrapText="1"/>
    </xf>
    <xf numFmtId="168" fontId="8" fillId="7" borderId="0" xfId="0" applyFont="1" applyFill="1" applyBorder="1" applyAlignment="1" applyProtection="1">
      <alignment horizontal="left" vertical="center"/>
      <protection locked="0"/>
    </xf>
    <xf numFmtId="168" fontId="0" fillId="7" borderId="0" xfId="0" applyFill="1" applyProtection="1">
      <protection locked="0"/>
    </xf>
    <xf numFmtId="10" fontId="5" fillId="8" borderId="1" xfId="1" applyNumberFormat="1" applyFont="1" applyFill="1" applyBorder="1" applyAlignment="1" applyProtection="1">
      <alignment horizontal="center" vertical="center"/>
    </xf>
    <xf numFmtId="168" fontId="8" fillId="9" borderId="4" xfId="0" applyFont="1" applyFill="1" applyBorder="1" applyAlignment="1" applyProtection="1">
      <alignment horizontal="center" vertical="center"/>
      <protection locked="0"/>
    </xf>
    <xf numFmtId="178" fontId="7" fillId="6" borderId="6" xfId="0" applyNumberFormat="1" applyFont="1" applyFill="1" applyBorder="1" applyAlignment="1">
      <alignment horizontal="right" vertical="center"/>
    </xf>
    <xf numFmtId="168" fontId="8" fillId="2" borderId="1" xfId="0" applyFont="1" applyFill="1" applyBorder="1" applyAlignment="1" applyProtection="1">
      <alignment horizontal="center" vertical="center"/>
      <protection locked="0"/>
    </xf>
    <xf numFmtId="168" fontId="6" fillId="2" borderId="11" xfId="0" applyFont="1" applyFill="1" applyBorder="1" applyAlignment="1" applyProtection="1">
      <alignment horizontal="center" vertical="center"/>
      <protection locked="0"/>
    </xf>
    <xf numFmtId="168" fontId="0" fillId="7" borderId="0" xfId="0" applyFill="1"/>
    <xf numFmtId="168" fontId="3" fillId="7" borderId="0" xfId="0" applyFont="1" applyFill="1"/>
    <xf numFmtId="168" fontId="39" fillId="7" borderId="0" xfId="0" applyFont="1" applyFill="1" applyBorder="1" applyAlignment="1" applyProtection="1">
      <alignment vertical="center"/>
      <protection locked="0"/>
    </xf>
    <xf numFmtId="168" fontId="15" fillId="7" borderId="0" xfId="0" applyFont="1" applyFill="1" applyBorder="1" applyAlignment="1" applyProtection="1">
      <alignment vertical="center"/>
      <protection locked="0"/>
    </xf>
    <xf numFmtId="10" fontId="15" fillId="7" borderId="0" xfId="0" applyNumberFormat="1" applyFont="1" applyFill="1" applyBorder="1" applyAlignment="1" applyProtection="1">
      <alignment horizontal="center" vertical="center"/>
      <protection locked="0"/>
    </xf>
    <xf numFmtId="168" fontId="15" fillId="7" borderId="0" xfId="0" applyNumberFormat="1" applyFont="1" applyFill="1" applyBorder="1" applyAlignment="1" applyProtection="1">
      <alignment horizontal="center" vertical="center"/>
      <protection locked="0"/>
    </xf>
    <xf numFmtId="168" fontId="5" fillId="5" borderId="7" xfId="0" applyFont="1" applyFill="1" applyBorder="1" applyAlignment="1">
      <alignment vertical="center"/>
    </xf>
    <xf numFmtId="168" fontId="5" fillId="5" borderId="8" xfId="0" applyFont="1" applyFill="1" applyBorder="1" applyAlignment="1">
      <alignment vertical="center"/>
    </xf>
    <xf numFmtId="0" fontId="15" fillId="8" borderId="0" xfId="0" applyNumberFormat="1" applyFont="1" applyFill="1" applyAlignment="1" applyProtection="1">
      <alignment horizontal="right" vertical="center"/>
    </xf>
    <xf numFmtId="0" fontId="5" fillId="5" borderId="0" xfId="1" applyNumberFormat="1" applyFont="1" applyFill="1" applyAlignment="1" applyProtection="1">
      <alignment horizontal="right" vertical="center"/>
      <protection locked="0"/>
    </xf>
    <xf numFmtId="178" fontId="5" fillId="7" borderId="0" xfId="0" applyNumberFormat="1" applyFont="1" applyFill="1" applyAlignment="1" applyProtection="1">
      <alignment horizontal="center" vertical="center"/>
    </xf>
    <xf numFmtId="178" fontId="8" fillId="7" borderId="0" xfId="0" applyNumberFormat="1" applyFont="1" applyFill="1" applyBorder="1" applyAlignment="1">
      <alignment horizontal="left" vertical="center"/>
    </xf>
    <xf numFmtId="178" fontId="5" fillId="5" borderId="1" xfId="0" applyNumberFormat="1" applyFont="1" applyFill="1" applyBorder="1" applyAlignment="1" applyProtection="1">
      <alignment horizontal="center" vertical="center"/>
    </xf>
    <xf numFmtId="178" fontId="5" fillId="8" borderId="1" xfId="0" applyNumberFormat="1" applyFont="1" applyFill="1" applyBorder="1" applyAlignment="1" applyProtection="1">
      <alignment horizontal="center" vertical="center"/>
    </xf>
    <xf numFmtId="176" fontId="8" fillId="9" borderId="1" xfId="0" applyNumberFormat="1" applyFont="1" applyFill="1" applyBorder="1" applyAlignment="1" applyProtection="1">
      <alignment horizontal="center" vertical="center"/>
    </xf>
    <xf numFmtId="170" fontId="5" fillId="8" borderId="1" xfId="0" applyNumberFormat="1" applyFont="1" applyFill="1" applyBorder="1" applyAlignment="1">
      <alignment horizontal="center"/>
    </xf>
    <xf numFmtId="168" fontId="0" fillId="4" borderId="0" xfId="0" applyFill="1"/>
    <xf numFmtId="166" fontId="15" fillId="5" borderId="1" xfId="2" applyNumberFormat="1" applyFont="1" applyFill="1" applyBorder="1" applyAlignment="1" applyProtection="1">
      <alignment horizontal="right" vertical="center"/>
    </xf>
    <xf numFmtId="166" fontId="5" fillId="5" borderId="1" xfId="2" applyNumberFormat="1" applyFont="1" applyFill="1" applyBorder="1" applyAlignment="1" applyProtection="1">
      <alignment horizontal="right" vertical="center"/>
    </xf>
    <xf numFmtId="166" fontId="5" fillId="5" borderId="2" xfId="2" applyNumberFormat="1" applyFont="1" applyFill="1" applyBorder="1" applyAlignment="1" applyProtection="1">
      <alignment vertical="center"/>
    </xf>
    <xf numFmtId="178" fontId="5" fillId="5" borderId="1" xfId="2" applyNumberFormat="1" applyFont="1" applyFill="1" applyBorder="1" applyAlignment="1" applyProtection="1">
      <alignment horizontal="right" vertical="center"/>
    </xf>
    <xf numFmtId="166" fontId="5" fillId="5" borderId="19" xfId="2" applyNumberFormat="1" applyFont="1" applyFill="1" applyBorder="1" applyAlignment="1" applyProtection="1">
      <alignment vertical="center"/>
    </xf>
    <xf numFmtId="166" fontId="5" fillId="5" borderId="1" xfId="1" applyNumberFormat="1" applyFont="1" applyFill="1" applyBorder="1" applyAlignment="1" applyProtection="1">
      <alignment horizontal="right" vertical="center"/>
    </xf>
    <xf numFmtId="166" fontId="5" fillId="5" borderId="1" xfId="3" applyNumberFormat="1" applyFont="1" applyFill="1" applyBorder="1" applyAlignment="1" applyProtection="1">
      <alignment horizontal="right" vertical="center"/>
    </xf>
    <xf numFmtId="166" fontId="5" fillId="13" borderId="10" xfId="2" applyNumberFormat="1" applyFont="1" applyFill="1" applyBorder="1" applyAlignment="1" applyProtection="1">
      <alignment horizontal="right" vertical="center"/>
    </xf>
    <xf numFmtId="166" fontId="5" fillId="13" borderId="1" xfId="2" applyNumberFormat="1" applyFont="1" applyFill="1" applyBorder="1" applyAlignment="1" applyProtection="1">
      <alignment horizontal="right" vertical="center"/>
    </xf>
    <xf numFmtId="168" fontId="31" fillId="13" borderId="10" xfId="0" applyFont="1" applyFill="1" applyBorder="1" applyAlignment="1" applyProtection="1">
      <alignment horizontal="right"/>
    </xf>
    <xf numFmtId="166" fontId="5" fillId="5" borderId="1" xfId="0" applyNumberFormat="1" applyFont="1" applyFill="1" applyBorder="1" applyAlignment="1" applyProtection="1"/>
    <xf numFmtId="2" fontId="0" fillId="9" borderId="1" xfId="0" applyNumberFormat="1" applyFill="1" applyBorder="1" applyAlignment="1" applyProtection="1"/>
    <xf numFmtId="2" fontId="16" fillId="9" borderId="1" xfId="0" applyNumberFormat="1" applyFont="1" applyFill="1" applyBorder="1" applyAlignment="1">
      <alignment horizontal="right"/>
    </xf>
    <xf numFmtId="2" fontId="0" fillId="9" borderId="1" xfId="0" applyNumberFormat="1" applyFill="1" applyBorder="1" applyAlignment="1">
      <alignment horizontal="right"/>
    </xf>
    <xf numFmtId="2" fontId="8" fillId="7" borderId="1" xfId="0" applyNumberFormat="1" applyFont="1" applyFill="1" applyBorder="1" applyAlignment="1" applyProtection="1">
      <alignment horizontal="right"/>
    </xf>
    <xf numFmtId="10" fontId="5" fillId="5" borderId="1" xfId="0" applyNumberFormat="1" applyFont="1" applyFill="1" applyBorder="1" applyAlignment="1">
      <alignment horizontal="center" vertical="center"/>
    </xf>
    <xf numFmtId="168" fontId="0" fillId="9" borderId="1" xfId="0" applyFill="1" applyBorder="1" applyAlignment="1">
      <alignment horizontal="right"/>
    </xf>
    <xf numFmtId="168" fontId="0" fillId="4" borderId="0" xfId="0" applyFill="1" applyBorder="1" applyAlignment="1" applyProtection="1"/>
    <xf numFmtId="168" fontId="0" fillId="9" borderId="1" xfId="0" applyFill="1" applyBorder="1" applyAlignment="1" applyProtection="1"/>
    <xf numFmtId="2" fontId="8" fillId="7" borderId="1" xfId="0" applyNumberFormat="1" applyFont="1" applyFill="1" applyBorder="1" applyAlignment="1" applyProtection="1">
      <alignment horizontal="right" vertical="center"/>
    </xf>
    <xf numFmtId="168" fontId="8" fillId="7" borderId="1" xfId="0" applyFont="1" applyFill="1" applyBorder="1" applyAlignment="1" applyProtection="1">
      <alignment horizontal="right" vertical="center"/>
    </xf>
    <xf numFmtId="168" fontId="12" fillId="7" borderId="1" xfId="0" applyFont="1" applyFill="1" applyBorder="1" applyAlignment="1" applyProtection="1">
      <alignment horizontal="right" vertical="center"/>
    </xf>
    <xf numFmtId="168" fontId="29" fillId="10" borderId="1" xfId="0" applyFont="1" applyFill="1" applyBorder="1" applyAlignment="1" applyProtection="1">
      <alignment horizontal="right" vertical="center"/>
    </xf>
    <xf numFmtId="176" fontId="8" fillId="7" borderId="1" xfId="0" applyNumberFormat="1" applyFont="1" applyFill="1" applyBorder="1" applyAlignment="1" applyProtection="1">
      <alignment horizontal="right" vertical="center"/>
    </xf>
    <xf numFmtId="176" fontId="12" fillId="7" borderId="1" xfId="0" applyNumberFormat="1" applyFont="1" applyFill="1" applyBorder="1" applyAlignment="1" applyProtection="1">
      <alignment horizontal="right" vertical="center"/>
    </xf>
    <xf numFmtId="176" fontId="31" fillId="8" borderId="1" xfId="0" applyNumberFormat="1" applyFont="1" applyFill="1" applyBorder="1" applyAlignment="1" applyProtection="1">
      <alignment horizontal="right" vertical="center"/>
    </xf>
    <xf numFmtId="168" fontId="12" fillId="7" borderId="19" xfId="0" applyFont="1" applyFill="1" applyBorder="1" applyAlignment="1" applyProtection="1">
      <alignment horizontal="right" vertical="center"/>
    </xf>
    <xf numFmtId="168" fontId="29" fillId="9" borderId="6" xfId="0" applyNumberFormat="1" applyFont="1" applyFill="1" applyBorder="1" applyAlignment="1" applyProtection="1">
      <alignment horizontal="right"/>
    </xf>
    <xf numFmtId="168" fontId="5" fillId="9" borderId="8" xfId="0" applyNumberFormat="1" applyFont="1" applyFill="1" applyBorder="1" applyAlignment="1" applyProtection="1">
      <alignment horizontal="right"/>
    </xf>
    <xf numFmtId="166" fontId="5" fillId="5" borderId="19" xfId="2" applyNumberFormat="1" applyFont="1" applyFill="1" applyBorder="1" applyAlignment="1" applyProtection="1">
      <alignment horizontal="right" vertical="center"/>
    </xf>
    <xf numFmtId="165" fontId="8" fillId="9" borderId="1" xfId="1" applyFont="1" applyFill="1" applyBorder="1" applyAlignment="1" applyProtection="1">
      <alignment horizontal="right"/>
    </xf>
    <xf numFmtId="168" fontId="8" fillId="9" borderId="1" xfId="0" applyFont="1" applyFill="1" applyBorder="1" applyAlignment="1" applyProtection="1">
      <alignment horizontal="center" vertical="center"/>
    </xf>
    <xf numFmtId="176" fontId="31" fillId="9" borderId="1" xfId="0" applyNumberFormat="1" applyFont="1" applyFill="1" applyBorder="1" applyAlignment="1" applyProtection="1">
      <alignment horizontal="center" vertical="center"/>
    </xf>
    <xf numFmtId="166" fontId="5" fillId="5" borderId="6" xfId="2" applyNumberFormat="1" applyFont="1" applyFill="1" applyBorder="1" applyAlignment="1" applyProtection="1">
      <alignment horizontal="right" vertical="center"/>
    </xf>
    <xf numFmtId="166" fontId="15" fillId="5" borderId="6" xfId="2" applyNumberFormat="1" applyFont="1" applyFill="1" applyBorder="1" applyAlignment="1" applyProtection="1">
      <alignment horizontal="right" vertical="center"/>
    </xf>
    <xf numFmtId="166" fontId="8" fillId="10" borderId="6" xfId="2" applyNumberFormat="1" applyFont="1" applyFill="1" applyBorder="1" applyAlignment="1" applyProtection="1">
      <alignment horizontal="right" vertical="center"/>
    </xf>
    <xf numFmtId="166" fontId="5" fillId="8" borderId="6" xfId="2" applyNumberFormat="1" applyFont="1" applyFill="1" applyBorder="1" applyAlignment="1" applyProtection="1">
      <alignment horizontal="right"/>
    </xf>
    <xf numFmtId="166" fontId="8" fillId="9" borderId="1" xfId="2" applyNumberFormat="1" applyFont="1" applyFill="1" applyBorder="1" applyAlignment="1" applyProtection="1">
      <alignment vertical="center"/>
    </xf>
    <xf numFmtId="168" fontId="8" fillId="9" borderId="1" xfId="0" applyNumberFormat="1" applyFont="1" applyFill="1" applyBorder="1" applyAlignment="1" applyProtection="1">
      <alignment horizontal="right"/>
    </xf>
    <xf numFmtId="168" fontId="0" fillId="4" borderId="7" xfId="0" applyFill="1" applyBorder="1" applyAlignment="1"/>
    <xf numFmtId="168" fontId="31" fillId="13" borderId="10" xfId="0" applyFont="1" applyFill="1" applyBorder="1" applyAlignment="1" applyProtection="1">
      <alignment horizontal="right" vertical="center"/>
    </xf>
    <xf numFmtId="168" fontId="31" fillId="13" borderId="1" xfId="0" applyFont="1" applyFill="1" applyBorder="1" applyAlignment="1" applyProtection="1">
      <alignment horizontal="right" vertical="center"/>
    </xf>
    <xf numFmtId="178" fontId="15" fillId="5" borderId="1" xfId="2" applyNumberFormat="1" applyFont="1" applyFill="1" applyBorder="1" applyAlignment="1" applyProtection="1">
      <alignment horizontal="right" vertical="center"/>
    </xf>
    <xf numFmtId="166" fontId="8" fillId="10" borderId="1" xfId="0" applyNumberFormat="1" applyFont="1" applyFill="1" applyBorder="1" applyAlignment="1" applyProtection="1"/>
    <xf numFmtId="176" fontId="12" fillId="9" borderId="1" xfId="0" applyNumberFormat="1" applyFont="1" applyFill="1" applyBorder="1" applyAlignment="1" applyProtection="1">
      <alignment vertical="center"/>
    </xf>
    <xf numFmtId="176" fontId="8" fillId="9" borderId="1" xfId="0" applyNumberFormat="1" applyFont="1" applyFill="1" applyBorder="1" applyAlignment="1" applyProtection="1">
      <alignment vertical="center"/>
    </xf>
    <xf numFmtId="168" fontId="8" fillId="9" borderId="1" xfId="0" applyFont="1" applyFill="1" applyBorder="1" applyAlignment="1" applyProtection="1">
      <alignment vertical="center"/>
    </xf>
    <xf numFmtId="168" fontId="31" fillId="9" borderId="1" xfId="0" applyFont="1" applyFill="1" applyBorder="1" applyAlignment="1" applyProtection="1">
      <alignment horizontal="center" vertical="center"/>
    </xf>
    <xf numFmtId="166" fontId="8" fillId="10" borderId="19" xfId="2" applyNumberFormat="1" applyFont="1" applyFill="1" applyBorder="1" applyAlignment="1" applyProtection="1">
      <alignment horizontal="right" vertical="center"/>
    </xf>
    <xf numFmtId="166" fontId="5" fillId="8" borderId="19" xfId="2" applyNumberFormat="1" applyFont="1" applyFill="1" applyBorder="1" applyAlignment="1" applyProtection="1">
      <alignment horizontal="right"/>
    </xf>
    <xf numFmtId="166" fontId="5" fillId="5" borderId="19" xfId="0" applyNumberFormat="1" applyFont="1" applyFill="1" applyBorder="1" applyAlignment="1" applyProtection="1"/>
    <xf numFmtId="166" fontId="5" fillId="5" borderId="19" xfId="3" applyNumberFormat="1" applyFont="1" applyFill="1" applyBorder="1" applyAlignment="1" applyProtection="1">
      <alignment horizontal="right" vertical="center"/>
    </xf>
    <xf numFmtId="168" fontId="31" fillId="4" borderId="3" xfId="0" applyFont="1" applyFill="1" applyBorder="1" applyAlignment="1" applyProtection="1"/>
    <xf numFmtId="166" fontId="5" fillId="5" borderId="2" xfId="2" applyNumberFormat="1" applyFont="1" applyFill="1" applyBorder="1" applyAlignment="1" applyProtection="1">
      <alignment horizontal="right" vertical="center"/>
    </xf>
    <xf numFmtId="166" fontId="8" fillId="9" borderId="1" xfId="1" applyNumberFormat="1" applyFont="1" applyFill="1" applyBorder="1" applyAlignment="1" applyProtection="1">
      <alignment vertical="center"/>
    </xf>
    <xf numFmtId="176" fontId="8" fillId="9" borderId="1" xfId="2" applyNumberFormat="1" applyFont="1" applyFill="1" applyBorder="1" applyAlignment="1" applyProtection="1">
      <alignment vertical="center"/>
    </xf>
    <xf numFmtId="176" fontId="8" fillId="9" borderId="6" xfId="0" applyNumberFormat="1" applyFont="1" applyFill="1" applyBorder="1" applyAlignment="1" applyProtection="1">
      <alignment horizontal="center" vertical="center"/>
    </xf>
    <xf numFmtId="178" fontId="5" fillId="5" borderId="6" xfId="0" applyNumberFormat="1" applyFont="1" applyFill="1" applyBorder="1" applyAlignment="1" applyProtection="1">
      <alignment horizontal="center" vertical="center"/>
    </xf>
    <xf numFmtId="178" fontId="5" fillId="5" borderId="6" xfId="0" applyNumberFormat="1" applyFont="1" applyFill="1" applyBorder="1" applyAlignment="1">
      <alignment horizontal="center" vertical="center"/>
    </xf>
    <xf numFmtId="168" fontId="8" fillId="9" borderId="6" xfId="0" applyFont="1" applyFill="1" applyBorder="1" applyAlignment="1" applyProtection="1">
      <alignment horizontal="center" vertical="center"/>
    </xf>
    <xf numFmtId="10" fontId="5" fillId="8" borderId="6" xfId="1" applyNumberFormat="1" applyFont="1" applyFill="1" applyBorder="1" applyAlignment="1" applyProtection="1">
      <alignment horizontal="center" vertical="center"/>
    </xf>
    <xf numFmtId="166" fontId="5" fillId="5" borderId="6" xfId="0" applyNumberFormat="1" applyFont="1" applyFill="1" applyBorder="1" applyAlignment="1" applyProtection="1">
      <alignment horizontal="right" vertical="center"/>
    </xf>
    <xf numFmtId="166" fontId="8" fillId="10" borderId="6" xfId="0" applyNumberFormat="1" applyFont="1" applyFill="1" applyBorder="1" applyAlignment="1" applyProtection="1">
      <alignment horizontal="right" vertical="center"/>
    </xf>
    <xf numFmtId="168" fontId="31" fillId="9" borderId="6" xfId="0" applyFont="1" applyFill="1" applyBorder="1" applyAlignment="1" applyProtection="1">
      <alignment horizontal="center" vertical="center"/>
    </xf>
    <xf numFmtId="166" fontId="8" fillId="9" borderId="1" xfId="1" applyNumberFormat="1" applyFont="1" applyFill="1" applyBorder="1" applyAlignment="1" applyProtection="1">
      <alignment horizontal="center" vertical="center"/>
    </xf>
    <xf numFmtId="166" fontId="15" fillId="5" borderId="8" xfId="2" applyNumberFormat="1" applyFont="1" applyFill="1" applyBorder="1" applyAlignment="1" applyProtection="1">
      <alignment horizontal="right" vertical="center"/>
    </xf>
    <xf numFmtId="166" fontId="5" fillId="5" borderId="8" xfId="2" applyNumberFormat="1" applyFont="1" applyFill="1" applyBorder="1" applyAlignment="1" applyProtection="1">
      <alignment horizontal="right" vertical="center"/>
    </xf>
    <xf numFmtId="166" fontId="5" fillId="8" borderId="8" xfId="2" applyNumberFormat="1" applyFont="1" applyFill="1" applyBorder="1" applyAlignment="1" applyProtection="1">
      <alignment horizontal="right"/>
    </xf>
    <xf numFmtId="166" fontId="15" fillId="5" borderId="23" xfId="2" applyNumberFormat="1" applyFont="1" applyFill="1" applyBorder="1" applyAlignment="1" applyProtection="1">
      <alignment horizontal="right" vertical="center"/>
    </xf>
    <xf numFmtId="166" fontId="5" fillId="5" borderId="23" xfId="2" applyNumberFormat="1" applyFont="1" applyFill="1" applyBorder="1" applyAlignment="1" applyProtection="1">
      <alignment horizontal="right" vertical="center"/>
    </xf>
    <xf numFmtId="166" fontId="5" fillId="8" borderId="23" xfId="2" applyNumberFormat="1" applyFont="1" applyFill="1" applyBorder="1" applyAlignment="1" applyProtection="1">
      <alignment horizontal="right"/>
    </xf>
    <xf numFmtId="166" fontId="8" fillId="10" borderId="8" xfId="2" applyNumberFormat="1" applyFont="1" applyFill="1" applyBorder="1" applyAlignment="1" applyProtection="1">
      <alignment horizontal="right" vertical="center"/>
    </xf>
    <xf numFmtId="166" fontId="5" fillId="13" borderId="18" xfId="2" applyNumberFormat="1" applyFont="1" applyFill="1" applyBorder="1" applyAlignment="1" applyProtection="1">
      <alignment horizontal="right" vertical="center"/>
    </xf>
    <xf numFmtId="166" fontId="5" fillId="13" borderId="8" xfId="2" applyNumberFormat="1" applyFont="1" applyFill="1" applyBorder="1" applyAlignment="1" applyProtection="1">
      <alignment horizontal="right" vertical="center"/>
    </xf>
    <xf numFmtId="166" fontId="5" fillId="5" borderId="8" xfId="1" applyNumberFormat="1" applyFont="1" applyFill="1" applyBorder="1" applyAlignment="1" applyProtection="1">
      <alignment horizontal="right" vertical="center"/>
    </xf>
    <xf numFmtId="166" fontId="5" fillId="5" borderId="8" xfId="3" applyNumberFormat="1" applyFont="1" applyFill="1" applyBorder="1" applyAlignment="1" applyProtection="1">
      <alignment horizontal="right" vertical="center"/>
    </xf>
    <xf numFmtId="166" fontId="8" fillId="10" borderId="23" xfId="2" applyNumberFormat="1" applyFont="1" applyFill="1" applyBorder="1" applyAlignment="1" applyProtection="1">
      <alignment horizontal="right" vertical="center"/>
    </xf>
    <xf numFmtId="166" fontId="5" fillId="13" borderId="24" xfId="2" applyNumberFormat="1" applyFont="1" applyFill="1" applyBorder="1" applyAlignment="1" applyProtection="1">
      <alignment horizontal="right" vertical="center"/>
    </xf>
    <xf numFmtId="166" fontId="5" fillId="13" borderId="23" xfId="2" applyNumberFormat="1" applyFont="1" applyFill="1" applyBorder="1" applyAlignment="1" applyProtection="1">
      <alignment horizontal="right" vertical="center"/>
    </xf>
    <xf numFmtId="166" fontId="5" fillId="5" borderId="23" xfId="1" applyNumberFormat="1" applyFont="1" applyFill="1" applyBorder="1" applyAlignment="1" applyProtection="1">
      <alignment horizontal="right" vertical="center"/>
    </xf>
    <xf numFmtId="166" fontId="5" fillId="5" borderId="23" xfId="3" applyNumberFormat="1" applyFont="1" applyFill="1" applyBorder="1" applyAlignment="1" applyProtection="1">
      <alignment horizontal="right" vertical="center"/>
    </xf>
    <xf numFmtId="166" fontId="5" fillId="5" borderId="9" xfId="2" applyNumberFormat="1" applyFont="1" applyFill="1" applyBorder="1" applyAlignment="1" applyProtection="1">
      <alignment horizontal="right" vertical="center"/>
    </xf>
    <xf numFmtId="166" fontId="8" fillId="10" borderId="9" xfId="2" applyNumberFormat="1" applyFont="1" applyFill="1" applyBorder="1" applyAlignment="1" applyProtection="1">
      <alignment horizontal="right" vertical="center"/>
    </xf>
    <xf numFmtId="166" fontId="5" fillId="5" borderId="9" xfId="3" applyNumberFormat="1" applyFont="1" applyFill="1" applyBorder="1" applyAlignment="1" applyProtection="1">
      <alignment horizontal="right" vertical="center"/>
    </xf>
    <xf numFmtId="176" fontId="16" fillId="7" borderId="0" xfId="0" applyNumberFormat="1" applyFont="1" applyFill="1"/>
    <xf numFmtId="180" fontId="12" fillId="7" borderId="0" xfId="1" applyNumberFormat="1" applyFont="1" applyFill="1" applyAlignment="1" applyProtection="1">
      <alignment horizontal="center" vertical="center"/>
      <protection locked="0"/>
    </xf>
    <xf numFmtId="4" fontId="5" fillId="7" borderId="0" xfId="0" applyNumberFormat="1" applyFont="1" applyFill="1" applyBorder="1" applyAlignment="1">
      <alignment vertical="center"/>
    </xf>
    <xf numFmtId="177" fontId="12" fillId="7" borderId="0" xfId="1" applyNumberFormat="1" applyFont="1" applyFill="1" applyAlignment="1" applyProtection="1">
      <alignment horizontal="center" vertical="center"/>
      <protection locked="0"/>
    </xf>
    <xf numFmtId="168" fontId="35" fillId="7" borderId="0" xfId="18" applyFont="1" applyFill="1" applyAlignment="1">
      <alignment horizontal="center"/>
    </xf>
    <xf numFmtId="168" fontId="8" fillId="7" borderId="6" xfId="0" applyFont="1" applyFill="1" applyBorder="1" applyAlignment="1">
      <alignment horizontal="left" vertical="center"/>
    </xf>
    <xf numFmtId="168" fontId="8" fillId="7" borderId="7" xfId="0" applyFont="1" applyFill="1" applyBorder="1" applyAlignment="1">
      <alignment horizontal="left" vertical="center"/>
    </xf>
    <xf numFmtId="168" fontId="8" fillId="7" borderId="8" xfId="0" applyFont="1" applyFill="1" applyBorder="1" applyAlignment="1">
      <alignment horizontal="left" vertical="center"/>
    </xf>
    <xf numFmtId="168" fontId="4" fillId="3" borderId="1" xfId="0" applyFont="1" applyFill="1" applyBorder="1" applyAlignment="1">
      <alignment horizontal="center" vertical="center"/>
    </xf>
    <xf numFmtId="168" fontId="21" fillId="7" borderId="3" xfId="0" applyFont="1" applyFill="1" applyBorder="1" applyAlignment="1">
      <alignment horizontal="center" vertical="center"/>
    </xf>
    <xf numFmtId="49" fontId="5" fillId="4" borderId="6" xfId="0" applyNumberFormat="1" applyFont="1" applyFill="1" applyBorder="1" applyAlignment="1">
      <alignment horizontal="center"/>
    </xf>
    <xf numFmtId="49" fontId="5" fillId="4" borderId="7" xfId="0" applyNumberFormat="1" applyFont="1" applyFill="1" applyBorder="1" applyAlignment="1">
      <alignment horizontal="center"/>
    </xf>
    <xf numFmtId="49" fontId="5" fillId="4" borderId="8" xfId="0" applyNumberFormat="1" applyFont="1" applyFill="1" applyBorder="1" applyAlignment="1">
      <alignment horizontal="center"/>
    </xf>
    <xf numFmtId="49" fontId="5" fillId="4" borderId="6" xfId="0" quotePrefix="1" applyNumberFormat="1" applyFont="1" applyFill="1" applyBorder="1" applyAlignment="1">
      <alignment horizontal="center"/>
    </xf>
    <xf numFmtId="1" fontId="5" fillId="8" borderId="1" xfId="0" applyNumberFormat="1" applyFont="1" applyFill="1" applyBorder="1" applyAlignment="1" applyProtection="1">
      <alignment horizontal="center" vertical="center"/>
      <protection locked="0"/>
    </xf>
    <xf numFmtId="168" fontId="8" fillId="10" borderId="1" xfId="0" applyFont="1" applyFill="1" applyBorder="1" applyAlignment="1" applyProtection="1">
      <alignment horizontal="left" vertical="center"/>
      <protection locked="0"/>
    </xf>
    <xf numFmtId="168" fontId="8" fillId="7" borderId="1" xfId="0" applyFont="1" applyFill="1" applyBorder="1" applyAlignment="1" applyProtection="1">
      <alignment horizontal="left" vertical="center"/>
      <protection locked="0"/>
    </xf>
    <xf numFmtId="168" fontId="8" fillId="7" borderId="1" xfId="0" applyFont="1" applyFill="1" applyBorder="1" applyAlignment="1">
      <alignment horizontal="left" vertical="center"/>
    </xf>
    <xf numFmtId="168" fontId="20" fillId="9" borderId="6" xfId="0" applyFont="1" applyFill="1" applyBorder="1" applyAlignment="1">
      <alignment horizontal="right" vertical="center"/>
    </xf>
    <xf numFmtId="168" fontId="20" fillId="9" borderId="8" xfId="0" applyFont="1" applyFill="1" applyBorder="1" applyAlignment="1">
      <alignment horizontal="right" vertical="center"/>
    </xf>
    <xf numFmtId="168" fontId="5" fillId="11" borderId="12" xfId="0" applyFont="1" applyFill="1" applyBorder="1" applyAlignment="1">
      <alignment horizontal="right"/>
    </xf>
    <xf numFmtId="168" fontId="5" fillId="11" borderId="8" xfId="0" applyFont="1" applyFill="1" applyBorder="1" applyAlignment="1">
      <alignment horizontal="right"/>
    </xf>
    <xf numFmtId="171" fontId="22" fillId="5" borderId="1" xfId="3" applyNumberFormat="1" applyFont="1" applyFill="1" applyBorder="1" applyAlignment="1">
      <alignment horizontal="center"/>
    </xf>
    <xf numFmtId="9" fontId="22" fillId="5" borderId="14" xfId="3" applyFont="1" applyFill="1" applyBorder="1" applyAlignment="1">
      <alignment horizontal="center"/>
    </xf>
    <xf numFmtId="166" fontId="5" fillId="5" borderId="6" xfId="2" applyNumberFormat="1" applyFont="1" applyFill="1" applyBorder="1" applyAlignment="1">
      <alignment horizontal="center" vertical="center"/>
    </xf>
    <xf numFmtId="166" fontId="5" fillId="5" borderId="13" xfId="2" applyNumberFormat="1" applyFont="1" applyFill="1" applyBorder="1" applyAlignment="1">
      <alignment horizontal="center" vertical="center"/>
    </xf>
    <xf numFmtId="171" fontId="22" fillId="5" borderId="6" xfId="3" applyNumberFormat="1" applyFont="1" applyFill="1" applyBorder="1" applyAlignment="1">
      <alignment horizontal="center"/>
    </xf>
    <xf numFmtId="171" fontId="22" fillId="5" borderId="13" xfId="3" applyNumberFormat="1" applyFont="1" applyFill="1" applyBorder="1" applyAlignment="1">
      <alignment horizontal="center"/>
    </xf>
    <xf numFmtId="1" fontId="5" fillId="5" borderId="1" xfId="0" applyNumberFormat="1" applyFont="1" applyFill="1" applyBorder="1" applyAlignment="1" applyProtection="1">
      <alignment horizontal="center" vertical="center"/>
      <protection locked="0"/>
    </xf>
    <xf numFmtId="168" fontId="8" fillId="10" borderId="6" xfId="0" applyFont="1" applyFill="1" applyBorder="1" applyAlignment="1" applyProtection="1">
      <alignment horizontal="left" vertical="center"/>
      <protection locked="0"/>
    </xf>
    <xf numFmtId="168" fontId="8" fillId="10" borderId="7" xfId="0" applyFont="1" applyFill="1" applyBorder="1" applyAlignment="1" applyProtection="1">
      <alignment horizontal="left" vertical="center"/>
      <protection locked="0"/>
    </xf>
    <xf numFmtId="168" fontId="8" fillId="10" borderId="8" xfId="0" applyFont="1" applyFill="1" applyBorder="1" applyAlignment="1" applyProtection="1">
      <alignment horizontal="left" vertical="center"/>
      <protection locked="0"/>
    </xf>
    <xf numFmtId="168" fontId="35" fillId="7" borderId="0" xfId="18" applyFont="1" applyFill="1" applyAlignment="1" applyProtection="1">
      <alignment horizontal="center" vertical="center"/>
      <protection locked="0"/>
    </xf>
    <xf numFmtId="168" fontId="5" fillId="4" borderId="6" xfId="0" applyNumberFormat="1" applyFont="1" applyFill="1" applyBorder="1" applyAlignment="1">
      <alignment horizontal="center"/>
    </xf>
    <xf numFmtId="168" fontId="5" fillId="4" borderId="7" xfId="0" applyNumberFormat="1" applyFont="1" applyFill="1" applyBorder="1" applyAlignment="1">
      <alignment horizontal="center"/>
    </xf>
    <xf numFmtId="168" fontId="5" fillId="4" borderId="8" xfId="0" applyNumberFormat="1" applyFont="1" applyFill="1" applyBorder="1" applyAlignment="1">
      <alignment horizontal="center"/>
    </xf>
    <xf numFmtId="0" fontId="5" fillId="11" borderId="12" xfId="0" applyNumberFormat="1" applyFont="1" applyFill="1" applyBorder="1" applyAlignment="1">
      <alignment horizontal="right"/>
    </xf>
    <xf numFmtId="0" fontId="5" fillId="11" borderId="8" xfId="0" applyNumberFormat="1" applyFont="1" applyFill="1" applyBorder="1" applyAlignment="1">
      <alignment horizontal="right"/>
    </xf>
    <xf numFmtId="10" fontId="7" fillId="5" borderId="5" xfId="0" applyNumberFormat="1" applyFont="1" applyFill="1" applyBorder="1" applyAlignment="1">
      <alignment horizontal="center" vertical="center"/>
    </xf>
    <xf numFmtId="10" fontId="7" fillId="5" borderId="19" xfId="0" applyNumberFormat="1" applyFont="1" applyFill="1" applyBorder="1" applyAlignment="1">
      <alignment horizontal="center" vertical="center"/>
    </xf>
    <xf numFmtId="10" fontId="7" fillId="5" borderId="4" xfId="0" applyNumberFormat="1" applyFont="1" applyFill="1" applyBorder="1" applyAlignment="1">
      <alignment horizontal="center" vertical="center"/>
    </xf>
    <xf numFmtId="10" fontId="7" fillId="5" borderId="9" xfId="0" applyNumberFormat="1" applyFont="1" applyFill="1" applyBorder="1" applyAlignment="1">
      <alignment horizontal="center" vertical="center"/>
    </xf>
    <xf numFmtId="174" fontId="5" fillId="8" borderId="0" xfId="0" applyNumberFormat="1" applyFont="1" applyFill="1" applyAlignment="1" applyProtection="1">
      <alignment horizontal="center" vertical="center"/>
    </xf>
    <xf numFmtId="176" fontId="16" fillId="7" borderId="0" xfId="1" applyNumberFormat="1" applyFont="1" applyFill="1" applyProtection="1">
      <protection locked="0"/>
    </xf>
    <xf numFmtId="176" fontId="16" fillId="7" borderId="0" xfId="1" applyNumberFormat="1" applyFont="1" applyFill="1" applyAlignment="1" applyProtection="1">
      <alignment horizontal="left"/>
      <protection locked="0"/>
    </xf>
    <xf numFmtId="176" fontId="31" fillId="9" borderId="1" xfId="0" applyNumberFormat="1" applyFont="1" applyFill="1" applyBorder="1" applyAlignment="1" applyProtection="1">
      <alignment vertical="center"/>
    </xf>
    <xf numFmtId="168" fontId="40" fillId="7" borderId="0" xfId="0" applyFont="1" applyFill="1" applyAlignment="1" applyProtection="1">
      <alignment vertical="center"/>
      <protection locked="0"/>
    </xf>
    <xf numFmtId="165" fontId="40" fillId="7" borderId="0" xfId="1" applyFont="1" applyFill="1" applyProtection="1">
      <protection locked="0"/>
    </xf>
    <xf numFmtId="165" fontId="40" fillId="7" borderId="0" xfId="1" applyFont="1" applyFill="1" applyAlignment="1" applyProtection="1">
      <alignment horizontal="center" vertical="center"/>
      <protection locked="0"/>
    </xf>
    <xf numFmtId="168" fontId="40" fillId="7" borderId="0" xfId="0" applyFont="1" applyFill="1" applyAlignment="1" applyProtection="1">
      <alignment horizontal="left" vertical="center"/>
      <protection locked="0"/>
    </xf>
    <xf numFmtId="168" fontId="7" fillId="2" borderId="0" xfId="0" applyFont="1" applyFill="1" applyAlignment="1" applyProtection="1">
      <alignment horizontal="right" vertical="center"/>
    </xf>
    <xf numFmtId="186" fontId="0" fillId="7" borderId="0" xfId="0" applyNumberFormat="1" applyFill="1" applyAlignment="1" applyProtection="1">
      <alignment vertical="center"/>
      <protection locked="0"/>
    </xf>
  </cellXfs>
  <cellStyles count="23">
    <cellStyle name="Lien hypertexte" xfId="4"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cellStyle name="Lien hypertexte visité" xfId="5"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Milliers" xfId="1" builtinId="3"/>
    <cellStyle name="Monétaire" xfId="2" builtinId="4"/>
    <cellStyle name="Monétaire 2" xfId="7"/>
    <cellStyle name="Monétaire 2 2" xfId="21"/>
    <cellStyle name="Normal" xfId="0" builtinId="0"/>
    <cellStyle name="Normal 2" xfId="6"/>
    <cellStyle name="Normal 2 2" xfId="20"/>
    <cellStyle name="Normal 3" xfId="19"/>
    <cellStyle name="Normal 4" xfId="22"/>
    <cellStyle name="Pourcentage" xfId="3" builtinId="5"/>
  </cellStyles>
  <dxfs count="0"/>
  <tableStyles count="0" defaultTableStyle="TableStyleMedium9" defaultPivotStyle="PivotStyleLight16"/>
  <colors>
    <mruColors>
      <color rgb="FF333333"/>
      <color rgb="FFD8E4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7</xdr:col>
      <xdr:colOff>445770</xdr:colOff>
      <xdr:row>33</xdr:row>
      <xdr:rowOff>93134</xdr:rowOff>
    </xdr:to>
    <xdr:pic>
      <xdr:nvPicPr>
        <xdr:cNvPr id="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752600"/>
          <a:ext cx="3303270" cy="438150"/>
        </a:xfrm>
        <a:prstGeom prst="rect">
          <a:avLst/>
        </a:prstGeom>
        <a:noFill/>
        <a:ln w="9525">
          <a:noFill/>
          <a:miter lim="800000"/>
          <a:headEnd/>
          <a:tailEnd/>
        </a:ln>
      </xdr:spPr>
    </xdr:pic>
    <xdr:clientData/>
  </xdr:twoCellAnchor>
  <xdr:twoCellAnchor editAs="oneCell">
    <xdr:from>
      <xdr:col>8</xdr:col>
      <xdr:colOff>0</xdr:colOff>
      <xdr:row>34</xdr:row>
      <xdr:rowOff>0</xdr:rowOff>
    </xdr:from>
    <xdr:to>
      <xdr:col>12</xdr:col>
      <xdr:colOff>695325</xdr:colOff>
      <xdr:row>36</xdr:row>
      <xdr:rowOff>121709</xdr:rowOff>
    </xdr:to>
    <xdr:pic>
      <xdr:nvPicPr>
        <xdr:cNvPr id="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3258800" y="1352550"/>
          <a:ext cx="3295650" cy="466725"/>
        </a:xfrm>
        <a:prstGeom prst="rect">
          <a:avLst/>
        </a:prstGeom>
        <a:noFill/>
        <a:ln w="9525">
          <a:noFill/>
          <a:miter lim="800000"/>
          <a:headEnd/>
          <a:tailEnd/>
        </a:ln>
      </xdr:spPr>
    </xdr:pic>
    <xdr:clientData/>
  </xdr:twoCellAnchor>
  <xdr:twoCellAnchor editAs="oneCell">
    <xdr:from>
      <xdr:col>6</xdr:col>
      <xdr:colOff>0</xdr:colOff>
      <xdr:row>51</xdr:row>
      <xdr:rowOff>0</xdr:rowOff>
    </xdr:from>
    <xdr:to>
      <xdr:col>7</xdr:col>
      <xdr:colOff>438150</xdr:colOff>
      <xdr:row>53</xdr:row>
      <xdr:rowOff>94191</xdr:rowOff>
    </xdr:to>
    <xdr:pic>
      <xdr:nvPicPr>
        <xdr:cNvPr id="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067175"/>
          <a:ext cx="3295650" cy="438150"/>
        </a:xfrm>
        <a:prstGeom prst="rect">
          <a:avLst/>
        </a:prstGeom>
        <a:noFill/>
        <a:ln w="9525">
          <a:noFill/>
          <a:miter lim="800000"/>
          <a:headEnd/>
          <a:tailEnd/>
        </a:ln>
      </xdr:spPr>
    </xdr:pic>
    <xdr:clientData/>
  </xdr:twoCellAnchor>
  <xdr:oneCellAnchor>
    <xdr:from>
      <xdr:col>6</xdr:col>
      <xdr:colOff>0</xdr:colOff>
      <xdr:row>27</xdr:row>
      <xdr:rowOff>0</xdr:rowOff>
    </xdr:from>
    <xdr:ext cx="3295650" cy="466725"/>
    <xdr:pic>
      <xdr:nvPicPr>
        <xdr:cNvPr id="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152525"/>
          <a:ext cx="3295650" cy="466725"/>
        </a:xfrm>
        <a:prstGeom prst="rect">
          <a:avLst/>
        </a:prstGeom>
        <a:noFill/>
        <a:ln w="9525">
          <a:noFill/>
          <a:miter lim="800000"/>
          <a:headEnd/>
          <a:tailEnd/>
        </a:ln>
      </xdr:spPr>
    </xdr:pic>
    <xdr:clientData/>
  </xdr:oneCellAnchor>
  <xdr:oneCellAnchor>
    <xdr:from>
      <xdr:col>6</xdr:col>
      <xdr:colOff>0</xdr:colOff>
      <xdr:row>27</xdr:row>
      <xdr:rowOff>0</xdr:rowOff>
    </xdr:from>
    <xdr:ext cx="3295650" cy="466725"/>
    <xdr:pic>
      <xdr:nvPicPr>
        <xdr:cNvPr id="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152525"/>
          <a:ext cx="3295650" cy="466725"/>
        </a:xfrm>
        <a:prstGeom prst="rect">
          <a:avLst/>
        </a:prstGeom>
        <a:noFill/>
        <a:ln w="9525">
          <a:noFill/>
          <a:miter lim="800000"/>
          <a:headEnd/>
          <a:tailEnd/>
        </a:ln>
      </xdr:spPr>
    </xdr:pic>
    <xdr:clientData/>
  </xdr:oneCellAnchor>
  <xdr:oneCellAnchor>
    <xdr:from>
      <xdr:col>7</xdr:col>
      <xdr:colOff>0</xdr:colOff>
      <xdr:row>38</xdr:row>
      <xdr:rowOff>0</xdr:rowOff>
    </xdr:from>
    <xdr:ext cx="3295650" cy="466725"/>
    <xdr:pic>
      <xdr:nvPicPr>
        <xdr:cNvPr id="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2392025" y="1352550"/>
          <a:ext cx="3295650" cy="466725"/>
        </a:xfrm>
        <a:prstGeom prst="rect">
          <a:avLst/>
        </a:prstGeom>
        <a:noFill/>
        <a:ln w="9525">
          <a:noFill/>
          <a:miter lim="800000"/>
          <a:headEnd/>
          <a:tailEnd/>
        </a:ln>
      </xdr:spPr>
    </xdr:pic>
    <xdr:clientData/>
  </xdr:oneCellAnchor>
  <xdr:oneCellAnchor>
    <xdr:from>
      <xdr:col>7</xdr:col>
      <xdr:colOff>0</xdr:colOff>
      <xdr:row>39</xdr:row>
      <xdr:rowOff>0</xdr:rowOff>
    </xdr:from>
    <xdr:ext cx="3295650" cy="466725"/>
    <xdr:pic>
      <xdr:nvPicPr>
        <xdr:cNvPr id="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552575"/>
          <a:ext cx="3295650" cy="466725"/>
        </a:xfrm>
        <a:prstGeom prst="rect">
          <a:avLst/>
        </a:prstGeom>
        <a:noFill/>
        <a:ln w="9525">
          <a:noFill/>
          <a:miter lim="800000"/>
          <a:headEnd/>
          <a:tailEnd/>
        </a:ln>
      </xdr:spPr>
    </xdr:pic>
    <xdr:clientData/>
  </xdr:oneCellAnchor>
  <xdr:oneCellAnchor>
    <xdr:from>
      <xdr:col>7</xdr:col>
      <xdr:colOff>0</xdr:colOff>
      <xdr:row>39</xdr:row>
      <xdr:rowOff>0</xdr:rowOff>
    </xdr:from>
    <xdr:ext cx="3295650" cy="466725"/>
    <xdr:pic>
      <xdr:nvPicPr>
        <xdr:cNvPr id="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552575"/>
          <a:ext cx="3295650" cy="466725"/>
        </a:xfrm>
        <a:prstGeom prst="rect">
          <a:avLst/>
        </a:prstGeom>
        <a:noFill/>
        <a:ln w="9525">
          <a:noFill/>
          <a:miter lim="800000"/>
          <a:headEnd/>
          <a:tailEnd/>
        </a:ln>
      </xdr:spPr>
    </xdr:pic>
    <xdr:clientData/>
  </xdr:oneCellAnchor>
  <xdr:oneCellAnchor>
    <xdr:from>
      <xdr:col>7</xdr:col>
      <xdr:colOff>0</xdr:colOff>
      <xdr:row>39</xdr:row>
      <xdr:rowOff>0</xdr:rowOff>
    </xdr:from>
    <xdr:ext cx="3295650" cy="466725"/>
    <xdr:pic>
      <xdr:nvPicPr>
        <xdr:cNvPr id="1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2392025" y="1552575"/>
          <a:ext cx="3295650" cy="466725"/>
        </a:xfrm>
        <a:prstGeom prst="rect">
          <a:avLst/>
        </a:prstGeom>
        <a:noFill/>
        <a:ln w="9525">
          <a:noFill/>
          <a:miter lim="800000"/>
          <a:headEnd/>
          <a:tailEnd/>
        </a:ln>
      </xdr:spPr>
    </xdr:pic>
    <xdr:clientData/>
  </xdr:oneCellAnchor>
  <xdr:oneCellAnchor>
    <xdr:from>
      <xdr:col>5</xdr:col>
      <xdr:colOff>0</xdr:colOff>
      <xdr:row>13</xdr:row>
      <xdr:rowOff>0</xdr:rowOff>
    </xdr:from>
    <xdr:ext cx="3295650" cy="466725"/>
    <xdr:pic>
      <xdr:nvPicPr>
        <xdr:cNvPr id="1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077325" y="1352550"/>
          <a:ext cx="3295650" cy="466725"/>
        </a:xfrm>
        <a:prstGeom prst="rect">
          <a:avLst/>
        </a:prstGeom>
        <a:noFill/>
        <a:ln w="9525">
          <a:noFill/>
          <a:miter lim="800000"/>
          <a:headEnd/>
          <a:tailEnd/>
        </a:ln>
      </xdr:spPr>
    </xdr:pic>
    <xdr:clientData/>
  </xdr:oneCellAnchor>
  <xdr:oneCellAnchor>
    <xdr:from>
      <xdr:col>6</xdr:col>
      <xdr:colOff>0</xdr:colOff>
      <xdr:row>27</xdr:row>
      <xdr:rowOff>0</xdr:rowOff>
    </xdr:from>
    <xdr:ext cx="3295650" cy="466725"/>
    <xdr:pic>
      <xdr:nvPicPr>
        <xdr:cNvPr id="1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352550"/>
          <a:ext cx="3295650" cy="466725"/>
        </a:xfrm>
        <a:prstGeom prst="rect">
          <a:avLst/>
        </a:prstGeom>
        <a:noFill/>
        <a:ln w="9525">
          <a:noFill/>
          <a:miter lim="800000"/>
          <a:headEnd/>
          <a:tailEnd/>
        </a:ln>
      </xdr:spPr>
    </xdr:pic>
    <xdr:clientData/>
  </xdr:oneCellAnchor>
  <xdr:oneCellAnchor>
    <xdr:from>
      <xdr:col>7</xdr:col>
      <xdr:colOff>0</xdr:colOff>
      <xdr:row>38</xdr:row>
      <xdr:rowOff>0</xdr:rowOff>
    </xdr:from>
    <xdr:ext cx="3295650" cy="466725"/>
    <xdr:pic>
      <xdr:nvPicPr>
        <xdr:cNvPr id="1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2392025" y="1352550"/>
          <a:ext cx="3295650" cy="466725"/>
        </a:xfrm>
        <a:prstGeom prst="rect">
          <a:avLst/>
        </a:prstGeom>
        <a:noFill/>
        <a:ln w="9525">
          <a:noFill/>
          <a:miter lim="800000"/>
          <a:headEnd/>
          <a:tailEnd/>
        </a:ln>
      </xdr:spPr>
    </xdr:pic>
    <xdr:clientData/>
  </xdr:oneCellAnchor>
  <xdr:oneCellAnchor>
    <xdr:from>
      <xdr:col>7</xdr:col>
      <xdr:colOff>0</xdr:colOff>
      <xdr:row>50</xdr:row>
      <xdr:rowOff>0</xdr:rowOff>
    </xdr:from>
    <xdr:ext cx="3295650" cy="438150"/>
    <xdr:pic>
      <xdr:nvPicPr>
        <xdr:cNvPr id="1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2392025" y="3743325"/>
          <a:ext cx="3295650" cy="438150"/>
        </a:xfrm>
        <a:prstGeom prst="rect">
          <a:avLst/>
        </a:prstGeom>
        <a:noFill/>
        <a:ln w="9525">
          <a:noFill/>
          <a:miter lim="800000"/>
          <a:headEnd/>
          <a:tailEnd/>
        </a:ln>
      </xdr:spPr>
    </xdr:pic>
    <xdr:clientData/>
  </xdr:oneCellAnchor>
  <xdr:oneCellAnchor>
    <xdr:from>
      <xdr:col>5</xdr:col>
      <xdr:colOff>0</xdr:colOff>
      <xdr:row>0</xdr:row>
      <xdr:rowOff>0</xdr:rowOff>
    </xdr:from>
    <xdr:ext cx="3303270" cy="438150"/>
    <xdr:pic>
      <xdr:nvPicPr>
        <xdr:cNvPr id="1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3905250"/>
          <a:ext cx="3303270" cy="438150"/>
        </a:xfrm>
        <a:prstGeom prst="rect">
          <a:avLst/>
        </a:prstGeom>
        <a:noFill/>
        <a:ln w="9525">
          <a:noFill/>
          <a:miter lim="800000"/>
          <a:headEnd/>
          <a:tailEnd/>
        </a:ln>
      </xdr:spPr>
    </xdr:pic>
    <xdr:clientData/>
  </xdr:oneCellAnchor>
  <xdr:twoCellAnchor editAs="oneCell">
    <xdr:from>
      <xdr:col>6</xdr:col>
      <xdr:colOff>0</xdr:colOff>
      <xdr:row>51</xdr:row>
      <xdr:rowOff>0</xdr:rowOff>
    </xdr:from>
    <xdr:to>
      <xdr:col>7</xdr:col>
      <xdr:colOff>438150</xdr:colOff>
      <xdr:row>53</xdr:row>
      <xdr:rowOff>94191</xdr:rowOff>
    </xdr:to>
    <xdr:pic>
      <xdr:nvPicPr>
        <xdr:cNvPr id="1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876800"/>
          <a:ext cx="3295650" cy="438150"/>
        </a:xfrm>
        <a:prstGeom prst="rect">
          <a:avLst/>
        </a:prstGeom>
        <a:noFill/>
        <a:ln w="9525">
          <a:noFill/>
          <a:miter lim="800000"/>
          <a:headEnd/>
          <a:tailEnd/>
        </a:ln>
      </xdr:spPr>
    </xdr:pic>
    <xdr:clientData/>
  </xdr:twoCellAnchor>
  <xdr:oneCellAnchor>
    <xdr:from>
      <xdr:col>5</xdr:col>
      <xdr:colOff>0</xdr:colOff>
      <xdr:row>0</xdr:row>
      <xdr:rowOff>0</xdr:rowOff>
    </xdr:from>
    <xdr:ext cx="3303270" cy="438150"/>
    <xdr:pic>
      <xdr:nvPicPr>
        <xdr:cNvPr id="1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3905250"/>
          <a:ext cx="3303270" cy="438150"/>
        </a:xfrm>
        <a:prstGeom prst="rect">
          <a:avLst/>
        </a:prstGeom>
        <a:noFill/>
        <a:ln w="9525">
          <a:noFill/>
          <a:miter lim="800000"/>
          <a:headEnd/>
          <a:tailEnd/>
        </a:ln>
      </xdr:spPr>
    </xdr:pic>
    <xdr:clientData/>
  </xdr:oneCellAnchor>
  <xdr:twoCellAnchor editAs="oneCell">
    <xdr:from>
      <xdr:col>6</xdr:col>
      <xdr:colOff>0</xdr:colOff>
      <xdr:row>51</xdr:row>
      <xdr:rowOff>0</xdr:rowOff>
    </xdr:from>
    <xdr:to>
      <xdr:col>7</xdr:col>
      <xdr:colOff>438150</xdr:colOff>
      <xdr:row>53</xdr:row>
      <xdr:rowOff>94191</xdr:rowOff>
    </xdr:to>
    <xdr:pic>
      <xdr:nvPicPr>
        <xdr:cNvPr id="1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295650" cy="438150"/>
        </a:xfrm>
        <a:prstGeom prst="rect">
          <a:avLst/>
        </a:prstGeom>
        <a:noFill/>
        <a:ln w="9525">
          <a:noFill/>
          <a:miter lim="800000"/>
          <a:headEnd/>
          <a:tailEnd/>
        </a:ln>
      </xdr:spPr>
    </xdr:pic>
    <xdr:clientData/>
  </xdr:twoCellAnchor>
  <xdr:twoCellAnchor editAs="oneCell">
    <xdr:from>
      <xdr:col>6</xdr:col>
      <xdr:colOff>0</xdr:colOff>
      <xdr:row>51</xdr:row>
      <xdr:rowOff>0</xdr:rowOff>
    </xdr:from>
    <xdr:to>
      <xdr:col>7</xdr:col>
      <xdr:colOff>438150</xdr:colOff>
      <xdr:row>53</xdr:row>
      <xdr:rowOff>94191</xdr:rowOff>
    </xdr:to>
    <xdr:pic>
      <xdr:nvPicPr>
        <xdr:cNvPr id="1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295650" cy="438150"/>
        </a:xfrm>
        <a:prstGeom prst="rect">
          <a:avLst/>
        </a:prstGeom>
        <a:noFill/>
        <a:ln w="9525">
          <a:noFill/>
          <a:miter lim="800000"/>
          <a:headEnd/>
          <a:tailEnd/>
        </a:ln>
      </xdr:spPr>
    </xdr:pic>
    <xdr:clientData/>
  </xdr:twoCellAnchor>
  <xdr:oneCellAnchor>
    <xdr:from>
      <xdr:col>6</xdr:col>
      <xdr:colOff>0</xdr:colOff>
      <xdr:row>51</xdr:row>
      <xdr:rowOff>0</xdr:rowOff>
    </xdr:from>
    <xdr:ext cx="3303270" cy="438150"/>
    <xdr:pic>
      <xdr:nvPicPr>
        <xdr:cNvPr id="2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2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2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06717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2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067175"/>
          <a:ext cx="3303270" cy="438150"/>
        </a:xfrm>
        <a:prstGeom prst="rect">
          <a:avLst/>
        </a:prstGeom>
        <a:noFill/>
        <a:ln w="9525">
          <a:noFill/>
          <a:miter lim="800000"/>
          <a:headEnd/>
          <a:tailEnd/>
        </a:ln>
      </xdr:spPr>
    </xdr:pic>
    <xdr:clientData/>
  </xdr:oneCellAnchor>
  <xdr:twoCellAnchor editAs="oneCell">
    <xdr:from>
      <xdr:col>6</xdr:col>
      <xdr:colOff>0</xdr:colOff>
      <xdr:row>50</xdr:row>
      <xdr:rowOff>0</xdr:rowOff>
    </xdr:from>
    <xdr:to>
      <xdr:col>7</xdr:col>
      <xdr:colOff>438150</xdr:colOff>
      <xdr:row>52</xdr:row>
      <xdr:rowOff>93134</xdr:rowOff>
    </xdr:to>
    <xdr:pic>
      <xdr:nvPicPr>
        <xdr:cNvPr id="2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6010275"/>
          <a:ext cx="3295650" cy="438150"/>
        </a:xfrm>
        <a:prstGeom prst="rect">
          <a:avLst/>
        </a:prstGeom>
        <a:noFill/>
        <a:ln w="9525">
          <a:noFill/>
          <a:miter lim="800000"/>
          <a:headEnd/>
          <a:tailEnd/>
        </a:ln>
      </xdr:spPr>
    </xdr:pic>
    <xdr:clientData/>
  </xdr:twoCellAnchor>
  <xdr:twoCellAnchor editAs="oneCell">
    <xdr:from>
      <xdr:col>6</xdr:col>
      <xdr:colOff>0</xdr:colOff>
      <xdr:row>50</xdr:row>
      <xdr:rowOff>0</xdr:rowOff>
    </xdr:from>
    <xdr:to>
      <xdr:col>7</xdr:col>
      <xdr:colOff>438150</xdr:colOff>
      <xdr:row>52</xdr:row>
      <xdr:rowOff>93134</xdr:rowOff>
    </xdr:to>
    <xdr:pic>
      <xdr:nvPicPr>
        <xdr:cNvPr id="2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6010275"/>
          <a:ext cx="3295650" cy="438150"/>
        </a:xfrm>
        <a:prstGeom prst="rect">
          <a:avLst/>
        </a:prstGeom>
        <a:noFill/>
        <a:ln w="9525">
          <a:noFill/>
          <a:miter lim="800000"/>
          <a:headEnd/>
          <a:tailEnd/>
        </a:ln>
      </xdr:spPr>
    </xdr:pic>
    <xdr:clientData/>
  </xdr:twoCellAnchor>
  <xdr:oneCellAnchor>
    <xdr:from>
      <xdr:col>6</xdr:col>
      <xdr:colOff>0</xdr:colOff>
      <xdr:row>50</xdr:row>
      <xdr:rowOff>0</xdr:rowOff>
    </xdr:from>
    <xdr:ext cx="3303270" cy="438150"/>
    <xdr:pic>
      <xdr:nvPicPr>
        <xdr:cNvPr id="2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601027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2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6010275"/>
          <a:ext cx="3303270" cy="438150"/>
        </a:xfrm>
        <a:prstGeom prst="rect">
          <a:avLst/>
        </a:prstGeom>
        <a:noFill/>
        <a:ln w="9525">
          <a:noFill/>
          <a:miter lim="800000"/>
          <a:headEnd/>
          <a:tailEnd/>
        </a:ln>
      </xdr:spPr>
    </xdr:pic>
    <xdr:clientData/>
  </xdr:oneCellAnchor>
  <xdr:twoCellAnchor editAs="oneCell">
    <xdr:from>
      <xdr:col>6</xdr:col>
      <xdr:colOff>0</xdr:colOff>
      <xdr:row>57</xdr:row>
      <xdr:rowOff>0</xdr:rowOff>
    </xdr:from>
    <xdr:to>
      <xdr:col>7</xdr:col>
      <xdr:colOff>438150</xdr:colOff>
      <xdr:row>59</xdr:row>
      <xdr:rowOff>99483</xdr:rowOff>
    </xdr:to>
    <xdr:pic>
      <xdr:nvPicPr>
        <xdr:cNvPr id="2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6496050"/>
          <a:ext cx="3295650" cy="438150"/>
        </a:xfrm>
        <a:prstGeom prst="rect">
          <a:avLst/>
        </a:prstGeom>
        <a:noFill/>
        <a:ln w="9525">
          <a:noFill/>
          <a:miter lim="800000"/>
          <a:headEnd/>
          <a:tailEnd/>
        </a:ln>
      </xdr:spPr>
    </xdr:pic>
    <xdr:clientData/>
  </xdr:twoCellAnchor>
  <xdr:twoCellAnchor editAs="oneCell">
    <xdr:from>
      <xdr:col>6</xdr:col>
      <xdr:colOff>0</xdr:colOff>
      <xdr:row>57</xdr:row>
      <xdr:rowOff>0</xdr:rowOff>
    </xdr:from>
    <xdr:to>
      <xdr:col>7</xdr:col>
      <xdr:colOff>438150</xdr:colOff>
      <xdr:row>59</xdr:row>
      <xdr:rowOff>99483</xdr:rowOff>
    </xdr:to>
    <xdr:pic>
      <xdr:nvPicPr>
        <xdr:cNvPr id="2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6496050"/>
          <a:ext cx="3295650" cy="438150"/>
        </a:xfrm>
        <a:prstGeom prst="rect">
          <a:avLst/>
        </a:prstGeom>
        <a:noFill/>
        <a:ln w="9525">
          <a:noFill/>
          <a:miter lim="800000"/>
          <a:headEnd/>
          <a:tailEnd/>
        </a:ln>
      </xdr:spPr>
    </xdr:pic>
    <xdr:clientData/>
  </xdr:twoCellAnchor>
  <xdr:oneCellAnchor>
    <xdr:from>
      <xdr:col>6</xdr:col>
      <xdr:colOff>0</xdr:colOff>
      <xdr:row>57</xdr:row>
      <xdr:rowOff>0</xdr:rowOff>
    </xdr:from>
    <xdr:ext cx="3303270" cy="438150"/>
    <xdr:pic>
      <xdr:nvPicPr>
        <xdr:cNvPr id="3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6496050"/>
          <a:ext cx="3303270" cy="438150"/>
        </a:xfrm>
        <a:prstGeom prst="rect">
          <a:avLst/>
        </a:prstGeom>
        <a:noFill/>
        <a:ln w="9525">
          <a:noFill/>
          <a:miter lim="800000"/>
          <a:headEnd/>
          <a:tailEnd/>
        </a:ln>
      </xdr:spPr>
    </xdr:pic>
    <xdr:clientData/>
  </xdr:oneCellAnchor>
  <xdr:oneCellAnchor>
    <xdr:from>
      <xdr:col>6</xdr:col>
      <xdr:colOff>0</xdr:colOff>
      <xdr:row>57</xdr:row>
      <xdr:rowOff>0</xdr:rowOff>
    </xdr:from>
    <xdr:ext cx="3303270" cy="438150"/>
    <xdr:pic>
      <xdr:nvPicPr>
        <xdr:cNvPr id="3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6496050"/>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3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3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3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3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3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3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twoCellAnchor editAs="oneCell">
    <xdr:from>
      <xdr:col>6</xdr:col>
      <xdr:colOff>0</xdr:colOff>
      <xdr:row>51</xdr:row>
      <xdr:rowOff>0</xdr:rowOff>
    </xdr:from>
    <xdr:to>
      <xdr:col>7</xdr:col>
      <xdr:colOff>438150</xdr:colOff>
      <xdr:row>53</xdr:row>
      <xdr:rowOff>94191</xdr:rowOff>
    </xdr:to>
    <xdr:pic>
      <xdr:nvPicPr>
        <xdr:cNvPr id="3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295650" cy="438150"/>
        </a:xfrm>
        <a:prstGeom prst="rect">
          <a:avLst/>
        </a:prstGeom>
        <a:noFill/>
        <a:ln w="9525">
          <a:noFill/>
          <a:miter lim="800000"/>
          <a:headEnd/>
          <a:tailEnd/>
        </a:ln>
      </xdr:spPr>
    </xdr:pic>
    <xdr:clientData/>
  </xdr:twoCellAnchor>
  <xdr:twoCellAnchor editAs="oneCell">
    <xdr:from>
      <xdr:col>6</xdr:col>
      <xdr:colOff>0</xdr:colOff>
      <xdr:row>51</xdr:row>
      <xdr:rowOff>0</xdr:rowOff>
    </xdr:from>
    <xdr:to>
      <xdr:col>7</xdr:col>
      <xdr:colOff>438150</xdr:colOff>
      <xdr:row>53</xdr:row>
      <xdr:rowOff>94191</xdr:rowOff>
    </xdr:to>
    <xdr:pic>
      <xdr:nvPicPr>
        <xdr:cNvPr id="3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295650" cy="438150"/>
        </a:xfrm>
        <a:prstGeom prst="rect">
          <a:avLst/>
        </a:prstGeom>
        <a:noFill/>
        <a:ln w="9525">
          <a:noFill/>
          <a:miter lim="800000"/>
          <a:headEnd/>
          <a:tailEnd/>
        </a:ln>
      </xdr:spPr>
    </xdr:pic>
    <xdr:clientData/>
  </xdr:twoCellAnchor>
  <xdr:twoCellAnchor editAs="oneCell">
    <xdr:from>
      <xdr:col>6</xdr:col>
      <xdr:colOff>0</xdr:colOff>
      <xdr:row>51</xdr:row>
      <xdr:rowOff>0</xdr:rowOff>
    </xdr:from>
    <xdr:to>
      <xdr:col>7</xdr:col>
      <xdr:colOff>438150</xdr:colOff>
      <xdr:row>53</xdr:row>
      <xdr:rowOff>94191</xdr:rowOff>
    </xdr:to>
    <xdr:pic>
      <xdr:nvPicPr>
        <xdr:cNvPr id="4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295650" cy="438150"/>
        </a:xfrm>
        <a:prstGeom prst="rect">
          <a:avLst/>
        </a:prstGeom>
        <a:noFill/>
        <a:ln w="9525">
          <a:noFill/>
          <a:miter lim="800000"/>
          <a:headEnd/>
          <a:tailEnd/>
        </a:ln>
      </xdr:spPr>
    </xdr:pic>
    <xdr:clientData/>
  </xdr:twoCellAnchor>
  <xdr:twoCellAnchor editAs="oneCell">
    <xdr:from>
      <xdr:col>6</xdr:col>
      <xdr:colOff>0</xdr:colOff>
      <xdr:row>51</xdr:row>
      <xdr:rowOff>0</xdr:rowOff>
    </xdr:from>
    <xdr:to>
      <xdr:col>7</xdr:col>
      <xdr:colOff>438150</xdr:colOff>
      <xdr:row>53</xdr:row>
      <xdr:rowOff>94191</xdr:rowOff>
    </xdr:to>
    <xdr:pic>
      <xdr:nvPicPr>
        <xdr:cNvPr id="4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295650" cy="438150"/>
        </a:xfrm>
        <a:prstGeom prst="rect">
          <a:avLst/>
        </a:prstGeom>
        <a:noFill/>
        <a:ln w="9525">
          <a:noFill/>
          <a:miter lim="800000"/>
          <a:headEnd/>
          <a:tailEnd/>
        </a:ln>
      </xdr:spPr>
    </xdr:pic>
    <xdr:clientData/>
  </xdr:twoCellAnchor>
  <xdr:oneCellAnchor>
    <xdr:from>
      <xdr:col>6</xdr:col>
      <xdr:colOff>0</xdr:colOff>
      <xdr:row>51</xdr:row>
      <xdr:rowOff>0</xdr:rowOff>
    </xdr:from>
    <xdr:ext cx="3303270" cy="438150"/>
    <xdr:pic>
      <xdr:nvPicPr>
        <xdr:cNvPr id="4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4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4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4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twoCellAnchor editAs="oneCell">
    <xdr:from>
      <xdr:col>6</xdr:col>
      <xdr:colOff>0</xdr:colOff>
      <xdr:row>50</xdr:row>
      <xdr:rowOff>0</xdr:rowOff>
    </xdr:from>
    <xdr:to>
      <xdr:col>7</xdr:col>
      <xdr:colOff>438150</xdr:colOff>
      <xdr:row>52</xdr:row>
      <xdr:rowOff>93134</xdr:rowOff>
    </xdr:to>
    <xdr:pic>
      <xdr:nvPicPr>
        <xdr:cNvPr id="4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362575"/>
          <a:ext cx="3295650" cy="438150"/>
        </a:xfrm>
        <a:prstGeom prst="rect">
          <a:avLst/>
        </a:prstGeom>
        <a:noFill/>
        <a:ln w="9525">
          <a:noFill/>
          <a:miter lim="800000"/>
          <a:headEnd/>
          <a:tailEnd/>
        </a:ln>
      </xdr:spPr>
    </xdr:pic>
    <xdr:clientData/>
  </xdr:twoCellAnchor>
  <xdr:twoCellAnchor editAs="oneCell">
    <xdr:from>
      <xdr:col>6</xdr:col>
      <xdr:colOff>0</xdr:colOff>
      <xdr:row>50</xdr:row>
      <xdr:rowOff>0</xdr:rowOff>
    </xdr:from>
    <xdr:to>
      <xdr:col>7</xdr:col>
      <xdr:colOff>438150</xdr:colOff>
      <xdr:row>52</xdr:row>
      <xdr:rowOff>93134</xdr:rowOff>
    </xdr:to>
    <xdr:pic>
      <xdr:nvPicPr>
        <xdr:cNvPr id="4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362575"/>
          <a:ext cx="3295650" cy="438150"/>
        </a:xfrm>
        <a:prstGeom prst="rect">
          <a:avLst/>
        </a:prstGeom>
        <a:noFill/>
        <a:ln w="9525">
          <a:noFill/>
          <a:miter lim="800000"/>
          <a:headEnd/>
          <a:tailEnd/>
        </a:ln>
      </xdr:spPr>
    </xdr:pic>
    <xdr:clientData/>
  </xdr:twoCellAnchor>
  <xdr:oneCellAnchor>
    <xdr:from>
      <xdr:col>6</xdr:col>
      <xdr:colOff>0</xdr:colOff>
      <xdr:row>50</xdr:row>
      <xdr:rowOff>0</xdr:rowOff>
    </xdr:from>
    <xdr:ext cx="3303270" cy="438150"/>
    <xdr:pic>
      <xdr:nvPicPr>
        <xdr:cNvPr id="4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36257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4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362575"/>
          <a:ext cx="3303270" cy="438150"/>
        </a:xfrm>
        <a:prstGeom prst="rect">
          <a:avLst/>
        </a:prstGeom>
        <a:noFill/>
        <a:ln w="9525">
          <a:noFill/>
          <a:miter lim="800000"/>
          <a:headEnd/>
          <a:tailEnd/>
        </a:ln>
      </xdr:spPr>
    </xdr:pic>
    <xdr:clientData/>
  </xdr:oneCellAnchor>
  <xdr:oneCellAnchor>
    <xdr:from>
      <xdr:col>5</xdr:col>
      <xdr:colOff>0</xdr:colOff>
      <xdr:row>9</xdr:row>
      <xdr:rowOff>0</xdr:rowOff>
    </xdr:from>
    <xdr:ext cx="3295650" cy="466725"/>
    <xdr:pic>
      <xdr:nvPicPr>
        <xdr:cNvPr id="5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115425" y="666750"/>
          <a:ext cx="3295650" cy="466725"/>
        </a:xfrm>
        <a:prstGeom prst="rect">
          <a:avLst/>
        </a:prstGeom>
        <a:noFill/>
        <a:ln w="9525">
          <a:noFill/>
          <a:miter lim="800000"/>
          <a:headEnd/>
          <a:tailEnd/>
        </a:ln>
      </xdr:spPr>
    </xdr:pic>
    <xdr:clientData/>
  </xdr:oneCellAnchor>
  <xdr:twoCellAnchor editAs="oneCell">
    <xdr:from>
      <xdr:col>6</xdr:col>
      <xdr:colOff>0</xdr:colOff>
      <xdr:row>43</xdr:row>
      <xdr:rowOff>0</xdr:rowOff>
    </xdr:from>
    <xdr:to>
      <xdr:col>7</xdr:col>
      <xdr:colOff>438150</xdr:colOff>
      <xdr:row>45</xdr:row>
      <xdr:rowOff>93133</xdr:rowOff>
    </xdr:to>
    <xdr:pic>
      <xdr:nvPicPr>
        <xdr:cNvPr id="5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5334000"/>
          <a:ext cx="3295650" cy="438150"/>
        </a:xfrm>
        <a:prstGeom prst="rect">
          <a:avLst/>
        </a:prstGeom>
        <a:noFill/>
        <a:ln w="9525">
          <a:noFill/>
          <a:miter lim="800000"/>
          <a:headEnd/>
          <a:tailEnd/>
        </a:ln>
      </xdr:spPr>
    </xdr:pic>
    <xdr:clientData/>
  </xdr:twoCellAnchor>
  <xdr:twoCellAnchor editAs="oneCell">
    <xdr:from>
      <xdr:col>6</xdr:col>
      <xdr:colOff>0</xdr:colOff>
      <xdr:row>31</xdr:row>
      <xdr:rowOff>0</xdr:rowOff>
    </xdr:from>
    <xdr:to>
      <xdr:col>7</xdr:col>
      <xdr:colOff>445770</xdr:colOff>
      <xdr:row>33</xdr:row>
      <xdr:rowOff>93134</xdr:rowOff>
    </xdr:to>
    <xdr:pic>
      <xdr:nvPicPr>
        <xdr:cNvPr id="5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3181350"/>
          <a:ext cx="3303270" cy="438150"/>
        </a:xfrm>
        <a:prstGeom prst="rect">
          <a:avLst/>
        </a:prstGeom>
        <a:noFill/>
        <a:ln w="9525">
          <a:noFill/>
          <a:miter lim="800000"/>
          <a:headEnd/>
          <a:tailEnd/>
        </a:ln>
      </xdr:spPr>
    </xdr:pic>
    <xdr:clientData/>
  </xdr:twoCellAnchor>
  <xdr:oneCellAnchor>
    <xdr:from>
      <xdr:col>5</xdr:col>
      <xdr:colOff>0</xdr:colOff>
      <xdr:row>9</xdr:row>
      <xdr:rowOff>0</xdr:rowOff>
    </xdr:from>
    <xdr:ext cx="3295650" cy="466725"/>
    <xdr:pic>
      <xdr:nvPicPr>
        <xdr:cNvPr id="5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752600"/>
          <a:ext cx="3295650" cy="466725"/>
        </a:xfrm>
        <a:prstGeom prst="rect">
          <a:avLst/>
        </a:prstGeom>
        <a:noFill/>
        <a:ln w="9525">
          <a:noFill/>
          <a:miter lim="800000"/>
          <a:headEnd/>
          <a:tailEnd/>
        </a:ln>
      </xdr:spPr>
    </xdr:pic>
    <xdr:clientData/>
  </xdr:oneCellAnchor>
  <xdr:oneCellAnchor>
    <xdr:from>
      <xdr:col>5</xdr:col>
      <xdr:colOff>0</xdr:colOff>
      <xdr:row>19</xdr:row>
      <xdr:rowOff>0</xdr:rowOff>
    </xdr:from>
    <xdr:ext cx="3295650" cy="466725"/>
    <xdr:pic>
      <xdr:nvPicPr>
        <xdr:cNvPr id="5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914525"/>
          <a:ext cx="3295650" cy="466725"/>
        </a:xfrm>
        <a:prstGeom prst="rect">
          <a:avLst/>
        </a:prstGeom>
        <a:noFill/>
        <a:ln w="9525">
          <a:noFill/>
          <a:miter lim="800000"/>
          <a:headEnd/>
          <a:tailEnd/>
        </a:ln>
      </xdr:spPr>
    </xdr:pic>
    <xdr:clientData/>
  </xdr:oneCellAnchor>
  <xdr:oneCellAnchor>
    <xdr:from>
      <xdr:col>5</xdr:col>
      <xdr:colOff>0</xdr:colOff>
      <xdr:row>19</xdr:row>
      <xdr:rowOff>0</xdr:rowOff>
    </xdr:from>
    <xdr:ext cx="3295650" cy="466725"/>
    <xdr:pic>
      <xdr:nvPicPr>
        <xdr:cNvPr id="5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914525"/>
          <a:ext cx="3295650" cy="466725"/>
        </a:xfrm>
        <a:prstGeom prst="rect">
          <a:avLst/>
        </a:prstGeom>
        <a:noFill/>
        <a:ln w="9525">
          <a:noFill/>
          <a:miter lim="800000"/>
          <a:headEnd/>
          <a:tailEnd/>
        </a:ln>
      </xdr:spPr>
    </xdr:pic>
    <xdr:clientData/>
  </xdr:oneCellAnchor>
  <xdr:oneCellAnchor>
    <xdr:from>
      <xdr:col>5</xdr:col>
      <xdr:colOff>0</xdr:colOff>
      <xdr:row>22</xdr:row>
      <xdr:rowOff>0</xdr:rowOff>
    </xdr:from>
    <xdr:ext cx="3295650" cy="466725"/>
    <xdr:pic>
      <xdr:nvPicPr>
        <xdr:cNvPr id="5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914525"/>
          <a:ext cx="3295650" cy="466725"/>
        </a:xfrm>
        <a:prstGeom prst="rect">
          <a:avLst/>
        </a:prstGeom>
        <a:noFill/>
        <a:ln w="9525">
          <a:noFill/>
          <a:miter lim="800000"/>
          <a:headEnd/>
          <a:tailEnd/>
        </a:ln>
      </xdr:spPr>
    </xdr:pic>
    <xdr:clientData/>
  </xdr:oneCellAnchor>
  <xdr:oneCellAnchor>
    <xdr:from>
      <xdr:col>5</xdr:col>
      <xdr:colOff>0</xdr:colOff>
      <xdr:row>22</xdr:row>
      <xdr:rowOff>0</xdr:rowOff>
    </xdr:from>
    <xdr:ext cx="3295650" cy="466725"/>
    <xdr:pic>
      <xdr:nvPicPr>
        <xdr:cNvPr id="6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914525"/>
          <a:ext cx="3295650" cy="466725"/>
        </a:xfrm>
        <a:prstGeom prst="rect">
          <a:avLst/>
        </a:prstGeom>
        <a:noFill/>
        <a:ln w="9525">
          <a:noFill/>
          <a:miter lim="800000"/>
          <a:headEnd/>
          <a:tailEnd/>
        </a:ln>
      </xdr:spPr>
    </xdr:pic>
    <xdr:clientData/>
  </xdr:oneCellAnchor>
  <xdr:oneCellAnchor>
    <xdr:from>
      <xdr:col>5</xdr:col>
      <xdr:colOff>0</xdr:colOff>
      <xdr:row>24</xdr:row>
      <xdr:rowOff>0</xdr:rowOff>
    </xdr:from>
    <xdr:ext cx="3295650" cy="466725"/>
    <xdr:pic>
      <xdr:nvPicPr>
        <xdr:cNvPr id="6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914525"/>
          <a:ext cx="3295650" cy="466725"/>
        </a:xfrm>
        <a:prstGeom prst="rect">
          <a:avLst/>
        </a:prstGeom>
        <a:noFill/>
        <a:ln w="9525">
          <a:noFill/>
          <a:miter lim="800000"/>
          <a:headEnd/>
          <a:tailEnd/>
        </a:ln>
      </xdr:spPr>
    </xdr:pic>
    <xdr:clientData/>
  </xdr:oneCellAnchor>
  <xdr:oneCellAnchor>
    <xdr:from>
      <xdr:col>5</xdr:col>
      <xdr:colOff>0</xdr:colOff>
      <xdr:row>24</xdr:row>
      <xdr:rowOff>0</xdr:rowOff>
    </xdr:from>
    <xdr:ext cx="3295650" cy="466725"/>
    <xdr:pic>
      <xdr:nvPicPr>
        <xdr:cNvPr id="6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914525"/>
          <a:ext cx="3295650" cy="466725"/>
        </a:xfrm>
        <a:prstGeom prst="rect">
          <a:avLst/>
        </a:prstGeom>
        <a:noFill/>
        <a:ln w="9525">
          <a:noFill/>
          <a:miter lim="800000"/>
          <a:headEnd/>
          <a:tailEnd/>
        </a:ln>
      </xdr:spPr>
    </xdr:pic>
    <xdr:clientData/>
  </xdr:oneCellAnchor>
  <xdr:oneCellAnchor>
    <xdr:from>
      <xdr:col>5</xdr:col>
      <xdr:colOff>0</xdr:colOff>
      <xdr:row>26</xdr:row>
      <xdr:rowOff>0</xdr:rowOff>
    </xdr:from>
    <xdr:ext cx="3295650" cy="466725"/>
    <xdr:pic>
      <xdr:nvPicPr>
        <xdr:cNvPr id="6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2762250"/>
          <a:ext cx="3295650" cy="466725"/>
        </a:xfrm>
        <a:prstGeom prst="rect">
          <a:avLst/>
        </a:prstGeom>
        <a:noFill/>
        <a:ln w="9525">
          <a:noFill/>
          <a:miter lim="800000"/>
          <a:headEnd/>
          <a:tailEnd/>
        </a:ln>
      </xdr:spPr>
    </xdr:pic>
    <xdr:clientData/>
  </xdr:oneCellAnchor>
  <xdr:oneCellAnchor>
    <xdr:from>
      <xdr:col>5</xdr:col>
      <xdr:colOff>0</xdr:colOff>
      <xdr:row>26</xdr:row>
      <xdr:rowOff>0</xdr:rowOff>
    </xdr:from>
    <xdr:ext cx="3295650" cy="466725"/>
    <xdr:pic>
      <xdr:nvPicPr>
        <xdr:cNvPr id="6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2762250"/>
          <a:ext cx="3295650" cy="466725"/>
        </a:xfrm>
        <a:prstGeom prst="rect">
          <a:avLst/>
        </a:prstGeom>
        <a:noFill/>
        <a:ln w="9525">
          <a:noFill/>
          <a:miter lim="800000"/>
          <a:headEnd/>
          <a:tailEnd/>
        </a:ln>
      </xdr:spPr>
    </xdr:pic>
    <xdr:clientData/>
  </xdr:oneCellAnchor>
  <xdr:oneCellAnchor>
    <xdr:from>
      <xdr:col>5</xdr:col>
      <xdr:colOff>0</xdr:colOff>
      <xdr:row>26</xdr:row>
      <xdr:rowOff>0</xdr:rowOff>
    </xdr:from>
    <xdr:ext cx="3295650" cy="466725"/>
    <xdr:pic>
      <xdr:nvPicPr>
        <xdr:cNvPr id="6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3362325"/>
          <a:ext cx="3295650" cy="466725"/>
        </a:xfrm>
        <a:prstGeom prst="rect">
          <a:avLst/>
        </a:prstGeom>
        <a:noFill/>
        <a:ln w="9525">
          <a:noFill/>
          <a:miter lim="800000"/>
          <a:headEnd/>
          <a:tailEnd/>
        </a:ln>
      </xdr:spPr>
    </xdr:pic>
    <xdr:clientData/>
  </xdr:oneCellAnchor>
  <xdr:oneCellAnchor>
    <xdr:from>
      <xdr:col>5</xdr:col>
      <xdr:colOff>0</xdr:colOff>
      <xdr:row>26</xdr:row>
      <xdr:rowOff>0</xdr:rowOff>
    </xdr:from>
    <xdr:ext cx="3295650" cy="466725"/>
    <xdr:pic>
      <xdr:nvPicPr>
        <xdr:cNvPr id="6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3362325"/>
          <a:ext cx="3295650" cy="466725"/>
        </a:xfrm>
        <a:prstGeom prst="rect">
          <a:avLst/>
        </a:prstGeom>
        <a:noFill/>
        <a:ln w="9525">
          <a:noFill/>
          <a:miter lim="800000"/>
          <a:headEnd/>
          <a:tailEnd/>
        </a:ln>
      </xdr:spPr>
    </xdr:pic>
    <xdr:clientData/>
  </xdr:oneCellAnchor>
  <xdr:oneCellAnchor>
    <xdr:from>
      <xdr:col>5</xdr:col>
      <xdr:colOff>0</xdr:colOff>
      <xdr:row>9</xdr:row>
      <xdr:rowOff>0</xdr:rowOff>
    </xdr:from>
    <xdr:ext cx="3295650" cy="466725"/>
    <xdr:pic>
      <xdr:nvPicPr>
        <xdr:cNvPr id="6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590675"/>
          <a:ext cx="3295650" cy="466725"/>
        </a:xfrm>
        <a:prstGeom prst="rect">
          <a:avLst/>
        </a:prstGeom>
        <a:noFill/>
        <a:ln w="9525">
          <a:noFill/>
          <a:miter lim="800000"/>
          <a:headEnd/>
          <a:tailEnd/>
        </a:ln>
      </xdr:spPr>
    </xdr:pic>
    <xdr:clientData/>
  </xdr:oneCellAnchor>
  <xdr:oneCellAnchor>
    <xdr:from>
      <xdr:col>5</xdr:col>
      <xdr:colOff>0</xdr:colOff>
      <xdr:row>9</xdr:row>
      <xdr:rowOff>0</xdr:rowOff>
    </xdr:from>
    <xdr:ext cx="3295650" cy="466725"/>
    <xdr:pic>
      <xdr:nvPicPr>
        <xdr:cNvPr id="6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590675"/>
          <a:ext cx="3295650" cy="466725"/>
        </a:xfrm>
        <a:prstGeom prst="rect">
          <a:avLst/>
        </a:prstGeom>
        <a:noFill/>
        <a:ln w="9525">
          <a:noFill/>
          <a:miter lim="800000"/>
          <a:headEnd/>
          <a:tailEnd/>
        </a:ln>
      </xdr:spPr>
    </xdr:pic>
    <xdr:clientData/>
  </xdr:oneCellAnchor>
  <xdr:oneCellAnchor>
    <xdr:from>
      <xdr:col>5</xdr:col>
      <xdr:colOff>0</xdr:colOff>
      <xdr:row>9</xdr:row>
      <xdr:rowOff>0</xdr:rowOff>
    </xdr:from>
    <xdr:ext cx="3295650" cy="466725"/>
    <xdr:pic>
      <xdr:nvPicPr>
        <xdr:cNvPr id="6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247775"/>
          <a:ext cx="3295650" cy="466725"/>
        </a:xfrm>
        <a:prstGeom prst="rect">
          <a:avLst/>
        </a:prstGeom>
        <a:noFill/>
        <a:ln w="9525">
          <a:noFill/>
          <a:miter lim="800000"/>
          <a:headEnd/>
          <a:tailEnd/>
        </a:ln>
      </xdr:spPr>
    </xdr:pic>
    <xdr:clientData/>
  </xdr:oneCellAnchor>
  <xdr:oneCellAnchor>
    <xdr:from>
      <xdr:col>5</xdr:col>
      <xdr:colOff>0</xdr:colOff>
      <xdr:row>9</xdr:row>
      <xdr:rowOff>0</xdr:rowOff>
    </xdr:from>
    <xdr:ext cx="3295650" cy="466725"/>
    <xdr:pic>
      <xdr:nvPicPr>
        <xdr:cNvPr id="7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391775" y="2552700"/>
          <a:ext cx="3295650" cy="466725"/>
        </a:xfrm>
        <a:prstGeom prst="rect">
          <a:avLst/>
        </a:prstGeom>
        <a:noFill/>
        <a:ln w="9525">
          <a:noFill/>
          <a:miter lim="800000"/>
          <a:headEnd/>
          <a:tailEnd/>
        </a:ln>
      </xdr:spPr>
    </xdr:pic>
    <xdr:clientData/>
  </xdr:oneCellAnchor>
  <xdr:twoCellAnchor editAs="oneCell">
    <xdr:from>
      <xdr:col>8</xdr:col>
      <xdr:colOff>0</xdr:colOff>
      <xdr:row>21</xdr:row>
      <xdr:rowOff>0</xdr:rowOff>
    </xdr:from>
    <xdr:to>
      <xdr:col>12</xdr:col>
      <xdr:colOff>695325</xdr:colOff>
      <xdr:row>23</xdr:row>
      <xdr:rowOff>130174</xdr:rowOff>
    </xdr:to>
    <xdr:pic>
      <xdr:nvPicPr>
        <xdr:cNvPr id="7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4573250" y="3714750"/>
          <a:ext cx="3295650" cy="466725"/>
        </a:xfrm>
        <a:prstGeom prst="rect">
          <a:avLst/>
        </a:prstGeom>
        <a:noFill/>
        <a:ln w="9525">
          <a:noFill/>
          <a:miter lim="800000"/>
          <a:headEnd/>
          <a:tailEnd/>
        </a:ln>
      </xdr:spPr>
    </xdr:pic>
    <xdr:clientData/>
  </xdr:twoCellAnchor>
  <xdr:oneCellAnchor>
    <xdr:from>
      <xdr:col>7</xdr:col>
      <xdr:colOff>0</xdr:colOff>
      <xdr:row>25</xdr:row>
      <xdr:rowOff>0</xdr:rowOff>
    </xdr:from>
    <xdr:ext cx="3295650" cy="466725"/>
    <xdr:pic>
      <xdr:nvPicPr>
        <xdr:cNvPr id="7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3706475" y="3714750"/>
          <a:ext cx="3295650" cy="466725"/>
        </a:xfrm>
        <a:prstGeom prst="rect">
          <a:avLst/>
        </a:prstGeom>
        <a:noFill/>
        <a:ln w="9525">
          <a:noFill/>
          <a:miter lim="800000"/>
          <a:headEnd/>
          <a:tailEnd/>
        </a:ln>
      </xdr:spPr>
    </xdr:pic>
    <xdr:clientData/>
  </xdr:oneCellAnchor>
  <xdr:oneCellAnchor>
    <xdr:from>
      <xdr:col>7</xdr:col>
      <xdr:colOff>0</xdr:colOff>
      <xdr:row>25</xdr:row>
      <xdr:rowOff>0</xdr:rowOff>
    </xdr:from>
    <xdr:ext cx="3295650" cy="466725"/>
    <xdr:pic>
      <xdr:nvPicPr>
        <xdr:cNvPr id="7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3706475" y="3714750"/>
          <a:ext cx="3295650" cy="466725"/>
        </a:xfrm>
        <a:prstGeom prst="rect">
          <a:avLst/>
        </a:prstGeom>
        <a:noFill/>
        <a:ln w="9525">
          <a:noFill/>
          <a:miter lim="800000"/>
          <a:headEnd/>
          <a:tailEnd/>
        </a:ln>
      </xdr:spPr>
    </xdr:pic>
    <xdr:clientData/>
  </xdr:oneCellAnchor>
  <xdr:oneCellAnchor>
    <xdr:from>
      <xdr:col>5</xdr:col>
      <xdr:colOff>0</xdr:colOff>
      <xdr:row>14</xdr:row>
      <xdr:rowOff>0</xdr:rowOff>
    </xdr:from>
    <xdr:ext cx="3295650" cy="466725"/>
    <xdr:pic>
      <xdr:nvPicPr>
        <xdr:cNvPr id="7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1914525"/>
          <a:ext cx="3295650" cy="466725"/>
        </a:xfrm>
        <a:prstGeom prst="rect">
          <a:avLst/>
        </a:prstGeom>
        <a:noFill/>
        <a:ln w="9525">
          <a:noFill/>
          <a:miter lim="800000"/>
          <a:headEnd/>
          <a:tailEnd/>
        </a:ln>
      </xdr:spPr>
    </xdr:pic>
    <xdr:clientData/>
  </xdr:oneCellAnchor>
  <xdr:oneCellAnchor>
    <xdr:from>
      <xdr:col>5</xdr:col>
      <xdr:colOff>0</xdr:colOff>
      <xdr:row>15</xdr:row>
      <xdr:rowOff>0</xdr:rowOff>
    </xdr:from>
    <xdr:ext cx="3295650" cy="466725"/>
    <xdr:pic>
      <xdr:nvPicPr>
        <xdr:cNvPr id="7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191452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7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159067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7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159067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7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159067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7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2076450"/>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8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2076450"/>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8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2076450"/>
          <a:ext cx="3295650" cy="466725"/>
        </a:xfrm>
        <a:prstGeom prst="rect">
          <a:avLst/>
        </a:prstGeom>
        <a:noFill/>
        <a:ln w="9525">
          <a:noFill/>
          <a:miter lim="800000"/>
          <a:headEnd/>
          <a:tailEnd/>
        </a:ln>
      </xdr:spPr>
    </xdr:pic>
    <xdr:clientData/>
  </xdr:oneCellAnchor>
  <xdr:oneCellAnchor>
    <xdr:from>
      <xdr:col>5</xdr:col>
      <xdr:colOff>0</xdr:colOff>
      <xdr:row>11</xdr:row>
      <xdr:rowOff>0</xdr:rowOff>
    </xdr:from>
    <xdr:ext cx="3295650" cy="466725"/>
    <xdr:pic>
      <xdr:nvPicPr>
        <xdr:cNvPr id="8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1819275"/>
          <a:ext cx="3295650" cy="466725"/>
        </a:xfrm>
        <a:prstGeom prst="rect">
          <a:avLst/>
        </a:prstGeom>
        <a:noFill/>
        <a:ln w="9525">
          <a:noFill/>
          <a:miter lim="800000"/>
          <a:headEnd/>
          <a:tailEnd/>
        </a:ln>
      </xdr:spPr>
    </xdr:pic>
    <xdr:clientData/>
  </xdr:oneCellAnchor>
  <xdr:oneCellAnchor>
    <xdr:from>
      <xdr:col>5</xdr:col>
      <xdr:colOff>0</xdr:colOff>
      <xdr:row>11</xdr:row>
      <xdr:rowOff>0</xdr:rowOff>
    </xdr:from>
    <xdr:ext cx="3295650" cy="466725"/>
    <xdr:pic>
      <xdr:nvPicPr>
        <xdr:cNvPr id="8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1819275"/>
          <a:ext cx="3295650" cy="466725"/>
        </a:xfrm>
        <a:prstGeom prst="rect">
          <a:avLst/>
        </a:prstGeom>
        <a:noFill/>
        <a:ln w="9525">
          <a:noFill/>
          <a:miter lim="800000"/>
          <a:headEnd/>
          <a:tailEnd/>
        </a:ln>
      </xdr:spPr>
    </xdr:pic>
    <xdr:clientData/>
  </xdr:oneCellAnchor>
  <xdr:oneCellAnchor>
    <xdr:from>
      <xdr:col>5</xdr:col>
      <xdr:colOff>0</xdr:colOff>
      <xdr:row>11</xdr:row>
      <xdr:rowOff>0</xdr:rowOff>
    </xdr:from>
    <xdr:ext cx="3295650" cy="466725"/>
    <xdr:pic>
      <xdr:nvPicPr>
        <xdr:cNvPr id="8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181927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8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216217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8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216217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8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216217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8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216217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8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216217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9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2162175"/>
          <a:ext cx="3295650" cy="466725"/>
        </a:xfrm>
        <a:prstGeom prst="rect">
          <a:avLst/>
        </a:prstGeom>
        <a:noFill/>
        <a:ln w="9525">
          <a:noFill/>
          <a:miter lim="800000"/>
          <a:headEnd/>
          <a:tailEnd/>
        </a:ln>
      </xdr:spPr>
    </xdr:pic>
    <xdr:clientData/>
  </xdr:oneCellAnchor>
  <xdr:oneCellAnchor>
    <xdr:from>
      <xdr:col>5</xdr:col>
      <xdr:colOff>0</xdr:colOff>
      <xdr:row>16</xdr:row>
      <xdr:rowOff>0</xdr:rowOff>
    </xdr:from>
    <xdr:ext cx="3295650" cy="466725"/>
    <xdr:pic>
      <xdr:nvPicPr>
        <xdr:cNvPr id="9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3190875"/>
          <a:ext cx="3295650" cy="466725"/>
        </a:xfrm>
        <a:prstGeom prst="rect">
          <a:avLst/>
        </a:prstGeom>
        <a:noFill/>
        <a:ln w="9525">
          <a:noFill/>
          <a:miter lim="800000"/>
          <a:headEnd/>
          <a:tailEnd/>
        </a:ln>
      </xdr:spPr>
    </xdr:pic>
    <xdr:clientData/>
  </xdr:oneCellAnchor>
  <xdr:oneCellAnchor>
    <xdr:from>
      <xdr:col>5</xdr:col>
      <xdr:colOff>0</xdr:colOff>
      <xdr:row>17</xdr:row>
      <xdr:rowOff>0</xdr:rowOff>
    </xdr:from>
    <xdr:ext cx="3295650" cy="466725"/>
    <xdr:pic>
      <xdr:nvPicPr>
        <xdr:cNvPr id="9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3190875"/>
          <a:ext cx="3295650" cy="466725"/>
        </a:xfrm>
        <a:prstGeom prst="rect">
          <a:avLst/>
        </a:prstGeom>
        <a:noFill/>
        <a:ln w="9525">
          <a:noFill/>
          <a:miter lim="800000"/>
          <a:headEnd/>
          <a:tailEnd/>
        </a:ln>
      </xdr:spPr>
    </xdr:pic>
    <xdr:clientData/>
  </xdr:oneCellAnchor>
  <xdr:oneCellAnchor>
    <xdr:from>
      <xdr:col>5</xdr:col>
      <xdr:colOff>0</xdr:colOff>
      <xdr:row>18</xdr:row>
      <xdr:rowOff>0</xdr:rowOff>
    </xdr:from>
    <xdr:ext cx="3295650" cy="466725"/>
    <xdr:pic>
      <xdr:nvPicPr>
        <xdr:cNvPr id="9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3190875"/>
          <a:ext cx="3295650" cy="466725"/>
        </a:xfrm>
        <a:prstGeom prst="rect">
          <a:avLst/>
        </a:prstGeom>
        <a:noFill/>
        <a:ln w="9525">
          <a:noFill/>
          <a:miter lim="800000"/>
          <a:headEnd/>
          <a:tailEnd/>
        </a:ln>
      </xdr:spPr>
    </xdr:pic>
    <xdr:clientData/>
  </xdr:oneCellAnchor>
  <xdr:oneCellAnchor>
    <xdr:from>
      <xdr:col>6</xdr:col>
      <xdr:colOff>0</xdr:colOff>
      <xdr:row>9</xdr:row>
      <xdr:rowOff>0</xdr:rowOff>
    </xdr:from>
    <xdr:ext cx="3295650" cy="466725"/>
    <xdr:pic>
      <xdr:nvPicPr>
        <xdr:cNvPr id="9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1476375"/>
          <a:ext cx="3295650" cy="466725"/>
        </a:xfrm>
        <a:prstGeom prst="rect">
          <a:avLst/>
        </a:prstGeom>
        <a:noFill/>
        <a:ln w="9525">
          <a:noFill/>
          <a:miter lim="800000"/>
          <a:headEnd/>
          <a:tailEnd/>
        </a:ln>
      </xdr:spPr>
    </xdr:pic>
    <xdr:clientData/>
  </xdr:oneCellAnchor>
  <xdr:oneCellAnchor>
    <xdr:from>
      <xdr:col>6</xdr:col>
      <xdr:colOff>0</xdr:colOff>
      <xdr:row>9</xdr:row>
      <xdr:rowOff>0</xdr:rowOff>
    </xdr:from>
    <xdr:ext cx="3295650" cy="466725"/>
    <xdr:pic>
      <xdr:nvPicPr>
        <xdr:cNvPr id="9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1476375"/>
          <a:ext cx="3295650" cy="466725"/>
        </a:xfrm>
        <a:prstGeom prst="rect">
          <a:avLst/>
        </a:prstGeom>
        <a:noFill/>
        <a:ln w="9525">
          <a:noFill/>
          <a:miter lim="800000"/>
          <a:headEnd/>
          <a:tailEnd/>
        </a:ln>
      </xdr:spPr>
    </xdr:pic>
    <xdr:clientData/>
  </xdr:oneCellAnchor>
  <xdr:oneCellAnchor>
    <xdr:from>
      <xdr:col>6</xdr:col>
      <xdr:colOff>0</xdr:colOff>
      <xdr:row>9</xdr:row>
      <xdr:rowOff>0</xdr:rowOff>
    </xdr:from>
    <xdr:ext cx="3295650" cy="466725"/>
    <xdr:pic>
      <xdr:nvPicPr>
        <xdr:cNvPr id="9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77375" y="1476375"/>
          <a:ext cx="3295650" cy="466725"/>
        </a:xfrm>
        <a:prstGeom prst="rect">
          <a:avLst/>
        </a:prstGeom>
        <a:noFill/>
        <a:ln w="9525">
          <a:noFill/>
          <a:miter lim="800000"/>
          <a:headEnd/>
          <a:tailEnd/>
        </a:ln>
      </xdr:spPr>
    </xdr:pic>
    <xdr:clientData/>
  </xdr:oneCellAnchor>
  <xdr:twoCellAnchor editAs="oneCell">
    <xdr:from>
      <xdr:col>12</xdr:col>
      <xdr:colOff>0</xdr:colOff>
      <xdr:row>8</xdr:row>
      <xdr:rowOff>0</xdr:rowOff>
    </xdr:from>
    <xdr:to>
      <xdr:col>14</xdr:col>
      <xdr:colOff>123825</xdr:colOff>
      <xdr:row>23</xdr:row>
      <xdr:rowOff>123825</xdr:rowOff>
    </xdr:to>
    <xdr:pic>
      <xdr:nvPicPr>
        <xdr:cNvPr id="51" name="Image 50"/>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7773650" y="1476375"/>
          <a:ext cx="3800475" cy="2695575"/>
        </a:xfrm>
        <a:prstGeom prst="rect">
          <a:avLst/>
        </a:prstGeom>
      </xdr:spPr>
    </xdr:pic>
    <xdr:clientData/>
  </xdr:twoCellAnchor>
  <xdr:oneCellAnchor>
    <xdr:from>
      <xdr:col>5</xdr:col>
      <xdr:colOff>0</xdr:colOff>
      <xdr:row>8</xdr:row>
      <xdr:rowOff>0</xdr:rowOff>
    </xdr:from>
    <xdr:ext cx="3295650" cy="466725"/>
    <xdr:pic>
      <xdr:nvPicPr>
        <xdr:cNvPr id="9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544050" y="1647825"/>
          <a:ext cx="3295650" cy="466725"/>
        </a:xfrm>
        <a:prstGeom prst="rect">
          <a:avLst/>
        </a:prstGeom>
        <a:noFill/>
        <a:ln w="9525">
          <a:noFill/>
          <a:miter lim="800000"/>
          <a:headEnd/>
          <a:tailEnd/>
        </a:ln>
      </xdr:spPr>
    </xdr:pic>
    <xdr:clientData/>
  </xdr:oneCellAnchor>
  <xdr:oneCellAnchor>
    <xdr:from>
      <xdr:col>5</xdr:col>
      <xdr:colOff>0</xdr:colOff>
      <xdr:row>8</xdr:row>
      <xdr:rowOff>0</xdr:rowOff>
    </xdr:from>
    <xdr:ext cx="3295650" cy="466725"/>
    <xdr:pic>
      <xdr:nvPicPr>
        <xdr:cNvPr id="9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544050" y="1647825"/>
          <a:ext cx="3295650" cy="466725"/>
        </a:xfrm>
        <a:prstGeom prst="rect">
          <a:avLst/>
        </a:prstGeom>
        <a:noFill/>
        <a:ln w="9525">
          <a:noFill/>
          <a:miter lim="800000"/>
          <a:headEnd/>
          <a:tailEnd/>
        </a:ln>
      </xdr:spPr>
    </xdr:pic>
    <xdr:clientData/>
  </xdr:oneCellAnchor>
  <xdr:oneCellAnchor>
    <xdr:from>
      <xdr:col>5</xdr:col>
      <xdr:colOff>0</xdr:colOff>
      <xdr:row>8</xdr:row>
      <xdr:rowOff>0</xdr:rowOff>
    </xdr:from>
    <xdr:ext cx="3295650" cy="466725"/>
    <xdr:pic>
      <xdr:nvPicPr>
        <xdr:cNvPr id="9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544050" y="1647825"/>
          <a:ext cx="3295650" cy="466725"/>
        </a:xfrm>
        <a:prstGeom prst="rect">
          <a:avLst/>
        </a:prstGeom>
        <a:noFill/>
        <a:ln w="9525">
          <a:noFill/>
          <a:miter lim="800000"/>
          <a:headEnd/>
          <a:tailEnd/>
        </a:ln>
      </xdr:spPr>
    </xdr:pic>
    <xdr:clientData/>
  </xdr:oneCellAnchor>
  <xdr:oneCellAnchor>
    <xdr:from>
      <xdr:col>5</xdr:col>
      <xdr:colOff>0</xdr:colOff>
      <xdr:row>8</xdr:row>
      <xdr:rowOff>0</xdr:rowOff>
    </xdr:from>
    <xdr:ext cx="3295650" cy="466725"/>
    <xdr:pic>
      <xdr:nvPicPr>
        <xdr:cNvPr id="10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544050" y="1647825"/>
          <a:ext cx="3295650" cy="466725"/>
        </a:xfrm>
        <a:prstGeom prst="rect">
          <a:avLst/>
        </a:prstGeom>
        <a:noFill/>
        <a:ln w="9525">
          <a:noFill/>
          <a:miter lim="800000"/>
          <a:headEnd/>
          <a:tailEnd/>
        </a:ln>
      </xdr:spPr>
    </xdr:pic>
    <xdr:clientData/>
  </xdr:oneCellAnchor>
  <xdr:oneCellAnchor>
    <xdr:from>
      <xdr:col>5</xdr:col>
      <xdr:colOff>0</xdr:colOff>
      <xdr:row>8</xdr:row>
      <xdr:rowOff>0</xdr:rowOff>
    </xdr:from>
    <xdr:ext cx="3295650" cy="466725"/>
    <xdr:pic>
      <xdr:nvPicPr>
        <xdr:cNvPr id="10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544050" y="1647825"/>
          <a:ext cx="3295650" cy="466725"/>
        </a:xfrm>
        <a:prstGeom prst="rect">
          <a:avLst/>
        </a:prstGeom>
        <a:noFill/>
        <a:ln w="9525">
          <a:noFill/>
          <a:miter lim="800000"/>
          <a:headEnd/>
          <a:tailEnd/>
        </a:ln>
      </xdr:spPr>
    </xdr:pic>
    <xdr:clientData/>
  </xdr:oneCellAnchor>
  <xdr:oneCellAnchor>
    <xdr:from>
      <xdr:col>5</xdr:col>
      <xdr:colOff>0</xdr:colOff>
      <xdr:row>8</xdr:row>
      <xdr:rowOff>0</xdr:rowOff>
    </xdr:from>
    <xdr:ext cx="3295650" cy="466725"/>
    <xdr:pic>
      <xdr:nvPicPr>
        <xdr:cNvPr id="10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544050" y="1647825"/>
          <a:ext cx="3295650" cy="466725"/>
        </a:xfrm>
        <a:prstGeom prst="rect">
          <a:avLst/>
        </a:prstGeom>
        <a:noFill/>
        <a:ln w="9525">
          <a:noFill/>
          <a:miter lim="800000"/>
          <a:headEnd/>
          <a:tailEnd/>
        </a:ln>
      </xdr:spPr>
    </xdr:pic>
    <xdr:clientData/>
  </xdr:oneCellAnchor>
  <xdr:oneCellAnchor>
    <xdr:from>
      <xdr:col>6</xdr:col>
      <xdr:colOff>0</xdr:colOff>
      <xdr:row>8</xdr:row>
      <xdr:rowOff>0</xdr:rowOff>
    </xdr:from>
    <xdr:ext cx="3295650" cy="466725"/>
    <xdr:pic>
      <xdr:nvPicPr>
        <xdr:cNvPr id="10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91750" y="1647825"/>
          <a:ext cx="3295650" cy="466725"/>
        </a:xfrm>
        <a:prstGeom prst="rect">
          <a:avLst/>
        </a:prstGeom>
        <a:noFill/>
        <a:ln w="9525">
          <a:noFill/>
          <a:miter lim="800000"/>
          <a:headEnd/>
          <a:tailEnd/>
        </a:ln>
      </xdr:spPr>
    </xdr:pic>
    <xdr:clientData/>
  </xdr:oneCellAnchor>
  <xdr:oneCellAnchor>
    <xdr:from>
      <xdr:col>6</xdr:col>
      <xdr:colOff>0</xdr:colOff>
      <xdr:row>8</xdr:row>
      <xdr:rowOff>0</xdr:rowOff>
    </xdr:from>
    <xdr:ext cx="3295650" cy="466725"/>
    <xdr:pic>
      <xdr:nvPicPr>
        <xdr:cNvPr id="10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91750" y="1647825"/>
          <a:ext cx="3295650" cy="466725"/>
        </a:xfrm>
        <a:prstGeom prst="rect">
          <a:avLst/>
        </a:prstGeom>
        <a:noFill/>
        <a:ln w="9525">
          <a:noFill/>
          <a:miter lim="800000"/>
          <a:headEnd/>
          <a:tailEnd/>
        </a:ln>
      </xdr:spPr>
    </xdr:pic>
    <xdr:clientData/>
  </xdr:oneCellAnchor>
  <xdr:oneCellAnchor>
    <xdr:from>
      <xdr:col>6</xdr:col>
      <xdr:colOff>0</xdr:colOff>
      <xdr:row>8</xdr:row>
      <xdr:rowOff>0</xdr:rowOff>
    </xdr:from>
    <xdr:ext cx="3295650" cy="466725"/>
    <xdr:pic>
      <xdr:nvPicPr>
        <xdr:cNvPr id="10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91750" y="1647825"/>
          <a:ext cx="3295650" cy="466725"/>
        </a:xfrm>
        <a:prstGeom prst="rect">
          <a:avLst/>
        </a:prstGeom>
        <a:noFill/>
        <a:ln w="9525">
          <a:noFill/>
          <a:miter lim="800000"/>
          <a:headEnd/>
          <a:tailEnd/>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31</xdr:row>
      <xdr:rowOff>0</xdr:rowOff>
    </xdr:from>
    <xdr:to>
      <xdr:col>7</xdr:col>
      <xdr:colOff>445770</xdr:colOff>
      <xdr:row>33</xdr:row>
      <xdr:rowOff>95250</xdr:rowOff>
    </xdr:to>
    <xdr:pic>
      <xdr:nvPicPr>
        <xdr:cNvPr id="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752600"/>
          <a:ext cx="3303270" cy="438150"/>
        </a:xfrm>
        <a:prstGeom prst="rect">
          <a:avLst/>
        </a:prstGeom>
        <a:noFill/>
        <a:ln w="9525">
          <a:noFill/>
          <a:miter lim="800000"/>
          <a:headEnd/>
          <a:tailEnd/>
        </a:ln>
      </xdr:spPr>
    </xdr:pic>
    <xdr:clientData/>
  </xdr:twoCellAnchor>
  <xdr:twoCellAnchor editAs="oneCell">
    <xdr:from>
      <xdr:col>8</xdr:col>
      <xdr:colOff>0</xdr:colOff>
      <xdr:row>21</xdr:row>
      <xdr:rowOff>0</xdr:rowOff>
    </xdr:from>
    <xdr:to>
      <xdr:col>11</xdr:col>
      <xdr:colOff>847725</xdr:colOff>
      <xdr:row>23</xdr:row>
      <xdr:rowOff>123825</xdr:rowOff>
    </xdr:to>
    <xdr:pic>
      <xdr:nvPicPr>
        <xdr:cNvPr id="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3258800" y="1352550"/>
          <a:ext cx="3295650" cy="466725"/>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95250</xdr:rowOff>
    </xdr:to>
    <xdr:pic>
      <xdr:nvPicPr>
        <xdr:cNvPr id="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3743325"/>
          <a:ext cx="3295650" cy="438150"/>
        </a:xfrm>
        <a:prstGeom prst="rect">
          <a:avLst/>
        </a:prstGeom>
        <a:noFill/>
        <a:ln w="9525">
          <a:noFill/>
          <a:miter lim="800000"/>
          <a:headEnd/>
          <a:tailEnd/>
        </a:ln>
      </xdr:spPr>
    </xdr:pic>
    <xdr:clientData/>
  </xdr:twoCellAnchor>
  <xdr:oneCellAnchor>
    <xdr:from>
      <xdr:col>6</xdr:col>
      <xdr:colOff>0</xdr:colOff>
      <xdr:row>27</xdr:row>
      <xdr:rowOff>0</xdr:rowOff>
    </xdr:from>
    <xdr:ext cx="3295650" cy="466725"/>
    <xdr:pic>
      <xdr:nvPicPr>
        <xdr:cNvPr id="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152525"/>
          <a:ext cx="3295650" cy="466725"/>
        </a:xfrm>
        <a:prstGeom prst="rect">
          <a:avLst/>
        </a:prstGeom>
        <a:noFill/>
        <a:ln w="9525">
          <a:noFill/>
          <a:miter lim="800000"/>
          <a:headEnd/>
          <a:tailEnd/>
        </a:ln>
      </xdr:spPr>
    </xdr:pic>
    <xdr:clientData/>
  </xdr:oneCellAnchor>
  <xdr:oneCellAnchor>
    <xdr:from>
      <xdr:col>6</xdr:col>
      <xdr:colOff>0</xdr:colOff>
      <xdr:row>27</xdr:row>
      <xdr:rowOff>0</xdr:rowOff>
    </xdr:from>
    <xdr:ext cx="3295650" cy="466725"/>
    <xdr:pic>
      <xdr:nvPicPr>
        <xdr:cNvPr id="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152525"/>
          <a:ext cx="3295650" cy="466725"/>
        </a:xfrm>
        <a:prstGeom prst="rect">
          <a:avLst/>
        </a:prstGeom>
        <a:noFill/>
        <a:ln w="9525">
          <a:noFill/>
          <a:miter lim="800000"/>
          <a:headEnd/>
          <a:tailEnd/>
        </a:ln>
      </xdr:spPr>
    </xdr:pic>
    <xdr:clientData/>
  </xdr:oneCellAnchor>
  <xdr:oneCellAnchor>
    <xdr:from>
      <xdr:col>7</xdr:col>
      <xdr:colOff>0</xdr:colOff>
      <xdr:row>25</xdr:row>
      <xdr:rowOff>0</xdr:rowOff>
    </xdr:from>
    <xdr:ext cx="3295650" cy="466725"/>
    <xdr:pic>
      <xdr:nvPicPr>
        <xdr:cNvPr id="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2392025" y="1352550"/>
          <a:ext cx="3295650" cy="466725"/>
        </a:xfrm>
        <a:prstGeom prst="rect">
          <a:avLst/>
        </a:prstGeom>
        <a:noFill/>
        <a:ln w="9525">
          <a:noFill/>
          <a:miter lim="800000"/>
          <a:headEnd/>
          <a:tailEnd/>
        </a:ln>
      </xdr:spPr>
    </xdr:pic>
    <xdr:clientData/>
  </xdr:oneCellAnchor>
  <xdr:oneCellAnchor>
    <xdr:from>
      <xdr:col>6</xdr:col>
      <xdr:colOff>0</xdr:colOff>
      <xdr:row>27</xdr:row>
      <xdr:rowOff>0</xdr:rowOff>
    </xdr:from>
    <xdr:ext cx="3295650" cy="466725"/>
    <xdr:pic>
      <xdr:nvPicPr>
        <xdr:cNvPr id="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552575"/>
          <a:ext cx="3295650" cy="466725"/>
        </a:xfrm>
        <a:prstGeom prst="rect">
          <a:avLst/>
        </a:prstGeom>
        <a:noFill/>
        <a:ln w="9525">
          <a:noFill/>
          <a:miter lim="800000"/>
          <a:headEnd/>
          <a:tailEnd/>
        </a:ln>
      </xdr:spPr>
    </xdr:pic>
    <xdr:clientData/>
  </xdr:oneCellAnchor>
  <xdr:oneCellAnchor>
    <xdr:from>
      <xdr:col>6</xdr:col>
      <xdr:colOff>0</xdr:colOff>
      <xdr:row>27</xdr:row>
      <xdr:rowOff>0</xdr:rowOff>
    </xdr:from>
    <xdr:ext cx="3295650" cy="466725"/>
    <xdr:pic>
      <xdr:nvPicPr>
        <xdr:cNvPr id="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552575"/>
          <a:ext cx="3295650" cy="466725"/>
        </a:xfrm>
        <a:prstGeom prst="rect">
          <a:avLst/>
        </a:prstGeom>
        <a:noFill/>
        <a:ln w="9525">
          <a:noFill/>
          <a:miter lim="800000"/>
          <a:headEnd/>
          <a:tailEnd/>
        </a:ln>
      </xdr:spPr>
    </xdr:pic>
    <xdr:clientData/>
  </xdr:oneCellAnchor>
  <xdr:oneCellAnchor>
    <xdr:from>
      <xdr:col>7</xdr:col>
      <xdr:colOff>0</xdr:colOff>
      <xdr:row>25</xdr:row>
      <xdr:rowOff>0</xdr:rowOff>
    </xdr:from>
    <xdr:ext cx="3295650" cy="466725"/>
    <xdr:pic>
      <xdr:nvPicPr>
        <xdr:cNvPr id="1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2392025" y="1552575"/>
          <a:ext cx="3295650" cy="466725"/>
        </a:xfrm>
        <a:prstGeom prst="rect">
          <a:avLst/>
        </a:prstGeom>
        <a:noFill/>
        <a:ln w="9525">
          <a:noFill/>
          <a:miter lim="800000"/>
          <a:headEnd/>
          <a:tailEnd/>
        </a:ln>
      </xdr:spPr>
    </xdr:pic>
    <xdr:clientData/>
  </xdr:oneCellAnchor>
  <xdr:oneCellAnchor>
    <xdr:from>
      <xdr:col>5</xdr:col>
      <xdr:colOff>0</xdr:colOff>
      <xdr:row>13</xdr:row>
      <xdr:rowOff>0</xdr:rowOff>
    </xdr:from>
    <xdr:ext cx="3295650" cy="466725"/>
    <xdr:pic>
      <xdr:nvPicPr>
        <xdr:cNvPr id="1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077325" y="1352550"/>
          <a:ext cx="3295650" cy="466725"/>
        </a:xfrm>
        <a:prstGeom prst="rect">
          <a:avLst/>
        </a:prstGeom>
        <a:noFill/>
        <a:ln w="9525">
          <a:noFill/>
          <a:miter lim="800000"/>
          <a:headEnd/>
          <a:tailEnd/>
        </a:ln>
      </xdr:spPr>
    </xdr:pic>
    <xdr:clientData/>
  </xdr:oneCellAnchor>
  <xdr:oneCellAnchor>
    <xdr:from>
      <xdr:col>6</xdr:col>
      <xdr:colOff>0</xdr:colOff>
      <xdr:row>25</xdr:row>
      <xdr:rowOff>0</xdr:rowOff>
    </xdr:from>
    <xdr:ext cx="3295650" cy="466725"/>
    <xdr:pic>
      <xdr:nvPicPr>
        <xdr:cNvPr id="1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1352550"/>
          <a:ext cx="3295650" cy="466725"/>
        </a:xfrm>
        <a:prstGeom prst="rect">
          <a:avLst/>
        </a:prstGeom>
        <a:noFill/>
        <a:ln w="9525">
          <a:noFill/>
          <a:miter lim="800000"/>
          <a:headEnd/>
          <a:tailEnd/>
        </a:ln>
      </xdr:spPr>
    </xdr:pic>
    <xdr:clientData/>
  </xdr:oneCellAnchor>
  <xdr:oneCellAnchor>
    <xdr:from>
      <xdr:col>7</xdr:col>
      <xdr:colOff>0</xdr:colOff>
      <xdr:row>25</xdr:row>
      <xdr:rowOff>0</xdr:rowOff>
    </xdr:from>
    <xdr:ext cx="3295650" cy="466725"/>
    <xdr:pic>
      <xdr:nvPicPr>
        <xdr:cNvPr id="1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2392025" y="1352550"/>
          <a:ext cx="3295650" cy="466725"/>
        </a:xfrm>
        <a:prstGeom prst="rect">
          <a:avLst/>
        </a:prstGeom>
        <a:noFill/>
        <a:ln w="9525">
          <a:noFill/>
          <a:miter lim="800000"/>
          <a:headEnd/>
          <a:tailEnd/>
        </a:ln>
      </xdr:spPr>
    </xdr:pic>
    <xdr:clientData/>
  </xdr:oneCellAnchor>
  <xdr:oneCellAnchor>
    <xdr:from>
      <xdr:col>7</xdr:col>
      <xdr:colOff>0</xdr:colOff>
      <xdr:row>38</xdr:row>
      <xdr:rowOff>0</xdr:rowOff>
    </xdr:from>
    <xdr:ext cx="3295650" cy="438150"/>
    <xdr:pic>
      <xdr:nvPicPr>
        <xdr:cNvPr id="1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2392025" y="3743325"/>
          <a:ext cx="3295650" cy="438150"/>
        </a:xfrm>
        <a:prstGeom prst="rect">
          <a:avLst/>
        </a:prstGeom>
        <a:noFill/>
        <a:ln w="9525">
          <a:noFill/>
          <a:miter lim="800000"/>
          <a:headEnd/>
          <a:tailEnd/>
        </a:ln>
      </xdr:spPr>
    </xdr:pic>
    <xdr:clientData/>
  </xdr:oneCellAnchor>
  <xdr:oneCellAnchor>
    <xdr:from>
      <xdr:col>5</xdr:col>
      <xdr:colOff>0</xdr:colOff>
      <xdr:row>0</xdr:row>
      <xdr:rowOff>0</xdr:rowOff>
    </xdr:from>
    <xdr:ext cx="3303270" cy="438150"/>
    <xdr:pic>
      <xdr:nvPicPr>
        <xdr:cNvPr id="1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067175"/>
          <a:ext cx="3303270" cy="438150"/>
        </a:xfrm>
        <a:prstGeom prst="rect">
          <a:avLst/>
        </a:prstGeom>
        <a:noFill/>
        <a:ln w="9525">
          <a:noFill/>
          <a:miter lim="800000"/>
          <a:headEnd/>
          <a:tailEnd/>
        </a:ln>
      </xdr:spPr>
    </xdr:pic>
    <xdr:clientData/>
  </xdr:oneCellAnchor>
  <xdr:twoCellAnchor editAs="oneCell">
    <xdr:from>
      <xdr:col>6</xdr:col>
      <xdr:colOff>0</xdr:colOff>
      <xdr:row>49</xdr:row>
      <xdr:rowOff>0</xdr:rowOff>
    </xdr:from>
    <xdr:to>
      <xdr:col>7</xdr:col>
      <xdr:colOff>438150</xdr:colOff>
      <xdr:row>51</xdr:row>
      <xdr:rowOff>95250</xdr:rowOff>
    </xdr:to>
    <xdr:pic>
      <xdr:nvPicPr>
        <xdr:cNvPr id="1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295650" cy="438150"/>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95250</xdr:rowOff>
    </xdr:to>
    <xdr:pic>
      <xdr:nvPicPr>
        <xdr:cNvPr id="1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295650" cy="438150"/>
        </a:xfrm>
        <a:prstGeom prst="rect">
          <a:avLst/>
        </a:prstGeom>
        <a:noFill/>
        <a:ln w="9525">
          <a:noFill/>
          <a:miter lim="800000"/>
          <a:headEnd/>
          <a:tailEnd/>
        </a:ln>
      </xdr:spPr>
    </xdr:pic>
    <xdr:clientData/>
  </xdr:twoCellAnchor>
  <xdr:oneCellAnchor>
    <xdr:from>
      <xdr:col>6</xdr:col>
      <xdr:colOff>0</xdr:colOff>
      <xdr:row>49</xdr:row>
      <xdr:rowOff>0</xdr:rowOff>
    </xdr:from>
    <xdr:ext cx="3303270" cy="438150"/>
    <xdr:pic>
      <xdr:nvPicPr>
        <xdr:cNvPr id="1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1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3905250"/>
          <a:ext cx="3303270" cy="438150"/>
        </a:xfrm>
        <a:prstGeom prst="rect">
          <a:avLst/>
        </a:prstGeom>
        <a:noFill/>
        <a:ln w="9525">
          <a:noFill/>
          <a:miter lim="800000"/>
          <a:headEnd/>
          <a:tailEnd/>
        </a:ln>
      </xdr:spPr>
    </xdr:pic>
    <xdr:clientData/>
  </xdr:oneCellAnchor>
  <xdr:twoCellAnchor editAs="oneCell">
    <xdr:from>
      <xdr:col>6</xdr:col>
      <xdr:colOff>0</xdr:colOff>
      <xdr:row>55</xdr:row>
      <xdr:rowOff>0</xdr:rowOff>
    </xdr:from>
    <xdr:to>
      <xdr:col>7</xdr:col>
      <xdr:colOff>438150</xdr:colOff>
      <xdr:row>57</xdr:row>
      <xdr:rowOff>95250</xdr:rowOff>
    </xdr:to>
    <xdr:pic>
      <xdr:nvPicPr>
        <xdr:cNvPr id="2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6010275"/>
          <a:ext cx="3295650" cy="438150"/>
        </a:xfrm>
        <a:prstGeom prst="rect">
          <a:avLst/>
        </a:prstGeom>
        <a:noFill/>
        <a:ln w="9525">
          <a:noFill/>
          <a:miter lim="800000"/>
          <a:headEnd/>
          <a:tailEnd/>
        </a:ln>
      </xdr:spPr>
    </xdr:pic>
    <xdr:clientData/>
  </xdr:twoCellAnchor>
  <xdr:twoCellAnchor editAs="oneCell">
    <xdr:from>
      <xdr:col>6</xdr:col>
      <xdr:colOff>0</xdr:colOff>
      <xdr:row>55</xdr:row>
      <xdr:rowOff>0</xdr:rowOff>
    </xdr:from>
    <xdr:to>
      <xdr:col>7</xdr:col>
      <xdr:colOff>438150</xdr:colOff>
      <xdr:row>57</xdr:row>
      <xdr:rowOff>95250</xdr:rowOff>
    </xdr:to>
    <xdr:pic>
      <xdr:nvPicPr>
        <xdr:cNvPr id="2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6010275"/>
          <a:ext cx="3295650" cy="438150"/>
        </a:xfrm>
        <a:prstGeom prst="rect">
          <a:avLst/>
        </a:prstGeom>
        <a:noFill/>
        <a:ln w="9525">
          <a:noFill/>
          <a:miter lim="800000"/>
          <a:headEnd/>
          <a:tailEnd/>
        </a:ln>
      </xdr:spPr>
    </xdr:pic>
    <xdr:clientData/>
  </xdr:twoCellAnchor>
  <xdr:oneCellAnchor>
    <xdr:from>
      <xdr:col>6</xdr:col>
      <xdr:colOff>0</xdr:colOff>
      <xdr:row>55</xdr:row>
      <xdr:rowOff>0</xdr:rowOff>
    </xdr:from>
    <xdr:ext cx="3303270" cy="438150"/>
    <xdr:pic>
      <xdr:nvPicPr>
        <xdr:cNvPr id="2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601027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6010275"/>
          <a:ext cx="3303270" cy="438150"/>
        </a:xfrm>
        <a:prstGeom prst="rect">
          <a:avLst/>
        </a:prstGeom>
        <a:noFill/>
        <a:ln w="9525">
          <a:noFill/>
          <a:miter lim="800000"/>
          <a:headEnd/>
          <a:tailEnd/>
        </a:ln>
      </xdr:spPr>
    </xdr:pic>
    <xdr:clientData/>
  </xdr:oneCellAnchor>
  <xdr:twoCellAnchor editAs="oneCell">
    <xdr:from>
      <xdr:col>6</xdr:col>
      <xdr:colOff>0</xdr:colOff>
      <xdr:row>49</xdr:row>
      <xdr:rowOff>0</xdr:rowOff>
    </xdr:from>
    <xdr:to>
      <xdr:col>7</xdr:col>
      <xdr:colOff>438150</xdr:colOff>
      <xdr:row>51</xdr:row>
      <xdr:rowOff>95250</xdr:rowOff>
    </xdr:to>
    <xdr:pic>
      <xdr:nvPicPr>
        <xdr:cNvPr id="2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295650" cy="438150"/>
        </a:xfrm>
        <a:prstGeom prst="rect">
          <a:avLst/>
        </a:prstGeom>
        <a:noFill/>
        <a:ln w="9525">
          <a:noFill/>
          <a:miter lim="800000"/>
          <a:headEnd/>
          <a:tailEnd/>
        </a:ln>
      </xdr:spPr>
    </xdr:pic>
    <xdr:clientData/>
  </xdr:twoCellAnchor>
  <xdr:oneCellAnchor>
    <xdr:from>
      <xdr:col>5</xdr:col>
      <xdr:colOff>0</xdr:colOff>
      <xdr:row>0</xdr:row>
      <xdr:rowOff>0</xdr:rowOff>
    </xdr:from>
    <xdr:ext cx="3303270" cy="438150"/>
    <xdr:pic>
      <xdr:nvPicPr>
        <xdr:cNvPr id="2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067175"/>
          <a:ext cx="3303270" cy="438150"/>
        </a:xfrm>
        <a:prstGeom prst="rect">
          <a:avLst/>
        </a:prstGeom>
        <a:noFill/>
        <a:ln w="9525">
          <a:noFill/>
          <a:miter lim="800000"/>
          <a:headEnd/>
          <a:tailEnd/>
        </a:ln>
      </xdr:spPr>
    </xdr:pic>
    <xdr:clientData/>
  </xdr:oneCellAnchor>
  <xdr:twoCellAnchor editAs="oneCell">
    <xdr:from>
      <xdr:col>6</xdr:col>
      <xdr:colOff>0</xdr:colOff>
      <xdr:row>49</xdr:row>
      <xdr:rowOff>0</xdr:rowOff>
    </xdr:from>
    <xdr:to>
      <xdr:col>7</xdr:col>
      <xdr:colOff>438150</xdr:colOff>
      <xdr:row>51</xdr:row>
      <xdr:rowOff>95250</xdr:rowOff>
    </xdr:to>
    <xdr:pic>
      <xdr:nvPicPr>
        <xdr:cNvPr id="2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295650" cy="438150"/>
        </a:xfrm>
        <a:prstGeom prst="rect">
          <a:avLst/>
        </a:prstGeom>
        <a:noFill/>
        <a:ln w="9525">
          <a:noFill/>
          <a:miter lim="800000"/>
          <a:headEnd/>
          <a:tailEnd/>
        </a:ln>
      </xdr:spPr>
    </xdr:pic>
    <xdr:clientData/>
  </xdr:twoCellAnchor>
  <xdr:oneCellAnchor>
    <xdr:from>
      <xdr:col>5</xdr:col>
      <xdr:colOff>0</xdr:colOff>
      <xdr:row>0</xdr:row>
      <xdr:rowOff>0</xdr:rowOff>
    </xdr:from>
    <xdr:ext cx="3303270" cy="438150"/>
    <xdr:pic>
      <xdr:nvPicPr>
        <xdr:cNvPr id="2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067175"/>
          <a:ext cx="3303270" cy="438150"/>
        </a:xfrm>
        <a:prstGeom prst="rect">
          <a:avLst/>
        </a:prstGeom>
        <a:noFill/>
        <a:ln w="9525">
          <a:noFill/>
          <a:miter lim="800000"/>
          <a:headEnd/>
          <a:tailEnd/>
        </a:ln>
      </xdr:spPr>
    </xdr:pic>
    <xdr:clientData/>
  </xdr:oneCellAnchor>
  <xdr:twoCellAnchor editAs="oneCell">
    <xdr:from>
      <xdr:col>6</xdr:col>
      <xdr:colOff>0</xdr:colOff>
      <xdr:row>49</xdr:row>
      <xdr:rowOff>0</xdr:rowOff>
    </xdr:from>
    <xdr:to>
      <xdr:col>7</xdr:col>
      <xdr:colOff>438150</xdr:colOff>
      <xdr:row>51</xdr:row>
      <xdr:rowOff>95250</xdr:rowOff>
    </xdr:to>
    <xdr:pic>
      <xdr:nvPicPr>
        <xdr:cNvPr id="2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295650" cy="438150"/>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95250</xdr:rowOff>
    </xdr:to>
    <xdr:pic>
      <xdr:nvPicPr>
        <xdr:cNvPr id="3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295650" cy="438150"/>
        </a:xfrm>
        <a:prstGeom prst="rect">
          <a:avLst/>
        </a:prstGeom>
        <a:noFill/>
        <a:ln w="9525">
          <a:noFill/>
          <a:miter lim="800000"/>
          <a:headEnd/>
          <a:tailEnd/>
        </a:ln>
      </xdr:spPr>
    </xdr:pic>
    <xdr:clientData/>
  </xdr:twoCellAnchor>
  <xdr:oneCellAnchor>
    <xdr:from>
      <xdr:col>6</xdr:col>
      <xdr:colOff>0</xdr:colOff>
      <xdr:row>49</xdr:row>
      <xdr:rowOff>0</xdr:rowOff>
    </xdr:from>
    <xdr:ext cx="3303270" cy="438150"/>
    <xdr:pic>
      <xdr:nvPicPr>
        <xdr:cNvPr id="3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3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3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3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5038725"/>
          <a:ext cx="3303270" cy="438150"/>
        </a:xfrm>
        <a:prstGeom prst="rect">
          <a:avLst/>
        </a:prstGeom>
        <a:noFill/>
        <a:ln w="9525">
          <a:noFill/>
          <a:miter lim="800000"/>
          <a:headEnd/>
          <a:tailEnd/>
        </a:ln>
      </xdr:spPr>
    </xdr:pic>
    <xdr:clientData/>
  </xdr:oneCellAnchor>
  <xdr:twoCellAnchor editAs="oneCell">
    <xdr:from>
      <xdr:col>6</xdr:col>
      <xdr:colOff>0</xdr:colOff>
      <xdr:row>48</xdr:row>
      <xdr:rowOff>0</xdr:rowOff>
    </xdr:from>
    <xdr:to>
      <xdr:col>7</xdr:col>
      <xdr:colOff>438150</xdr:colOff>
      <xdr:row>50</xdr:row>
      <xdr:rowOff>95250</xdr:rowOff>
    </xdr:to>
    <xdr:pic>
      <xdr:nvPicPr>
        <xdr:cNvPr id="3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876800"/>
          <a:ext cx="3295650" cy="438150"/>
        </a:xfrm>
        <a:prstGeom prst="rect">
          <a:avLst/>
        </a:prstGeom>
        <a:noFill/>
        <a:ln w="9525">
          <a:noFill/>
          <a:miter lim="800000"/>
          <a:headEnd/>
          <a:tailEnd/>
        </a:ln>
      </xdr:spPr>
    </xdr:pic>
    <xdr:clientData/>
  </xdr:twoCellAnchor>
  <xdr:twoCellAnchor editAs="oneCell">
    <xdr:from>
      <xdr:col>6</xdr:col>
      <xdr:colOff>0</xdr:colOff>
      <xdr:row>48</xdr:row>
      <xdr:rowOff>0</xdr:rowOff>
    </xdr:from>
    <xdr:to>
      <xdr:col>7</xdr:col>
      <xdr:colOff>438150</xdr:colOff>
      <xdr:row>50</xdr:row>
      <xdr:rowOff>95250</xdr:rowOff>
    </xdr:to>
    <xdr:pic>
      <xdr:nvPicPr>
        <xdr:cNvPr id="3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876800"/>
          <a:ext cx="3295650" cy="438150"/>
        </a:xfrm>
        <a:prstGeom prst="rect">
          <a:avLst/>
        </a:prstGeom>
        <a:noFill/>
        <a:ln w="9525">
          <a:noFill/>
          <a:miter lim="800000"/>
          <a:headEnd/>
          <a:tailEnd/>
        </a:ln>
      </xdr:spPr>
    </xdr:pic>
    <xdr:clientData/>
  </xdr:twoCellAnchor>
  <xdr:oneCellAnchor>
    <xdr:from>
      <xdr:col>6</xdr:col>
      <xdr:colOff>0</xdr:colOff>
      <xdr:row>48</xdr:row>
      <xdr:rowOff>0</xdr:rowOff>
    </xdr:from>
    <xdr:ext cx="3303270" cy="438150"/>
    <xdr:pic>
      <xdr:nvPicPr>
        <xdr:cNvPr id="3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876800"/>
          <a:ext cx="3303270" cy="438150"/>
        </a:xfrm>
        <a:prstGeom prst="rect">
          <a:avLst/>
        </a:prstGeom>
        <a:noFill/>
        <a:ln w="9525">
          <a:noFill/>
          <a:miter lim="800000"/>
          <a:headEnd/>
          <a:tailEnd/>
        </a:ln>
      </xdr:spPr>
    </xdr:pic>
    <xdr:clientData/>
  </xdr:oneCellAnchor>
  <xdr:oneCellAnchor>
    <xdr:from>
      <xdr:col>6</xdr:col>
      <xdr:colOff>0</xdr:colOff>
      <xdr:row>48</xdr:row>
      <xdr:rowOff>0</xdr:rowOff>
    </xdr:from>
    <xdr:ext cx="3303270" cy="438150"/>
    <xdr:pic>
      <xdr:nvPicPr>
        <xdr:cNvPr id="3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25025" y="4876800"/>
          <a:ext cx="3303270" cy="438150"/>
        </a:xfrm>
        <a:prstGeom prst="rect">
          <a:avLst/>
        </a:prstGeom>
        <a:noFill/>
        <a:ln w="9525">
          <a:noFill/>
          <a:miter lim="800000"/>
          <a:headEnd/>
          <a:tailEnd/>
        </a:ln>
      </xdr:spPr>
    </xdr:pic>
    <xdr:clientData/>
  </xdr:oneCellAnchor>
  <xdr:twoCellAnchor editAs="oneCell">
    <xdr:from>
      <xdr:col>6</xdr:col>
      <xdr:colOff>0</xdr:colOff>
      <xdr:row>55</xdr:row>
      <xdr:rowOff>0</xdr:rowOff>
    </xdr:from>
    <xdr:to>
      <xdr:col>7</xdr:col>
      <xdr:colOff>438150</xdr:colOff>
      <xdr:row>57</xdr:row>
      <xdr:rowOff>95250</xdr:rowOff>
    </xdr:to>
    <xdr:pic>
      <xdr:nvPicPr>
        <xdr:cNvPr id="3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6496050"/>
          <a:ext cx="3295650" cy="438150"/>
        </a:xfrm>
        <a:prstGeom prst="rect">
          <a:avLst/>
        </a:prstGeom>
        <a:noFill/>
        <a:ln w="9525">
          <a:noFill/>
          <a:miter lim="800000"/>
          <a:headEnd/>
          <a:tailEnd/>
        </a:ln>
      </xdr:spPr>
    </xdr:pic>
    <xdr:clientData/>
  </xdr:twoCellAnchor>
  <xdr:twoCellAnchor editAs="oneCell">
    <xdr:from>
      <xdr:col>6</xdr:col>
      <xdr:colOff>0</xdr:colOff>
      <xdr:row>55</xdr:row>
      <xdr:rowOff>0</xdr:rowOff>
    </xdr:from>
    <xdr:to>
      <xdr:col>7</xdr:col>
      <xdr:colOff>438150</xdr:colOff>
      <xdr:row>57</xdr:row>
      <xdr:rowOff>95250</xdr:rowOff>
    </xdr:to>
    <xdr:pic>
      <xdr:nvPicPr>
        <xdr:cNvPr id="4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6496050"/>
          <a:ext cx="3295650" cy="438150"/>
        </a:xfrm>
        <a:prstGeom prst="rect">
          <a:avLst/>
        </a:prstGeom>
        <a:noFill/>
        <a:ln w="9525">
          <a:noFill/>
          <a:miter lim="800000"/>
          <a:headEnd/>
          <a:tailEnd/>
        </a:ln>
      </xdr:spPr>
    </xdr:pic>
    <xdr:clientData/>
  </xdr:twoCellAnchor>
  <xdr:oneCellAnchor>
    <xdr:from>
      <xdr:col>6</xdr:col>
      <xdr:colOff>0</xdr:colOff>
      <xdr:row>55</xdr:row>
      <xdr:rowOff>0</xdr:rowOff>
    </xdr:from>
    <xdr:ext cx="3303270" cy="438150"/>
    <xdr:pic>
      <xdr:nvPicPr>
        <xdr:cNvPr id="4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6496050"/>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4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6496050"/>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4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4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4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4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4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4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twoCellAnchor editAs="oneCell">
    <xdr:from>
      <xdr:col>6</xdr:col>
      <xdr:colOff>0</xdr:colOff>
      <xdr:row>49</xdr:row>
      <xdr:rowOff>0</xdr:rowOff>
    </xdr:from>
    <xdr:to>
      <xdr:col>7</xdr:col>
      <xdr:colOff>438150</xdr:colOff>
      <xdr:row>51</xdr:row>
      <xdr:rowOff>95250</xdr:rowOff>
    </xdr:to>
    <xdr:pic>
      <xdr:nvPicPr>
        <xdr:cNvPr id="4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295650" cy="438150"/>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95250</xdr:rowOff>
    </xdr:to>
    <xdr:pic>
      <xdr:nvPicPr>
        <xdr:cNvPr id="5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295650" cy="438150"/>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95250</xdr:rowOff>
    </xdr:to>
    <xdr:pic>
      <xdr:nvPicPr>
        <xdr:cNvPr id="5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295650" cy="438150"/>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95250</xdr:rowOff>
    </xdr:to>
    <xdr:pic>
      <xdr:nvPicPr>
        <xdr:cNvPr id="5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295650" cy="438150"/>
        </a:xfrm>
        <a:prstGeom prst="rect">
          <a:avLst/>
        </a:prstGeom>
        <a:noFill/>
        <a:ln w="9525">
          <a:noFill/>
          <a:miter lim="800000"/>
          <a:headEnd/>
          <a:tailEnd/>
        </a:ln>
      </xdr:spPr>
    </xdr:pic>
    <xdr:clientData/>
  </xdr:twoCellAnchor>
  <xdr:oneCellAnchor>
    <xdr:from>
      <xdr:col>6</xdr:col>
      <xdr:colOff>0</xdr:colOff>
      <xdr:row>49</xdr:row>
      <xdr:rowOff>0</xdr:rowOff>
    </xdr:from>
    <xdr:ext cx="3303270" cy="438150"/>
    <xdr:pic>
      <xdr:nvPicPr>
        <xdr:cNvPr id="5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5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5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5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524500"/>
          <a:ext cx="3303270" cy="438150"/>
        </a:xfrm>
        <a:prstGeom prst="rect">
          <a:avLst/>
        </a:prstGeom>
        <a:noFill/>
        <a:ln w="9525">
          <a:noFill/>
          <a:miter lim="800000"/>
          <a:headEnd/>
          <a:tailEnd/>
        </a:ln>
      </xdr:spPr>
    </xdr:pic>
    <xdr:clientData/>
  </xdr:oneCellAnchor>
  <xdr:twoCellAnchor editAs="oneCell">
    <xdr:from>
      <xdr:col>6</xdr:col>
      <xdr:colOff>0</xdr:colOff>
      <xdr:row>48</xdr:row>
      <xdr:rowOff>0</xdr:rowOff>
    </xdr:from>
    <xdr:to>
      <xdr:col>7</xdr:col>
      <xdr:colOff>438150</xdr:colOff>
      <xdr:row>50</xdr:row>
      <xdr:rowOff>95250</xdr:rowOff>
    </xdr:to>
    <xdr:pic>
      <xdr:nvPicPr>
        <xdr:cNvPr id="5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362575"/>
          <a:ext cx="3295650" cy="438150"/>
        </a:xfrm>
        <a:prstGeom prst="rect">
          <a:avLst/>
        </a:prstGeom>
        <a:noFill/>
        <a:ln w="9525">
          <a:noFill/>
          <a:miter lim="800000"/>
          <a:headEnd/>
          <a:tailEnd/>
        </a:ln>
      </xdr:spPr>
    </xdr:pic>
    <xdr:clientData/>
  </xdr:twoCellAnchor>
  <xdr:twoCellAnchor editAs="oneCell">
    <xdr:from>
      <xdr:col>6</xdr:col>
      <xdr:colOff>0</xdr:colOff>
      <xdr:row>48</xdr:row>
      <xdr:rowOff>0</xdr:rowOff>
    </xdr:from>
    <xdr:to>
      <xdr:col>7</xdr:col>
      <xdr:colOff>438150</xdr:colOff>
      <xdr:row>50</xdr:row>
      <xdr:rowOff>95250</xdr:rowOff>
    </xdr:to>
    <xdr:pic>
      <xdr:nvPicPr>
        <xdr:cNvPr id="5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362575"/>
          <a:ext cx="3295650" cy="438150"/>
        </a:xfrm>
        <a:prstGeom prst="rect">
          <a:avLst/>
        </a:prstGeom>
        <a:noFill/>
        <a:ln w="9525">
          <a:noFill/>
          <a:miter lim="800000"/>
          <a:headEnd/>
          <a:tailEnd/>
        </a:ln>
      </xdr:spPr>
    </xdr:pic>
    <xdr:clientData/>
  </xdr:twoCellAnchor>
  <xdr:oneCellAnchor>
    <xdr:from>
      <xdr:col>6</xdr:col>
      <xdr:colOff>0</xdr:colOff>
      <xdr:row>48</xdr:row>
      <xdr:rowOff>0</xdr:rowOff>
    </xdr:from>
    <xdr:ext cx="3303270" cy="438150"/>
    <xdr:pic>
      <xdr:nvPicPr>
        <xdr:cNvPr id="5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362575"/>
          <a:ext cx="3303270" cy="438150"/>
        </a:xfrm>
        <a:prstGeom prst="rect">
          <a:avLst/>
        </a:prstGeom>
        <a:noFill/>
        <a:ln w="9525">
          <a:noFill/>
          <a:miter lim="800000"/>
          <a:headEnd/>
          <a:tailEnd/>
        </a:ln>
      </xdr:spPr>
    </xdr:pic>
    <xdr:clientData/>
  </xdr:oneCellAnchor>
  <xdr:oneCellAnchor>
    <xdr:from>
      <xdr:col>6</xdr:col>
      <xdr:colOff>0</xdr:colOff>
      <xdr:row>48</xdr:row>
      <xdr:rowOff>0</xdr:rowOff>
    </xdr:from>
    <xdr:ext cx="3303270" cy="438150"/>
    <xdr:pic>
      <xdr:nvPicPr>
        <xdr:cNvPr id="6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63125" y="5362575"/>
          <a:ext cx="3303270" cy="438150"/>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6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134475" y="666750"/>
          <a:ext cx="3295650" cy="466725"/>
        </a:xfrm>
        <a:prstGeom prst="rect">
          <a:avLst/>
        </a:prstGeom>
        <a:noFill/>
        <a:ln w="9525">
          <a:noFill/>
          <a:miter lim="800000"/>
          <a:headEnd/>
          <a:tailEnd/>
        </a:ln>
      </xdr:spPr>
    </xdr:pic>
    <xdr:clientData/>
  </xdr:oneCellAnchor>
  <xdr:twoCellAnchor editAs="oneCell">
    <xdr:from>
      <xdr:col>6</xdr:col>
      <xdr:colOff>0</xdr:colOff>
      <xdr:row>31</xdr:row>
      <xdr:rowOff>0</xdr:rowOff>
    </xdr:from>
    <xdr:to>
      <xdr:col>7</xdr:col>
      <xdr:colOff>445770</xdr:colOff>
      <xdr:row>33</xdr:row>
      <xdr:rowOff>95250</xdr:rowOff>
    </xdr:to>
    <xdr:pic>
      <xdr:nvPicPr>
        <xdr:cNvPr id="6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53650" y="3162300"/>
          <a:ext cx="3303270" cy="438150"/>
        </a:xfrm>
        <a:prstGeom prst="rect">
          <a:avLst/>
        </a:prstGeom>
        <a:noFill/>
        <a:ln w="9525">
          <a:noFill/>
          <a:miter lim="800000"/>
          <a:headEnd/>
          <a:tailEnd/>
        </a:ln>
      </xdr:spPr>
    </xdr:pic>
    <xdr:clientData/>
  </xdr:twoCellAnchor>
  <xdr:twoCellAnchor editAs="oneCell">
    <xdr:from>
      <xdr:col>6</xdr:col>
      <xdr:colOff>0</xdr:colOff>
      <xdr:row>31</xdr:row>
      <xdr:rowOff>0</xdr:rowOff>
    </xdr:from>
    <xdr:to>
      <xdr:col>7</xdr:col>
      <xdr:colOff>445770</xdr:colOff>
      <xdr:row>33</xdr:row>
      <xdr:rowOff>95250</xdr:rowOff>
    </xdr:to>
    <xdr:pic>
      <xdr:nvPicPr>
        <xdr:cNvPr id="6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53650" y="3162300"/>
          <a:ext cx="3303270" cy="438150"/>
        </a:xfrm>
        <a:prstGeom prst="rect">
          <a:avLst/>
        </a:prstGeom>
        <a:noFill/>
        <a:ln w="9525">
          <a:noFill/>
          <a:miter lim="800000"/>
          <a:headEnd/>
          <a:tailEnd/>
        </a:ln>
      </xdr:spPr>
    </xdr:pic>
    <xdr:clientData/>
  </xdr:twoCellAnchor>
  <xdr:twoCellAnchor editAs="oneCell">
    <xdr:from>
      <xdr:col>6</xdr:col>
      <xdr:colOff>0</xdr:colOff>
      <xdr:row>41</xdr:row>
      <xdr:rowOff>0</xdr:rowOff>
    </xdr:from>
    <xdr:to>
      <xdr:col>7</xdr:col>
      <xdr:colOff>438150</xdr:colOff>
      <xdr:row>43</xdr:row>
      <xdr:rowOff>95250</xdr:rowOff>
    </xdr:to>
    <xdr:pic>
      <xdr:nvPicPr>
        <xdr:cNvPr id="6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53650" y="5314950"/>
          <a:ext cx="3295650" cy="438150"/>
        </a:xfrm>
        <a:prstGeom prst="rect">
          <a:avLst/>
        </a:prstGeom>
        <a:noFill/>
        <a:ln w="9525">
          <a:noFill/>
          <a:miter lim="800000"/>
          <a:headEnd/>
          <a:tailEnd/>
        </a:ln>
      </xdr:spPr>
    </xdr:pic>
    <xdr:clientData/>
  </xdr:twoCellAnchor>
  <xdr:oneCellAnchor>
    <xdr:from>
      <xdr:col>5</xdr:col>
      <xdr:colOff>0</xdr:colOff>
      <xdr:row>10</xdr:row>
      <xdr:rowOff>0</xdr:rowOff>
    </xdr:from>
    <xdr:ext cx="3295650" cy="466725"/>
    <xdr:pic>
      <xdr:nvPicPr>
        <xdr:cNvPr id="6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01175" y="1743075"/>
          <a:ext cx="3295650" cy="466725"/>
        </a:xfrm>
        <a:prstGeom prst="rect">
          <a:avLst/>
        </a:prstGeom>
        <a:noFill/>
        <a:ln w="9525">
          <a:noFill/>
          <a:miter lim="800000"/>
          <a:headEnd/>
          <a:tailEnd/>
        </a:ln>
      </xdr:spPr>
    </xdr:pic>
    <xdr:clientData/>
  </xdr:oneCellAnchor>
  <xdr:oneCellAnchor>
    <xdr:from>
      <xdr:col>5</xdr:col>
      <xdr:colOff>0</xdr:colOff>
      <xdr:row>19</xdr:row>
      <xdr:rowOff>0</xdr:rowOff>
    </xdr:from>
    <xdr:ext cx="3295650" cy="466725"/>
    <xdr:pic>
      <xdr:nvPicPr>
        <xdr:cNvPr id="6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2076450"/>
          <a:ext cx="3295650" cy="466725"/>
        </a:xfrm>
        <a:prstGeom prst="rect">
          <a:avLst/>
        </a:prstGeom>
        <a:noFill/>
        <a:ln w="9525">
          <a:noFill/>
          <a:miter lim="800000"/>
          <a:headEnd/>
          <a:tailEnd/>
        </a:ln>
      </xdr:spPr>
    </xdr:pic>
    <xdr:clientData/>
  </xdr:oneCellAnchor>
  <xdr:oneCellAnchor>
    <xdr:from>
      <xdr:col>5</xdr:col>
      <xdr:colOff>0</xdr:colOff>
      <xdr:row>19</xdr:row>
      <xdr:rowOff>0</xdr:rowOff>
    </xdr:from>
    <xdr:ext cx="3295650" cy="466725"/>
    <xdr:pic>
      <xdr:nvPicPr>
        <xdr:cNvPr id="6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2076450"/>
          <a:ext cx="3295650" cy="466725"/>
        </a:xfrm>
        <a:prstGeom prst="rect">
          <a:avLst/>
        </a:prstGeom>
        <a:noFill/>
        <a:ln w="9525">
          <a:noFill/>
          <a:miter lim="800000"/>
          <a:headEnd/>
          <a:tailEnd/>
        </a:ln>
      </xdr:spPr>
    </xdr:pic>
    <xdr:clientData/>
  </xdr:oneCellAnchor>
  <xdr:oneCellAnchor>
    <xdr:from>
      <xdr:col>5</xdr:col>
      <xdr:colOff>0</xdr:colOff>
      <xdr:row>22</xdr:row>
      <xdr:rowOff>0</xdr:rowOff>
    </xdr:from>
    <xdr:ext cx="3295650" cy="466725"/>
    <xdr:pic>
      <xdr:nvPicPr>
        <xdr:cNvPr id="6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2238375"/>
          <a:ext cx="3295650" cy="466725"/>
        </a:xfrm>
        <a:prstGeom prst="rect">
          <a:avLst/>
        </a:prstGeom>
        <a:noFill/>
        <a:ln w="9525">
          <a:noFill/>
          <a:miter lim="800000"/>
          <a:headEnd/>
          <a:tailEnd/>
        </a:ln>
      </xdr:spPr>
    </xdr:pic>
    <xdr:clientData/>
  </xdr:oneCellAnchor>
  <xdr:oneCellAnchor>
    <xdr:from>
      <xdr:col>5</xdr:col>
      <xdr:colOff>0</xdr:colOff>
      <xdr:row>22</xdr:row>
      <xdr:rowOff>0</xdr:rowOff>
    </xdr:from>
    <xdr:ext cx="3295650" cy="466725"/>
    <xdr:pic>
      <xdr:nvPicPr>
        <xdr:cNvPr id="6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2238375"/>
          <a:ext cx="3295650" cy="466725"/>
        </a:xfrm>
        <a:prstGeom prst="rect">
          <a:avLst/>
        </a:prstGeom>
        <a:noFill/>
        <a:ln w="9525">
          <a:noFill/>
          <a:miter lim="800000"/>
          <a:headEnd/>
          <a:tailEnd/>
        </a:ln>
      </xdr:spPr>
    </xdr:pic>
    <xdr:clientData/>
  </xdr:oneCellAnchor>
  <xdr:oneCellAnchor>
    <xdr:from>
      <xdr:col>5</xdr:col>
      <xdr:colOff>0</xdr:colOff>
      <xdr:row>26</xdr:row>
      <xdr:rowOff>0</xdr:rowOff>
    </xdr:from>
    <xdr:ext cx="3295650" cy="466725"/>
    <xdr:pic>
      <xdr:nvPicPr>
        <xdr:cNvPr id="7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2400300"/>
          <a:ext cx="3295650" cy="466725"/>
        </a:xfrm>
        <a:prstGeom prst="rect">
          <a:avLst/>
        </a:prstGeom>
        <a:noFill/>
        <a:ln w="9525">
          <a:noFill/>
          <a:miter lim="800000"/>
          <a:headEnd/>
          <a:tailEnd/>
        </a:ln>
      </xdr:spPr>
    </xdr:pic>
    <xdr:clientData/>
  </xdr:oneCellAnchor>
  <xdr:oneCellAnchor>
    <xdr:from>
      <xdr:col>5</xdr:col>
      <xdr:colOff>0</xdr:colOff>
      <xdr:row>26</xdr:row>
      <xdr:rowOff>0</xdr:rowOff>
    </xdr:from>
    <xdr:ext cx="3295650" cy="466725"/>
    <xdr:pic>
      <xdr:nvPicPr>
        <xdr:cNvPr id="7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2400300"/>
          <a:ext cx="3295650" cy="466725"/>
        </a:xfrm>
        <a:prstGeom prst="rect">
          <a:avLst/>
        </a:prstGeom>
        <a:noFill/>
        <a:ln w="9525">
          <a:noFill/>
          <a:miter lim="800000"/>
          <a:headEnd/>
          <a:tailEnd/>
        </a:ln>
      </xdr:spPr>
    </xdr:pic>
    <xdr:clientData/>
  </xdr:oneCellAnchor>
  <xdr:oneCellAnchor>
    <xdr:from>
      <xdr:col>5</xdr:col>
      <xdr:colOff>0</xdr:colOff>
      <xdr:row>24</xdr:row>
      <xdr:rowOff>0</xdr:rowOff>
    </xdr:from>
    <xdr:ext cx="3295650" cy="466725"/>
    <xdr:pic>
      <xdr:nvPicPr>
        <xdr:cNvPr id="7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01175" y="2752725"/>
          <a:ext cx="3295650" cy="466725"/>
        </a:xfrm>
        <a:prstGeom prst="rect">
          <a:avLst/>
        </a:prstGeom>
        <a:noFill/>
        <a:ln w="9525">
          <a:noFill/>
          <a:miter lim="800000"/>
          <a:headEnd/>
          <a:tailEnd/>
        </a:ln>
      </xdr:spPr>
    </xdr:pic>
    <xdr:clientData/>
  </xdr:oneCellAnchor>
  <xdr:oneCellAnchor>
    <xdr:from>
      <xdr:col>5</xdr:col>
      <xdr:colOff>0</xdr:colOff>
      <xdr:row>24</xdr:row>
      <xdr:rowOff>0</xdr:rowOff>
    </xdr:from>
    <xdr:ext cx="3295650" cy="466725"/>
    <xdr:pic>
      <xdr:nvPicPr>
        <xdr:cNvPr id="7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01175" y="2752725"/>
          <a:ext cx="3295650" cy="466725"/>
        </a:xfrm>
        <a:prstGeom prst="rect">
          <a:avLst/>
        </a:prstGeom>
        <a:noFill/>
        <a:ln w="9525">
          <a:noFill/>
          <a:miter lim="800000"/>
          <a:headEnd/>
          <a:tailEnd/>
        </a:ln>
      </xdr:spPr>
    </xdr:pic>
    <xdr:clientData/>
  </xdr:oneCellAnchor>
  <xdr:oneCellAnchor>
    <xdr:from>
      <xdr:col>5</xdr:col>
      <xdr:colOff>0</xdr:colOff>
      <xdr:row>26</xdr:row>
      <xdr:rowOff>0</xdr:rowOff>
    </xdr:from>
    <xdr:ext cx="3295650" cy="466725"/>
    <xdr:pic>
      <xdr:nvPicPr>
        <xdr:cNvPr id="7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01175" y="2390775"/>
          <a:ext cx="3295650" cy="466725"/>
        </a:xfrm>
        <a:prstGeom prst="rect">
          <a:avLst/>
        </a:prstGeom>
        <a:noFill/>
        <a:ln w="9525">
          <a:noFill/>
          <a:miter lim="800000"/>
          <a:headEnd/>
          <a:tailEnd/>
        </a:ln>
      </xdr:spPr>
    </xdr:pic>
    <xdr:clientData/>
  </xdr:oneCellAnchor>
  <xdr:oneCellAnchor>
    <xdr:from>
      <xdr:col>5</xdr:col>
      <xdr:colOff>0</xdr:colOff>
      <xdr:row>26</xdr:row>
      <xdr:rowOff>0</xdr:rowOff>
    </xdr:from>
    <xdr:ext cx="3295650" cy="466725"/>
    <xdr:pic>
      <xdr:nvPicPr>
        <xdr:cNvPr id="7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01175" y="2390775"/>
          <a:ext cx="3295650" cy="466725"/>
        </a:xfrm>
        <a:prstGeom prst="rect">
          <a:avLst/>
        </a:prstGeom>
        <a:noFill/>
        <a:ln w="9525">
          <a:noFill/>
          <a:miter lim="800000"/>
          <a:headEnd/>
          <a:tailEnd/>
        </a:ln>
      </xdr:spPr>
    </xdr:pic>
    <xdr:clientData/>
  </xdr:oneCellAnchor>
  <xdr:oneCellAnchor>
    <xdr:from>
      <xdr:col>5</xdr:col>
      <xdr:colOff>0</xdr:colOff>
      <xdr:row>9</xdr:row>
      <xdr:rowOff>0</xdr:rowOff>
    </xdr:from>
    <xdr:ext cx="3295650" cy="466725"/>
    <xdr:pic>
      <xdr:nvPicPr>
        <xdr:cNvPr id="7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372600" y="1247775"/>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7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782175" y="2562225"/>
          <a:ext cx="3295650" cy="466725"/>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7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7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8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8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8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8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8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8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8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8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8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8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9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9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9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9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9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9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9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9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9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9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10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295650" cy="438150"/>
    <xdr:pic>
      <xdr:nvPicPr>
        <xdr:cNvPr id="10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10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10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10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50</xdr:row>
      <xdr:rowOff>0</xdr:rowOff>
    </xdr:from>
    <xdr:ext cx="3303270" cy="438150"/>
    <xdr:pic>
      <xdr:nvPicPr>
        <xdr:cNvPr id="10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0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0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0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0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1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1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1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1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1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1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1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1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1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1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2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2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2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2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2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2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2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2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2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295650" cy="438150"/>
    <xdr:pic>
      <xdr:nvPicPr>
        <xdr:cNvPr id="12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3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3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3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51</xdr:row>
      <xdr:rowOff>0</xdr:rowOff>
    </xdr:from>
    <xdr:ext cx="3303270" cy="438150"/>
    <xdr:pic>
      <xdr:nvPicPr>
        <xdr:cNvPr id="13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3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3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3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3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3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3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4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4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4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4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4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4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4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4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4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4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5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5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5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5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5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5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5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295650" cy="438150"/>
    <xdr:pic>
      <xdr:nvPicPr>
        <xdr:cNvPr id="15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5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5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6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52</xdr:row>
      <xdr:rowOff>0</xdr:rowOff>
    </xdr:from>
    <xdr:ext cx="3303270" cy="438150"/>
    <xdr:pic>
      <xdr:nvPicPr>
        <xdr:cNvPr id="16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6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6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6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6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6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6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6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6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7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7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7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7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7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7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7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7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7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7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8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8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8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8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8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295650" cy="438150"/>
    <xdr:pic>
      <xdr:nvPicPr>
        <xdr:cNvPr id="18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8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8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8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53</xdr:row>
      <xdr:rowOff>0</xdr:rowOff>
    </xdr:from>
    <xdr:ext cx="3303270" cy="438150"/>
    <xdr:pic>
      <xdr:nvPicPr>
        <xdr:cNvPr id="18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19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19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19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19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19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19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19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19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19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19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0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0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0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0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0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0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0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0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0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0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21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21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21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295650" cy="438150"/>
    <xdr:pic>
      <xdr:nvPicPr>
        <xdr:cNvPr id="21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1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1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1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54</xdr:row>
      <xdr:rowOff>0</xdr:rowOff>
    </xdr:from>
    <xdr:ext cx="3303270" cy="438150"/>
    <xdr:pic>
      <xdr:nvPicPr>
        <xdr:cNvPr id="21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1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1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2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2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2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2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2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2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2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2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2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2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3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3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3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3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3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3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3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3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3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3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4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295650" cy="438150"/>
    <xdr:pic>
      <xdr:nvPicPr>
        <xdr:cNvPr id="24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29565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4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4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4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4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8086725"/>
          <a:ext cx="3303270" cy="438150"/>
        </a:xfrm>
        <a:prstGeom prst="rect">
          <a:avLst/>
        </a:prstGeom>
        <a:noFill/>
        <a:ln w="9525">
          <a:noFill/>
          <a:miter lim="800000"/>
          <a:headEnd/>
          <a:tailEnd/>
        </a:ln>
      </xdr:spPr>
    </xdr:pic>
    <xdr:clientData/>
  </xdr:oneCellAnchor>
  <xdr:oneCellAnchor>
    <xdr:from>
      <xdr:col>5</xdr:col>
      <xdr:colOff>0</xdr:colOff>
      <xdr:row>1</xdr:row>
      <xdr:rowOff>0</xdr:rowOff>
    </xdr:from>
    <xdr:ext cx="3303270" cy="438150"/>
    <xdr:pic>
      <xdr:nvPicPr>
        <xdr:cNvPr id="24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0"/>
          <a:ext cx="3303270" cy="438150"/>
        </a:xfrm>
        <a:prstGeom prst="rect">
          <a:avLst/>
        </a:prstGeom>
        <a:noFill/>
        <a:ln w="9525">
          <a:noFill/>
          <a:miter lim="800000"/>
          <a:headEnd/>
          <a:tailEnd/>
        </a:ln>
      </xdr:spPr>
    </xdr:pic>
    <xdr:clientData/>
  </xdr:oneCellAnchor>
  <xdr:oneCellAnchor>
    <xdr:from>
      <xdr:col>5</xdr:col>
      <xdr:colOff>0</xdr:colOff>
      <xdr:row>1</xdr:row>
      <xdr:rowOff>0</xdr:rowOff>
    </xdr:from>
    <xdr:ext cx="3303270" cy="438150"/>
    <xdr:pic>
      <xdr:nvPicPr>
        <xdr:cNvPr id="24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0"/>
          <a:ext cx="3303270" cy="438150"/>
        </a:xfrm>
        <a:prstGeom prst="rect">
          <a:avLst/>
        </a:prstGeom>
        <a:noFill/>
        <a:ln w="9525">
          <a:noFill/>
          <a:miter lim="800000"/>
          <a:headEnd/>
          <a:tailEnd/>
        </a:ln>
      </xdr:spPr>
    </xdr:pic>
    <xdr:clientData/>
  </xdr:oneCellAnchor>
  <xdr:oneCellAnchor>
    <xdr:from>
      <xdr:col>5</xdr:col>
      <xdr:colOff>0</xdr:colOff>
      <xdr:row>1</xdr:row>
      <xdr:rowOff>0</xdr:rowOff>
    </xdr:from>
    <xdr:ext cx="3303270" cy="438150"/>
    <xdr:pic>
      <xdr:nvPicPr>
        <xdr:cNvPr id="24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429875" y="0"/>
          <a:ext cx="3303270" cy="438150"/>
        </a:xfrm>
        <a:prstGeom prst="rect">
          <a:avLst/>
        </a:prstGeom>
        <a:noFill/>
        <a:ln w="9525">
          <a:noFill/>
          <a:miter lim="800000"/>
          <a:headEnd/>
          <a:tailEnd/>
        </a:ln>
      </xdr:spPr>
    </xdr:pic>
    <xdr:clientData/>
  </xdr:oneCellAnchor>
  <xdr:oneCellAnchor>
    <xdr:from>
      <xdr:col>5</xdr:col>
      <xdr:colOff>0</xdr:colOff>
      <xdr:row>14</xdr:row>
      <xdr:rowOff>0</xdr:rowOff>
    </xdr:from>
    <xdr:ext cx="3295650" cy="466725"/>
    <xdr:pic>
      <xdr:nvPicPr>
        <xdr:cNvPr id="24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1905000"/>
          <a:ext cx="3295650" cy="466725"/>
        </a:xfrm>
        <a:prstGeom prst="rect">
          <a:avLst/>
        </a:prstGeom>
        <a:noFill/>
        <a:ln w="9525">
          <a:noFill/>
          <a:miter lim="800000"/>
          <a:headEnd/>
          <a:tailEnd/>
        </a:ln>
      </xdr:spPr>
    </xdr:pic>
    <xdr:clientData/>
  </xdr:oneCellAnchor>
  <xdr:oneCellAnchor>
    <xdr:from>
      <xdr:col>5</xdr:col>
      <xdr:colOff>0</xdr:colOff>
      <xdr:row>15</xdr:row>
      <xdr:rowOff>0</xdr:rowOff>
    </xdr:from>
    <xdr:ext cx="3295650" cy="466725"/>
    <xdr:pic>
      <xdr:nvPicPr>
        <xdr:cNvPr id="25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1905000"/>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25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1581150"/>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25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20225" y="1905000"/>
          <a:ext cx="3295650" cy="466725"/>
        </a:xfrm>
        <a:prstGeom prst="rect">
          <a:avLst/>
        </a:prstGeom>
        <a:noFill/>
        <a:ln w="9525">
          <a:noFill/>
          <a:miter lim="800000"/>
          <a:headEnd/>
          <a:tailEnd/>
        </a:ln>
      </xdr:spPr>
    </xdr:pic>
    <xdr:clientData/>
  </xdr:oneCellAnchor>
  <xdr:twoCellAnchor editAs="oneCell">
    <xdr:from>
      <xdr:col>6</xdr:col>
      <xdr:colOff>0</xdr:colOff>
      <xdr:row>49</xdr:row>
      <xdr:rowOff>0</xdr:rowOff>
    </xdr:from>
    <xdr:to>
      <xdr:col>7</xdr:col>
      <xdr:colOff>438150</xdr:colOff>
      <xdr:row>51</xdr:row>
      <xdr:rowOff>94191</xdr:rowOff>
    </xdr:to>
    <xdr:pic>
      <xdr:nvPicPr>
        <xdr:cNvPr id="25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295650" cy="437091"/>
        </a:xfrm>
        <a:prstGeom prst="rect">
          <a:avLst/>
        </a:prstGeom>
        <a:noFill/>
        <a:ln w="9525">
          <a:noFill/>
          <a:miter lim="800000"/>
          <a:headEnd/>
          <a:tailEnd/>
        </a:ln>
      </xdr:spPr>
    </xdr:pic>
    <xdr:clientData/>
  </xdr:twoCellAnchor>
  <xdr:oneCellAnchor>
    <xdr:from>
      <xdr:col>7</xdr:col>
      <xdr:colOff>0</xdr:colOff>
      <xdr:row>48</xdr:row>
      <xdr:rowOff>0</xdr:rowOff>
    </xdr:from>
    <xdr:ext cx="3295650" cy="438150"/>
    <xdr:pic>
      <xdr:nvPicPr>
        <xdr:cNvPr id="25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3792200" y="7477125"/>
          <a:ext cx="3295650" cy="438150"/>
        </a:xfrm>
        <a:prstGeom prst="rect">
          <a:avLst/>
        </a:prstGeom>
        <a:noFill/>
        <a:ln w="9525">
          <a:noFill/>
          <a:miter lim="800000"/>
          <a:headEnd/>
          <a:tailEnd/>
        </a:ln>
      </xdr:spPr>
    </xdr:pic>
    <xdr:clientData/>
  </xdr:oneCellAnchor>
  <xdr:twoCellAnchor editAs="oneCell">
    <xdr:from>
      <xdr:col>6</xdr:col>
      <xdr:colOff>0</xdr:colOff>
      <xdr:row>49</xdr:row>
      <xdr:rowOff>0</xdr:rowOff>
    </xdr:from>
    <xdr:to>
      <xdr:col>7</xdr:col>
      <xdr:colOff>438150</xdr:colOff>
      <xdr:row>51</xdr:row>
      <xdr:rowOff>94191</xdr:rowOff>
    </xdr:to>
    <xdr:pic>
      <xdr:nvPicPr>
        <xdr:cNvPr id="25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295650" cy="437091"/>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94191</xdr:rowOff>
    </xdr:to>
    <xdr:pic>
      <xdr:nvPicPr>
        <xdr:cNvPr id="25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295650" cy="437091"/>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94191</xdr:rowOff>
    </xdr:to>
    <xdr:pic>
      <xdr:nvPicPr>
        <xdr:cNvPr id="25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295650" cy="437091"/>
        </a:xfrm>
        <a:prstGeom prst="rect">
          <a:avLst/>
        </a:prstGeom>
        <a:noFill/>
        <a:ln w="9525">
          <a:noFill/>
          <a:miter lim="800000"/>
          <a:headEnd/>
          <a:tailEnd/>
        </a:ln>
      </xdr:spPr>
    </xdr:pic>
    <xdr:clientData/>
  </xdr:twoCellAnchor>
  <xdr:oneCellAnchor>
    <xdr:from>
      <xdr:col>6</xdr:col>
      <xdr:colOff>0</xdr:colOff>
      <xdr:row>49</xdr:row>
      <xdr:rowOff>0</xdr:rowOff>
    </xdr:from>
    <xdr:ext cx="3303270" cy="438150"/>
    <xdr:pic>
      <xdr:nvPicPr>
        <xdr:cNvPr id="25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5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6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6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twoCellAnchor editAs="oneCell">
    <xdr:from>
      <xdr:col>6</xdr:col>
      <xdr:colOff>0</xdr:colOff>
      <xdr:row>48</xdr:row>
      <xdr:rowOff>0</xdr:rowOff>
    </xdr:from>
    <xdr:to>
      <xdr:col>7</xdr:col>
      <xdr:colOff>438150</xdr:colOff>
      <xdr:row>50</xdr:row>
      <xdr:rowOff>93134</xdr:rowOff>
    </xdr:to>
    <xdr:pic>
      <xdr:nvPicPr>
        <xdr:cNvPr id="26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477125"/>
          <a:ext cx="3295650" cy="436034"/>
        </a:xfrm>
        <a:prstGeom prst="rect">
          <a:avLst/>
        </a:prstGeom>
        <a:noFill/>
        <a:ln w="9525">
          <a:noFill/>
          <a:miter lim="800000"/>
          <a:headEnd/>
          <a:tailEnd/>
        </a:ln>
      </xdr:spPr>
    </xdr:pic>
    <xdr:clientData/>
  </xdr:twoCellAnchor>
  <xdr:twoCellAnchor editAs="oneCell">
    <xdr:from>
      <xdr:col>6</xdr:col>
      <xdr:colOff>0</xdr:colOff>
      <xdr:row>48</xdr:row>
      <xdr:rowOff>0</xdr:rowOff>
    </xdr:from>
    <xdr:to>
      <xdr:col>7</xdr:col>
      <xdr:colOff>438150</xdr:colOff>
      <xdr:row>50</xdr:row>
      <xdr:rowOff>93134</xdr:rowOff>
    </xdr:to>
    <xdr:pic>
      <xdr:nvPicPr>
        <xdr:cNvPr id="26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477125"/>
          <a:ext cx="3295650" cy="436034"/>
        </a:xfrm>
        <a:prstGeom prst="rect">
          <a:avLst/>
        </a:prstGeom>
        <a:noFill/>
        <a:ln w="9525">
          <a:noFill/>
          <a:miter lim="800000"/>
          <a:headEnd/>
          <a:tailEnd/>
        </a:ln>
      </xdr:spPr>
    </xdr:pic>
    <xdr:clientData/>
  </xdr:twoCellAnchor>
  <xdr:oneCellAnchor>
    <xdr:from>
      <xdr:col>6</xdr:col>
      <xdr:colOff>0</xdr:colOff>
      <xdr:row>48</xdr:row>
      <xdr:rowOff>0</xdr:rowOff>
    </xdr:from>
    <xdr:ext cx="3303270" cy="438150"/>
    <xdr:pic>
      <xdr:nvPicPr>
        <xdr:cNvPr id="26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477125"/>
          <a:ext cx="3303270" cy="438150"/>
        </a:xfrm>
        <a:prstGeom prst="rect">
          <a:avLst/>
        </a:prstGeom>
        <a:noFill/>
        <a:ln w="9525">
          <a:noFill/>
          <a:miter lim="800000"/>
          <a:headEnd/>
          <a:tailEnd/>
        </a:ln>
      </xdr:spPr>
    </xdr:pic>
    <xdr:clientData/>
  </xdr:oneCellAnchor>
  <xdr:oneCellAnchor>
    <xdr:from>
      <xdr:col>6</xdr:col>
      <xdr:colOff>0</xdr:colOff>
      <xdr:row>48</xdr:row>
      <xdr:rowOff>0</xdr:rowOff>
    </xdr:from>
    <xdr:ext cx="3303270" cy="438150"/>
    <xdr:pic>
      <xdr:nvPicPr>
        <xdr:cNvPr id="26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477125"/>
          <a:ext cx="3303270" cy="438150"/>
        </a:xfrm>
        <a:prstGeom prst="rect">
          <a:avLst/>
        </a:prstGeom>
        <a:noFill/>
        <a:ln w="9525">
          <a:noFill/>
          <a:miter lim="800000"/>
          <a:headEnd/>
          <a:tailEnd/>
        </a:ln>
      </xdr:spPr>
    </xdr:pic>
    <xdr:clientData/>
  </xdr:oneCellAnchor>
  <xdr:twoCellAnchor editAs="oneCell">
    <xdr:from>
      <xdr:col>6</xdr:col>
      <xdr:colOff>0</xdr:colOff>
      <xdr:row>55</xdr:row>
      <xdr:rowOff>0</xdr:rowOff>
    </xdr:from>
    <xdr:to>
      <xdr:col>7</xdr:col>
      <xdr:colOff>438150</xdr:colOff>
      <xdr:row>57</xdr:row>
      <xdr:rowOff>99483</xdr:rowOff>
    </xdr:to>
    <xdr:pic>
      <xdr:nvPicPr>
        <xdr:cNvPr id="26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8677275"/>
          <a:ext cx="3295650" cy="442383"/>
        </a:xfrm>
        <a:prstGeom prst="rect">
          <a:avLst/>
        </a:prstGeom>
        <a:noFill/>
        <a:ln w="9525">
          <a:noFill/>
          <a:miter lim="800000"/>
          <a:headEnd/>
          <a:tailEnd/>
        </a:ln>
      </xdr:spPr>
    </xdr:pic>
    <xdr:clientData/>
  </xdr:twoCellAnchor>
  <xdr:twoCellAnchor editAs="oneCell">
    <xdr:from>
      <xdr:col>6</xdr:col>
      <xdr:colOff>0</xdr:colOff>
      <xdr:row>55</xdr:row>
      <xdr:rowOff>0</xdr:rowOff>
    </xdr:from>
    <xdr:to>
      <xdr:col>7</xdr:col>
      <xdr:colOff>438150</xdr:colOff>
      <xdr:row>57</xdr:row>
      <xdr:rowOff>99483</xdr:rowOff>
    </xdr:to>
    <xdr:pic>
      <xdr:nvPicPr>
        <xdr:cNvPr id="26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8677275"/>
          <a:ext cx="3295650" cy="442383"/>
        </a:xfrm>
        <a:prstGeom prst="rect">
          <a:avLst/>
        </a:prstGeom>
        <a:noFill/>
        <a:ln w="9525">
          <a:noFill/>
          <a:miter lim="800000"/>
          <a:headEnd/>
          <a:tailEnd/>
        </a:ln>
      </xdr:spPr>
    </xdr:pic>
    <xdr:clientData/>
  </xdr:twoCellAnchor>
  <xdr:oneCellAnchor>
    <xdr:from>
      <xdr:col>6</xdr:col>
      <xdr:colOff>0</xdr:colOff>
      <xdr:row>55</xdr:row>
      <xdr:rowOff>0</xdr:rowOff>
    </xdr:from>
    <xdr:ext cx="3303270" cy="438150"/>
    <xdr:pic>
      <xdr:nvPicPr>
        <xdr:cNvPr id="26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8677275"/>
          <a:ext cx="3303270" cy="438150"/>
        </a:xfrm>
        <a:prstGeom prst="rect">
          <a:avLst/>
        </a:prstGeom>
        <a:noFill/>
        <a:ln w="9525">
          <a:noFill/>
          <a:miter lim="800000"/>
          <a:headEnd/>
          <a:tailEnd/>
        </a:ln>
      </xdr:spPr>
    </xdr:pic>
    <xdr:clientData/>
  </xdr:oneCellAnchor>
  <xdr:oneCellAnchor>
    <xdr:from>
      <xdr:col>6</xdr:col>
      <xdr:colOff>0</xdr:colOff>
      <xdr:row>55</xdr:row>
      <xdr:rowOff>0</xdr:rowOff>
    </xdr:from>
    <xdr:ext cx="3303270" cy="438150"/>
    <xdr:pic>
      <xdr:nvPicPr>
        <xdr:cNvPr id="26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86772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7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7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7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7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7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7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twoCellAnchor editAs="oneCell">
    <xdr:from>
      <xdr:col>6</xdr:col>
      <xdr:colOff>0</xdr:colOff>
      <xdr:row>49</xdr:row>
      <xdr:rowOff>0</xdr:rowOff>
    </xdr:from>
    <xdr:to>
      <xdr:col>7</xdr:col>
      <xdr:colOff>438150</xdr:colOff>
      <xdr:row>51</xdr:row>
      <xdr:rowOff>94191</xdr:rowOff>
    </xdr:to>
    <xdr:pic>
      <xdr:nvPicPr>
        <xdr:cNvPr id="27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295650" cy="437091"/>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94191</xdr:rowOff>
    </xdr:to>
    <xdr:pic>
      <xdr:nvPicPr>
        <xdr:cNvPr id="27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295650" cy="437091"/>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94191</xdr:rowOff>
    </xdr:to>
    <xdr:pic>
      <xdr:nvPicPr>
        <xdr:cNvPr id="27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295650" cy="437091"/>
        </a:xfrm>
        <a:prstGeom prst="rect">
          <a:avLst/>
        </a:prstGeom>
        <a:noFill/>
        <a:ln w="9525">
          <a:noFill/>
          <a:miter lim="800000"/>
          <a:headEnd/>
          <a:tailEnd/>
        </a:ln>
      </xdr:spPr>
    </xdr:pic>
    <xdr:clientData/>
  </xdr:twoCellAnchor>
  <xdr:twoCellAnchor editAs="oneCell">
    <xdr:from>
      <xdr:col>6</xdr:col>
      <xdr:colOff>0</xdr:colOff>
      <xdr:row>49</xdr:row>
      <xdr:rowOff>0</xdr:rowOff>
    </xdr:from>
    <xdr:to>
      <xdr:col>7</xdr:col>
      <xdr:colOff>438150</xdr:colOff>
      <xdr:row>51</xdr:row>
      <xdr:rowOff>94191</xdr:rowOff>
    </xdr:to>
    <xdr:pic>
      <xdr:nvPicPr>
        <xdr:cNvPr id="27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295650" cy="437091"/>
        </a:xfrm>
        <a:prstGeom prst="rect">
          <a:avLst/>
        </a:prstGeom>
        <a:noFill/>
        <a:ln w="9525">
          <a:noFill/>
          <a:miter lim="800000"/>
          <a:headEnd/>
          <a:tailEnd/>
        </a:ln>
      </xdr:spPr>
    </xdr:pic>
    <xdr:clientData/>
  </xdr:twoCellAnchor>
  <xdr:oneCellAnchor>
    <xdr:from>
      <xdr:col>6</xdr:col>
      <xdr:colOff>0</xdr:colOff>
      <xdr:row>49</xdr:row>
      <xdr:rowOff>0</xdr:rowOff>
    </xdr:from>
    <xdr:ext cx="3303270" cy="438150"/>
    <xdr:pic>
      <xdr:nvPicPr>
        <xdr:cNvPr id="28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8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8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oneCellAnchor>
    <xdr:from>
      <xdr:col>6</xdr:col>
      <xdr:colOff>0</xdr:colOff>
      <xdr:row>49</xdr:row>
      <xdr:rowOff>0</xdr:rowOff>
    </xdr:from>
    <xdr:ext cx="3303270" cy="438150"/>
    <xdr:pic>
      <xdr:nvPicPr>
        <xdr:cNvPr id="28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648575"/>
          <a:ext cx="3303270" cy="438150"/>
        </a:xfrm>
        <a:prstGeom prst="rect">
          <a:avLst/>
        </a:prstGeom>
        <a:noFill/>
        <a:ln w="9525">
          <a:noFill/>
          <a:miter lim="800000"/>
          <a:headEnd/>
          <a:tailEnd/>
        </a:ln>
      </xdr:spPr>
    </xdr:pic>
    <xdr:clientData/>
  </xdr:oneCellAnchor>
  <xdr:twoCellAnchor editAs="oneCell">
    <xdr:from>
      <xdr:col>6</xdr:col>
      <xdr:colOff>0</xdr:colOff>
      <xdr:row>48</xdr:row>
      <xdr:rowOff>0</xdr:rowOff>
    </xdr:from>
    <xdr:to>
      <xdr:col>7</xdr:col>
      <xdr:colOff>438150</xdr:colOff>
      <xdr:row>50</xdr:row>
      <xdr:rowOff>93134</xdr:rowOff>
    </xdr:to>
    <xdr:pic>
      <xdr:nvPicPr>
        <xdr:cNvPr id="28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477125"/>
          <a:ext cx="3295650" cy="436034"/>
        </a:xfrm>
        <a:prstGeom prst="rect">
          <a:avLst/>
        </a:prstGeom>
        <a:noFill/>
        <a:ln w="9525">
          <a:noFill/>
          <a:miter lim="800000"/>
          <a:headEnd/>
          <a:tailEnd/>
        </a:ln>
      </xdr:spPr>
    </xdr:pic>
    <xdr:clientData/>
  </xdr:twoCellAnchor>
  <xdr:twoCellAnchor editAs="oneCell">
    <xdr:from>
      <xdr:col>6</xdr:col>
      <xdr:colOff>0</xdr:colOff>
      <xdr:row>48</xdr:row>
      <xdr:rowOff>0</xdr:rowOff>
    </xdr:from>
    <xdr:to>
      <xdr:col>7</xdr:col>
      <xdr:colOff>438150</xdr:colOff>
      <xdr:row>50</xdr:row>
      <xdr:rowOff>93134</xdr:rowOff>
    </xdr:to>
    <xdr:pic>
      <xdr:nvPicPr>
        <xdr:cNvPr id="28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477125"/>
          <a:ext cx="3295650" cy="436034"/>
        </a:xfrm>
        <a:prstGeom prst="rect">
          <a:avLst/>
        </a:prstGeom>
        <a:noFill/>
        <a:ln w="9525">
          <a:noFill/>
          <a:miter lim="800000"/>
          <a:headEnd/>
          <a:tailEnd/>
        </a:ln>
      </xdr:spPr>
    </xdr:pic>
    <xdr:clientData/>
  </xdr:twoCellAnchor>
  <xdr:oneCellAnchor>
    <xdr:from>
      <xdr:col>6</xdr:col>
      <xdr:colOff>0</xdr:colOff>
      <xdr:row>48</xdr:row>
      <xdr:rowOff>0</xdr:rowOff>
    </xdr:from>
    <xdr:ext cx="3303270" cy="438150"/>
    <xdr:pic>
      <xdr:nvPicPr>
        <xdr:cNvPr id="28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477125"/>
          <a:ext cx="3303270" cy="438150"/>
        </a:xfrm>
        <a:prstGeom prst="rect">
          <a:avLst/>
        </a:prstGeom>
        <a:noFill/>
        <a:ln w="9525">
          <a:noFill/>
          <a:miter lim="800000"/>
          <a:headEnd/>
          <a:tailEnd/>
        </a:ln>
      </xdr:spPr>
    </xdr:pic>
    <xdr:clientData/>
  </xdr:oneCellAnchor>
  <xdr:oneCellAnchor>
    <xdr:from>
      <xdr:col>6</xdr:col>
      <xdr:colOff>0</xdr:colOff>
      <xdr:row>48</xdr:row>
      <xdr:rowOff>0</xdr:rowOff>
    </xdr:from>
    <xdr:ext cx="3303270" cy="438150"/>
    <xdr:pic>
      <xdr:nvPicPr>
        <xdr:cNvPr id="28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125075" y="7477125"/>
          <a:ext cx="3303270" cy="438150"/>
        </a:xfrm>
        <a:prstGeom prst="rect">
          <a:avLst/>
        </a:prstGeom>
        <a:noFill/>
        <a:ln w="9525">
          <a:noFill/>
          <a:miter lim="800000"/>
          <a:headEnd/>
          <a:tailEnd/>
        </a:ln>
      </xdr:spPr>
    </xdr:pic>
    <xdr:clientData/>
  </xdr:oneCellAnchor>
  <xdr:oneCellAnchor>
    <xdr:from>
      <xdr:col>5</xdr:col>
      <xdr:colOff>0</xdr:colOff>
      <xdr:row>11</xdr:row>
      <xdr:rowOff>0</xdr:rowOff>
    </xdr:from>
    <xdr:ext cx="3295650" cy="466725"/>
    <xdr:pic>
      <xdr:nvPicPr>
        <xdr:cNvPr id="288"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86900" y="1809750"/>
          <a:ext cx="3295650" cy="466725"/>
        </a:xfrm>
        <a:prstGeom prst="rect">
          <a:avLst/>
        </a:prstGeom>
        <a:noFill/>
        <a:ln w="9525">
          <a:noFill/>
          <a:miter lim="800000"/>
          <a:headEnd/>
          <a:tailEnd/>
        </a:ln>
      </xdr:spPr>
    </xdr:pic>
    <xdr:clientData/>
  </xdr:oneCellAnchor>
  <xdr:oneCellAnchor>
    <xdr:from>
      <xdr:col>5</xdr:col>
      <xdr:colOff>0</xdr:colOff>
      <xdr:row>11</xdr:row>
      <xdr:rowOff>0</xdr:rowOff>
    </xdr:from>
    <xdr:ext cx="3295650" cy="466725"/>
    <xdr:pic>
      <xdr:nvPicPr>
        <xdr:cNvPr id="289"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86900" y="1809750"/>
          <a:ext cx="3295650" cy="466725"/>
        </a:xfrm>
        <a:prstGeom prst="rect">
          <a:avLst/>
        </a:prstGeom>
        <a:noFill/>
        <a:ln w="9525">
          <a:noFill/>
          <a:miter lim="800000"/>
          <a:headEnd/>
          <a:tailEnd/>
        </a:ln>
      </xdr:spPr>
    </xdr:pic>
    <xdr:clientData/>
  </xdr:oneCellAnchor>
  <xdr:oneCellAnchor>
    <xdr:from>
      <xdr:col>5</xdr:col>
      <xdr:colOff>0</xdr:colOff>
      <xdr:row>11</xdr:row>
      <xdr:rowOff>0</xdr:rowOff>
    </xdr:from>
    <xdr:ext cx="3295650" cy="466725"/>
    <xdr:pic>
      <xdr:nvPicPr>
        <xdr:cNvPr id="290"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86900" y="1809750"/>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291"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86900" y="2152650"/>
          <a:ext cx="3295650" cy="466725"/>
        </a:xfrm>
        <a:prstGeom prst="rect">
          <a:avLst/>
        </a:prstGeom>
        <a:noFill/>
        <a:ln w="9525">
          <a:noFill/>
          <a:miter lim="800000"/>
          <a:headEnd/>
          <a:tailEnd/>
        </a:ln>
      </xdr:spPr>
    </xdr:pic>
    <xdr:clientData/>
  </xdr:oneCellAnchor>
  <xdr:oneCellAnchor>
    <xdr:from>
      <xdr:col>5</xdr:col>
      <xdr:colOff>0</xdr:colOff>
      <xdr:row>10</xdr:row>
      <xdr:rowOff>0</xdr:rowOff>
    </xdr:from>
    <xdr:ext cx="3295650" cy="466725"/>
    <xdr:pic>
      <xdr:nvPicPr>
        <xdr:cNvPr id="292"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86900" y="2152650"/>
          <a:ext cx="3295650" cy="466725"/>
        </a:xfrm>
        <a:prstGeom prst="rect">
          <a:avLst/>
        </a:prstGeom>
        <a:noFill/>
        <a:ln w="9525">
          <a:noFill/>
          <a:miter lim="800000"/>
          <a:headEnd/>
          <a:tailEnd/>
        </a:ln>
      </xdr:spPr>
    </xdr:pic>
    <xdr:clientData/>
  </xdr:oneCellAnchor>
  <xdr:oneCellAnchor>
    <xdr:from>
      <xdr:col>5</xdr:col>
      <xdr:colOff>0</xdr:colOff>
      <xdr:row>16</xdr:row>
      <xdr:rowOff>0</xdr:rowOff>
    </xdr:from>
    <xdr:ext cx="3295650" cy="466725"/>
    <xdr:pic>
      <xdr:nvPicPr>
        <xdr:cNvPr id="293"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86900" y="3181350"/>
          <a:ext cx="3295650" cy="466725"/>
        </a:xfrm>
        <a:prstGeom prst="rect">
          <a:avLst/>
        </a:prstGeom>
        <a:noFill/>
        <a:ln w="9525">
          <a:noFill/>
          <a:miter lim="800000"/>
          <a:headEnd/>
          <a:tailEnd/>
        </a:ln>
      </xdr:spPr>
    </xdr:pic>
    <xdr:clientData/>
  </xdr:oneCellAnchor>
  <xdr:oneCellAnchor>
    <xdr:from>
      <xdr:col>5</xdr:col>
      <xdr:colOff>0</xdr:colOff>
      <xdr:row>17</xdr:row>
      <xdr:rowOff>0</xdr:rowOff>
    </xdr:from>
    <xdr:ext cx="3295650" cy="466725"/>
    <xdr:pic>
      <xdr:nvPicPr>
        <xdr:cNvPr id="294"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86900" y="3181350"/>
          <a:ext cx="3295650" cy="466725"/>
        </a:xfrm>
        <a:prstGeom prst="rect">
          <a:avLst/>
        </a:prstGeom>
        <a:noFill/>
        <a:ln w="9525">
          <a:noFill/>
          <a:miter lim="800000"/>
          <a:headEnd/>
          <a:tailEnd/>
        </a:ln>
      </xdr:spPr>
    </xdr:pic>
    <xdr:clientData/>
  </xdr:oneCellAnchor>
  <xdr:oneCellAnchor>
    <xdr:from>
      <xdr:col>6</xdr:col>
      <xdr:colOff>0</xdr:colOff>
      <xdr:row>9</xdr:row>
      <xdr:rowOff>0</xdr:rowOff>
    </xdr:from>
    <xdr:ext cx="3295650" cy="466725"/>
    <xdr:pic>
      <xdr:nvPicPr>
        <xdr:cNvPr id="295"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486900" y="1466850"/>
          <a:ext cx="3295650" cy="466725"/>
        </a:xfrm>
        <a:prstGeom prst="rect">
          <a:avLst/>
        </a:prstGeom>
        <a:noFill/>
        <a:ln w="9525">
          <a:noFill/>
          <a:miter lim="800000"/>
          <a:headEnd/>
          <a:tailEnd/>
        </a:ln>
      </xdr:spPr>
    </xdr:pic>
    <xdr:clientData/>
  </xdr:oneCellAnchor>
  <xdr:oneCellAnchor>
    <xdr:from>
      <xdr:col>5</xdr:col>
      <xdr:colOff>0</xdr:colOff>
      <xdr:row>8</xdr:row>
      <xdr:rowOff>0</xdr:rowOff>
    </xdr:from>
    <xdr:ext cx="3295650" cy="466725"/>
    <xdr:pic>
      <xdr:nvPicPr>
        <xdr:cNvPr id="296"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9553575" y="1638300"/>
          <a:ext cx="3295650" cy="466725"/>
        </a:xfrm>
        <a:prstGeom prst="rect">
          <a:avLst/>
        </a:prstGeom>
        <a:noFill/>
        <a:ln w="9525">
          <a:noFill/>
          <a:miter lim="800000"/>
          <a:headEnd/>
          <a:tailEnd/>
        </a:ln>
      </xdr:spPr>
    </xdr:pic>
    <xdr:clientData/>
  </xdr:oneCellAnchor>
  <xdr:oneCellAnchor>
    <xdr:from>
      <xdr:col>6</xdr:col>
      <xdr:colOff>0</xdr:colOff>
      <xdr:row>8</xdr:row>
      <xdr:rowOff>0</xdr:rowOff>
    </xdr:from>
    <xdr:ext cx="3295650" cy="466725"/>
    <xdr:pic>
      <xdr:nvPicPr>
        <xdr:cNvPr id="297" name="Picture 1" hidden="1"/>
        <xdr:cNvPicPr preferRelativeResize="0">
          <a:picLocks noChangeArrowheads="1" noChangeShapeType="1"/>
        </xdr:cNvPicPr>
      </xdr:nvPicPr>
      <xdr:blipFill>
        <a:blip xmlns:r="http://schemas.openxmlformats.org/officeDocument/2006/relationships" r:embed="rId1" cstate="print"/>
        <a:srcRect/>
        <a:stretch>
          <a:fillRect/>
        </a:stretch>
      </xdr:blipFill>
      <xdr:spPr bwMode="auto">
        <a:xfrm>
          <a:off x="10201275" y="1638300"/>
          <a:ext cx="3295650" cy="466725"/>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s://support.office.com/fr-fr/excel" TargetMode="External"/><Relationship Id="rId7" Type="http://schemas.openxmlformats.org/officeDocument/2006/relationships/vmlDrawing" Target="../drawings/vmlDrawing1.vml"/><Relationship Id="rId2" Type="http://schemas.openxmlformats.org/officeDocument/2006/relationships/hyperlink" Target="http://www.mapliv.com/" TargetMode="External"/><Relationship Id="rId1" Type="http://schemas.openxmlformats.org/officeDocument/2006/relationships/hyperlink" Target="https://www.ratehub.ca/calculatrice-hypothecaire"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www.patricemenard.com/indic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hyperlink" Target="https://support.office.com/fr-fr/excel" TargetMode="External"/><Relationship Id="rId7" Type="http://schemas.openxmlformats.org/officeDocument/2006/relationships/vmlDrawing" Target="../drawings/vmlDrawing2.vml"/><Relationship Id="rId2" Type="http://schemas.openxmlformats.org/officeDocument/2006/relationships/hyperlink" Target="https://www.ratehub.ca/calculatrice-hypothecaire" TargetMode="External"/><Relationship Id="rId1" Type="http://schemas.openxmlformats.org/officeDocument/2006/relationships/hyperlink" Target="http://www.mapliv.com/" TargetMode="External"/><Relationship Id="rId6" Type="http://schemas.openxmlformats.org/officeDocument/2006/relationships/drawing" Target="../drawings/drawing2.xml"/><Relationship Id="rId5" Type="http://schemas.openxmlformats.org/officeDocument/2006/relationships/printerSettings" Target="../printerSettings/printerSettings4.bin"/><Relationship Id="rId4" Type="http://schemas.openxmlformats.org/officeDocument/2006/relationships/hyperlink" Target="http://www.patricemenard.com/indic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pageSetUpPr fitToPage="1"/>
  </sheetPr>
  <dimension ref="A1:CL112"/>
  <sheetViews>
    <sheetView tabSelected="1" topLeftCell="A3" zoomScaleNormal="100" zoomScalePageLayoutView="125" workbookViewId="0">
      <selection activeCell="A6" sqref="A6"/>
    </sheetView>
  </sheetViews>
  <sheetFormatPr baseColWidth="10" defaultColWidth="9.140625" defaultRowHeight="12.75" x14ac:dyDescent="0.2"/>
  <cols>
    <col min="1" max="1" width="66" style="20" customWidth="1" collapsed="1"/>
    <col min="2" max="2" width="23.85546875" style="3" customWidth="1" collapsed="1"/>
    <col min="3" max="3" width="9" style="15" customWidth="1"/>
    <col min="4" max="4" width="30.7109375" style="23" customWidth="1" collapsed="1"/>
    <col min="5" max="5" width="13.5703125" style="20" customWidth="1" collapsed="1"/>
    <col min="6" max="6" width="9.7109375" style="31" customWidth="1"/>
    <col min="7" max="7" width="42.85546875" style="20" customWidth="1" collapsed="1"/>
    <col min="8" max="8" width="13.7109375" style="20" customWidth="1" collapsed="1"/>
    <col min="9" max="9" width="15.28515625" style="20" customWidth="1" collapsed="1"/>
    <col min="10" max="10" width="19" style="20" customWidth="1" collapsed="1"/>
    <col min="11" max="11" width="2.42578125" style="45" customWidth="1"/>
    <col min="12" max="12" width="2.28515625" style="45" customWidth="1" collapsed="1"/>
    <col min="13" max="13" width="16.42578125" style="45" customWidth="1" collapsed="1"/>
    <col min="14" max="14" width="38.7109375" style="74" customWidth="1" collapsed="1"/>
    <col min="15" max="15" width="6.42578125" style="75" customWidth="1" collapsed="1"/>
    <col min="16" max="16" width="36.28515625" style="76" customWidth="1" collapsed="1"/>
    <col min="17" max="17" width="28.7109375" style="45" customWidth="1" collapsed="1"/>
    <col min="18" max="30" width="20.85546875" style="45" customWidth="1" collapsed="1"/>
    <col min="31" max="35" width="20.85546875" style="2" customWidth="1" collapsed="1"/>
    <col min="36" max="85" width="9.140625" style="1" collapsed="1"/>
    <col min="86" max="90" width="9.140625" style="1"/>
    <col min="91" max="16384" width="9.140625" style="1" collapsed="1"/>
  </cols>
  <sheetData>
    <row r="1" spans="1:35" ht="21.75" customHeight="1" x14ac:dyDescent="0.2">
      <c r="A1" s="226"/>
      <c r="B1" s="396" t="s">
        <v>62</v>
      </c>
      <c r="C1" s="396"/>
      <c r="D1" s="396"/>
      <c r="E1" s="34"/>
      <c r="F1" s="395" t="s">
        <v>52</v>
      </c>
      <c r="G1" s="395"/>
      <c r="H1" s="395"/>
      <c r="I1" s="395"/>
      <c r="J1" s="34"/>
      <c r="K1" s="34"/>
      <c r="M1" s="92" t="s">
        <v>249</v>
      </c>
      <c r="N1" s="91" t="s">
        <v>248</v>
      </c>
      <c r="O1" s="93"/>
      <c r="P1" s="39" t="s">
        <v>250</v>
      </c>
    </row>
    <row r="2" spans="1:35" ht="14.1" customHeight="1" x14ac:dyDescent="0.2">
      <c r="A2" s="64" t="s">
        <v>58</v>
      </c>
      <c r="B2" s="397"/>
      <c r="C2" s="398"/>
      <c r="D2" s="399"/>
      <c r="E2" s="34"/>
      <c r="F2" s="402" t="s">
        <v>54</v>
      </c>
      <c r="G2" s="402"/>
      <c r="H2" s="402"/>
      <c r="I2" s="401">
        <v>0</v>
      </c>
      <c r="J2" s="34"/>
      <c r="K2" s="34"/>
      <c r="M2" s="77">
        <v>0.35</v>
      </c>
      <c r="N2" s="78">
        <v>0</v>
      </c>
      <c r="O2" s="90">
        <f>IF(C18&gt;(M2-0.0001),1,0)</f>
        <v>0</v>
      </c>
      <c r="P2" s="194">
        <f>B19*O2*N2</f>
        <v>0</v>
      </c>
    </row>
    <row r="3" spans="1:35" ht="14.1" customHeight="1" x14ac:dyDescent="0.2">
      <c r="A3" s="65" t="s">
        <v>59</v>
      </c>
      <c r="B3" s="397"/>
      <c r="C3" s="398"/>
      <c r="D3" s="399"/>
      <c r="E3" s="34"/>
      <c r="F3" s="402" t="s">
        <v>53</v>
      </c>
      <c r="G3" s="402"/>
      <c r="H3" s="402"/>
      <c r="I3" s="401"/>
      <c r="J3" s="34"/>
      <c r="K3" s="34"/>
      <c r="M3" s="77">
        <v>0.25</v>
      </c>
      <c r="N3" s="78">
        <v>0</v>
      </c>
      <c r="O3" s="90">
        <f>IF(AND(C18&gt;(M3-0.0001),C18&lt;(M2-0.0001)),1,0)</f>
        <v>1</v>
      </c>
      <c r="P3" s="194">
        <f>B19*O3*N3</f>
        <v>0</v>
      </c>
    </row>
    <row r="4" spans="1:35" ht="14.1" customHeight="1" x14ac:dyDescent="0.2">
      <c r="A4" s="65" t="s">
        <v>60</v>
      </c>
      <c r="B4" s="397"/>
      <c r="C4" s="398"/>
      <c r="D4" s="399"/>
      <c r="E4" s="34"/>
      <c r="F4" s="403" t="s">
        <v>55</v>
      </c>
      <c r="G4" s="403"/>
      <c r="H4" s="403"/>
      <c r="I4" s="230">
        <f>MAX(B16,B49)</f>
        <v>793000</v>
      </c>
      <c r="J4" s="34"/>
      <c r="K4" s="34"/>
      <c r="M4" s="77">
        <v>0.2</v>
      </c>
      <c r="N4" s="78">
        <v>0</v>
      </c>
      <c r="O4" s="90">
        <f>IF(AND(C18&gt;(M4-0.0001),C18&lt;(M3-0.0001)),1,0)</f>
        <v>0</v>
      </c>
      <c r="P4" s="194">
        <f>B19*O4*N4</f>
        <v>0</v>
      </c>
    </row>
    <row r="5" spans="1:35" ht="14.1" customHeight="1" x14ac:dyDescent="0.2">
      <c r="A5" s="65" t="s">
        <v>61</v>
      </c>
      <c r="B5" s="400"/>
      <c r="C5" s="398"/>
      <c r="D5" s="399"/>
      <c r="E5" s="34"/>
      <c r="F5" s="404" t="s">
        <v>50</v>
      </c>
      <c r="G5" s="404"/>
      <c r="H5" s="404"/>
      <c r="I5" s="52">
        <f>B16</f>
        <v>685000</v>
      </c>
      <c r="J5" s="34"/>
      <c r="K5" s="34"/>
      <c r="M5" s="77">
        <v>0.15</v>
      </c>
      <c r="N5" s="78">
        <f>IF('Financement avec SCHL'!D3=25,2.8%)+IF('Financement avec SCHL'!D3=30,2.8%+0.25%)+IF('Financement avec SCHL'!D3=35,2.8%+0.5%)+IF('Financement avec SCHL'!D3=40,2.8%+0.75%)</f>
        <v>2.7999999999999997E-2</v>
      </c>
      <c r="O5" s="90">
        <f>IF(AND(C18&gt;(M5-0.0001),C18&lt;(M4-0.0001)),1,0)</f>
        <v>0</v>
      </c>
      <c r="P5" s="194">
        <f>B19*O5*N5</f>
        <v>0</v>
      </c>
    </row>
    <row r="6" spans="1:35" ht="14.1" customHeight="1" x14ac:dyDescent="0.2">
      <c r="A6" s="238"/>
      <c r="B6" s="233"/>
      <c r="C6" s="232"/>
      <c r="D6" s="234"/>
      <c r="E6" s="236"/>
      <c r="F6" s="392" t="s">
        <v>38</v>
      </c>
      <c r="G6" s="393"/>
      <c r="H6" s="394"/>
      <c r="I6" s="57">
        <f>B49</f>
        <v>793000</v>
      </c>
      <c r="J6" s="34"/>
      <c r="K6" s="34"/>
      <c r="M6" s="77">
        <v>0.1</v>
      </c>
      <c r="N6" s="78">
        <v>3.1E-2</v>
      </c>
      <c r="O6" s="90">
        <f>IF(AND(C18&gt;(M6-0.0001),C18&lt;(M5-0.0001)),1,0)</f>
        <v>0</v>
      </c>
      <c r="P6" s="194">
        <f>B19*O6*N6</f>
        <v>0</v>
      </c>
    </row>
    <row r="7" spans="1:35" ht="14.1" customHeight="1" x14ac:dyDescent="0.2">
      <c r="A7" s="238"/>
      <c r="B7" s="431"/>
      <c r="C7" s="232"/>
      <c r="D7" s="234"/>
      <c r="E7" s="236"/>
      <c r="F7" s="277"/>
      <c r="G7" s="277"/>
      <c r="H7" s="277"/>
      <c r="I7" s="278"/>
      <c r="J7" s="34"/>
      <c r="K7" s="34"/>
      <c r="M7" s="77">
        <v>0.05</v>
      </c>
      <c r="N7" s="78">
        <v>0.04</v>
      </c>
      <c r="O7" s="90">
        <f>IF(AND(C18&gt;(M7-0.0001),C18&lt;(M6-0.0001)),1,0)</f>
        <v>0</v>
      </c>
      <c r="P7" s="194">
        <f>B19*O7*N7</f>
        <v>0</v>
      </c>
    </row>
    <row r="8" spans="1:35" ht="14.1" customHeight="1" x14ac:dyDescent="0.25">
      <c r="A8" s="34"/>
      <c r="B8" s="430"/>
      <c r="C8" s="41"/>
      <c r="D8" s="235"/>
      <c r="E8" s="239"/>
      <c r="F8" s="229"/>
      <c r="G8" s="391" t="s">
        <v>259</v>
      </c>
      <c r="H8" s="391"/>
      <c r="I8" s="34"/>
      <c r="J8" s="34"/>
      <c r="K8" s="34"/>
    </row>
    <row r="9" spans="1:35" s="4" customFormat="1" ht="14.1" customHeight="1" x14ac:dyDescent="0.2">
      <c r="A9" s="18"/>
      <c r="B9" s="9" t="s">
        <v>0</v>
      </c>
      <c r="C9" s="18"/>
      <c r="D9" s="185"/>
      <c r="E9" s="9" t="s">
        <v>30</v>
      </c>
      <c r="F9" s="13"/>
      <c r="G9" s="185"/>
      <c r="H9" s="185"/>
      <c r="I9" s="34"/>
      <c r="J9" s="209"/>
      <c r="K9" s="209"/>
      <c r="L9" s="195"/>
      <c r="M9" s="35"/>
      <c r="N9" s="79"/>
      <c r="O9" s="80"/>
      <c r="P9" s="81"/>
      <c r="Q9" s="82"/>
      <c r="R9" s="35"/>
      <c r="S9" s="35"/>
      <c r="T9" s="35"/>
      <c r="U9" s="35"/>
      <c r="V9" s="35"/>
      <c r="W9" s="35"/>
      <c r="X9" s="35"/>
      <c r="Y9" s="35"/>
      <c r="Z9" s="35"/>
      <c r="AA9" s="35"/>
      <c r="AB9" s="35"/>
      <c r="AC9" s="35"/>
      <c r="AD9" s="35"/>
      <c r="AE9" s="35"/>
      <c r="AF9" s="35"/>
      <c r="AG9" s="35"/>
      <c r="AH9" s="35"/>
      <c r="AI9" s="35"/>
    </row>
    <row r="10" spans="1:35" ht="14.1" customHeight="1" x14ac:dyDescent="0.2">
      <c r="A10" s="185" t="s">
        <v>241</v>
      </c>
      <c r="B10" s="30">
        <f>B35*C10</f>
        <v>708240</v>
      </c>
      <c r="C10" s="213">
        <v>13</v>
      </c>
      <c r="D10" s="18" t="s">
        <v>63</v>
      </c>
      <c r="E10" s="27">
        <v>7376</v>
      </c>
      <c r="F10" s="218">
        <f>E10/B38</f>
        <v>0.14557971357743987</v>
      </c>
      <c r="G10" s="185" t="s">
        <v>293</v>
      </c>
      <c r="H10" s="429">
        <v>4.2000000000000003E-2</v>
      </c>
      <c r="I10" s="8"/>
      <c r="J10" s="210"/>
      <c r="K10" s="210"/>
      <c r="L10" s="36"/>
      <c r="M10" s="36"/>
      <c r="N10" s="83"/>
      <c r="O10" s="84"/>
      <c r="P10" s="85"/>
      <c r="Q10" s="36"/>
      <c r="R10" s="36"/>
      <c r="S10" s="36"/>
      <c r="T10" s="36"/>
      <c r="U10" s="36"/>
      <c r="V10" s="36"/>
      <c r="W10" s="36"/>
      <c r="X10" s="36"/>
      <c r="Y10" s="36"/>
      <c r="Z10" s="36"/>
      <c r="AA10" s="36"/>
      <c r="AB10" s="36"/>
      <c r="AC10" s="36"/>
      <c r="AD10" s="36"/>
      <c r="AE10" s="37"/>
      <c r="AF10" s="37"/>
      <c r="AG10" s="37"/>
      <c r="AH10" s="37"/>
      <c r="AI10" s="37"/>
    </row>
    <row r="11" spans="1:35" ht="14.1" customHeight="1" x14ac:dyDescent="0.2">
      <c r="A11" s="191" t="s">
        <v>291</v>
      </c>
      <c r="B11" s="30">
        <f>B41/H10</f>
        <v>537463.04761904769</v>
      </c>
      <c r="C11" s="213">
        <f>B11/B38</f>
        <v>10.607879139213516</v>
      </c>
      <c r="D11" s="18" t="s">
        <v>64</v>
      </c>
      <c r="E11" s="27">
        <v>655</v>
      </c>
      <c r="F11" s="218">
        <f>E11/B38</f>
        <v>1.2927699619471681E-2</v>
      </c>
      <c r="G11" s="185" t="s">
        <v>290</v>
      </c>
      <c r="H11" s="186">
        <f>B41/B16</f>
        <v>3.295393868613139E-2</v>
      </c>
      <c r="I11" s="34"/>
      <c r="J11" s="34"/>
      <c r="K11" s="34"/>
      <c r="M11" s="1"/>
      <c r="N11" s="1"/>
      <c r="O11" s="1"/>
      <c r="P11" s="1"/>
      <c r="Q11" s="36"/>
      <c r="R11" s="36"/>
      <c r="S11" s="36"/>
      <c r="T11" s="36"/>
      <c r="U11" s="36"/>
      <c r="V11" s="36"/>
      <c r="W11" s="36"/>
      <c r="X11" s="36"/>
      <c r="Y11" s="36"/>
      <c r="Z11" s="36"/>
      <c r="AA11" s="36"/>
      <c r="AB11" s="36"/>
      <c r="AC11" s="36"/>
      <c r="AD11" s="36"/>
      <c r="AE11" s="37"/>
      <c r="AF11" s="37"/>
      <c r="AG11" s="37"/>
      <c r="AH11" s="37"/>
      <c r="AI11" s="37"/>
    </row>
    <row r="12" spans="1:35" ht="14.1" customHeight="1" x14ac:dyDescent="0.2">
      <c r="A12" s="437" t="s">
        <v>264</v>
      </c>
      <c r="B12" s="227">
        <f>PV('Financement avec SCHL'!D2/12,'Financement avec SCHL'!D3*12,'Financement avec SCHL'!D4,0,1)</f>
        <v>-513855.6670606932</v>
      </c>
      <c r="C12" s="213">
        <f>-1*(B12/B38)</f>
        <v>10.141941544311283</v>
      </c>
      <c r="D12" s="18" t="s">
        <v>288</v>
      </c>
      <c r="E12" s="27">
        <v>2386</v>
      </c>
      <c r="F12" s="218">
        <f>E12/B38</f>
        <v>4.7092353117647985E-2</v>
      </c>
      <c r="G12" s="185" t="s">
        <v>294</v>
      </c>
      <c r="H12" s="186">
        <f>ABS((B41/B12))</f>
        <v>4.3929549573954153E-2</v>
      </c>
      <c r="I12" s="34"/>
      <c r="J12" s="34"/>
      <c r="K12" s="34"/>
      <c r="M12" s="1"/>
      <c r="N12" s="1"/>
      <c r="O12" s="1"/>
      <c r="P12" s="1"/>
      <c r="Q12" s="36"/>
      <c r="R12" s="36"/>
      <c r="S12" s="36"/>
      <c r="T12" s="36"/>
      <c r="U12" s="36"/>
      <c r="V12" s="36"/>
      <c r="W12" s="36"/>
      <c r="X12" s="36"/>
      <c r="Y12" s="36"/>
      <c r="Z12" s="36"/>
      <c r="AA12" s="36"/>
      <c r="AB12" s="36"/>
      <c r="AC12" s="36"/>
      <c r="AD12" s="36"/>
      <c r="AE12" s="37"/>
      <c r="AF12" s="37"/>
      <c r="AG12" s="37"/>
      <c r="AH12" s="37"/>
      <c r="AI12" s="37"/>
    </row>
    <row r="13" spans="1:35" ht="14.1" customHeight="1" x14ac:dyDescent="0.2">
      <c r="A13" s="191" t="s">
        <v>292</v>
      </c>
      <c r="B13" s="30">
        <f>B41/H13</f>
        <v>587211.85812062398</v>
      </c>
      <c r="C13" s="390">
        <f>B13/B38</f>
        <v>11.589768724847708</v>
      </c>
      <c r="D13" s="18" t="s">
        <v>8</v>
      </c>
      <c r="E13" s="27">
        <v>0</v>
      </c>
      <c r="F13" s="218">
        <f>E13/B38</f>
        <v>0</v>
      </c>
      <c r="G13" s="185" t="s">
        <v>295</v>
      </c>
      <c r="H13" s="186">
        <f>(H11+H12)/2</f>
        <v>3.8441744130042768E-2</v>
      </c>
      <c r="I13" s="34"/>
      <c r="J13" s="21"/>
      <c r="K13" s="199"/>
      <c r="L13" s="36"/>
      <c r="M13" s="1"/>
      <c r="N13" s="1"/>
      <c r="O13" s="1"/>
      <c r="P13" s="1"/>
      <c r="Q13" s="36"/>
      <c r="R13" s="36"/>
      <c r="S13" s="36"/>
      <c r="T13" s="36"/>
      <c r="U13" s="36"/>
      <c r="V13" s="36"/>
      <c r="W13" s="36"/>
      <c r="X13" s="36"/>
      <c r="Y13" s="36"/>
      <c r="Z13" s="36"/>
      <c r="AA13" s="36"/>
      <c r="AB13" s="36"/>
      <c r="AC13" s="36"/>
      <c r="AD13" s="36"/>
      <c r="AE13" s="37"/>
      <c r="AF13" s="37"/>
      <c r="AG13" s="37"/>
      <c r="AH13" s="37"/>
      <c r="AI13" s="37"/>
    </row>
    <row r="14" spans="1:35" ht="14.1" customHeight="1" x14ac:dyDescent="0.2">
      <c r="A14" s="185" t="s">
        <v>266</v>
      </c>
      <c r="B14" s="257">
        <f>IF(AND(B24&gt;1,B24&lt;5),80%,IF(AND(B24&gt;4,B24&lt;7),75%,IF(B24&gt;6,85%,)))</f>
        <v>0.75</v>
      </c>
      <c r="C14" s="41"/>
      <c r="D14" s="18" t="s">
        <v>77</v>
      </c>
      <c r="E14" s="27">
        <v>4506</v>
      </c>
      <c r="F14" s="218">
        <f>E14/B38</f>
        <v>8.8934678603571599E-2</v>
      </c>
      <c r="G14" s="34"/>
      <c r="H14" s="34"/>
      <c r="I14" s="34"/>
      <c r="J14" s="34"/>
      <c r="K14" s="34"/>
      <c r="L14" s="36"/>
      <c r="M14" s="1"/>
      <c r="N14" s="1"/>
      <c r="O14" s="1"/>
      <c r="P14" s="1"/>
      <c r="Q14" s="36"/>
      <c r="R14" s="36"/>
      <c r="S14" s="36"/>
      <c r="T14" s="36"/>
      <c r="U14" s="36"/>
      <c r="V14" s="36"/>
      <c r="W14" s="36"/>
      <c r="X14" s="36"/>
      <c r="Y14" s="36"/>
      <c r="Z14" s="36"/>
      <c r="AA14" s="36"/>
      <c r="AB14" s="36"/>
      <c r="AC14" s="36"/>
      <c r="AD14" s="36"/>
      <c r="AE14" s="37"/>
      <c r="AF14" s="37"/>
      <c r="AG14" s="37"/>
      <c r="AH14" s="37"/>
      <c r="AI14" s="37"/>
    </row>
    <row r="15" spans="1:35" ht="14.1" customHeight="1" x14ac:dyDescent="0.2">
      <c r="A15" s="191" t="s">
        <v>265</v>
      </c>
      <c r="B15" s="30">
        <f>MIN(ABS(B12),ABS(B11))</f>
        <v>513855.6670606932</v>
      </c>
      <c r="C15" s="41"/>
      <c r="D15" s="18" t="s">
        <v>56</v>
      </c>
      <c r="E15" s="27">
        <v>0</v>
      </c>
      <c r="F15" s="218">
        <f>E15/B38</f>
        <v>0</v>
      </c>
      <c r="G15" s="18" t="s">
        <v>36</v>
      </c>
      <c r="H15" s="130">
        <f>B41/B42</f>
        <v>0.73337999587263603</v>
      </c>
      <c r="I15" s="34"/>
      <c r="J15" s="21"/>
      <c r="K15" s="199"/>
      <c r="L15" s="36"/>
      <c r="M15" s="1"/>
      <c r="N15" s="1"/>
      <c r="O15" s="1"/>
      <c r="P15" s="1"/>
      <c r="Q15" s="36"/>
      <c r="R15" s="36"/>
      <c r="S15" s="36"/>
      <c r="T15" s="36"/>
      <c r="U15" s="36"/>
      <c r="V15" s="36"/>
      <c r="W15" s="36"/>
      <c r="X15" s="36"/>
      <c r="Y15" s="36"/>
      <c r="Z15" s="36"/>
      <c r="AA15" s="36"/>
      <c r="AB15" s="36"/>
      <c r="AC15" s="36"/>
      <c r="AD15" s="36"/>
      <c r="AE15" s="37"/>
      <c r="AF15" s="37"/>
      <c r="AG15" s="37"/>
      <c r="AH15" s="37"/>
      <c r="AI15" s="37"/>
    </row>
    <row r="16" spans="1:35" ht="14.1" customHeight="1" x14ac:dyDescent="0.2">
      <c r="A16" s="185" t="s">
        <v>50</v>
      </c>
      <c r="B16" s="27">
        <v>685000</v>
      </c>
      <c r="C16" s="13"/>
      <c r="D16" s="18" t="s">
        <v>65</v>
      </c>
      <c r="E16" s="32">
        <f>IF(AND(B24&gt;5,B24&lt;7),B24*125,IF(AND(B24&gt;6,B24&lt;12),B24*175,IF(B24&gt;11,B24*300,)))</f>
        <v>750</v>
      </c>
      <c r="F16" s="218">
        <f>E16/B38</f>
        <v>1.4802709487944673E-2</v>
      </c>
      <c r="G16" s="19"/>
      <c r="H16" s="144"/>
      <c r="I16" s="8"/>
      <c r="J16" s="34"/>
      <c r="K16" s="34"/>
      <c r="L16" s="36"/>
      <c r="M16" s="1"/>
      <c r="N16" s="1"/>
      <c r="O16" s="1"/>
      <c r="P16" s="1"/>
      <c r="Q16" s="36"/>
      <c r="R16" s="36"/>
      <c r="S16" s="36"/>
      <c r="T16" s="36"/>
      <c r="U16" s="36"/>
      <c r="V16" s="36"/>
      <c r="W16" s="36"/>
      <c r="X16" s="36"/>
      <c r="Y16" s="36"/>
      <c r="Z16" s="36"/>
      <c r="AA16" s="36"/>
      <c r="AB16" s="36"/>
      <c r="AC16" s="36"/>
      <c r="AD16" s="36"/>
      <c r="AE16" s="37"/>
      <c r="AF16" s="37"/>
      <c r="AG16" s="37"/>
      <c r="AH16" s="37"/>
      <c r="AI16" s="37"/>
    </row>
    <row r="17" spans="1:35" ht="14.1" customHeight="1" x14ac:dyDescent="0.2">
      <c r="A17" s="183" t="s">
        <v>239</v>
      </c>
      <c r="B17" s="32">
        <f>B16/B24</f>
        <v>114166.66666666667</v>
      </c>
      <c r="C17" s="184"/>
      <c r="D17" s="18" t="s">
        <v>66</v>
      </c>
      <c r="E17" s="27">
        <v>0</v>
      </c>
      <c r="F17" s="218">
        <f>E17/B38</f>
        <v>0</v>
      </c>
      <c r="G17" s="185" t="s">
        <v>253</v>
      </c>
      <c r="H17" s="217">
        <f>(E38+B42)/B38</f>
        <v>1.1619725891399637</v>
      </c>
      <c r="I17" s="8"/>
      <c r="J17" s="34"/>
      <c r="K17" s="34"/>
      <c r="M17" s="1"/>
      <c r="N17" s="1"/>
      <c r="O17" s="1"/>
      <c r="P17" s="1"/>
      <c r="Q17" s="36"/>
      <c r="R17" s="36"/>
      <c r="S17" s="36"/>
      <c r="T17" s="36"/>
      <c r="U17" s="36"/>
      <c r="V17" s="36"/>
      <c r="W17" s="36"/>
      <c r="X17" s="36"/>
      <c r="Y17" s="36"/>
      <c r="Z17" s="36"/>
      <c r="AA17" s="36"/>
      <c r="AB17" s="36"/>
      <c r="AC17" s="36"/>
      <c r="AD17" s="36"/>
      <c r="AE17" s="37"/>
      <c r="AF17" s="37"/>
      <c r="AG17" s="37"/>
      <c r="AH17" s="37"/>
      <c r="AI17" s="37"/>
    </row>
    <row r="18" spans="1:35" ht="14.1" customHeight="1" x14ac:dyDescent="0.2">
      <c r="A18" s="185" t="s">
        <v>230</v>
      </c>
      <c r="B18" s="32">
        <f>B16*C18</f>
        <v>171250</v>
      </c>
      <c r="C18" s="214">
        <f>1-B14</f>
        <v>0.25</v>
      </c>
      <c r="D18" s="18" t="s">
        <v>297</v>
      </c>
      <c r="E18" s="32">
        <f>IF(AND(B24&gt;1,B24&lt;7),B38*3%,IF(AND(B24&gt;6,B24&lt;12),B38*4%,IF(B24&gt;11,B38*5%,)))</f>
        <v>1519.992</v>
      </c>
      <c r="F18" s="218">
        <f>E18/B38</f>
        <v>0.03</v>
      </c>
      <c r="G18" s="19"/>
      <c r="H18" s="296"/>
      <c r="I18" s="8"/>
      <c r="J18" s="34"/>
      <c r="K18" s="34"/>
      <c r="M18" s="36"/>
      <c r="N18" s="83"/>
      <c r="O18" s="84"/>
      <c r="P18" s="85"/>
      <c r="Q18" s="36"/>
      <c r="R18" s="36"/>
      <c r="S18" s="36"/>
      <c r="T18" s="36"/>
      <c r="U18" s="36"/>
      <c r="V18" s="36"/>
      <c r="W18" s="36"/>
      <c r="X18" s="36"/>
      <c r="Y18" s="36"/>
      <c r="Z18" s="36"/>
      <c r="AA18" s="36"/>
      <c r="AB18" s="36"/>
      <c r="AC18" s="36"/>
      <c r="AD18" s="36"/>
      <c r="AE18" s="37"/>
      <c r="AF18" s="37"/>
      <c r="AG18" s="37"/>
      <c r="AH18" s="37"/>
      <c r="AI18" s="37"/>
    </row>
    <row r="19" spans="1:35" ht="14.1" customHeight="1" x14ac:dyDescent="0.2">
      <c r="A19" s="33" t="s">
        <v>41</v>
      </c>
      <c r="B19" s="17">
        <f>B16-B18</f>
        <v>513750</v>
      </c>
      <c r="C19" s="13"/>
      <c r="D19" s="18" t="s">
        <v>278</v>
      </c>
      <c r="E19" s="32">
        <f>B38*10%</f>
        <v>5066.6400000000003</v>
      </c>
      <c r="F19" s="218">
        <f>E19/B38</f>
        <v>0.1</v>
      </c>
      <c r="G19" s="185" t="s">
        <v>281</v>
      </c>
      <c r="H19" s="217">
        <f>B16/B48</f>
        <v>0.86380832282471631</v>
      </c>
      <c r="I19" s="34"/>
      <c r="J19" s="24"/>
      <c r="K19" s="200"/>
      <c r="M19" s="36"/>
      <c r="N19" s="83"/>
      <c r="O19" s="84"/>
      <c r="P19" s="85"/>
      <c r="Q19" s="36"/>
      <c r="R19" s="36"/>
      <c r="S19" s="36"/>
      <c r="T19" s="36"/>
      <c r="U19" s="36"/>
      <c r="V19" s="36"/>
      <c r="W19" s="36"/>
      <c r="X19" s="36"/>
      <c r="Y19" s="36"/>
      <c r="Z19" s="36"/>
      <c r="AA19" s="36"/>
      <c r="AB19" s="36"/>
      <c r="AC19" s="36"/>
      <c r="AD19" s="36"/>
      <c r="AE19" s="37"/>
      <c r="AF19" s="37"/>
      <c r="AG19" s="37"/>
      <c r="AH19" s="37"/>
      <c r="AI19" s="37"/>
    </row>
    <row r="20" spans="1:35" ht="14.1" customHeight="1" x14ac:dyDescent="0.2">
      <c r="A20" s="33" t="s">
        <v>39</v>
      </c>
      <c r="B20" s="17">
        <f>SUM(P2:P7)</f>
        <v>0</v>
      </c>
      <c r="C20" s="214">
        <f>B20/B19</f>
        <v>0</v>
      </c>
      <c r="D20" s="185" t="s">
        <v>262</v>
      </c>
      <c r="E20" s="32">
        <f>IF(AND(B24&gt;5,B24&lt;12),B24*500,IF(B24&gt;11,B24*500,))</f>
        <v>3000</v>
      </c>
      <c r="F20" s="218">
        <f>E20/B38</f>
        <v>5.9210837951778693E-2</v>
      </c>
      <c r="G20" s="19"/>
      <c r="H20" s="296"/>
      <c r="I20" s="34"/>
      <c r="J20" s="34"/>
      <c r="K20" s="34"/>
      <c r="L20" s="36"/>
      <c r="M20" s="58"/>
      <c r="N20" s="83"/>
      <c r="O20" s="84"/>
      <c r="P20" s="85"/>
      <c r="Q20" s="36"/>
      <c r="R20" s="58"/>
      <c r="S20" s="36"/>
      <c r="T20" s="36"/>
      <c r="U20" s="36"/>
      <c r="V20" s="36"/>
      <c r="W20" s="36"/>
      <c r="X20" s="36"/>
      <c r="Y20" s="36"/>
      <c r="Z20" s="36"/>
      <c r="AA20" s="36"/>
      <c r="AB20" s="36"/>
      <c r="AC20" s="36"/>
      <c r="AD20" s="36"/>
      <c r="AE20" s="37"/>
      <c r="AF20" s="37"/>
      <c r="AG20" s="37"/>
      <c r="AH20" s="37"/>
      <c r="AI20" s="37"/>
    </row>
    <row r="21" spans="1:35" ht="14.1" customHeight="1" x14ac:dyDescent="0.2">
      <c r="A21" s="33" t="s">
        <v>40</v>
      </c>
      <c r="B21" s="17">
        <f>B19+B20</f>
        <v>513750</v>
      </c>
      <c r="C21" s="13"/>
      <c r="D21" s="18" t="s">
        <v>287</v>
      </c>
      <c r="E21" s="32">
        <f>IF(AND(B24&gt;5,B24&lt;12),B38*5%,IF(AND(B24&gt;6,B24&lt;12),B38*5%,IF(B24&gt;11,B38*5%,)))</f>
        <v>2533.3200000000002</v>
      </c>
      <c r="F21" s="218">
        <f>E21/B38</f>
        <v>0.05</v>
      </c>
      <c r="G21" s="185" t="s">
        <v>160</v>
      </c>
      <c r="H21" s="217">
        <f>IRR('Flux financier avec SCHL'!C24:AB24,0)</f>
        <v>-2.88372692412312E-2</v>
      </c>
      <c r="I21" s="8"/>
      <c r="J21" s="34"/>
      <c r="K21" s="34"/>
      <c r="M21" s="36"/>
      <c r="N21" s="83"/>
      <c r="O21" s="84"/>
      <c r="P21" s="85"/>
      <c r="Q21" s="36"/>
      <c r="R21" s="36"/>
      <c r="S21" s="36"/>
      <c r="T21" s="36"/>
      <c r="U21" s="36"/>
      <c r="V21" s="36"/>
      <c r="W21" s="36"/>
      <c r="X21" s="36"/>
      <c r="Y21" s="36"/>
      <c r="Z21" s="36"/>
      <c r="AA21" s="36"/>
      <c r="AB21" s="36"/>
      <c r="AC21" s="36"/>
      <c r="AD21" s="36"/>
      <c r="AE21" s="37"/>
      <c r="AF21" s="37"/>
      <c r="AG21" s="37"/>
      <c r="AH21" s="37"/>
      <c r="AI21" s="37"/>
    </row>
    <row r="22" spans="1:35" ht="14.1" customHeight="1" x14ac:dyDescent="0.2">
      <c r="A22" s="34"/>
      <c r="B22" s="40"/>
      <c r="C22" s="13"/>
      <c r="D22" s="18" t="s">
        <v>14</v>
      </c>
      <c r="E22" s="27">
        <v>0</v>
      </c>
      <c r="F22" s="218">
        <f>E22/B38</f>
        <v>0</v>
      </c>
      <c r="G22" s="34"/>
      <c r="H22" s="34"/>
      <c r="I22" s="34"/>
      <c r="J22" s="34"/>
      <c r="K22" s="199"/>
      <c r="M22" s="36"/>
      <c r="N22" s="83"/>
      <c r="O22" s="84"/>
      <c r="P22" s="85"/>
      <c r="Q22" s="36"/>
      <c r="R22" s="36"/>
      <c r="S22" s="36"/>
      <c r="T22" s="36"/>
      <c r="U22" s="36"/>
      <c r="V22" s="36"/>
      <c r="W22" s="36"/>
      <c r="X22" s="36"/>
      <c r="Y22" s="36"/>
      <c r="Z22" s="36"/>
      <c r="AA22" s="36"/>
      <c r="AB22" s="36"/>
      <c r="AC22" s="36"/>
      <c r="AD22" s="36"/>
      <c r="AE22" s="37"/>
      <c r="AF22" s="37"/>
      <c r="AG22" s="37"/>
      <c r="AH22" s="37"/>
      <c r="AI22" s="37"/>
    </row>
    <row r="23" spans="1:35" ht="14.1" customHeight="1" x14ac:dyDescent="0.2">
      <c r="A23" s="18"/>
      <c r="B23" s="9" t="s">
        <v>31</v>
      </c>
      <c r="C23" s="41"/>
      <c r="D23" s="18" t="s">
        <v>9</v>
      </c>
      <c r="E23" s="27">
        <v>0</v>
      </c>
      <c r="F23" s="218">
        <f>E23/B38</f>
        <v>0</v>
      </c>
      <c r="G23" s="185" t="s">
        <v>159</v>
      </c>
      <c r="H23" s="187">
        <f>NPV(H10,'Flux financier avec SCHL'!C24:AB24)+'Flux financier avec SCHL'!C24</f>
        <v>-331754.40148823772</v>
      </c>
      <c r="I23" s="8"/>
      <c r="J23" s="34"/>
      <c r="K23" s="199"/>
      <c r="L23" s="36"/>
      <c r="M23" s="36"/>
      <c r="N23" s="83"/>
      <c r="O23" s="84"/>
      <c r="P23" s="85"/>
      <c r="Q23" s="36"/>
      <c r="R23" s="36"/>
      <c r="S23" s="36"/>
      <c r="T23" s="36"/>
      <c r="U23" s="36"/>
      <c r="V23" s="36"/>
      <c r="W23" s="36"/>
      <c r="X23" s="36"/>
      <c r="Y23" s="36"/>
      <c r="Z23" s="36"/>
      <c r="AA23" s="36"/>
      <c r="AB23" s="36"/>
      <c r="AC23" s="36"/>
      <c r="AD23" s="36"/>
      <c r="AE23" s="37"/>
      <c r="AF23" s="37"/>
      <c r="AG23" s="37"/>
      <c r="AH23" s="37"/>
      <c r="AI23" s="37"/>
    </row>
    <row r="24" spans="1:35" ht="14.1" customHeight="1" x14ac:dyDescent="0.2">
      <c r="A24" s="19" t="s">
        <v>231</v>
      </c>
      <c r="B24" s="294">
        <v>6</v>
      </c>
      <c r="C24" s="13"/>
      <c r="D24" s="18" t="s">
        <v>10</v>
      </c>
      <c r="E24" s="27">
        <v>0</v>
      </c>
      <c r="F24" s="218">
        <f>E24/B38</f>
        <v>0</v>
      </c>
      <c r="G24" s="198"/>
      <c r="H24" s="206"/>
      <c r="I24" s="34"/>
      <c r="J24" s="34"/>
      <c r="K24" s="34"/>
      <c r="L24" s="60"/>
      <c r="M24" s="36"/>
      <c r="N24" s="83"/>
      <c r="O24" s="84"/>
      <c r="P24" s="85"/>
      <c r="Q24" s="36"/>
      <c r="R24" s="36"/>
      <c r="S24" s="36"/>
      <c r="T24" s="36"/>
      <c r="U24" s="36"/>
      <c r="V24" s="36"/>
      <c r="W24" s="36"/>
      <c r="X24" s="36"/>
      <c r="Y24" s="36"/>
      <c r="Z24" s="36"/>
      <c r="AA24" s="36"/>
      <c r="AB24" s="36"/>
      <c r="AC24" s="36"/>
      <c r="AD24" s="36"/>
      <c r="AE24" s="37"/>
      <c r="AF24" s="37"/>
      <c r="AG24" s="37"/>
      <c r="AH24" s="37"/>
      <c r="AI24" s="37"/>
    </row>
    <row r="25" spans="1:35" ht="14.1" customHeight="1" x14ac:dyDescent="0.2">
      <c r="A25" s="185" t="s">
        <v>274</v>
      </c>
      <c r="B25" s="17">
        <f>(((B26*12)/12)/B24)</f>
        <v>756.66666666666663</v>
      </c>
      <c r="C25" s="13"/>
      <c r="D25" s="18" t="s">
        <v>12</v>
      </c>
      <c r="E25" s="27">
        <v>300</v>
      </c>
      <c r="F25" s="218">
        <f>E25/B38</f>
        <v>5.9210837951778695E-3</v>
      </c>
      <c r="G25" s="18" t="s">
        <v>223</v>
      </c>
      <c r="H25" s="143">
        <f>B18/B45</f>
        <v>-20.867432061771158</v>
      </c>
      <c r="I25" s="8" t="s">
        <v>80</v>
      </c>
      <c r="J25" s="21"/>
      <c r="K25" s="34"/>
      <c r="M25" s="36"/>
      <c r="N25" s="83"/>
      <c r="O25" s="84"/>
      <c r="P25" s="85"/>
      <c r="Q25" s="36"/>
      <c r="R25" s="36"/>
      <c r="S25" s="36"/>
      <c r="T25" s="36"/>
      <c r="U25" s="36"/>
      <c r="V25" s="36"/>
      <c r="W25" s="36"/>
      <c r="X25" s="36"/>
      <c r="Y25" s="36"/>
      <c r="Z25" s="36"/>
      <c r="AA25" s="36"/>
      <c r="AB25" s="36"/>
      <c r="AC25" s="36"/>
      <c r="AD25" s="36"/>
      <c r="AE25" s="37"/>
      <c r="AF25" s="37"/>
      <c r="AG25" s="37"/>
      <c r="AH25" s="37"/>
      <c r="AI25" s="37"/>
    </row>
    <row r="26" spans="1:35" ht="14.1" customHeight="1" x14ac:dyDescent="0.2">
      <c r="A26" s="185" t="s">
        <v>234</v>
      </c>
      <c r="B26" s="17">
        <f>B27/12</f>
        <v>4540</v>
      </c>
      <c r="C26" s="13"/>
      <c r="D26" s="18" t="s">
        <v>13</v>
      </c>
      <c r="E26" s="27">
        <v>0</v>
      </c>
      <c r="F26" s="218">
        <f>E26/B38</f>
        <v>0</v>
      </c>
      <c r="G26" s="34"/>
      <c r="H26" s="34"/>
      <c r="I26" s="34"/>
      <c r="J26" s="21"/>
      <c r="K26" s="34"/>
      <c r="M26" s="36"/>
      <c r="N26" s="83"/>
      <c r="O26" s="84"/>
      <c r="P26" s="85"/>
      <c r="Q26" s="36"/>
      <c r="R26" s="36"/>
      <c r="S26" s="36"/>
      <c r="T26" s="36"/>
      <c r="U26" s="36"/>
      <c r="V26" s="36"/>
      <c r="W26" s="36"/>
      <c r="X26" s="36"/>
      <c r="Y26" s="36"/>
      <c r="Z26" s="36"/>
      <c r="AA26" s="36"/>
      <c r="AB26" s="36"/>
      <c r="AC26" s="36"/>
      <c r="AD26" s="36"/>
      <c r="AE26" s="37"/>
      <c r="AF26" s="37"/>
      <c r="AG26" s="37"/>
      <c r="AH26" s="37"/>
      <c r="AI26" s="37"/>
    </row>
    <row r="27" spans="1:35" ht="14.1" customHeight="1" x14ac:dyDescent="0.2">
      <c r="A27" s="185" t="s">
        <v>273</v>
      </c>
      <c r="B27" s="28">
        <v>54480</v>
      </c>
      <c r="C27" s="214"/>
      <c r="D27" s="18" t="s">
        <v>11</v>
      </c>
      <c r="E27" s="27">
        <v>0</v>
      </c>
      <c r="F27" s="218">
        <f>E27/B38</f>
        <v>0</v>
      </c>
      <c r="G27" s="18" t="s">
        <v>33</v>
      </c>
      <c r="H27" s="211">
        <f>B16/B35</f>
        <v>12.573421439060205</v>
      </c>
      <c r="I27" s="34"/>
      <c r="J27" s="34"/>
      <c r="K27" s="34"/>
      <c r="M27" s="36"/>
      <c r="N27" s="83"/>
      <c r="O27" s="84"/>
      <c r="P27" s="85"/>
      <c r="Q27" s="36"/>
      <c r="R27" s="36"/>
      <c r="S27" s="36"/>
      <c r="T27" s="36"/>
      <c r="U27" s="36"/>
      <c r="V27" s="36"/>
      <c r="W27" s="36"/>
      <c r="X27" s="36"/>
      <c r="Y27" s="36"/>
      <c r="Z27" s="36"/>
      <c r="AA27" s="36"/>
      <c r="AB27" s="36"/>
      <c r="AC27" s="36"/>
      <c r="AD27" s="36"/>
      <c r="AE27" s="37"/>
      <c r="AF27" s="37"/>
      <c r="AG27" s="37"/>
      <c r="AH27" s="37"/>
      <c r="AI27" s="37"/>
    </row>
    <row r="28" spans="1:35" ht="14.1" customHeight="1" x14ac:dyDescent="0.2">
      <c r="A28" s="185" t="s">
        <v>240</v>
      </c>
      <c r="B28" s="28">
        <v>54480</v>
      </c>
      <c r="C28" s="214">
        <f>(B28-B35)/12/B24/B35*100</f>
        <v>0</v>
      </c>
      <c r="D28" s="18" t="s">
        <v>3</v>
      </c>
      <c r="E28" s="27">
        <v>0</v>
      </c>
      <c r="F28" s="218">
        <f>E28/B38</f>
        <v>0</v>
      </c>
      <c r="G28" s="34"/>
      <c r="H28" s="34"/>
      <c r="I28" s="34"/>
      <c r="J28" s="34"/>
      <c r="K28" s="34"/>
      <c r="M28" s="36"/>
      <c r="N28" s="83"/>
      <c r="O28" s="84"/>
      <c r="P28" s="85"/>
      <c r="Q28" s="36"/>
      <c r="R28" s="36"/>
      <c r="S28" s="36"/>
      <c r="T28" s="36"/>
      <c r="U28" s="36"/>
      <c r="V28" s="36"/>
      <c r="W28" s="36"/>
      <c r="X28" s="36"/>
      <c r="Y28" s="36"/>
      <c r="Z28" s="36"/>
      <c r="AA28" s="36"/>
      <c r="AB28" s="36"/>
      <c r="AC28" s="36"/>
      <c r="AD28" s="36"/>
      <c r="AE28" s="37"/>
      <c r="AF28" s="37"/>
      <c r="AG28" s="37"/>
      <c r="AH28" s="37"/>
      <c r="AI28" s="37"/>
    </row>
    <row r="29" spans="1:35" ht="14.1" customHeight="1" x14ac:dyDescent="0.2">
      <c r="A29" s="176" t="s">
        <v>236</v>
      </c>
      <c r="B29" s="181">
        <v>756.67</v>
      </c>
      <c r="C29" s="222" t="s">
        <v>258</v>
      </c>
      <c r="D29" s="18" t="s">
        <v>6</v>
      </c>
      <c r="E29" s="27">
        <v>0</v>
      </c>
      <c r="F29" s="218">
        <f>E29/B38</f>
        <v>0</v>
      </c>
      <c r="G29" s="18" t="s">
        <v>34</v>
      </c>
      <c r="H29" s="211">
        <f>B16/B41</f>
        <v>30.345386314044706</v>
      </c>
      <c r="I29" s="34"/>
      <c r="J29" s="34"/>
      <c r="K29" s="34"/>
      <c r="M29" s="36"/>
      <c r="N29" s="83"/>
      <c r="O29" s="84"/>
      <c r="P29" s="85"/>
      <c r="Q29" s="36"/>
      <c r="R29" s="36"/>
      <c r="S29" s="36"/>
      <c r="T29" s="36"/>
      <c r="U29" s="36"/>
      <c r="V29" s="36"/>
      <c r="W29" s="36"/>
      <c r="X29" s="36"/>
      <c r="Y29" s="36"/>
      <c r="Z29" s="36"/>
      <c r="AA29" s="36"/>
      <c r="AB29" s="36"/>
      <c r="AC29" s="36"/>
      <c r="AD29" s="36"/>
      <c r="AE29" s="37"/>
      <c r="AF29" s="37"/>
      <c r="AG29" s="37"/>
      <c r="AH29" s="37"/>
      <c r="AI29" s="37"/>
    </row>
    <row r="30" spans="1:35" ht="14.1" customHeight="1" x14ac:dyDescent="0.2">
      <c r="A30" s="176" t="s">
        <v>235</v>
      </c>
      <c r="B30" s="180">
        <f>B29*B24</f>
        <v>4540.0199999999995</v>
      </c>
      <c r="C30" s="212">
        <f>-1+B30/((B26*12)/12)</f>
        <v>4.4052863434895784E-6</v>
      </c>
      <c r="D30" s="18" t="s">
        <v>7</v>
      </c>
      <c r="E30" s="27">
        <v>0</v>
      </c>
      <c r="F30" s="218">
        <f>E30/B38</f>
        <v>0</v>
      </c>
      <c r="G30" s="34"/>
      <c r="H30" s="34"/>
      <c r="I30" s="34"/>
      <c r="J30" s="34"/>
      <c r="K30" s="34"/>
      <c r="L30" s="36"/>
      <c r="M30" s="36"/>
      <c r="N30" s="83"/>
      <c r="O30" s="84"/>
      <c r="P30" s="85"/>
      <c r="Q30" s="36"/>
      <c r="R30" s="36"/>
      <c r="S30" s="36"/>
      <c r="T30" s="36"/>
      <c r="U30" s="36"/>
      <c r="V30" s="36"/>
      <c r="W30" s="36"/>
      <c r="X30" s="36"/>
      <c r="Y30" s="36"/>
      <c r="Z30" s="36"/>
      <c r="AA30" s="36"/>
      <c r="AB30" s="36"/>
      <c r="AC30" s="36"/>
      <c r="AD30" s="36"/>
      <c r="AE30" s="37"/>
      <c r="AF30" s="37"/>
      <c r="AG30" s="37"/>
      <c r="AH30" s="37"/>
      <c r="AI30" s="37"/>
    </row>
    <row r="31" spans="1:35" ht="14.1" customHeight="1" x14ac:dyDescent="0.2">
      <c r="A31" s="176" t="s">
        <v>237</v>
      </c>
      <c r="B31" s="179">
        <f>B30*12</f>
        <v>54480.239999999991</v>
      </c>
      <c r="C31" s="41"/>
      <c r="D31" s="18" t="s">
        <v>4</v>
      </c>
      <c r="E31" s="27">
        <v>0</v>
      </c>
      <c r="F31" s="218">
        <f>E31/B38</f>
        <v>0</v>
      </c>
      <c r="G31" s="34"/>
      <c r="H31" s="438"/>
      <c r="I31" s="34"/>
      <c r="J31" s="34"/>
      <c r="K31" s="34"/>
      <c r="L31" s="36"/>
      <c r="M31" s="36"/>
      <c r="N31" s="83"/>
      <c r="O31" s="84"/>
      <c r="P31" s="85"/>
      <c r="Q31" s="36"/>
      <c r="R31" s="36"/>
      <c r="S31" s="36"/>
      <c r="T31" s="36"/>
      <c r="U31" s="36"/>
      <c r="V31" s="36"/>
      <c r="W31" s="36"/>
      <c r="X31" s="36"/>
      <c r="Y31" s="36"/>
      <c r="Z31" s="36"/>
      <c r="AA31" s="36"/>
      <c r="AB31" s="36"/>
      <c r="AC31" s="36"/>
      <c r="AD31" s="36"/>
      <c r="AE31" s="37"/>
      <c r="AF31" s="37"/>
      <c r="AG31" s="37"/>
      <c r="AH31" s="37"/>
      <c r="AI31" s="37"/>
    </row>
    <row r="32" spans="1:35" ht="14.1" customHeight="1" x14ac:dyDescent="0.2">
      <c r="A32" s="176" t="s">
        <v>233</v>
      </c>
      <c r="B32" s="180">
        <f>B33-B16</f>
        <v>3.0176211452344432</v>
      </c>
      <c r="C32" s="41"/>
      <c r="D32" s="18" t="s">
        <v>5</v>
      </c>
      <c r="E32" s="27">
        <v>0</v>
      </c>
      <c r="F32" s="218">
        <f>E32/B38</f>
        <v>0</v>
      </c>
      <c r="G32" s="34"/>
      <c r="H32" s="34"/>
      <c r="I32" s="34"/>
      <c r="J32" s="34"/>
      <c r="K32" s="201"/>
      <c r="L32" s="36"/>
      <c r="M32" s="36"/>
      <c r="N32" s="83"/>
      <c r="O32" s="84"/>
      <c r="P32" s="85"/>
      <c r="Q32" s="36"/>
      <c r="R32" s="36"/>
      <c r="S32" s="36"/>
      <c r="T32" s="36"/>
      <c r="U32" s="36"/>
      <c r="V32" s="36"/>
      <c r="W32" s="36"/>
      <c r="X32" s="36"/>
      <c r="Y32" s="36"/>
      <c r="Z32" s="36"/>
      <c r="AA32" s="36"/>
      <c r="AB32" s="36"/>
      <c r="AC32" s="36"/>
      <c r="AD32" s="36"/>
      <c r="AE32" s="37"/>
      <c r="AF32" s="37"/>
      <c r="AG32" s="37"/>
      <c r="AH32" s="37"/>
      <c r="AI32" s="37"/>
    </row>
    <row r="33" spans="1:38" ht="14.1" customHeight="1" x14ac:dyDescent="0.2">
      <c r="A33" s="191" t="s">
        <v>232</v>
      </c>
      <c r="B33" s="180">
        <f>B31*H27</f>
        <v>685003.01762114523</v>
      </c>
      <c r="C33" s="212">
        <f>B32/B16*100/100</f>
        <v>4.4052863434079464E-6</v>
      </c>
      <c r="D33" s="18" t="s">
        <v>238</v>
      </c>
      <c r="E33" s="27">
        <v>0</v>
      </c>
      <c r="F33" s="218">
        <f>E33/B38</f>
        <v>0</v>
      </c>
      <c r="G33" s="126" t="s">
        <v>76</v>
      </c>
      <c r="H33" s="125"/>
      <c r="I33" s="125"/>
      <c r="J33" s="282" t="s">
        <v>167</v>
      </c>
      <c r="K33" s="201"/>
      <c r="L33" s="36"/>
      <c r="M33" s="36"/>
      <c r="N33" s="83"/>
      <c r="O33" s="84"/>
      <c r="P33" s="85"/>
      <c r="Q33" s="36"/>
      <c r="R33" s="36"/>
      <c r="S33" s="36"/>
      <c r="T33" s="36"/>
      <c r="U33" s="36"/>
      <c r="V33" s="36"/>
      <c r="W33" s="36"/>
      <c r="X33" s="36"/>
      <c r="Y33" s="36"/>
      <c r="Z33" s="36"/>
      <c r="AA33" s="36"/>
      <c r="AB33" s="36"/>
      <c r="AC33" s="36"/>
      <c r="AD33" s="36"/>
      <c r="AE33" s="37"/>
      <c r="AF33" s="37"/>
      <c r="AG33" s="37"/>
      <c r="AH33" s="37"/>
      <c r="AI33" s="37"/>
    </row>
    <row r="34" spans="1:38" ht="14.1" customHeight="1" x14ac:dyDescent="0.2">
      <c r="A34" s="192"/>
      <c r="B34" s="220"/>
      <c r="C34" s="212"/>
      <c r="D34" s="18" t="s">
        <v>79</v>
      </c>
      <c r="E34" s="27">
        <v>0</v>
      </c>
      <c r="F34" s="218">
        <f>E34/B38</f>
        <v>0</v>
      </c>
      <c r="G34" s="117" t="s">
        <v>16</v>
      </c>
      <c r="H34" s="56">
        <f>IF(I2=1,ROUND(+(IF(I4&lt;50000.01,I4*0.005,0))+(IF((AND(I4&gt;50000,I4&lt;250000.01)),250+(I4-50000)*0.01,0))+(IF((AND(I4&gt;250000,I4&lt;500000.01)),2250+(I4-250000)*0.015,0))+ (IF((AND(I4&gt;500000,I4&lt;1000000.01)),6000+(I4-500000)*0.02,0))+(IF(I4&gt;1000000,16000+(I4-1000000)*0.025,0)),2),ROUND(+(IF(I4&lt;50000.01,I4*0.005,0))+(IF((AND(I4&gt;50000,I4&lt;250000.01)),250+(I4-50000)*0.01,0))+(IF(I4&gt;250000,2250+(I4-250000)*0.015,0)),2))</f>
        <v>10395</v>
      </c>
      <c r="I34" s="223">
        <f>H34/H50</f>
        <v>0.81980949977424677</v>
      </c>
      <c r="J34" s="284" t="s">
        <v>168</v>
      </c>
      <c r="K34" s="201"/>
      <c r="L34" s="196"/>
      <c r="M34" s="36"/>
      <c r="N34" s="83"/>
      <c r="O34" s="84"/>
      <c r="P34" s="85"/>
      <c r="Q34" s="36"/>
      <c r="R34" s="36"/>
      <c r="S34" s="36"/>
      <c r="T34" s="36"/>
      <c r="U34" s="36"/>
      <c r="V34" s="36"/>
      <c r="W34" s="36"/>
      <c r="X34" s="36"/>
      <c r="Y34" s="36"/>
      <c r="Z34" s="36"/>
      <c r="AA34" s="36"/>
      <c r="AB34" s="36"/>
      <c r="AC34" s="36"/>
      <c r="AD34" s="36"/>
      <c r="AE34" s="37"/>
      <c r="AF34" s="37"/>
      <c r="AG34" s="37"/>
      <c r="AH34" s="37"/>
      <c r="AI34" s="37"/>
    </row>
    <row r="35" spans="1:38" ht="14.1" customHeight="1" x14ac:dyDescent="0.2">
      <c r="A35" s="18" t="s">
        <v>246</v>
      </c>
      <c r="B35" s="32">
        <f>B38+B36+B37</f>
        <v>54480</v>
      </c>
      <c r="C35" s="41"/>
      <c r="D35" s="18" t="s">
        <v>78</v>
      </c>
      <c r="E35" s="27">
        <v>0</v>
      </c>
      <c r="F35" s="218">
        <f>E35/B38</f>
        <v>0</v>
      </c>
      <c r="G35" s="10" t="s">
        <v>17</v>
      </c>
      <c r="H35" s="47">
        <v>1250</v>
      </c>
      <c r="I35" s="223">
        <f>H35/H50</f>
        <v>9.8582190930044111E-2</v>
      </c>
      <c r="J35" s="284" t="s">
        <v>168</v>
      </c>
      <c r="K35" s="201"/>
      <c r="L35" s="196"/>
      <c r="M35" s="36"/>
      <c r="N35" s="83"/>
      <c r="O35" s="84"/>
      <c r="P35" s="85"/>
      <c r="Q35" s="36"/>
      <c r="R35" s="36"/>
      <c r="S35" s="36"/>
      <c r="T35" s="36"/>
      <c r="U35" s="36"/>
      <c r="V35" s="36"/>
      <c r="W35" s="36"/>
      <c r="X35" s="36"/>
      <c r="Y35" s="36"/>
      <c r="Z35" s="36"/>
      <c r="AA35" s="36"/>
      <c r="AB35" s="36"/>
      <c r="AC35" s="36"/>
      <c r="AD35" s="36"/>
      <c r="AE35" s="37"/>
      <c r="AF35" s="37"/>
      <c r="AG35" s="37"/>
      <c r="AH35" s="37"/>
      <c r="AI35" s="37"/>
    </row>
    <row r="36" spans="1:38" ht="14.1" customHeight="1" x14ac:dyDescent="0.2">
      <c r="A36" s="18" t="s">
        <v>68</v>
      </c>
      <c r="B36" s="182">
        <f>(B26*12)*C36</f>
        <v>2724</v>
      </c>
      <c r="C36" s="214">
        <v>0.05</v>
      </c>
      <c r="D36" s="185" t="s">
        <v>256</v>
      </c>
      <c r="E36" s="27">
        <v>0</v>
      </c>
      <c r="F36" s="218">
        <f>E36/B38</f>
        <v>0</v>
      </c>
      <c r="G36" s="10" t="s">
        <v>279</v>
      </c>
      <c r="H36" s="56">
        <f>B20*1.09975-B20</f>
        <v>0</v>
      </c>
      <c r="I36" s="223">
        <f>H36/H50</f>
        <v>0</v>
      </c>
      <c r="J36" s="284" t="s">
        <v>169</v>
      </c>
      <c r="K36" s="201"/>
      <c r="L36" s="196"/>
      <c r="M36" s="36"/>
      <c r="N36" s="83"/>
      <c r="O36" s="84"/>
      <c r="P36" s="85"/>
      <c r="Q36" s="36"/>
      <c r="R36" s="36"/>
      <c r="S36" s="36"/>
      <c r="T36" s="36"/>
      <c r="U36" s="36"/>
      <c r="V36" s="36"/>
      <c r="W36" s="36"/>
      <c r="X36" s="36"/>
      <c r="Y36" s="36"/>
      <c r="Z36" s="36"/>
      <c r="AA36" s="36"/>
      <c r="AB36" s="36"/>
      <c r="AC36" s="36"/>
      <c r="AD36" s="36"/>
      <c r="AE36" s="37"/>
      <c r="AF36" s="37"/>
      <c r="AG36" s="37"/>
      <c r="AH36" s="37"/>
      <c r="AI36" s="37"/>
    </row>
    <row r="37" spans="1:38" ht="14.1" customHeight="1" x14ac:dyDescent="0.2">
      <c r="A37" s="183" t="s">
        <v>289</v>
      </c>
      <c r="B37" s="182">
        <f>(B26*12)*C37</f>
        <v>1089.5999999999999</v>
      </c>
      <c r="C37" s="214">
        <v>0.02</v>
      </c>
      <c r="D37" s="18" t="s">
        <v>67</v>
      </c>
      <c r="E37" s="27">
        <v>0</v>
      </c>
      <c r="F37" s="218">
        <f>E37/B38</f>
        <v>0</v>
      </c>
      <c r="G37" s="10" t="s">
        <v>296</v>
      </c>
      <c r="H37" s="56">
        <f>IF(AND(B24&gt;4,B24&lt;101),B24*150*1.14975,IF(B24&gt;100,B24*100*1.14975,))</f>
        <v>1034.7750000000001</v>
      </c>
      <c r="I37" s="223">
        <f>H37/H50</f>
        <v>8.1608309295709128E-2</v>
      </c>
      <c r="J37" s="284" t="s">
        <v>169</v>
      </c>
      <c r="K37" s="201"/>
      <c r="L37" s="196"/>
      <c r="M37" s="36"/>
      <c r="N37" s="83"/>
      <c r="O37" s="84"/>
      <c r="P37" s="85"/>
      <c r="Q37" s="36"/>
      <c r="R37" s="36"/>
      <c r="S37" s="36"/>
      <c r="T37" s="36"/>
      <c r="U37" s="36"/>
      <c r="V37" s="36"/>
      <c r="W37" s="36"/>
      <c r="X37" s="36"/>
      <c r="Y37" s="36"/>
      <c r="Z37" s="36"/>
      <c r="AA37" s="36"/>
      <c r="AB37" s="36"/>
      <c r="AC37" s="36"/>
      <c r="AD37" s="36"/>
      <c r="AE37" s="37"/>
      <c r="AF37" s="37"/>
      <c r="AG37" s="37"/>
      <c r="AH37" s="37"/>
      <c r="AI37" s="37"/>
    </row>
    <row r="38" spans="1:38" ht="14.1" customHeight="1" x14ac:dyDescent="0.2">
      <c r="A38" s="18" t="s">
        <v>247</v>
      </c>
      <c r="B38" s="32">
        <f>(B26*12)-B36-B37</f>
        <v>50666.400000000001</v>
      </c>
      <c r="C38" s="13"/>
      <c r="D38" s="18" t="s">
        <v>15</v>
      </c>
      <c r="E38" s="30">
        <f>B40</f>
        <v>28092.951999999997</v>
      </c>
      <c r="F38" s="218">
        <f>C40</f>
        <v>0.55446907615303231</v>
      </c>
      <c r="G38" s="10" t="s">
        <v>18</v>
      </c>
      <c r="H38" s="47">
        <v>0</v>
      </c>
      <c r="I38" s="223">
        <f>H38/H50</f>
        <v>0</v>
      </c>
      <c r="J38" s="284" t="s">
        <v>169</v>
      </c>
      <c r="K38" s="201"/>
      <c r="L38" s="196"/>
      <c r="M38" s="36"/>
      <c r="N38" s="83"/>
      <c r="O38" s="84"/>
      <c r="P38" s="85"/>
      <c r="Q38" s="36"/>
      <c r="R38" s="36"/>
      <c r="S38" s="36"/>
      <c r="T38" s="36"/>
      <c r="U38" s="36"/>
      <c r="V38" s="36"/>
      <c r="W38" s="36"/>
      <c r="X38" s="36"/>
      <c r="Y38" s="36"/>
      <c r="Z38" s="36"/>
      <c r="AA38" s="36"/>
      <c r="AB38" s="36"/>
      <c r="AC38" s="36"/>
      <c r="AD38" s="36"/>
      <c r="AE38" s="37"/>
      <c r="AF38" s="37"/>
      <c r="AG38" s="37"/>
      <c r="AH38" s="37"/>
      <c r="AI38" s="37"/>
    </row>
    <row r="39" spans="1:38" ht="14.1" customHeight="1" x14ac:dyDescent="0.2">
      <c r="A39" s="34"/>
      <c r="B39" s="40"/>
      <c r="C39" s="41"/>
      <c r="D39" s="42"/>
      <c r="E39" s="34"/>
      <c r="F39" s="43"/>
      <c r="G39" s="10" t="s">
        <v>138</v>
      </c>
      <c r="H39" s="47">
        <v>0</v>
      </c>
      <c r="I39" s="223">
        <f>H39/H50</f>
        <v>0</v>
      </c>
      <c r="J39" s="284" t="s">
        <v>168</v>
      </c>
      <c r="K39" s="201"/>
      <c r="L39" s="196"/>
      <c r="M39" s="36"/>
      <c r="N39" s="83"/>
      <c r="O39" s="84"/>
      <c r="P39" s="85"/>
      <c r="Q39" s="36"/>
      <c r="R39" s="36"/>
      <c r="S39" s="36"/>
      <c r="T39" s="36"/>
      <c r="U39" s="36"/>
      <c r="V39" s="36"/>
      <c r="W39" s="36"/>
      <c r="X39" s="36"/>
      <c r="Y39" s="36"/>
      <c r="Z39" s="36"/>
      <c r="AA39" s="36"/>
      <c r="AB39" s="36"/>
      <c r="AC39" s="36"/>
      <c r="AD39" s="36"/>
      <c r="AE39" s="37"/>
      <c r="AF39" s="37"/>
      <c r="AG39" s="37"/>
      <c r="AH39" s="37"/>
      <c r="AI39" s="37"/>
    </row>
    <row r="40" spans="1:38" ht="14.1" customHeight="1" x14ac:dyDescent="0.2">
      <c r="A40" s="18" t="s">
        <v>252</v>
      </c>
      <c r="B40" s="16">
        <f>E10+E11+E12+E13+E14+E15+E16+E17+E18+E19+E20+E21+E22+E23+E24+E25+E26+E27+E28+E29+E30+E31+E32+E33+E34+E35++E36+E37</f>
        <v>28092.951999999997</v>
      </c>
      <c r="C40" s="214">
        <f>B40/B38</f>
        <v>0.55446907615303231</v>
      </c>
      <c r="D40" s="42"/>
      <c r="E40" s="34"/>
      <c r="F40" s="43"/>
      <c r="G40" s="10" t="s">
        <v>19</v>
      </c>
      <c r="H40" s="47">
        <v>0</v>
      </c>
      <c r="I40" s="223">
        <f>H40/H50</f>
        <v>0</v>
      </c>
      <c r="J40" s="284" t="s">
        <v>168</v>
      </c>
      <c r="K40" s="201"/>
      <c r="L40" s="196"/>
      <c r="M40" s="36"/>
      <c r="N40" s="83"/>
      <c r="O40" s="84"/>
      <c r="P40" s="85"/>
      <c r="Q40" s="36"/>
      <c r="R40" s="36"/>
      <c r="S40" s="36"/>
      <c r="T40" s="36"/>
      <c r="U40" s="36"/>
      <c r="V40" s="36"/>
      <c r="W40" s="36"/>
      <c r="X40" s="36"/>
      <c r="Y40" s="36"/>
      <c r="Z40" s="36"/>
      <c r="AA40" s="36"/>
      <c r="AB40" s="36"/>
      <c r="AC40" s="36"/>
      <c r="AD40" s="36"/>
      <c r="AE40" s="37"/>
      <c r="AF40" s="37"/>
      <c r="AG40" s="37"/>
      <c r="AH40" s="37"/>
      <c r="AI40" s="37"/>
    </row>
    <row r="41" spans="1:38" ht="14.1" customHeight="1" x14ac:dyDescent="0.2">
      <c r="A41" s="18" t="s">
        <v>165</v>
      </c>
      <c r="B41" s="17">
        <f>B38-B40</f>
        <v>22573.448000000004</v>
      </c>
      <c r="C41" s="214">
        <f>B41/B38</f>
        <v>0.44553092384696769</v>
      </c>
      <c r="D41" s="42"/>
      <c r="E41" s="34"/>
      <c r="F41" s="43"/>
      <c r="G41" s="10" t="s">
        <v>20</v>
      </c>
      <c r="H41" s="47">
        <v>0</v>
      </c>
      <c r="I41" s="223">
        <f>H41/H50</f>
        <v>0</v>
      </c>
      <c r="J41" s="284" t="s">
        <v>169</v>
      </c>
      <c r="K41" s="201"/>
      <c r="L41" s="36"/>
      <c r="M41" s="36"/>
      <c r="N41" s="83"/>
      <c r="O41" s="84"/>
      <c r="P41" s="85"/>
      <c r="Q41" s="36"/>
      <c r="R41" s="36"/>
      <c r="S41" s="36"/>
      <c r="T41" s="36"/>
      <c r="U41" s="36"/>
      <c r="V41" s="36"/>
      <c r="W41" s="36"/>
      <c r="X41" s="36"/>
      <c r="Y41" s="36"/>
      <c r="Z41" s="36"/>
      <c r="AA41" s="36"/>
      <c r="AB41" s="36"/>
      <c r="AC41" s="36"/>
      <c r="AD41" s="36"/>
      <c r="AE41" s="37"/>
      <c r="AF41" s="37"/>
      <c r="AG41" s="37"/>
      <c r="AH41" s="37"/>
      <c r="AI41" s="37"/>
    </row>
    <row r="42" spans="1:38" ht="14.1" customHeight="1" x14ac:dyDescent="0.2">
      <c r="A42" s="33" t="s">
        <v>35</v>
      </c>
      <c r="B42" s="17">
        <f>'Financement avec SCHL'!D28+'Financement avec SCHL'!E28</f>
        <v>30780.015990401065</v>
      </c>
      <c r="C42" s="214">
        <f>B42/B38</f>
        <v>0.6075035129869315</v>
      </c>
      <c r="D42" s="42"/>
      <c r="E42" s="34"/>
      <c r="F42" s="43"/>
      <c r="G42" s="10" t="s">
        <v>21</v>
      </c>
      <c r="H42" s="47">
        <v>0</v>
      </c>
      <c r="I42" s="223">
        <f>H42/H50</f>
        <v>0</v>
      </c>
      <c r="J42" s="284" t="s">
        <v>168</v>
      </c>
      <c r="K42" s="201"/>
      <c r="L42" s="36"/>
      <c r="M42" s="36"/>
      <c r="N42" s="83"/>
      <c r="O42" s="84"/>
      <c r="P42" s="85"/>
      <c r="Q42" s="36"/>
      <c r="R42" s="36"/>
      <c r="S42" s="36"/>
      <c r="T42" s="36"/>
      <c r="U42" s="36"/>
      <c r="V42" s="36"/>
      <c r="W42" s="36"/>
      <c r="X42" s="36"/>
      <c r="Y42" s="36"/>
      <c r="Z42" s="36"/>
      <c r="AA42" s="36"/>
      <c r="AB42" s="36"/>
      <c r="AC42" s="36"/>
      <c r="AD42" s="36"/>
      <c r="AE42" s="37"/>
      <c r="AF42" s="37"/>
      <c r="AG42" s="37"/>
      <c r="AH42" s="37"/>
      <c r="AI42" s="37"/>
      <c r="AJ42" s="2"/>
      <c r="AK42" s="2"/>
      <c r="AL42" s="2"/>
    </row>
    <row r="43" spans="1:38" ht="14.1" customHeight="1" x14ac:dyDescent="0.2">
      <c r="A43" s="185" t="s">
        <v>280</v>
      </c>
      <c r="B43" s="17">
        <f>B44/B24</f>
        <v>-113.98011097779251</v>
      </c>
      <c r="C43" s="214">
        <f>C44/12</f>
        <v>-3.3278864519063512E-4</v>
      </c>
      <c r="D43" s="42"/>
      <c r="E43" s="34"/>
      <c r="F43" s="43"/>
      <c r="G43" s="10" t="s">
        <v>72</v>
      </c>
      <c r="H43" s="47">
        <v>0</v>
      </c>
      <c r="I43" s="223">
        <f>H43/H50</f>
        <v>0</v>
      </c>
      <c r="J43" s="284" t="s">
        <v>168</v>
      </c>
      <c r="K43" s="201"/>
      <c r="L43" s="36"/>
      <c r="M43" s="38"/>
      <c r="N43" s="86"/>
      <c r="O43" s="84"/>
      <c r="P43" s="87"/>
      <c r="Q43" s="38"/>
      <c r="R43" s="38"/>
      <c r="S43" s="38"/>
      <c r="T43" s="38"/>
      <c r="U43" s="38"/>
      <c r="V43" s="38"/>
      <c r="W43" s="38"/>
      <c r="X43" s="38"/>
      <c r="Y43" s="38"/>
      <c r="Z43" s="38"/>
      <c r="AA43" s="38"/>
      <c r="AB43" s="38"/>
      <c r="AC43" s="38"/>
      <c r="AD43" s="38"/>
      <c r="AE43" s="38"/>
      <c r="AF43" s="38"/>
      <c r="AG43" s="38"/>
      <c r="AH43" s="38"/>
      <c r="AI43" s="38"/>
      <c r="AJ43" s="2"/>
      <c r="AK43" s="2"/>
      <c r="AL43" s="2"/>
    </row>
    <row r="44" spans="1:38" ht="14.1" customHeight="1" x14ac:dyDescent="0.2">
      <c r="A44" s="185" t="s">
        <v>261</v>
      </c>
      <c r="B44" s="17">
        <f>B45/12</f>
        <v>-683.88066586675507</v>
      </c>
      <c r="C44" s="214">
        <f>C45/12</f>
        <v>-3.9934637422876212E-3</v>
      </c>
      <c r="D44" s="42"/>
      <c r="E44" s="34"/>
      <c r="F44" s="43"/>
      <c r="G44" s="10" t="s">
        <v>73</v>
      </c>
      <c r="H44" s="47">
        <v>0</v>
      </c>
      <c r="I44" s="223">
        <f>H44/H50</f>
        <v>0</v>
      </c>
      <c r="J44" s="284" t="s">
        <v>168</v>
      </c>
      <c r="K44" s="201"/>
      <c r="L44" s="36"/>
      <c r="M44" s="38"/>
      <c r="N44" s="86"/>
      <c r="O44" s="84"/>
      <c r="P44" s="87"/>
      <c r="Q44" s="38"/>
      <c r="R44" s="38"/>
      <c r="S44" s="38"/>
      <c r="T44" s="38"/>
      <c r="U44" s="38"/>
      <c r="V44" s="38"/>
      <c r="W44" s="38"/>
      <c r="X44" s="38"/>
      <c r="Y44" s="38"/>
      <c r="Z44" s="38"/>
      <c r="AA44" s="38"/>
      <c r="AB44" s="38"/>
      <c r="AC44" s="38"/>
      <c r="AD44" s="38"/>
      <c r="AE44" s="38"/>
      <c r="AF44" s="38"/>
      <c r="AG44" s="38"/>
      <c r="AH44" s="38"/>
      <c r="AI44" s="38"/>
    </row>
    <row r="45" spans="1:38" ht="14.1" customHeight="1" x14ac:dyDescent="0.2">
      <c r="A45" s="18" t="s">
        <v>260</v>
      </c>
      <c r="B45" s="17">
        <f>B41-B42</f>
        <v>-8206.5679904010613</v>
      </c>
      <c r="C45" s="214">
        <f>B45/B18</f>
        <v>-4.7921564907451454E-2</v>
      </c>
      <c r="D45" s="62"/>
      <c r="E45" s="22"/>
      <c r="F45" s="22"/>
      <c r="G45" s="10" t="s">
        <v>74</v>
      </c>
      <c r="H45" s="47">
        <v>0</v>
      </c>
      <c r="I45" s="223">
        <f>H45/H50</f>
        <v>0</v>
      </c>
      <c r="J45" s="284" t="s">
        <v>168</v>
      </c>
      <c r="K45" s="201"/>
      <c r="L45" s="36"/>
      <c r="M45" s="38"/>
      <c r="N45" s="86"/>
      <c r="O45" s="84"/>
      <c r="P45" s="87"/>
      <c r="Q45" s="38"/>
      <c r="R45" s="38"/>
      <c r="S45" s="38"/>
      <c r="T45" s="38"/>
      <c r="U45" s="38"/>
      <c r="V45" s="38"/>
      <c r="W45" s="38"/>
      <c r="X45" s="38"/>
      <c r="Y45" s="38"/>
      <c r="Z45" s="38"/>
      <c r="AA45" s="38"/>
      <c r="AB45" s="38"/>
      <c r="AC45" s="38"/>
      <c r="AD45" s="38"/>
      <c r="AE45" s="38"/>
      <c r="AF45" s="38"/>
      <c r="AG45" s="38"/>
      <c r="AH45" s="38"/>
      <c r="AI45" s="38"/>
    </row>
    <row r="46" spans="1:38" ht="14.1" customHeight="1" x14ac:dyDescent="0.2">
      <c r="A46" s="34"/>
      <c r="B46" s="40"/>
      <c r="C46" s="14"/>
      <c r="D46" s="13"/>
      <c r="E46" s="13"/>
      <c r="F46" s="13"/>
      <c r="G46" s="10" t="s">
        <v>75</v>
      </c>
      <c r="H46" s="47">
        <v>0</v>
      </c>
      <c r="I46" s="223">
        <f>H46/H50</f>
        <v>0</v>
      </c>
      <c r="J46" s="284" t="s">
        <v>168</v>
      </c>
      <c r="K46" s="201"/>
      <c r="L46" s="36"/>
      <c r="M46" s="44"/>
      <c r="N46" s="88"/>
      <c r="O46" s="80"/>
      <c r="P46" s="89"/>
      <c r="Q46" s="44"/>
      <c r="R46" s="44"/>
      <c r="S46" s="44"/>
      <c r="T46" s="44"/>
      <c r="U46" s="44"/>
      <c r="V46" s="44"/>
      <c r="W46" s="44"/>
      <c r="X46" s="44"/>
      <c r="Y46" s="44"/>
      <c r="Z46" s="44"/>
      <c r="AA46" s="44"/>
      <c r="AB46" s="44"/>
      <c r="AC46" s="44"/>
      <c r="AD46" s="44"/>
      <c r="AE46" s="44"/>
      <c r="AF46" s="44"/>
      <c r="AG46" s="44"/>
      <c r="AH46" s="44"/>
      <c r="AI46" s="44"/>
    </row>
    <row r="47" spans="1:38" ht="14.1" customHeight="1" x14ac:dyDescent="0.2">
      <c r="A47" s="18" t="s">
        <v>1</v>
      </c>
      <c r="B47" s="193">
        <v>0</v>
      </c>
      <c r="C47" s="26"/>
      <c r="D47" s="102"/>
      <c r="E47" s="55"/>
      <c r="F47" s="13"/>
      <c r="G47" s="10" t="s">
        <v>70</v>
      </c>
      <c r="H47" s="47">
        <v>0</v>
      </c>
      <c r="I47" s="223">
        <f>H47/H50</f>
        <v>0</v>
      </c>
      <c r="J47" s="284" t="s">
        <v>168</v>
      </c>
      <c r="K47" s="201"/>
      <c r="L47" s="38"/>
      <c r="M47" s="44"/>
      <c r="N47" s="88"/>
      <c r="O47" s="80"/>
      <c r="P47" s="89"/>
      <c r="Q47" s="44"/>
      <c r="R47" s="44"/>
      <c r="S47" s="44"/>
      <c r="T47" s="44"/>
      <c r="U47" s="44"/>
      <c r="V47" s="44"/>
      <c r="W47" s="44"/>
      <c r="X47" s="44"/>
      <c r="Y47" s="44"/>
      <c r="Z47" s="44"/>
      <c r="AA47" s="44"/>
      <c r="AB47" s="44"/>
      <c r="AC47" s="44"/>
      <c r="AD47" s="44"/>
      <c r="AE47" s="44"/>
      <c r="AF47" s="44"/>
      <c r="AG47" s="44"/>
      <c r="AH47" s="44"/>
      <c r="AI47" s="44"/>
    </row>
    <row r="48" spans="1:38" ht="14.1" customHeight="1" x14ac:dyDescent="0.2">
      <c r="A48" s="18" t="s">
        <v>2</v>
      </c>
      <c r="B48" s="193">
        <v>793000</v>
      </c>
      <c r="C48" s="26"/>
      <c r="D48" s="42"/>
      <c r="E48" s="34"/>
      <c r="F48" s="96"/>
      <c r="G48" s="10" t="s">
        <v>69</v>
      </c>
      <c r="H48" s="47">
        <v>0</v>
      </c>
      <c r="I48" s="223">
        <f>H48/H50</f>
        <v>0</v>
      </c>
      <c r="J48" s="284" t="s">
        <v>168</v>
      </c>
      <c r="K48" s="199"/>
      <c r="L48" s="38"/>
    </row>
    <row r="49" spans="1:12" ht="14.1" customHeight="1" x14ac:dyDescent="0.2">
      <c r="A49" s="18" t="s">
        <v>38</v>
      </c>
      <c r="B49" s="32">
        <f>B47+B48</f>
        <v>793000</v>
      </c>
      <c r="C49" s="26"/>
      <c r="D49" s="42"/>
      <c r="E49" s="34"/>
      <c r="F49" s="97"/>
      <c r="G49" s="10" t="s">
        <v>71</v>
      </c>
      <c r="H49" s="47">
        <v>0</v>
      </c>
      <c r="I49" s="223">
        <f>H49/H50</f>
        <v>0</v>
      </c>
      <c r="J49" s="284" t="s">
        <v>168</v>
      </c>
      <c r="K49" s="199"/>
      <c r="L49" s="38"/>
    </row>
    <row r="50" spans="1:12" ht="14.1" customHeight="1" x14ac:dyDescent="0.2">
      <c r="A50" s="19" t="s">
        <v>43</v>
      </c>
      <c r="B50" s="216">
        <f>B48/(B47+B48)</f>
        <v>1</v>
      </c>
      <c r="C50" s="26"/>
      <c r="D50" s="42"/>
      <c r="E50" s="34"/>
      <c r="F50" s="97"/>
      <c r="G50" s="11" t="s">
        <v>32</v>
      </c>
      <c r="H50" s="12">
        <f>SUM(H34:H49)</f>
        <v>12679.775</v>
      </c>
      <c r="I50" s="283">
        <f>H50/H50</f>
        <v>1</v>
      </c>
      <c r="J50" s="285"/>
      <c r="K50" s="68"/>
      <c r="L50" s="44"/>
    </row>
    <row r="51" spans="1:12" ht="14.1" customHeight="1" x14ac:dyDescent="0.2">
      <c r="A51" s="192" t="s">
        <v>42</v>
      </c>
      <c r="B51" s="16">
        <f>B50*B16</f>
        <v>685000</v>
      </c>
      <c r="C51" s="41"/>
      <c r="D51" s="42"/>
      <c r="E51" s="34"/>
      <c r="F51" s="96"/>
      <c r="G51" s="34"/>
      <c r="H51" s="34"/>
      <c r="I51" s="34"/>
      <c r="J51" s="34"/>
      <c r="K51" s="68"/>
      <c r="L51" s="44"/>
    </row>
    <row r="52" spans="1:12" ht="14.1" customHeight="1" x14ac:dyDescent="0.2">
      <c r="A52" s="34"/>
      <c r="B52" s="40"/>
      <c r="C52" s="41"/>
      <c r="D52" s="42"/>
      <c r="E52" s="34"/>
      <c r="F52" s="96"/>
      <c r="G52" s="109" t="s">
        <v>163</v>
      </c>
      <c r="H52" s="109" t="s">
        <v>44</v>
      </c>
      <c r="I52" s="109" t="s">
        <v>48</v>
      </c>
      <c r="J52" s="110" t="s">
        <v>47</v>
      </c>
      <c r="K52" s="34"/>
    </row>
    <row r="53" spans="1:12" ht="14.1" customHeight="1" x14ac:dyDescent="0.2">
      <c r="A53" s="34"/>
      <c r="B53" s="40"/>
      <c r="C53" s="41"/>
      <c r="D53" s="42"/>
      <c r="E53" s="34"/>
      <c r="F53" s="96"/>
      <c r="G53" s="259" t="s">
        <v>140</v>
      </c>
      <c r="H53" s="260"/>
      <c r="I53" s="260"/>
      <c r="J53" s="261"/>
      <c r="K53" s="34"/>
    </row>
    <row r="54" spans="1:12" ht="14.1" customHeight="1" x14ac:dyDescent="0.2">
      <c r="A54" s="405" t="s">
        <v>123</v>
      </c>
      <c r="B54" s="406"/>
      <c r="C54" s="41"/>
      <c r="D54" s="42"/>
      <c r="E54" s="34"/>
      <c r="F54" s="96"/>
      <c r="G54" s="50" t="s">
        <v>141</v>
      </c>
      <c r="H54" s="48" t="s">
        <v>139</v>
      </c>
      <c r="I54" s="48">
        <v>0.05</v>
      </c>
      <c r="J54" s="49" t="s">
        <v>49</v>
      </c>
      <c r="K54" s="34"/>
    </row>
    <row r="55" spans="1:12" ht="14.1" customHeight="1" x14ac:dyDescent="0.2">
      <c r="A55" s="67" t="s">
        <v>122</v>
      </c>
      <c r="B55" s="56">
        <f>B48</f>
        <v>793000</v>
      </c>
      <c r="C55" s="103"/>
      <c r="D55" s="101" t="s">
        <v>121</v>
      </c>
      <c r="E55" s="99" t="s">
        <v>120</v>
      </c>
      <c r="F55" s="96"/>
      <c r="G55" s="50" t="s">
        <v>142</v>
      </c>
      <c r="H55" s="48" t="s">
        <v>139</v>
      </c>
      <c r="I55" s="48">
        <v>0.1</v>
      </c>
      <c r="J55" s="49" t="s">
        <v>49</v>
      </c>
      <c r="K55" s="34"/>
    </row>
    <row r="56" spans="1:12" ht="14.1" customHeight="1" x14ac:dyDescent="0.25">
      <c r="A56" s="100" t="s">
        <v>186</v>
      </c>
      <c r="B56" s="56">
        <f>B55*0.02</f>
        <v>15860</v>
      </c>
      <c r="C56" s="103"/>
      <c r="D56" s="94"/>
      <c r="E56" s="94">
        <f>B55-D56</f>
        <v>793000</v>
      </c>
      <c r="F56" s="96"/>
      <c r="G56" s="50" t="s">
        <v>143</v>
      </c>
      <c r="H56" s="48" t="s">
        <v>139</v>
      </c>
      <c r="I56" s="48">
        <v>0.1</v>
      </c>
      <c r="J56" s="49" t="s">
        <v>49</v>
      </c>
      <c r="K56" s="34"/>
    </row>
    <row r="57" spans="1:12" ht="14.1" customHeight="1" x14ac:dyDescent="0.25">
      <c r="A57" s="100" t="s">
        <v>187</v>
      </c>
      <c r="B57" s="56">
        <f t="shared" ref="B57:B87" si="0">E56*0.04</f>
        <v>31720</v>
      </c>
      <c r="C57" s="103"/>
      <c r="D57" s="94"/>
      <c r="E57" s="94">
        <f>E56-D57</f>
        <v>793000</v>
      </c>
      <c r="F57" s="96"/>
      <c r="G57" s="265" t="s">
        <v>156</v>
      </c>
      <c r="H57" s="266"/>
      <c r="I57" s="266"/>
      <c r="J57" s="267"/>
      <c r="K57" s="34"/>
    </row>
    <row r="58" spans="1:12" ht="14.1" customHeight="1" x14ac:dyDescent="0.25">
      <c r="A58" s="100" t="s">
        <v>188</v>
      </c>
      <c r="B58" s="56">
        <f t="shared" si="0"/>
        <v>31720</v>
      </c>
      <c r="C58" s="103"/>
      <c r="D58" s="94"/>
      <c r="E58" s="94">
        <f t="shared" ref="E58:E86" si="1">E57-D58</f>
        <v>793000</v>
      </c>
      <c r="F58" s="96"/>
      <c r="G58" s="268" t="s">
        <v>257</v>
      </c>
      <c r="H58" s="269"/>
      <c r="I58" s="269"/>
      <c r="J58" s="270"/>
      <c r="K58" s="34"/>
    </row>
    <row r="59" spans="1:12" ht="14.1" customHeight="1" x14ac:dyDescent="0.25">
      <c r="A59" s="100" t="s">
        <v>189</v>
      </c>
      <c r="B59" s="56">
        <f t="shared" si="0"/>
        <v>31720</v>
      </c>
      <c r="C59" s="103"/>
      <c r="D59" s="94"/>
      <c r="E59" s="94">
        <f t="shared" si="1"/>
        <v>793000</v>
      </c>
      <c r="F59" s="96"/>
      <c r="G59" s="271" t="s">
        <v>157</v>
      </c>
      <c r="H59" s="272"/>
      <c r="I59" s="272"/>
      <c r="J59" s="273"/>
      <c r="K59" s="202"/>
    </row>
    <row r="60" spans="1:12" ht="14.1" customHeight="1" x14ac:dyDescent="0.25">
      <c r="A60" s="100" t="s">
        <v>190</v>
      </c>
      <c r="B60" s="56">
        <f t="shared" si="0"/>
        <v>31720</v>
      </c>
      <c r="C60" s="103"/>
      <c r="D60" s="94"/>
      <c r="E60" s="94">
        <f t="shared" si="1"/>
        <v>793000</v>
      </c>
      <c r="F60" s="96"/>
      <c r="G60" s="50" t="s">
        <v>45</v>
      </c>
      <c r="H60" s="106" t="s">
        <v>145</v>
      </c>
      <c r="I60" s="48">
        <v>0.15</v>
      </c>
      <c r="J60" s="49" t="s">
        <v>276</v>
      </c>
      <c r="K60" s="203"/>
    </row>
    <row r="61" spans="1:12" ht="14.1" customHeight="1" x14ac:dyDescent="0.25">
      <c r="A61" s="100" t="s">
        <v>191</v>
      </c>
      <c r="B61" s="56">
        <f t="shared" si="0"/>
        <v>31720</v>
      </c>
      <c r="C61" s="103"/>
      <c r="D61" s="94"/>
      <c r="E61" s="94">
        <f t="shared" si="1"/>
        <v>793000</v>
      </c>
      <c r="F61" s="96"/>
      <c r="G61" s="262" t="s">
        <v>158</v>
      </c>
      <c r="H61" s="263"/>
      <c r="I61" s="263"/>
      <c r="J61" s="264"/>
      <c r="K61" s="204"/>
    </row>
    <row r="62" spans="1:12" ht="14.1" customHeight="1" x14ac:dyDescent="0.25">
      <c r="A62" s="100" t="s">
        <v>192</v>
      </c>
      <c r="B62" s="56">
        <f t="shared" si="0"/>
        <v>31720</v>
      </c>
      <c r="C62" s="103"/>
      <c r="D62" s="94"/>
      <c r="E62" s="94">
        <f t="shared" si="1"/>
        <v>793000</v>
      </c>
      <c r="F62" s="96"/>
      <c r="G62" s="50" t="s">
        <v>46</v>
      </c>
      <c r="H62" s="106" t="s">
        <v>145</v>
      </c>
      <c r="I62" s="48">
        <v>0.15</v>
      </c>
      <c r="J62" s="49" t="s">
        <v>276</v>
      </c>
      <c r="K62" s="204"/>
    </row>
    <row r="63" spans="1:12" ht="14.1" customHeight="1" x14ac:dyDescent="0.25">
      <c r="A63" s="100" t="s">
        <v>193</v>
      </c>
      <c r="B63" s="56">
        <f t="shared" si="0"/>
        <v>31720</v>
      </c>
      <c r="C63" s="103"/>
      <c r="D63" s="94"/>
      <c r="E63" s="94">
        <f t="shared" si="1"/>
        <v>793000</v>
      </c>
      <c r="F63" s="96"/>
      <c r="G63" s="274" t="s">
        <v>164</v>
      </c>
      <c r="H63" s="275"/>
      <c r="I63" s="275"/>
      <c r="J63" s="276"/>
      <c r="K63" s="204"/>
    </row>
    <row r="64" spans="1:12" ht="14.1" customHeight="1" x14ac:dyDescent="0.25">
      <c r="A64" s="100" t="s">
        <v>194</v>
      </c>
      <c r="B64" s="56">
        <f t="shared" si="0"/>
        <v>31720</v>
      </c>
      <c r="C64" s="103"/>
      <c r="D64" s="94"/>
      <c r="E64" s="94">
        <f t="shared" si="1"/>
        <v>793000</v>
      </c>
      <c r="F64" s="96"/>
      <c r="G64" s="34"/>
      <c r="H64" s="34"/>
      <c r="I64" s="34"/>
      <c r="J64" s="34"/>
      <c r="K64" s="108"/>
    </row>
    <row r="65" spans="1:15" ht="14.1" customHeight="1" x14ac:dyDescent="0.25">
      <c r="A65" s="100" t="s">
        <v>195</v>
      </c>
      <c r="B65" s="56">
        <f t="shared" si="0"/>
        <v>31720</v>
      </c>
      <c r="C65" s="103"/>
      <c r="D65" s="94"/>
      <c r="E65" s="94">
        <f t="shared" si="1"/>
        <v>793000</v>
      </c>
      <c r="F65" s="96"/>
      <c r="G65" s="259" t="s">
        <v>144</v>
      </c>
      <c r="H65" s="260"/>
      <c r="I65" s="260"/>
      <c r="J65" s="261"/>
      <c r="K65" s="108"/>
      <c r="M65" s="107"/>
      <c r="N65" s="107"/>
      <c r="O65" s="107"/>
    </row>
    <row r="66" spans="1:15" ht="14.1" customHeight="1" x14ac:dyDescent="0.25">
      <c r="A66" s="100" t="s">
        <v>196</v>
      </c>
      <c r="B66" s="56">
        <f t="shared" si="0"/>
        <v>31720</v>
      </c>
      <c r="C66" s="103"/>
      <c r="D66" s="94"/>
      <c r="E66" s="94">
        <f t="shared" si="1"/>
        <v>793000</v>
      </c>
      <c r="F66" s="96"/>
      <c r="G66" s="50" t="s">
        <v>141</v>
      </c>
      <c r="H66" s="53" t="s">
        <v>139</v>
      </c>
      <c r="I66" s="221">
        <v>0.2</v>
      </c>
      <c r="J66" s="54" t="s">
        <v>49</v>
      </c>
      <c r="K66" s="108"/>
      <c r="M66" s="107"/>
      <c r="N66" s="107"/>
      <c r="O66" s="107"/>
    </row>
    <row r="67" spans="1:15" ht="14.1" customHeight="1" x14ac:dyDescent="0.25">
      <c r="A67" s="100" t="s">
        <v>197</v>
      </c>
      <c r="B67" s="56">
        <f t="shared" si="0"/>
        <v>31720</v>
      </c>
      <c r="C67" s="103"/>
      <c r="D67" s="94"/>
      <c r="E67" s="94">
        <f t="shared" si="1"/>
        <v>793000</v>
      </c>
      <c r="F67" s="96"/>
      <c r="G67" s="50" t="s">
        <v>142</v>
      </c>
      <c r="H67" s="53" t="s">
        <v>139</v>
      </c>
      <c r="I67" s="221">
        <v>0.2</v>
      </c>
      <c r="J67" s="54" t="s">
        <v>49</v>
      </c>
      <c r="K67" s="204"/>
      <c r="M67" s="107"/>
      <c r="N67" s="107"/>
      <c r="O67" s="107"/>
    </row>
    <row r="68" spans="1:15" ht="14.1" customHeight="1" x14ac:dyDescent="0.25">
      <c r="A68" s="100" t="s">
        <v>198</v>
      </c>
      <c r="B68" s="56">
        <f t="shared" si="0"/>
        <v>31720</v>
      </c>
      <c r="C68" s="103"/>
      <c r="D68" s="94"/>
      <c r="E68" s="94">
        <f t="shared" si="1"/>
        <v>793000</v>
      </c>
      <c r="F68" s="96"/>
      <c r="G68" s="50" t="s">
        <v>143</v>
      </c>
      <c r="H68" s="48" t="s">
        <v>139</v>
      </c>
      <c r="I68" s="221">
        <v>0.2</v>
      </c>
      <c r="J68" s="49" t="s">
        <v>49</v>
      </c>
      <c r="K68" s="205"/>
      <c r="M68" s="107"/>
      <c r="N68" s="107"/>
      <c r="O68" s="107"/>
    </row>
    <row r="69" spans="1:15" ht="14.1" customHeight="1" x14ac:dyDescent="0.25">
      <c r="A69" s="100" t="s">
        <v>199</v>
      </c>
      <c r="B69" s="56">
        <f t="shared" si="0"/>
        <v>31720</v>
      </c>
      <c r="C69" s="103"/>
      <c r="D69" s="94"/>
      <c r="E69" s="94">
        <f t="shared" si="1"/>
        <v>793000</v>
      </c>
      <c r="F69" s="96"/>
      <c r="G69" s="265" t="s">
        <v>156</v>
      </c>
      <c r="H69" s="266"/>
      <c r="I69" s="266"/>
      <c r="J69" s="267"/>
      <c r="K69" s="204"/>
      <c r="L69" s="197"/>
    </row>
    <row r="70" spans="1:15" ht="14.1" customHeight="1" x14ac:dyDescent="0.25">
      <c r="A70" s="100" t="s">
        <v>200</v>
      </c>
      <c r="B70" s="56">
        <f t="shared" si="0"/>
        <v>31720</v>
      </c>
      <c r="C70" s="103"/>
      <c r="D70" s="94"/>
      <c r="E70" s="94">
        <f t="shared" si="1"/>
        <v>793000</v>
      </c>
      <c r="F70" s="96"/>
      <c r="G70" s="268" t="s">
        <v>257</v>
      </c>
      <c r="H70" s="269"/>
      <c r="I70" s="269"/>
      <c r="J70" s="270"/>
      <c r="K70" s="205"/>
      <c r="L70" s="197"/>
    </row>
    <row r="71" spans="1:15" ht="14.1" customHeight="1" x14ac:dyDescent="0.25">
      <c r="A71" s="100" t="s">
        <v>201</v>
      </c>
      <c r="B71" s="56">
        <f t="shared" si="0"/>
        <v>31720</v>
      </c>
      <c r="C71" s="103"/>
      <c r="D71" s="94"/>
      <c r="E71" s="94">
        <f t="shared" si="1"/>
        <v>793000</v>
      </c>
      <c r="F71" s="96"/>
      <c r="G71" s="271" t="s">
        <v>157</v>
      </c>
      <c r="H71" s="272"/>
      <c r="I71" s="272"/>
      <c r="J71" s="273"/>
      <c r="K71" s="34"/>
      <c r="L71" s="197"/>
    </row>
    <row r="72" spans="1:15" ht="14.1" customHeight="1" x14ac:dyDescent="0.25">
      <c r="A72" s="100" t="s">
        <v>202</v>
      </c>
      <c r="B72" s="56">
        <f t="shared" si="0"/>
        <v>31720</v>
      </c>
      <c r="C72" s="103"/>
      <c r="D72" s="94"/>
      <c r="E72" s="94">
        <f t="shared" si="1"/>
        <v>793000</v>
      </c>
      <c r="F72" s="96"/>
      <c r="G72" s="50" t="s">
        <v>45</v>
      </c>
      <c r="H72" s="48" t="s">
        <v>145</v>
      </c>
      <c r="I72" s="221">
        <v>0.25</v>
      </c>
      <c r="J72" s="49" t="s">
        <v>49</v>
      </c>
      <c r="K72" s="203"/>
      <c r="L72" s="197"/>
    </row>
    <row r="73" spans="1:15" ht="14.1" customHeight="1" x14ac:dyDescent="0.25">
      <c r="A73" s="100" t="s">
        <v>203</v>
      </c>
      <c r="B73" s="56">
        <f t="shared" si="0"/>
        <v>31720</v>
      </c>
      <c r="C73" s="103"/>
      <c r="D73" s="94"/>
      <c r="E73" s="94">
        <f t="shared" si="1"/>
        <v>793000</v>
      </c>
      <c r="F73" s="96"/>
      <c r="G73" s="274" t="s">
        <v>164</v>
      </c>
      <c r="H73" s="275"/>
      <c r="I73" s="275"/>
      <c r="J73" s="276"/>
      <c r="K73" s="204"/>
    </row>
    <row r="74" spans="1:15" ht="14.1" customHeight="1" x14ac:dyDescent="0.25">
      <c r="A74" s="100" t="s">
        <v>204</v>
      </c>
      <c r="B74" s="56">
        <f t="shared" si="0"/>
        <v>31720</v>
      </c>
      <c r="C74" s="103"/>
      <c r="D74" s="94"/>
      <c r="E74" s="94">
        <f t="shared" si="1"/>
        <v>793000</v>
      </c>
      <c r="F74" s="96"/>
      <c r="G74" s="50" t="s">
        <v>46</v>
      </c>
      <c r="H74" s="106" t="s">
        <v>145</v>
      </c>
      <c r="I74" s="48">
        <v>0.15</v>
      </c>
      <c r="J74" s="49" t="s">
        <v>276</v>
      </c>
      <c r="K74" s="204"/>
    </row>
    <row r="75" spans="1:15" ht="14.1" customHeight="1" x14ac:dyDescent="0.25">
      <c r="A75" s="100" t="s">
        <v>205</v>
      </c>
      <c r="B75" s="56">
        <f t="shared" si="0"/>
        <v>31720</v>
      </c>
      <c r="C75" s="103"/>
      <c r="D75" s="94"/>
      <c r="E75" s="94">
        <f t="shared" si="1"/>
        <v>793000</v>
      </c>
      <c r="F75" s="96"/>
      <c r="G75" s="274" t="s">
        <v>164</v>
      </c>
      <c r="H75" s="275"/>
      <c r="I75" s="275"/>
      <c r="J75" s="276"/>
      <c r="K75" s="204"/>
    </row>
    <row r="76" spans="1:15" ht="14.1" customHeight="1" x14ac:dyDescent="0.25">
      <c r="A76" s="100" t="s">
        <v>206</v>
      </c>
      <c r="B76" s="56">
        <f t="shared" si="0"/>
        <v>31720</v>
      </c>
      <c r="C76" s="103"/>
      <c r="D76" s="94"/>
      <c r="E76" s="94">
        <f t="shared" si="1"/>
        <v>793000</v>
      </c>
      <c r="F76" s="96"/>
      <c r="G76" s="34"/>
      <c r="H76" s="34"/>
      <c r="I76" s="34"/>
      <c r="J76" s="34"/>
      <c r="K76" s="108"/>
    </row>
    <row r="77" spans="1:15" ht="14.1" customHeight="1" x14ac:dyDescent="0.25">
      <c r="A77" s="100" t="s">
        <v>207</v>
      </c>
      <c r="B77" s="56">
        <f t="shared" si="0"/>
        <v>31720</v>
      </c>
      <c r="C77" s="103"/>
      <c r="D77" s="94"/>
      <c r="E77" s="94">
        <f t="shared" si="1"/>
        <v>793000</v>
      </c>
      <c r="F77" s="96"/>
      <c r="G77" s="111" t="s">
        <v>163</v>
      </c>
      <c r="H77" s="111" t="s">
        <v>44</v>
      </c>
      <c r="I77" s="111" t="s">
        <v>48</v>
      </c>
      <c r="J77" s="112" t="s">
        <v>47</v>
      </c>
      <c r="K77" s="108"/>
    </row>
    <row r="78" spans="1:15" ht="14.1" customHeight="1" x14ac:dyDescent="0.25">
      <c r="A78" s="100" t="s">
        <v>208</v>
      </c>
      <c r="B78" s="56">
        <f t="shared" si="0"/>
        <v>31720</v>
      </c>
      <c r="C78" s="103"/>
      <c r="D78" s="94"/>
      <c r="E78" s="94">
        <f t="shared" si="1"/>
        <v>793000</v>
      </c>
      <c r="F78" s="96"/>
      <c r="G78" s="259" t="s">
        <v>146</v>
      </c>
      <c r="H78" s="260"/>
      <c r="I78" s="260"/>
      <c r="J78" s="261"/>
      <c r="K78" s="108"/>
    </row>
    <row r="79" spans="1:15" ht="14.1" customHeight="1" x14ac:dyDescent="0.25">
      <c r="A79" s="100" t="s">
        <v>209</v>
      </c>
      <c r="B79" s="56">
        <f t="shared" si="0"/>
        <v>31720</v>
      </c>
      <c r="C79" s="103"/>
      <c r="D79" s="94"/>
      <c r="E79" s="94">
        <f t="shared" si="1"/>
        <v>793000</v>
      </c>
      <c r="F79" s="96"/>
      <c r="G79" s="50" t="s">
        <v>141</v>
      </c>
      <c r="H79" s="48" t="s">
        <v>139</v>
      </c>
      <c r="I79" s="48">
        <v>0.2</v>
      </c>
      <c r="J79" s="49" t="s">
        <v>277</v>
      </c>
      <c r="K79" s="204"/>
    </row>
    <row r="80" spans="1:15" ht="14.1" customHeight="1" x14ac:dyDescent="0.25">
      <c r="A80" s="100" t="s">
        <v>210</v>
      </c>
      <c r="B80" s="56">
        <f t="shared" si="0"/>
        <v>31720</v>
      </c>
      <c r="C80" s="103"/>
      <c r="D80" s="94"/>
      <c r="E80" s="94">
        <f t="shared" si="1"/>
        <v>793000</v>
      </c>
      <c r="F80" s="96"/>
      <c r="G80" s="50" t="s">
        <v>142</v>
      </c>
      <c r="H80" s="48" t="s">
        <v>139</v>
      </c>
      <c r="I80" s="48">
        <v>0.2</v>
      </c>
      <c r="J80" s="49" t="s">
        <v>277</v>
      </c>
      <c r="K80" s="108"/>
    </row>
    <row r="81" spans="1:15" ht="14.1" customHeight="1" x14ac:dyDescent="0.25">
      <c r="A81" s="100" t="s">
        <v>211</v>
      </c>
      <c r="B81" s="56">
        <f t="shared" si="0"/>
        <v>31720</v>
      </c>
      <c r="C81" s="103"/>
      <c r="D81" s="94"/>
      <c r="E81" s="94">
        <f t="shared" si="1"/>
        <v>793000</v>
      </c>
      <c r="F81" s="95"/>
      <c r="G81" s="50" t="s">
        <v>143</v>
      </c>
      <c r="H81" s="48" t="s">
        <v>139</v>
      </c>
      <c r="I81" s="48">
        <v>0.2</v>
      </c>
      <c r="J81" s="49" t="s">
        <v>277</v>
      </c>
      <c r="K81" s="204"/>
    </row>
    <row r="82" spans="1:15" ht="14.1" customHeight="1" x14ac:dyDescent="0.25">
      <c r="A82" s="100" t="s">
        <v>212</v>
      </c>
      <c r="B82" s="56">
        <f t="shared" si="0"/>
        <v>31720</v>
      </c>
      <c r="C82" s="103"/>
      <c r="D82" s="94"/>
      <c r="E82" s="94">
        <f t="shared" si="1"/>
        <v>793000</v>
      </c>
      <c r="F82" s="43"/>
      <c r="G82" s="265" t="s">
        <v>156</v>
      </c>
      <c r="H82" s="266"/>
      <c r="I82" s="266"/>
      <c r="J82" s="267"/>
      <c r="K82" s="205"/>
    </row>
    <row r="83" spans="1:15" ht="14.1" customHeight="1" x14ac:dyDescent="0.25">
      <c r="A83" s="100" t="s">
        <v>213</v>
      </c>
      <c r="B83" s="56">
        <f t="shared" si="0"/>
        <v>31720</v>
      </c>
      <c r="C83" s="103"/>
      <c r="D83" s="94"/>
      <c r="E83" s="94">
        <f t="shared" si="1"/>
        <v>793000</v>
      </c>
      <c r="F83" s="43"/>
      <c r="G83" s="268" t="s">
        <v>257</v>
      </c>
      <c r="H83" s="269"/>
      <c r="I83" s="269"/>
      <c r="J83" s="270"/>
      <c r="K83" s="34"/>
    </row>
    <row r="84" spans="1:15" ht="14.1" customHeight="1" x14ac:dyDescent="0.25">
      <c r="A84" s="100" t="s">
        <v>214</v>
      </c>
      <c r="B84" s="56">
        <f t="shared" si="0"/>
        <v>31720</v>
      </c>
      <c r="C84" s="103"/>
      <c r="D84" s="94"/>
      <c r="E84" s="94">
        <f t="shared" si="1"/>
        <v>793000</v>
      </c>
      <c r="F84" s="43"/>
      <c r="G84" s="271" t="s">
        <v>157</v>
      </c>
      <c r="H84" s="272"/>
      <c r="I84" s="272"/>
      <c r="J84" s="273"/>
      <c r="K84" s="202"/>
    </row>
    <row r="85" spans="1:15" ht="14.1" customHeight="1" x14ac:dyDescent="0.25">
      <c r="A85" s="100" t="s">
        <v>215</v>
      </c>
      <c r="B85" s="56">
        <f t="shared" si="0"/>
        <v>31720</v>
      </c>
      <c r="C85" s="103"/>
      <c r="D85" s="94"/>
      <c r="E85" s="94">
        <f t="shared" si="1"/>
        <v>793000</v>
      </c>
      <c r="F85" s="43"/>
      <c r="G85" s="50" t="s">
        <v>45</v>
      </c>
      <c r="H85" s="106" t="s">
        <v>145</v>
      </c>
      <c r="I85" s="48">
        <v>0.25</v>
      </c>
      <c r="J85" s="49" t="s">
        <v>49</v>
      </c>
      <c r="K85" s="203"/>
    </row>
    <row r="86" spans="1:15" ht="14.1" customHeight="1" x14ac:dyDescent="0.25">
      <c r="A86" s="100" t="s">
        <v>216</v>
      </c>
      <c r="B86" s="56">
        <f t="shared" si="0"/>
        <v>31720</v>
      </c>
      <c r="C86" s="103"/>
      <c r="D86" s="94"/>
      <c r="E86" s="94">
        <f t="shared" si="1"/>
        <v>793000</v>
      </c>
      <c r="F86" s="43"/>
      <c r="G86" s="262" t="s">
        <v>158</v>
      </c>
      <c r="H86" s="263"/>
      <c r="I86" s="263"/>
      <c r="J86" s="264"/>
      <c r="K86" s="204"/>
    </row>
    <row r="87" spans="1:15" ht="14.1" customHeight="1" x14ac:dyDescent="0.2">
      <c r="A87" s="67" t="s">
        <v>57</v>
      </c>
      <c r="B87" s="56">
        <f t="shared" si="0"/>
        <v>31720</v>
      </c>
      <c r="C87" s="105"/>
      <c r="D87" s="98">
        <f>SUM(D56:D86)</f>
        <v>0</v>
      </c>
      <c r="E87" s="95"/>
      <c r="F87" s="43"/>
      <c r="G87" s="50" t="s">
        <v>46</v>
      </c>
      <c r="H87" s="106" t="s">
        <v>145</v>
      </c>
      <c r="I87" s="48">
        <v>0.25</v>
      </c>
      <c r="J87" s="49" t="s">
        <v>49</v>
      </c>
      <c r="K87" s="204"/>
    </row>
    <row r="88" spans="1:15" ht="14.1" customHeight="1" x14ac:dyDescent="0.2">
      <c r="A88" s="34"/>
      <c r="B88" s="40"/>
      <c r="C88" s="41"/>
      <c r="D88" s="42"/>
      <c r="E88" s="34"/>
      <c r="F88" s="225"/>
      <c r="G88" s="274" t="s">
        <v>164</v>
      </c>
      <c r="H88" s="275"/>
      <c r="I88" s="275"/>
      <c r="J88" s="276"/>
      <c r="K88" s="204"/>
    </row>
    <row r="89" spans="1:15" ht="14.1" customHeight="1" x14ac:dyDescent="0.2">
      <c r="A89" s="34"/>
      <c r="B89" s="40"/>
      <c r="C89" s="41"/>
      <c r="D89" s="42"/>
      <c r="E89" s="34"/>
      <c r="F89" s="225"/>
      <c r="G89" s="34"/>
      <c r="H89" s="34"/>
      <c r="I89" s="34"/>
      <c r="J89" s="34"/>
      <c r="K89" s="108"/>
    </row>
    <row r="90" spans="1:15" ht="14.1" customHeight="1" x14ac:dyDescent="0.2">
      <c r="A90" s="34"/>
      <c r="B90" s="40"/>
      <c r="C90" s="41"/>
      <c r="D90" s="42"/>
      <c r="E90" s="34"/>
      <c r="F90" s="225"/>
      <c r="G90" s="259" t="s">
        <v>147</v>
      </c>
      <c r="H90" s="260"/>
      <c r="I90" s="260"/>
      <c r="J90" s="261"/>
      <c r="K90" s="108"/>
    </row>
    <row r="91" spans="1:15" ht="14.1" customHeight="1" x14ac:dyDescent="0.2">
      <c r="A91" s="34"/>
      <c r="B91" s="40"/>
      <c r="C91" s="41"/>
      <c r="D91" s="42"/>
      <c r="E91" s="34"/>
      <c r="F91" s="225"/>
      <c r="G91" s="50" t="s">
        <v>141</v>
      </c>
      <c r="H91" s="53" t="s">
        <v>139</v>
      </c>
      <c r="I91" s="53">
        <v>0.2</v>
      </c>
      <c r="J91" s="54" t="s">
        <v>49</v>
      </c>
      <c r="K91" s="108"/>
      <c r="M91" s="20"/>
      <c r="N91" s="20"/>
      <c r="O91" s="20"/>
    </row>
    <row r="92" spans="1:15" ht="14.1" customHeight="1" x14ac:dyDescent="0.2">
      <c r="A92" s="34"/>
      <c r="B92" s="229" t="s">
        <v>51</v>
      </c>
      <c r="C92" s="41"/>
      <c r="D92" s="42"/>
      <c r="E92" s="34"/>
      <c r="F92" s="225"/>
      <c r="G92" s="50" t="s">
        <v>142</v>
      </c>
      <c r="H92" s="53" t="s">
        <v>139</v>
      </c>
      <c r="I92" s="53">
        <v>0.2</v>
      </c>
      <c r="J92" s="54" t="s">
        <v>49</v>
      </c>
      <c r="K92" s="204"/>
    </row>
    <row r="93" spans="1:15" ht="14.1" customHeight="1" x14ac:dyDescent="0.2">
      <c r="A93" s="34"/>
      <c r="B93" s="433"/>
      <c r="C93" s="41"/>
      <c r="D93" s="42"/>
      <c r="E93" s="34"/>
      <c r="F93" s="225"/>
      <c r="G93" s="50" t="s">
        <v>143</v>
      </c>
      <c r="H93" s="48" t="s">
        <v>139</v>
      </c>
      <c r="I93" s="48">
        <v>0.2</v>
      </c>
      <c r="J93" s="49" t="s">
        <v>49</v>
      </c>
      <c r="K93" s="108"/>
    </row>
    <row r="94" spans="1:15" ht="14.1" customHeight="1" x14ac:dyDescent="0.2">
      <c r="A94" s="34"/>
      <c r="B94" s="229" t="s">
        <v>263</v>
      </c>
      <c r="C94" s="41"/>
      <c r="D94" s="42"/>
      <c r="E94" s="34"/>
      <c r="F94" s="225"/>
      <c r="G94" s="265" t="s">
        <v>156</v>
      </c>
      <c r="H94" s="266"/>
      <c r="I94" s="266"/>
      <c r="J94" s="267"/>
      <c r="K94" s="204"/>
    </row>
    <row r="95" spans="1:15" ht="14.1" customHeight="1" x14ac:dyDescent="0.2">
      <c r="A95" s="34"/>
      <c r="B95" s="40"/>
      <c r="C95" s="41"/>
      <c r="D95" s="42"/>
      <c r="E95" s="34"/>
      <c r="F95" s="225"/>
      <c r="G95" s="268" t="s">
        <v>257</v>
      </c>
      <c r="H95" s="269"/>
      <c r="I95" s="269"/>
      <c r="J95" s="270"/>
      <c r="K95" s="205"/>
    </row>
    <row r="96" spans="1:15" ht="14.1" customHeight="1" x14ac:dyDescent="0.2">
      <c r="A96" s="34"/>
      <c r="B96" s="40"/>
      <c r="C96" s="41"/>
      <c r="D96" s="42"/>
      <c r="E96" s="34"/>
      <c r="F96" s="225"/>
      <c r="G96" s="271" t="s">
        <v>157</v>
      </c>
      <c r="H96" s="272"/>
      <c r="I96" s="272"/>
      <c r="J96" s="273"/>
      <c r="K96" s="34"/>
    </row>
    <row r="97" spans="1:11" ht="14.1" customHeight="1" x14ac:dyDescent="0.2">
      <c r="A97" s="34"/>
      <c r="B97" s="40"/>
      <c r="C97" s="41"/>
      <c r="D97" s="42"/>
      <c r="E97" s="34"/>
      <c r="F97" s="225"/>
      <c r="G97" s="50" t="s">
        <v>45</v>
      </c>
      <c r="H97" s="106" t="s">
        <v>145</v>
      </c>
      <c r="I97" s="48">
        <v>0.25</v>
      </c>
      <c r="J97" s="49" t="s">
        <v>49</v>
      </c>
      <c r="K97" s="203"/>
    </row>
    <row r="98" spans="1:11" ht="14.1" customHeight="1" x14ac:dyDescent="0.2">
      <c r="A98" s="34"/>
      <c r="B98" s="40"/>
      <c r="C98" s="41"/>
      <c r="D98" s="42"/>
      <c r="E98" s="34"/>
      <c r="F98" s="225"/>
      <c r="G98" s="262" t="s">
        <v>158</v>
      </c>
      <c r="H98" s="263"/>
      <c r="I98" s="263"/>
      <c r="J98" s="264"/>
      <c r="K98" s="204"/>
    </row>
    <row r="99" spans="1:11" ht="14.1" customHeight="1" x14ac:dyDescent="0.2">
      <c r="A99" s="34"/>
      <c r="B99" s="40"/>
      <c r="C99" s="41"/>
      <c r="D99" s="42"/>
      <c r="E99" s="34"/>
      <c r="F99" s="225"/>
      <c r="G99" s="50" t="s">
        <v>46</v>
      </c>
      <c r="H99" s="106" t="s">
        <v>145</v>
      </c>
      <c r="I99" s="48">
        <v>0.25</v>
      </c>
      <c r="J99" s="49" t="s">
        <v>49</v>
      </c>
      <c r="K99" s="204"/>
    </row>
    <row r="100" spans="1:11" ht="14.1" customHeight="1" x14ac:dyDescent="0.2">
      <c r="A100" s="34"/>
      <c r="B100" s="40"/>
      <c r="C100" s="41"/>
      <c r="D100" s="42"/>
      <c r="E100" s="34"/>
      <c r="F100" s="225"/>
      <c r="G100" s="274" t="s">
        <v>164</v>
      </c>
      <c r="H100" s="275"/>
      <c r="I100" s="275"/>
      <c r="J100" s="276"/>
      <c r="K100" s="204"/>
    </row>
    <row r="101" spans="1:11" ht="14.1" customHeight="1" x14ac:dyDescent="0.2">
      <c r="A101" s="34"/>
      <c r="B101" s="40"/>
      <c r="C101" s="41"/>
      <c r="D101" s="42"/>
      <c r="E101" s="34"/>
      <c r="F101" s="225"/>
      <c r="G101" s="34"/>
      <c r="H101" s="34"/>
      <c r="I101" s="34"/>
      <c r="J101" s="34"/>
      <c r="K101" s="108"/>
    </row>
    <row r="102" spans="1:11" ht="14.1" customHeight="1" x14ac:dyDescent="0.2">
      <c r="A102" s="34"/>
      <c r="B102" s="40"/>
      <c r="C102" s="41"/>
      <c r="D102" s="42"/>
      <c r="E102" s="34"/>
      <c r="F102" s="225"/>
      <c r="G102" s="289"/>
      <c r="H102" s="291"/>
      <c r="I102" s="290"/>
      <c r="J102" s="204"/>
      <c r="K102" s="108"/>
    </row>
    <row r="103" spans="1:11" ht="14.1" customHeight="1" x14ac:dyDescent="0.2">
      <c r="A103" s="34"/>
      <c r="B103" s="40"/>
      <c r="C103" s="41"/>
      <c r="D103" s="42"/>
      <c r="E103" s="34"/>
      <c r="F103" s="225"/>
      <c r="G103" s="288"/>
      <c r="H103" s="288"/>
      <c r="I103" s="288"/>
      <c r="J103" s="288"/>
      <c r="K103" s="108"/>
    </row>
    <row r="104" spans="1:11" x14ac:dyDescent="0.2">
      <c r="A104" s="34"/>
      <c r="B104" s="40"/>
      <c r="C104" s="41"/>
      <c r="D104" s="42"/>
      <c r="E104" s="34"/>
      <c r="F104" s="225"/>
      <c r="G104" s="34"/>
      <c r="H104" s="34"/>
      <c r="I104" s="34"/>
      <c r="J104" s="34"/>
      <c r="K104" s="204"/>
    </row>
    <row r="105" spans="1:11" x14ac:dyDescent="0.2">
      <c r="A105" s="34"/>
      <c r="B105" s="40"/>
      <c r="C105" s="41"/>
      <c r="D105" s="42"/>
      <c r="E105" s="34"/>
      <c r="F105" s="225"/>
      <c r="G105" s="34"/>
      <c r="H105" s="34"/>
      <c r="I105" s="34"/>
      <c r="J105" s="34"/>
      <c r="K105" s="108"/>
    </row>
    <row r="106" spans="1:11" x14ac:dyDescent="0.2">
      <c r="A106" s="34"/>
      <c r="B106" s="40"/>
      <c r="C106" s="41"/>
      <c r="D106" s="42"/>
      <c r="E106" s="34"/>
      <c r="F106" s="225"/>
      <c r="G106" s="34"/>
      <c r="H106" s="34"/>
      <c r="I106" s="34"/>
      <c r="J106" s="34"/>
      <c r="K106" s="204"/>
    </row>
    <row r="107" spans="1:11" x14ac:dyDescent="0.2">
      <c r="A107" s="34"/>
      <c r="B107" s="40"/>
      <c r="C107" s="41"/>
      <c r="D107" s="42"/>
      <c r="E107" s="34"/>
      <c r="F107" s="225"/>
      <c r="G107" s="34"/>
      <c r="H107" s="34"/>
      <c r="I107" s="34"/>
      <c r="J107" s="34"/>
      <c r="K107" s="205"/>
    </row>
    <row r="108" spans="1:11" x14ac:dyDescent="0.2">
      <c r="A108" s="34"/>
      <c r="B108" s="40"/>
      <c r="C108" s="41"/>
      <c r="D108" s="42"/>
      <c r="E108" s="34"/>
      <c r="F108" s="225"/>
      <c r="G108" s="34"/>
      <c r="H108" s="40"/>
      <c r="I108" s="41"/>
      <c r="J108" s="34"/>
      <c r="K108" s="34"/>
    </row>
    <row r="109" spans="1:11" x14ac:dyDescent="0.2">
      <c r="A109" s="34"/>
      <c r="B109" s="40"/>
      <c r="C109" s="41"/>
      <c r="D109" s="42"/>
      <c r="E109" s="34"/>
      <c r="F109" s="225"/>
      <c r="G109" s="34"/>
      <c r="H109" s="34"/>
      <c r="I109" s="34"/>
      <c r="J109" s="34"/>
      <c r="K109" s="34"/>
    </row>
    <row r="110" spans="1:11" ht="15.75" x14ac:dyDescent="0.2">
      <c r="A110" s="34"/>
      <c r="B110" s="229"/>
      <c r="C110" s="229"/>
      <c r="D110" s="229"/>
      <c r="E110" s="34"/>
      <c r="F110" s="225"/>
      <c r="G110" s="34"/>
      <c r="H110" s="34"/>
      <c r="I110" s="34"/>
      <c r="J110" s="34"/>
      <c r="K110" s="34"/>
    </row>
    <row r="111" spans="1:11" ht="15" x14ac:dyDescent="0.2">
      <c r="A111" s="34"/>
      <c r="B111" s="434"/>
      <c r="C111" s="435"/>
      <c r="D111" s="436"/>
      <c r="E111" s="34"/>
      <c r="F111" s="225"/>
      <c r="G111" s="34"/>
      <c r="H111" s="34"/>
      <c r="I111" s="34"/>
      <c r="J111" s="34"/>
      <c r="K111" s="34"/>
    </row>
    <row r="112" spans="1:11" ht="15.75" x14ac:dyDescent="0.2">
      <c r="A112" s="34"/>
      <c r="B112" s="229"/>
      <c r="C112" s="435"/>
      <c r="D112" s="436"/>
      <c r="E112" s="34"/>
      <c r="F112" s="225"/>
      <c r="G112" s="34"/>
      <c r="H112" s="34"/>
      <c r="I112" s="34"/>
      <c r="J112" s="34"/>
      <c r="K112" s="34"/>
    </row>
  </sheetData>
  <mergeCells count="14">
    <mergeCell ref="G8:H8"/>
    <mergeCell ref="F6:H6"/>
    <mergeCell ref="F1:I1"/>
    <mergeCell ref="B1:D1"/>
    <mergeCell ref="B2:D2"/>
    <mergeCell ref="B3:D3"/>
    <mergeCell ref="B4:D4"/>
    <mergeCell ref="B5:D5"/>
    <mergeCell ref="I2:I3"/>
    <mergeCell ref="F2:H2"/>
    <mergeCell ref="F3:H3"/>
    <mergeCell ref="F4:H4"/>
    <mergeCell ref="F5:H5"/>
    <mergeCell ref="A54:B54"/>
  </mergeCells>
  <hyperlinks>
    <hyperlink ref="B92" r:id="rId1"/>
    <hyperlink ref="C29" r:id="rId2"/>
    <hyperlink ref="B94" r:id="rId3"/>
    <hyperlink ref="G8:H8" r:id="rId4" display="www.patricemenard.com/indice"/>
  </hyperlinks>
  <pageMargins left="0.78740157499999996" right="0.78740157499999996" top="0.984251969" bottom="0.984251969" header="0.5" footer="0.5"/>
  <pageSetup scale="24" orientation="portrait" r:id="rId5"/>
  <headerFooter alignWithMargins="0"/>
  <drawing r:id="rId6"/>
  <legacy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5"/>
  <sheetViews>
    <sheetView zoomScaleNormal="100" workbookViewId="0">
      <selection activeCell="A17" sqref="A17"/>
    </sheetView>
  </sheetViews>
  <sheetFormatPr baseColWidth="10" defaultRowHeight="12.75" x14ac:dyDescent="0.2"/>
  <cols>
    <col min="2" max="2" width="33.7109375" customWidth="1"/>
    <col min="3" max="3" width="23.85546875" customWidth="1"/>
    <col min="4" max="4" width="13.28515625" customWidth="1"/>
    <col min="5" max="5" width="14" customWidth="1"/>
    <col min="6" max="6" width="13.28515625" bestFit="1" customWidth="1"/>
    <col min="7" max="7" width="55.7109375" customWidth="1"/>
    <col min="8" max="8" width="13" customWidth="1"/>
    <col min="9" max="9" width="18.7109375" customWidth="1"/>
    <col min="10" max="10" width="20.85546875" customWidth="1"/>
  </cols>
  <sheetData>
    <row r="1" spans="1:11" x14ac:dyDescent="0.2">
      <c r="B1" s="407" t="s">
        <v>37</v>
      </c>
      <c r="C1" s="408"/>
      <c r="D1" s="411">
        <f>' Exemple avec SCHL'!B21</f>
        <v>513750</v>
      </c>
      <c r="E1" s="412"/>
      <c r="F1" s="286"/>
      <c r="G1" s="109" t="s">
        <v>163</v>
      </c>
      <c r="H1" s="109" t="s">
        <v>44</v>
      </c>
      <c r="I1" s="109" t="s">
        <v>48</v>
      </c>
      <c r="J1" s="110" t="s">
        <v>47</v>
      </c>
      <c r="K1" s="286"/>
    </row>
    <row r="2" spans="1:11" x14ac:dyDescent="0.2">
      <c r="B2" s="407" t="s">
        <v>115</v>
      </c>
      <c r="C2" s="408"/>
      <c r="D2" s="71">
        <v>3.5000000000000003E-2</v>
      </c>
      <c r="E2" s="69"/>
      <c r="F2" s="286"/>
      <c r="G2" s="259" t="s">
        <v>140</v>
      </c>
      <c r="H2" s="260"/>
      <c r="I2" s="260"/>
      <c r="J2" s="261"/>
      <c r="K2" s="286"/>
    </row>
    <row r="3" spans="1:11" x14ac:dyDescent="0.2">
      <c r="B3" s="407" t="s">
        <v>116</v>
      </c>
      <c r="C3" s="408"/>
      <c r="D3" s="301">
        <v>25</v>
      </c>
      <c r="E3" s="73" t="s">
        <v>80</v>
      </c>
      <c r="F3" s="387"/>
      <c r="G3" s="50" t="s">
        <v>141</v>
      </c>
      <c r="H3" s="48" t="s">
        <v>139</v>
      </c>
      <c r="I3" s="48">
        <v>0.05</v>
      </c>
      <c r="J3" s="49" t="s">
        <v>49</v>
      </c>
      <c r="K3" s="286"/>
    </row>
    <row r="4" spans="1:11" x14ac:dyDescent="0.2">
      <c r="A4" s="70"/>
      <c r="B4" s="407" t="s">
        <v>117</v>
      </c>
      <c r="C4" s="408"/>
      <c r="D4" s="409">
        <f>SUM(D16:E16)</f>
        <v>2565.0013325334226</v>
      </c>
      <c r="E4" s="410"/>
      <c r="F4" s="286"/>
      <c r="G4" s="50" t="s">
        <v>142</v>
      </c>
      <c r="H4" s="48" t="s">
        <v>139</v>
      </c>
      <c r="I4" s="48">
        <v>0.1</v>
      </c>
      <c r="J4" s="49" t="s">
        <v>49</v>
      </c>
      <c r="K4" s="286"/>
    </row>
    <row r="5" spans="1:11" x14ac:dyDescent="0.2">
      <c r="A5" s="70"/>
      <c r="B5" s="407" t="s">
        <v>137</v>
      </c>
      <c r="C5" s="408"/>
      <c r="D5" s="413">
        <f>IF(D3=10,D28+D41+D54+D67+D80+D93+D106+D119+D132+D145,0)</f>
        <v>0</v>
      </c>
      <c r="E5" s="414"/>
      <c r="F5" s="286"/>
      <c r="G5" s="50" t="s">
        <v>143</v>
      </c>
      <c r="H5" s="48" t="s">
        <v>139</v>
      </c>
      <c r="I5" s="48">
        <v>0.1</v>
      </c>
      <c r="J5" s="49" t="s">
        <v>49</v>
      </c>
      <c r="K5" s="286"/>
    </row>
    <row r="6" spans="1:11" x14ac:dyDescent="0.2">
      <c r="A6" s="70"/>
      <c r="B6" s="407" t="s">
        <v>136</v>
      </c>
      <c r="C6" s="408"/>
      <c r="D6" s="413">
        <f>IF(D3=15,D28+D41+D54+D67+D80+D93+D106+D119+D132+D145+D158+D171+D184+D197+D210,0)</f>
        <v>0</v>
      </c>
      <c r="E6" s="414"/>
      <c r="F6" s="286"/>
      <c r="G6" s="265" t="s">
        <v>156</v>
      </c>
      <c r="H6" s="266"/>
      <c r="I6" s="266"/>
      <c r="J6" s="267"/>
      <c r="K6" s="286"/>
    </row>
    <row r="7" spans="1:11" x14ac:dyDescent="0.2">
      <c r="A7" s="70"/>
      <c r="B7" s="407" t="s">
        <v>162</v>
      </c>
      <c r="C7" s="408"/>
      <c r="D7" s="409">
        <f>IF(D3=20,D28+D41+D54+D67+D80+D93+D106+D119+D132+D145+D158+D171+D184+D197+D210+D223+D236+D249+D262+D275,0)</f>
        <v>0</v>
      </c>
      <c r="E7" s="410"/>
      <c r="F7" s="286"/>
      <c r="G7" s="268" t="s">
        <v>257</v>
      </c>
      <c r="H7" s="269"/>
      <c r="I7" s="269"/>
      <c r="J7" s="270"/>
      <c r="K7" s="286"/>
    </row>
    <row r="8" spans="1:11" x14ac:dyDescent="0.2">
      <c r="A8" s="70"/>
      <c r="B8" s="407" t="s">
        <v>118</v>
      </c>
      <c r="C8" s="408"/>
      <c r="D8" s="409">
        <f>IF(D3=25,D28+D41+D54+D67+D80+D93+D106+D119+D132+D145+D158+D171+D184+D197+D210+D223+D236+D249+D262+D275+D288+D301+D314+D327+D340,0)</f>
        <v>255750.39976002672</v>
      </c>
      <c r="E8" s="410"/>
      <c r="F8" s="286"/>
      <c r="G8" s="271" t="s">
        <v>157</v>
      </c>
      <c r="H8" s="272"/>
      <c r="I8" s="272"/>
      <c r="J8" s="273"/>
      <c r="K8" s="286"/>
    </row>
    <row r="9" spans="1:11" x14ac:dyDescent="0.2">
      <c r="A9" s="70"/>
      <c r="B9" s="407" t="s">
        <v>119</v>
      </c>
      <c r="C9" s="408"/>
      <c r="D9" s="409">
        <f>IF(D3=30,D28+D41+D54+D67+D80+D93+D106+D119+D132+D145+D158+D171+D184+D197+D210+D223+D236+D249+D262+D275+D288+D301+D314+D327+D340+D353+D366+D379+D392+D405,0)</f>
        <v>0</v>
      </c>
      <c r="E9" s="410"/>
      <c r="F9" s="286"/>
      <c r="G9" s="50" t="s">
        <v>45</v>
      </c>
      <c r="H9" s="106" t="s">
        <v>145</v>
      </c>
      <c r="I9" s="48">
        <v>0.15</v>
      </c>
      <c r="J9" s="49" t="s">
        <v>276</v>
      </c>
      <c r="K9" s="286"/>
    </row>
    <row r="10" spans="1:11" x14ac:dyDescent="0.2">
      <c r="A10" s="70"/>
      <c r="B10" s="407" t="s">
        <v>124</v>
      </c>
      <c r="C10" s="408"/>
      <c r="D10" s="409">
        <f>IF(D3=35,D28+D41+D54+D67+D80+D93+D106+D119+D132+D145+D158+D171+D184+D197+D210+D223+D236+D249+D262+D275+D288+D301+D314+D327+D340+D353+D366+D379+D392+D405+D418+D431+D444+D457+D470,0)</f>
        <v>0</v>
      </c>
      <c r="E10" s="410"/>
      <c r="F10" s="286"/>
      <c r="G10" s="262" t="s">
        <v>158</v>
      </c>
      <c r="H10" s="263"/>
      <c r="I10" s="263"/>
      <c r="J10" s="264"/>
      <c r="K10" s="286"/>
    </row>
    <row r="11" spans="1:11" x14ac:dyDescent="0.2">
      <c r="A11" s="70"/>
      <c r="B11" s="407" t="s">
        <v>125</v>
      </c>
      <c r="C11" s="408"/>
      <c r="D11" s="409">
        <f>IF(D3=40,D28+D41+D54+D67+D80+D93+D106+D119+D132+D145+D158+D171+D184+D197+D210+D223+D236+D249+D262+D275+D288+D301+D314+D327+D340+D353+D366+D379+D392+D405+D418+D431+D444+D457+D470+D483+D496+D509+D522+D535,0)</f>
        <v>0</v>
      </c>
      <c r="E11" s="410"/>
      <c r="F11" s="286"/>
      <c r="G11" s="50" t="s">
        <v>46</v>
      </c>
      <c r="H11" s="106" t="s">
        <v>145</v>
      </c>
      <c r="I11" s="48">
        <v>0.15</v>
      </c>
      <c r="J11" s="49" t="s">
        <v>276</v>
      </c>
      <c r="K11" s="286"/>
    </row>
    <row r="12" spans="1:11" x14ac:dyDescent="0.2">
      <c r="A12" s="70"/>
      <c r="B12" s="407" t="s">
        <v>282</v>
      </c>
      <c r="C12" s="408"/>
      <c r="D12" s="409">
        <f>D1+D28+D41+D54+D67+D80+D93+D106+D119+D132+D145+D158+D171+D184+D197+D210+D223+D236+D249+D262+D275+D288+D301+D314+D327+D340+D353+D366+D379+D392+D405+D418+D431+D444+D457+D470+D483+D496+D509+D522+D535</f>
        <v>769500.39976002648</v>
      </c>
      <c r="E12" s="410"/>
      <c r="F12" s="286"/>
      <c r="G12" s="274" t="s">
        <v>164</v>
      </c>
      <c r="H12" s="275"/>
      <c r="I12" s="275"/>
      <c r="J12" s="276"/>
      <c r="K12" s="286"/>
    </row>
    <row r="13" spans="1:11" x14ac:dyDescent="0.2">
      <c r="B13" s="302"/>
      <c r="C13" s="302"/>
      <c r="D13" s="302"/>
      <c r="E13" s="302"/>
      <c r="F13" s="286"/>
      <c r="G13" s="34"/>
      <c r="H13" s="34"/>
      <c r="I13" s="34"/>
      <c r="J13" s="34"/>
      <c r="K13" s="286"/>
    </row>
    <row r="14" spans="1:11" ht="13.5" thickBot="1" x14ac:dyDescent="0.25">
      <c r="B14" s="302"/>
      <c r="C14" s="302"/>
      <c r="D14" s="302"/>
      <c r="E14" s="302"/>
      <c r="F14" s="287"/>
      <c r="G14" s="259" t="s">
        <v>144</v>
      </c>
      <c r="H14" s="260"/>
      <c r="I14" s="260"/>
      <c r="J14" s="261"/>
      <c r="K14" s="286"/>
    </row>
    <row r="15" spans="1:11" ht="13.5" thickBot="1" x14ac:dyDescent="0.25">
      <c r="B15" s="134" t="s">
        <v>81</v>
      </c>
      <c r="C15" s="135" t="s">
        <v>82</v>
      </c>
      <c r="D15" s="134" t="s">
        <v>83</v>
      </c>
      <c r="E15" s="134" t="s">
        <v>84</v>
      </c>
      <c r="F15" s="286"/>
      <c r="G15" s="50" t="s">
        <v>141</v>
      </c>
      <c r="H15" s="53" t="s">
        <v>139</v>
      </c>
      <c r="I15" s="221">
        <v>0.2</v>
      </c>
      <c r="J15" s="54" t="s">
        <v>49</v>
      </c>
      <c r="K15" s="286"/>
    </row>
    <row r="16" spans="1:11" x14ac:dyDescent="0.2">
      <c r="B16" s="136">
        <v>1</v>
      </c>
      <c r="C16" s="137">
        <f>IF(B16&gt;$D$3*12,0,D1-E16)</f>
        <v>512672.62548006448</v>
      </c>
      <c r="D16" s="138">
        <f>IF($D$1&lt;0.001,0,-IPMT(((1+$D$2/2)^(1/6)-1),B16,$D$3*12,$D$1))</f>
        <v>1487.626812597902</v>
      </c>
      <c r="E16" s="138">
        <f>IF($D$3*12&lt;=B16,D1,-PPMT(((1+$D$2/2)^(1/6)-1),B16,$D$3*12,$D$1))</f>
        <v>1077.3745199355205</v>
      </c>
      <c r="F16" s="286"/>
      <c r="G16" s="50" t="s">
        <v>142</v>
      </c>
      <c r="H16" s="53" t="s">
        <v>139</v>
      </c>
      <c r="I16" s="221">
        <v>0.2</v>
      </c>
      <c r="J16" s="54" t="s">
        <v>49</v>
      </c>
      <c r="K16" s="286"/>
    </row>
    <row r="17" spans="2:11" x14ac:dyDescent="0.2">
      <c r="B17" s="136">
        <v>2</v>
      </c>
      <c r="C17" s="137">
        <f>IF(B17&gt;$D$3*12,0,C16-E17)</f>
        <v>511592.13128864852</v>
      </c>
      <c r="D17" s="138">
        <f t="shared" ref="D17:D27" si="0">IF($D$1&lt;0.001,0,-IPMT(((1+$D$2/2)^(1/6)-1),B17,$D$3*12,$D$1))</f>
        <v>1484.5071411174818</v>
      </c>
      <c r="E17" s="138">
        <f t="shared" ref="E17:E26" si="1">IF($D$3*12&lt;=B17,C16,-PPMT(((1+$D$2/2)^(1/6)-1),B17,$D$3*12,$D$1))</f>
        <v>1080.4941914159406</v>
      </c>
      <c r="F17" s="286"/>
      <c r="G17" s="50" t="s">
        <v>143</v>
      </c>
      <c r="H17" s="48" t="s">
        <v>139</v>
      </c>
      <c r="I17" s="221">
        <v>0.2</v>
      </c>
      <c r="J17" s="49" t="s">
        <v>49</v>
      </c>
      <c r="K17" s="286"/>
    </row>
    <row r="18" spans="2:11" x14ac:dyDescent="0.2">
      <c r="B18" s="136">
        <v>3</v>
      </c>
      <c r="C18" s="137">
        <f>IF(B18&gt;$D$3*12,0,C17-E18)</f>
        <v>510508.50839235669</v>
      </c>
      <c r="D18" s="138">
        <f t="shared" si="0"/>
        <v>1481.3784362415563</v>
      </c>
      <c r="E18" s="138">
        <f t="shared" si="1"/>
        <v>1083.6228962918658</v>
      </c>
      <c r="F18" s="286"/>
      <c r="G18" s="265" t="s">
        <v>156</v>
      </c>
      <c r="H18" s="266"/>
      <c r="I18" s="266"/>
      <c r="J18" s="267"/>
      <c r="K18" s="286"/>
    </row>
    <row r="19" spans="2:11" x14ac:dyDescent="0.2">
      <c r="B19" s="136">
        <v>4</v>
      </c>
      <c r="C19" s="137">
        <f>IF(B19&gt;$D$3*12,0,C18-E19)</f>
        <v>509421.74773163605</v>
      </c>
      <c r="D19" s="138">
        <f t="shared" si="0"/>
        <v>1478.2406718128093</v>
      </c>
      <c r="E19" s="138">
        <f t="shared" si="1"/>
        <v>1086.7606607206128</v>
      </c>
      <c r="F19" s="286"/>
      <c r="G19" s="268" t="s">
        <v>257</v>
      </c>
      <c r="H19" s="269"/>
      <c r="I19" s="269"/>
      <c r="J19" s="270"/>
      <c r="K19" s="286"/>
    </row>
    <row r="20" spans="2:11" x14ac:dyDescent="0.2">
      <c r="B20" s="136">
        <v>5</v>
      </c>
      <c r="C20" s="137">
        <f>IF(B20&gt;$D$3*12,0,C19-E20)</f>
        <v>508331.84022070083</v>
      </c>
      <c r="D20" s="138">
        <f t="shared" si="0"/>
        <v>1475.0938215981823</v>
      </c>
      <c r="E20" s="138">
        <f t="shared" si="1"/>
        <v>1089.9075109352398</v>
      </c>
      <c r="F20" s="286"/>
      <c r="G20" s="271" t="s">
        <v>157</v>
      </c>
      <c r="H20" s="272"/>
      <c r="I20" s="272"/>
      <c r="J20" s="273"/>
      <c r="K20" s="286"/>
    </row>
    <row r="21" spans="2:11" x14ac:dyDescent="0.2">
      <c r="B21" s="136">
        <v>6</v>
      </c>
      <c r="C21" s="137">
        <f t="shared" ref="C21:C27" si="2">IF(B21&gt;$D$3*12,0,C20-E21)</f>
        <v>507238.77674745605</v>
      </c>
      <c r="D21" s="138">
        <f t="shared" si="0"/>
        <v>1471.9378592886562</v>
      </c>
      <c r="E21" s="138">
        <f t="shared" si="1"/>
        <v>1093.0634732447661</v>
      </c>
      <c r="F21" s="286"/>
      <c r="G21" s="50" t="s">
        <v>45</v>
      </c>
      <c r="H21" s="48" t="s">
        <v>145</v>
      </c>
      <c r="I21" s="221">
        <v>0.25</v>
      </c>
      <c r="J21" s="49" t="s">
        <v>49</v>
      </c>
      <c r="K21" s="286"/>
    </row>
    <row r="22" spans="2:11" x14ac:dyDescent="0.2">
      <c r="B22" s="136">
        <v>7</v>
      </c>
      <c r="C22" s="137">
        <f t="shared" si="2"/>
        <v>506142.54817342164</v>
      </c>
      <c r="D22" s="138">
        <f t="shared" si="0"/>
        <v>1468.7727584990303</v>
      </c>
      <c r="E22" s="138">
        <f t="shared" si="1"/>
        <v>1096.2285740343921</v>
      </c>
      <c r="F22" s="286"/>
      <c r="G22" s="274" t="s">
        <v>164</v>
      </c>
      <c r="H22" s="275"/>
      <c r="I22" s="275"/>
      <c r="J22" s="276"/>
      <c r="K22" s="286"/>
    </row>
    <row r="23" spans="2:11" x14ac:dyDescent="0.2">
      <c r="B23" s="136">
        <v>8</v>
      </c>
      <c r="C23" s="137">
        <f t="shared" si="2"/>
        <v>505043.14533365594</v>
      </c>
      <c r="D23" s="138">
        <f t="shared" si="0"/>
        <v>1465.5984927677032</v>
      </c>
      <c r="E23" s="138">
        <f t="shared" si="1"/>
        <v>1099.4028397657196</v>
      </c>
      <c r="F23" s="286"/>
      <c r="G23" s="50" t="s">
        <v>46</v>
      </c>
      <c r="H23" s="106" t="s">
        <v>145</v>
      </c>
      <c r="I23" s="48">
        <v>0.15</v>
      </c>
      <c r="J23" s="49" t="s">
        <v>276</v>
      </c>
      <c r="K23" s="286"/>
    </row>
    <row r="24" spans="2:11" x14ac:dyDescent="0.2">
      <c r="B24" s="136">
        <v>9</v>
      </c>
      <c r="C24" s="137">
        <f t="shared" si="2"/>
        <v>503940.55903667898</v>
      </c>
      <c r="D24" s="138">
        <f t="shared" si="0"/>
        <v>1462.4150355564489</v>
      </c>
      <c r="E24" s="138">
        <f t="shared" si="1"/>
        <v>1102.5862969769735</v>
      </c>
      <c r="F24" s="286"/>
      <c r="G24" s="274" t="s">
        <v>164</v>
      </c>
      <c r="H24" s="275"/>
      <c r="I24" s="275"/>
      <c r="J24" s="276"/>
      <c r="K24" s="286"/>
    </row>
    <row r="25" spans="2:11" x14ac:dyDescent="0.2">
      <c r="B25" s="136">
        <v>10</v>
      </c>
      <c r="C25" s="137">
        <f t="shared" si="2"/>
        <v>502834.78006439575</v>
      </c>
      <c r="D25" s="138">
        <f t="shared" si="0"/>
        <v>1459.2223602501986</v>
      </c>
      <c r="E25" s="138">
        <f t="shared" si="1"/>
        <v>1105.7789722832238</v>
      </c>
      <c r="F25" s="286"/>
      <c r="G25" s="34"/>
      <c r="H25" s="34"/>
      <c r="I25" s="34"/>
      <c r="J25" s="34"/>
      <c r="K25" s="286"/>
    </row>
    <row r="26" spans="2:11" x14ac:dyDescent="0.2">
      <c r="B26" s="136">
        <v>11</v>
      </c>
      <c r="C26" s="137">
        <f t="shared" si="2"/>
        <v>501725.79917201912</v>
      </c>
      <c r="D26" s="138">
        <f t="shared" si="0"/>
        <v>1456.0204401568158</v>
      </c>
      <c r="E26" s="138">
        <f t="shared" si="1"/>
        <v>1108.9808923766068</v>
      </c>
      <c r="F26" s="286"/>
      <c r="G26" s="111" t="s">
        <v>163</v>
      </c>
      <c r="H26" s="111" t="s">
        <v>44</v>
      </c>
      <c r="I26" s="111" t="s">
        <v>48</v>
      </c>
      <c r="J26" s="112" t="s">
        <v>47</v>
      </c>
      <c r="K26" s="286"/>
    </row>
    <row r="27" spans="2:11" x14ac:dyDescent="0.2">
      <c r="B27" s="136">
        <v>12</v>
      </c>
      <c r="C27" s="137">
        <f t="shared" si="2"/>
        <v>500613.6070879926</v>
      </c>
      <c r="D27" s="138">
        <f t="shared" si="0"/>
        <v>1452.8092485068728</v>
      </c>
      <c r="E27" s="138">
        <f>IF($D$3*12&lt;=B27,C26,-PPMT(((1+$D$2/2)^(1/6)-1),B27,$D$3*12,$D$1))</f>
        <v>1112.1920840265495</v>
      </c>
      <c r="F27" s="286"/>
      <c r="G27" s="259" t="s">
        <v>146</v>
      </c>
      <c r="H27" s="260"/>
      <c r="I27" s="260"/>
      <c r="J27" s="261"/>
      <c r="K27" s="286"/>
    </row>
    <row r="28" spans="2:11" ht="13.5" thickBot="1" x14ac:dyDescent="0.25">
      <c r="B28" s="139" t="s">
        <v>87</v>
      </c>
      <c r="C28" s="141"/>
      <c r="D28" s="140">
        <f>SUM(D16:D27)</f>
        <v>17643.623078393655</v>
      </c>
      <c r="E28" s="140">
        <f>SUM(E16:E27)</f>
        <v>13136.392912007412</v>
      </c>
      <c r="F28" s="286"/>
      <c r="G28" s="50" t="s">
        <v>141</v>
      </c>
      <c r="H28" s="48" t="s">
        <v>139</v>
      </c>
      <c r="I28" s="48">
        <v>0.2</v>
      </c>
      <c r="J28" s="49" t="s">
        <v>277</v>
      </c>
      <c r="K28" s="286"/>
    </row>
    <row r="29" spans="2:11" x14ac:dyDescent="0.2">
      <c r="B29" s="136">
        <v>13</v>
      </c>
      <c r="C29" s="137">
        <f>IF(B29&gt;$D$3*12,0,C27-E29)</f>
        <v>499498.1945139126</v>
      </c>
      <c r="D29" s="138">
        <f>IF(C27&lt;0.001,0,-IPMT(((1+$D$2/2)^(1/6)-1),B29,$D$3*12,$D$1))</f>
        <v>1449.5887584534285</v>
      </c>
      <c r="E29" s="138">
        <f>IF($D$3*12&lt;=B29,C27,-PPMT(((1+$D$2/2)^(1/6)-1),B29,$D$3*12,$D$1))</f>
        <v>1115.4125740799939</v>
      </c>
      <c r="F29" s="286"/>
      <c r="G29" s="50" t="s">
        <v>142</v>
      </c>
      <c r="H29" s="48" t="s">
        <v>139</v>
      </c>
      <c r="I29" s="48">
        <v>0.2</v>
      </c>
      <c r="J29" s="49" t="s">
        <v>277</v>
      </c>
      <c r="K29" s="286"/>
    </row>
    <row r="30" spans="2:11" x14ac:dyDescent="0.2">
      <c r="B30" s="136">
        <v>14</v>
      </c>
      <c r="C30" s="137">
        <f>IF(B30&gt;$D$3*12,0,C29-E30)</f>
        <v>498379.55212445097</v>
      </c>
      <c r="D30" s="138">
        <f>IF(C29&lt;0.001,0,-IPMT(((1+$D$2/2)^(1/6)-1),B30,$D$3*12,$D$1))</f>
        <v>1446.3589430718025</v>
      </c>
      <c r="E30" s="138">
        <f t="shared" ref="E30:E39" si="3">IF($D$3*12&lt;=B30,C29,-PPMT(((1+$D$2/2)^(1/6)-1),B30,$D$3*12,$D$1))</f>
        <v>1118.6423894616198</v>
      </c>
      <c r="F30" s="286"/>
      <c r="G30" s="50" t="s">
        <v>143</v>
      </c>
      <c r="H30" s="48" t="s">
        <v>139</v>
      </c>
      <c r="I30" s="48">
        <v>0.2</v>
      </c>
      <c r="J30" s="49" t="s">
        <v>277</v>
      </c>
      <c r="K30" s="286"/>
    </row>
    <row r="31" spans="2:11" x14ac:dyDescent="0.2">
      <c r="B31" s="136">
        <v>15</v>
      </c>
      <c r="C31" s="137">
        <f t="shared" ref="C31:C40" si="4">IF(B31&gt;$D$3*12,0,C30-E31)</f>
        <v>497257.67056727689</v>
      </c>
      <c r="D31" s="138">
        <f>IF(C30&lt;0.001,0,-IPMT(((1+$D$2/2)^(1/6)-1),B31,$D$3*12,$D$1))</f>
        <v>1443.1197753593517</v>
      </c>
      <c r="E31" s="138">
        <f t="shared" si="3"/>
        <v>1121.8815571740706</v>
      </c>
      <c r="F31" s="286"/>
      <c r="G31" s="265" t="s">
        <v>156</v>
      </c>
      <c r="H31" s="266"/>
      <c r="I31" s="266"/>
      <c r="J31" s="267"/>
      <c r="K31" s="286"/>
    </row>
    <row r="32" spans="2:11" x14ac:dyDescent="0.2">
      <c r="B32" s="136">
        <v>16</v>
      </c>
      <c r="C32" s="137">
        <f t="shared" si="4"/>
        <v>496132.54046297871</v>
      </c>
      <c r="D32" s="138">
        <f t="shared" ref="D32:D40" si="5">IF(C31&lt;0.001,0,-IPMT(((1+$D$2/2)^(1/6)-1),B32,$D$3*12,$D$1))</f>
        <v>1439.8712282352421</v>
      </c>
      <c r="E32" s="138">
        <f t="shared" si="3"/>
        <v>1125.13010429818</v>
      </c>
      <c r="F32" s="286"/>
      <c r="G32" s="268" t="s">
        <v>257</v>
      </c>
      <c r="H32" s="269"/>
      <c r="I32" s="269"/>
      <c r="J32" s="270"/>
      <c r="K32" s="286"/>
    </row>
    <row r="33" spans="2:11" x14ac:dyDescent="0.2">
      <c r="B33" s="136">
        <v>17</v>
      </c>
      <c r="C33" s="137">
        <f t="shared" si="4"/>
        <v>495004.15240498551</v>
      </c>
      <c r="D33" s="138">
        <f t="shared" si="5"/>
        <v>1436.6132745402249</v>
      </c>
      <c r="E33" s="138">
        <f t="shared" si="3"/>
        <v>1128.3880579931972</v>
      </c>
      <c r="F33" s="286"/>
      <c r="G33" s="271" t="s">
        <v>157</v>
      </c>
      <c r="H33" s="272"/>
      <c r="I33" s="272"/>
      <c r="J33" s="273"/>
      <c r="K33" s="286"/>
    </row>
    <row r="34" spans="2:11" x14ac:dyDescent="0.2">
      <c r="B34" s="136">
        <v>18</v>
      </c>
      <c r="C34" s="137">
        <f t="shared" si="4"/>
        <v>493872.49695948849</v>
      </c>
      <c r="D34" s="138">
        <f t="shared" si="5"/>
        <v>1433.3458870364079</v>
      </c>
      <c r="E34" s="138">
        <f t="shared" si="3"/>
        <v>1131.6554454970142</v>
      </c>
      <c r="F34" s="286"/>
      <c r="G34" s="50" t="s">
        <v>45</v>
      </c>
      <c r="H34" s="106" t="s">
        <v>145</v>
      </c>
      <c r="I34" s="48">
        <v>0.25</v>
      </c>
      <c r="J34" s="49" t="s">
        <v>49</v>
      </c>
      <c r="K34" s="286"/>
    </row>
    <row r="35" spans="2:11" x14ac:dyDescent="0.2">
      <c r="B35" s="136">
        <v>19</v>
      </c>
      <c r="C35" s="137">
        <f t="shared" si="4"/>
        <v>492737.56466536212</v>
      </c>
      <c r="D35" s="138">
        <f t="shared" si="5"/>
        <v>1430.0690384070285</v>
      </c>
      <c r="E35" s="138">
        <f t="shared" si="3"/>
        <v>1134.932294126394</v>
      </c>
      <c r="F35" s="286"/>
      <c r="G35" s="262" t="s">
        <v>158</v>
      </c>
      <c r="H35" s="263"/>
      <c r="I35" s="263"/>
      <c r="J35" s="264"/>
      <c r="K35" s="286"/>
    </row>
    <row r="36" spans="2:11" x14ac:dyDescent="0.2">
      <c r="B36" s="136">
        <v>20</v>
      </c>
      <c r="C36" s="137">
        <f t="shared" si="4"/>
        <v>491599.34603408491</v>
      </c>
      <c r="D36" s="138">
        <f t="shared" si="5"/>
        <v>1426.7827012562243</v>
      </c>
      <c r="E36" s="138">
        <f t="shared" si="3"/>
        <v>1138.218631277198</v>
      </c>
      <c r="F36" s="286"/>
      <c r="G36" s="50" t="s">
        <v>46</v>
      </c>
      <c r="H36" s="106" t="s">
        <v>145</v>
      </c>
      <c r="I36" s="48">
        <v>0.25</v>
      </c>
      <c r="J36" s="49" t="s">
        <v>49</v>
      </c>
      <c r="K36" s="286"/>
    </row>
    <row r="37" spans="2:11" x14ac:dyDescent="0.2">
      <c r="B37" s="136">
        <v>21</v>
      </c>
      <c r="C37" s="137">
        <f t="shared" si="4"/>
        <v>490457.8315496603</v>
      </c>
      <c r="D37" s="138">
        <f t="shared" si="5"/>
        <v>1423.4868481088054</v>
      </c>
      <c r="E37" s="138">
        <f t="shared" si="3"/>
        <v>1141.514484424617</v>
      </c>
      <c r="F37" s="286"/>
      <c r="G37" s="274" t="s">
        <v>164</v>
      </c>
      <c r="H37" s="275"/>
      <c r="I37" s="275"/>
      <c r="J37" s="276"/>
      <c r="K37" s="286"/>
    </row>
    <row r="38" spans="2:11" x14ac:dyDescent="0.2">
      <c r="B38" s="136">
        <v>22</v>
      </c>
      <c r="C38" s="137">
        <f t="shared" si="4"/>
        <v>489313.01166853693</v>
      </c>
      <c r="D38" s="138">
        <f t="shared" si="5"/>
        <v>1420.1814514100242</v>
      </c>
      <c r="E38" s="138">
        <f t="shared" si="3"/>
        <v>1144.8198811233983</v>
      </c>
      <c r="F38" s="286"/>
      <c r="G38" s="34"/>
      <c r="H38" s="34"/>
      <c r="I38" s="34"/>
      <c r="J38" s="34"/>
      <c r="K38" s="286"/>
    </row>
    <row r="39" spans="2:11" x14ac:dyDescent="0.2">
      <c r="B39" s="136">
        <v>23</v>
      </c>
      <c r="C39" s="137">
        <f t="shared" si="4"/>
        <v>488164.87681952887</v>
      </c>
      <c r="D39" s="138">
        <f t="shared" si="5"/>
        <v>1416.8664835253439</v>
      </c>
      <c r="E39" s="138">
        <f t="shared" si="3"/>
        <v>1148.1348490080782</v>
      </c>
      <c r="F39" s="286"/>
      <c r="G39" s="259" t="s">
        <v>147</v>
      </c>
      <c r="H39" s="260"/>
      <c r="I39" s="260"/>
      <c r="J39" s="261"/>
      <c r="K39" s="286"/>
    </row>
    <row r="40" spans="2:11" x14ac:dyDescent="0.2">
      <c r="B40" s="136">
        <v>24</v>
      </c>
      <c r="C40" s="137">
        <f t="shared" si="4"/>
        <v>487013.41740373569</v>
      </c>
      <c r="D40" s="138">
        <f t="shared" si="5"/>
        <v>1413.5419167402104</v>
      </c>
      <c r="E40" s="138">
        <f>IF($D$3*12&lt;=B40,C39,-PPMT(((1+$D$2/2)^(1/6)-1),B40,$D$3*12,$D$1))</f>
        <v>1151.459415793212</v>
      </c>
      <c r="F40" s="286"/>
      <c r="G40" s="50" t="s">
        <v>141</v>
      </c>
      <c r="H40" s="53" t="s">
        <v>139</v>
      </c>
      <c r="I40" s="53">
        <v>0.2</v>
      </c>
      <c r="J40" s="54" t="s">
        <v>49</v>
      </c>
      <c r="K40" s="286"/>
    </row>
    <row r="41" spans="2:11" ht="13.5" thickBot="1" x14ac:dyDescent="0.25">
      <c r="B41" s="139" t="s">
        <v>86</v>
      </c>
      <c r="C41" s="141"/>
      <c r="D41" s="140">
        <f>SUM(D29:D40)</f>
        <v>17179.826306144096</v>
      </c>
      <c r="E41" s="140">
        <f>SUM(E29:E40)</f>
        <v>13600.189684256971</v>
      </c>
      <c r="F41" s="286"/>
      <c r="G41" s="50" t="s">
        <v>142</v>
      </c>
      <c r="H41" s="53" t="s">
        <v>139</v>
      </c>
      <c r="I41" s="53">
        <v>0.2</v>
      </c>
      <c r="J41" s="54" t="s">
        <v>49</v>
      </c>
      <c r="K41" s="286"/>
    </row>
    <row r="42" spans="2:11" x14ac:dyDescent="0.2">
      <c r="B42" s="136">
        <v>25</v>
      </c>
      <c r="C42" s="137">
        <f>IF(B42&gt;$D$3*12,0,C40-E42)</f>
        <v>485858.62379446207</v>
      </c>
      <c r="D42" s="138">
        <f>IF(C40&lt;0.001,0,-IPMT(((1+$D$2/2)^(1/6)-1),B42,$D$3*12,$D$1))</f>
        <v>1410.2077232598165</v>
      </c>
      <c r="E42" s="138">
        <f>IF($D$3*12&lt;=B42,C40,-PPMT(((1+$D$2/2)^(1/6)-1),B42,$D$3*12,$D$1))</f>
        <v>1154.7936092736059</v>
      </c>
      <c r="F42" s="286"/>
      <c r="G42" s="50" t="s">
        <v>143</v>
      </c>
      <c r="H42" s="48" t="s">
        <v>139</v>
      </c>
      <c r="I42" s="48">
        <v>0.2</v>
      </c>
      <c r="J42" s="49" t="s">
        <v>49</v>
      </c>
      <c r="K42" s="286"/>
    </row>
    <row r="43" spans="2:11" x14ac:dyDescent="0.2">
      <c r="B43" s="136">
        <v>26</v>
      </c>
      <c r="C43" s="137">
        <f>IF(B43&gt;$D$3*12,0,C42-E43)</f>
        <v>484700.48633713752</v>
      </c>
      <c r="D43" s="138">
        <f>IF(C42&lt;0.001,0,-IPMT(((1+$D$2/2)^(1/6)-1),B43,$D$3*12,$D$1))</f>
        <v>1406.8638752088732</v>
      </c>
      <c r="E43" s="138">
        <f t="shared" ref="E43:E52" si="6">IF($D$3*12&lt;=B43,C42,-PPMT(((1+$D$2/2)^(1/6)-1),B43,$D$3*12,$D$1))</f>
        <v>1158.1374573245489</v>
      </c>
      <c r="F43" s="286"/>
      <c r="G43" s="265" t="s">
        <v>156</v>
      </c>
      <c r="H43" s="266"/>
      <c r="I43" s="266"/>
      <c r="J43" s="267"/>
      <c r="K43" s="286"/>
    </row>
    <row r="44" spans="2:11" x14ac:dyDescent="0.2">
      <c r="B44" s="136">
        <v>27</v>
      </c>
      <c r="C44" s="137">
        <f t="shared" ref="C44:C53" si="7">IF(B44&gt;$D$3*12,0,C43-E44)</f>
        <v>483538.99534923548</v>
      </c>
      <c r="D44" s="138">
        <f>IF(C43&lt;0.001,0,-IPMT(((1+$D$2/2)^(1/6)-1),B44,$D$3*12,$D$1))</f>
        <v>1403.5103446313744</v>
      </c>
      <c r="E44" s="138">
        <f t="shared" si="6"/>
        <v>1161.4909879020477</v>
      </c>
      <c r="F44" s="286"/>
      <c r="G44" s="268" t="s">
        <v>257</v>
      </c>
      <c r="H44" s="269"/>
      <c r="I44" s="269"/>
      <c r="J44" s="270"/>
      <c r="K44" s="286"/>
    </row>
    <row r="45" spans="2:11" x14ac:dyDescent="0.2">
      <c r="B45" s="136">
        <v>28</v>
      </c>
      <c r="C45" s="137">
        <f t="shared" si="7"/>
        <v>482374.14112019242</v>
      </c>
      <c r="D45" s="138">
        <f t="shared" ref="D45:D53" si="8">IF(C44&lt;0.001,0,-IPMT(((1+$D$2/2)^(1/6)-1),B45,$D$3*12,$D$1))</f>
        <v>1400.1471034903645</v>
      </c>
      <c r="E45" s="138">
        <f t="shared" si="6"/>
        <v>1164.8542290430578</v>
      </c>
      <c r="F45" s="286"/>
      <c r="G45" s="271" t="s">
        <v>157</v>
      </c>
      <c r="H45" s="272"/>
      <c r="I45" s="272"/>
      <c r="J45" s="273"/>
      <c r="K45" s="286"/>
    </row>
    <row r="46" spans="2:11" x14ac:dyDescent="0.2">
      <c r="B46" s="136">
        <v>29</v>
      </c>
      <c r="C46" s="137">
        <f t="shared" si="7"/>
        <v>481205.91391132667</v>
      </c>
      <c r="D46" s="138">
        <f t="shared" si="8"/>
        <v>1396.7741236677027</v>
      </c>
      <c r="E46" s="138">
        <f t="shared" si="6"/>
        <v>1168.2272088657194</v>
      </c>
      <c r="F46" s="286"/>
      <c r="G46" s="50" t="s">
        <v>45</v>
      </c>
      <c r="H46" s="106" t="s">
        <v>145</v>
      </c>
      <c r="I46" s="48">
        <v>0.25</v>
      </c>
      <c r="J46" s="49" t="s">
        <v>49</v>
      </c>
      <c r="K46" s="286"/>
    </row>
    <row r="47" spans="2:11" x14ac:dyDescent="0.2">
      <c r="B47" s="136">
        <v>30</v>
      </c>
      <c r="C47" s="137">
        <f t="shared" si="7"/>
        <v>480034.30395575706</v>
      </c>
      <c r="D47" s="138">
        <f t="shared" si="8"/>
        <v>1393.3913769638291</v>
      </c>
      <c r="E47" s="138">
        <f t="shared" si="6"/>
        <v>1171.6099555695932</v>
      </c>
      <c r="F47" s="286"/>
      <c r="G47" s="262" t="s">
        <v>158</v>
      </c>
      <c r="H47" s="263"/>
      <c r="I47" s="263"/>
      <c r="J47" s="264"/>
      <c r="K47" s="286"/>
    </row>
    <row r="48" spans="2:11" x14ac:dyDescent="0.2">
      <c r="B48" s="136">
        <v>31</v>
      </c>
      <c r="C48" s="137">
        <f t="shared" si="7"/>
        <v>478859.30145832116</v>
      </c>
      <c r="D48" s="138">
        <f t="shared" si="8"/>
        <v>1389.9988350975284</v>
      </c>
      <c r="E48" s="138">
        <f t="shared" si="6"/>
        <v>1175.0024974358939</v>
      </c>
      <c r="F48" s="286"/>
      <c r="G48" s="50" t="s">
        <v>46</v>
      </c>
      <c r="H48" s="106" t="s">
        <v>145</v>
      </c>
      <c r="I48" s="48">
        <v>0.25</v>
      </c>
      <c r="J48" s="49" t="s">
        <v>49</v>
      </c>
      <c r="K48" s="286"/>
    </row>
    <row r="49" spans="2:11" x14ac:dyDescent="0.2">
      <c r="B49" s="136">
        <v>32</v>
      </c>
      <c r="C49" s="137">
        <f t="shared" si="7"/>
        <v>477680.89659549342</v>
      </c>
      <c r="D49" s="138">
        <f t="shared" si="8"/>
        <v>1386.5964697056936</v>
      </c>
      <c r="E49" s="138">
        <f t="shared" si="6"/>
        <v>1178.4048628277285</v>
      </c>
      <c r="F49" s="286"/>
      <c r="G49" s="274" t="s">
        <v>164</v>
      </c>
      <c r="H49" s="275"/>
      <c r="I49" s="275"/>
      <c r="J49" s="276"/>
      <c r="K49" s="286"/>
    </row>
    <row r="50" spans="2:11" x14ac:dyDescent="0.2">
      <c r="B50" s="136">
        <v>33</v>
      </c>
      <c r="C50" s="137">
        <f t="shared" si="7"/>
        <v>476499.07951530308</v>
      </c>
      <c r="D50" s="138">
        <f t="shared" si="8"/>
        <v>1383.1842523430892</v>
      </c>
      <c r="E50" s="138">
        <f t="shared" si="6"/>
        <v>1181.8170801903336</v>
      </c>
      <c r="F50" s="286"/>
      <c r="G50" s="286"/>
      <c r="H50" s="286"/>
      <c r="I50" s="286"/>
      <c r="J50" s="286"/>
      <c r="K50" s="286"/>
    </row>
    <row r="51" spans="2:11" x14ac:dyDescent="0.2">
      <c r="B51" s="136">
        <v>34</v>
      </c>
      <c r="C51" s="137">
        <f t="shared" si="7"/>
        <v>475313.84033725178</v>
      </c>
      <c r="D51" s="138">
        <f t="shared" si="8"/>
        <v>1379.7621544821111</v>
      </c>
      <c r="E51" s="138">
        <f t="shared" si="6"/>
        <v>1185.2391780513112</v>
      </c>
    </row>
    <row r="52" spans="2:11" x14ac:dyDescent="0.2">
      <c r="B52" s="136">
        <v>35</v>
      </c>
      <c r="C52" s="137">
        <f t="shared" si="7"/>
        <v>474125.1691522309</v>
      </c>
      <c r="D52" s="138">
        <f t="shared" si="8"/>
        <v>1376.3301475125527</v>
      </c>
      <c r="E52" s="138">
        <f t="shared" si="6"/>
        <v>1188.6711850208696</v>
      </c>
    </row>
    <row r="53" spans="2:11" x14ac:dyDescent="0.2">
      <c r="B53" s="136">
        <v>36</v>
      </c>
      <c r="C53" s="137">
        <f t="shared" si="7"/>
        <v>472933.05602243886</v>
      </c>
      <c r="D53" s="138">
        <f t="shared" si="8"/>
        <v>1372.8882027413615</v>
      </c>
      <c r="E53" s="138">
        <f>IF($D$3*12&lt;=B53,C52,-PPMT(((1+$D$2/2)^(1/6)-1),B53,$D$3*12,$D$1))</f>
        <v>1192.113129792061</v>
      </c>
    </row>
    <row r="54" spans="2:11" ht="13.5" thickBot="1" x14ac:dyDescent="0.25">
      <c r="B54" s="139" t="s">
        <v>85</v>
      </c>
      <c r="C54" s="141"/>
      <c r="D54" s="140">
        <f>SUM(D42:D53)</f>
        <v>16699.654609104295</v>
      </c>
      <c r="E54" s="140">
        <f>SUM(E42:E53)</f>
        <v>14080.361381296771</v>
      </c>
    </row>
    <row r="55" spans="2:11" x14ac:dyDescent="0.2">
      <c r="B55" s="136">
        <v>37</v>
      </c>
      <c r="C55" s="137">
        <f>IF(B55&gt;$D$3*12,0,C53-E55)</f>
        <v>471737.49098129786</v>
      </c>
      <c r="D55" s="138">
        <f>IF(C53&lt;0.001,0,-IPMT(((1+$D$2/2)^(1/6)-1),B55,$D$3*12,$D$1))</f>
        <v>1369.4362913924003</v>
      </c>
      <c r="E55" s="138">
        <f>IF($D$3*12&lt;=B55,C53,-PPMT(((1+$D$2/2)^(1/6)-1),B55,$D$3*12,$D$1))</f>
        <v>1195.565041141022</v>
      </c>
    </row>
    <row r="56" spans="2:11" x14ac:dyDescent="0.2">
      <c r="B56" s="136">
        <v>38</v>
      </c>
      <c r="C56" s="137">
        <f>IF(B56&gt;$D$3*12,0,C55-E56)</f>
        <v>470538.46403337066</v>
      </c>
      <c r="D56" s="138">
        <f>IF(C55&lt;0.001,0,-IPMT(((1+$D$2/2)^(1/6)-1),B56,$D$3*12,$D$1))</f>
        <v>1365.9743846062083</v>
      </c>
      <c r="E56" s="138">
        <f t="shared" ref="E56:E65" si="9">IF($D$3*12&lt;=B56,C55,-PPMT(((1+$D$2/2)^(1/6)-1),B56,$D$3*12,$D$1))</f>
        <v>1199.0269479272138</v>
      </c>
    </row>
    <row r="57" spans="2:11" x14ac:dyDescent="0.2">
      <c r="B57" s="136">
        <v>39</v>
      </c>
      <c r="C57" s="137">
        <f t="shared" ref="C57:C66" si="10">IF(B57&gt;$D$3*12,0,C56-E57)</f>
        <v>469335.96515427699</v>
      </c>
      <c r="D57" s="138">
        <f>IF(C56&lt;0.001,0,-IPMT(((1+$D$2/2)^(1/6)-1),B57,$D$3*12,$D$1))</f>
        <v>1362.502453439758</v>
      </c>
      <c r="E57" s="138">
        <f t="shared" si="9"/>
        <v>1202.4988790936645</v>
      </c>
    </row>
    <row r="58" spans="2:11" x14ac:dyDescent="0.2">
      <c r="B58" s="136">
        <v>40</v>
      </c>
      <c r="C58" s="137">
        <f t="shared" si="10"/>
        <v>468129.98429060978</v>
      </c>
      <c r="D58" s="138">
        <f t="shared" ref="D58:D66" si="11">IF(C57&lt;0.001,0,-IPMT(((1+$D$2/2)^(1/6)-1),B58,$D$3*12,$D$1))</f>
        <v>1359.0204688662132</v>
      </c>
      <c r="E58" s="138">
        <f t="shared" si="9"/>
        <v>1205.9808636672092</v>
      </c>
    </row>
    <row r="59" spans="2:11" x14ac:dyDescent="0.2">
      <c r="B59" s="136">
        <v>41</v>
      </c>
      <c r="C59" s="137">
        <f t="shared" si="10"/>
        <v>466920.51135985105</v>
      </c>
      <c r="D59" s="138">
        <f t="shared" si="11"/>
        <v>1355.5284017746874</v>
      </c>
      <c r="E59" s="138">
        <f t="shared" si="9"/>
        <v>1209.4729307587349</v>
      </c>
    </row>
    <row r="60" spans="2:11" x14ac:dyDescent="0.2">
      <c r="B60" s="136">
        <v>42</v>
      </c>
      <c r="C60" s="137">
        <f t="shared" si="10"/>
        <v>465707.53625028761</v>
      </c>
      <c r="D60" s="138">
        <f t="shared" si="11"/>
        <v>1352.0262229700002</v>
      </c>
      <c r="E60" s="138">
        <f t="shared" si="9"/>
        <v>1212.9751095634222</v>
      </c>
    </row>
    <row r="61" spans="2:11" x14ac:dyDescent="0.2">
      <c r="B61" s="136">
        <v>43</v>
      </c>
      <c r="C61" s="137">
        <f t="shared" si="10"/>
        <v>464491.04882092663</v>
      </c>
      <c r="D61" s="138">
        <f t="shared" si="11"/>
        <v>1348.5139031724323</v>
      </c>
      <c r="E61" s="138">
        <f t="shared" si="9"/>
        <v>1216.4874293609898</v>
      </c>
    </row>
    <row r="62" spans="2:11" x14ac:dyDescent="0.2">
      <c r="B62" s="136">
        <v>44</v>
      </c>
      <c r="C62" s="137">
        <f t="shared" si="10"/>
        <v>463271.03890141071</v>
      </c>
      <c r="D62" s="138">
        <f t="shared" si="11"/>
        <v>1344.9914130174823</v>
      </c>
      <c r="E62" s="138">
        <f t="shared" si="9"/>
        <v>1220.0099195159401</v>
      </c>
    </row>
    <row r="63" spans="2:11" x14ac:dyDescent="0.2">
      <c r="B63" s="136">
        <v>45</v>
      </c>
      <c r="C63" s="137">
        <f t="shared" si="10"/>
        <v>462047.49629193288</v>
      </c>
      <c r="D63" s="138">
        <f t="shared" si="11"/>
        <v>1341.4587230556187</v>
      </c>
      <c r="E63" s="138">
        <f t="shared" si="9"/>
        <v>1223.5426094778034</v>
      </c>
    </row>
    <row r="64" spans="2:11" x14ac:dyDescent="0.2">
      <c r="B64" s="136">
        <v>46</v>
      </c>
      <c r="C64" s="137">
        <f t="shared" si="10"/>
        <v>460820.41076315148</v>
      </c>
      <c r="D64" s="138">
        <f t="shared" si="11"/>
        <v>1337.9158037520367</v>
      </c>
      <c r="E64" s="138">
        <f t="shared" si="9"/>
        <v>1227.0855287813854</v>
      </c>
    </row>
    <row r="65" spans="2:5" x14ac:dyDescent="0.2">
      <c r="B65" s="136">
        <v>47</v>
      </c>
      <c r="C65" s="137">
        <f t="shared" si="10"/>
        <v>459589.77205610444</v>
      </c>
      <c r="D65" s="138">
        <f t="shared" si="11"/>
        <v>1334.3626254864096</v>
      </c>
      <c r="E65" s="138">
        <f t="shared" si="9"/>
        <v>1230.6387070470128</v>
      </c>
    </row>
    <row r="66" spans="2:5" x14ac:dyDescent="0.2">
      <c r="B66" s="136">
        <v>48</v>
      </c>
      <c r="C66" s="137">
        <f t="shared" si="10"/>
        <v>458355.56988212367</v>
      </c>
      <c r="D66" s="138">
        <f t="shared" si="11"/>
        <v>1330.7991585526402</v>
      </c>
      <c r="E66" s="138">
        <f>IF($D$3*12&lt;=B66,C65,-PPMT(((1+$D$2/2)^(1/6)-1),B66,$D$3*12,$D$1))</f>
        <v>1234.2021739807822</v>
      </c>
    </row>
    <row r="67" spans="2:5" ht="13.5" thickBot="1" x14ac:dyDescent="0.25">
      <c r="B67" s="139" t="s">
        <v>88</v>
      </c>
      <c r="C67" s="141"/>
      <c r="D67" s="140">
        <f>SUM(D55:D66)</f>
        <v>16202.529850085888</v>
      </c>
      <c r="E67" s="140">
        <f>SUM(E55:E66)</f>
        <v>14577.486140315181</v>
      </c>
    </row>
    <row r="68" spans="2:5" x14ac:dyDescent="0.2">
      <c r="B68" s="136">
        <v>49</v>
      </c>
      <c r="C68" s="137">
        <f>IF(B68&gt;$D$3*12,0,C66-E68)</f>
        <v>457117.79392274888</v>
      </c>
      <c r="D68" s="138">
        <f>IF(C66&lt;0.001,0,-IPMT(((1+$D$2/2)^(1/6)-1),B68,$D$3*12,$D$1))</f>
        <v>1327.225373158615</v>
      </c>
      <c r="E68" s="138">
        <f>IF($D$3*12&lt;=B68,C66,-PPMT(((1+$D$2/2)^(1/6)-1),B68,$D$3*12,$D$1))</f>
        <v>1237.7759593748074</v>
      </c>
    </row>
    <row r="69" spans="2:5" x14ac:dyDescent="0.2">
      <c r="B69" s="136">
        <v>50</v>
      </c>
      <c r="C69" s="137">
        <f>IF(B69&gt;$D$3*12,0,C68-E69)</f>
        <v>455876.43382964144</v>
      </c>
      <c r="D69" s="138">
        <f>IF(C68&lt;0.001,0,-IPMT(((1+$D$2/2)^(1/6)-1),B69,$D$3*12,$D$1))</f>
        <v>1323.6412394259532</v>
      </c>
      <c r="E69" s="138">
        <f t="shared" ref="E69:E78" si="12">IF($D$3*12&lt;=B69,C68,-PPMT(((1+$D$2/2)^(1/6)-1),B69,$D$3*12,$D$1))</f>
        <v>1241.3600931074691</v>
      </c>
    </row>
    <row r="70" spans="2:5" x14ac:dyDescent="0.2">
      <c r="B70" s="136">
        <v>51</v>
      </c>
      <c r="C70" s="137">
        <f t="shared" ref="C70:C79" si="13">IF(B70&gt;$D$3*12,0,C69-E70)</f>
        <v>454631.47922449774</v>
      </c>
      <c r="D70" s="138">
        <f>IF(C69&lt;0.001,0,-IPMT(((1+$D$2/2)^(1/6)-1),B70,$D$3*12,$D$1))</f>
        <v>1320.0467273897573</v>
      </c>
      <c r="E70" s="138">
        <f t="shared" si="12"/>
        <v>1244.954605143665</v>
      </c>
    </row>
    <row r="71" spans="2:5" x14ac:dyDescent="0.2">
      <c r="B71" s="136">
        <v>52</v>
      </c>
      <c r="C71" s="137">
        <f t="shared" si="13"/>
        <v>453382.91969896271</v>
      </c>
      <c r="D71" s="138">
        <f t="shared" ref="D71:D79" si="14">IF(C70&lt;0.001,0,-IPMT(((1+$D$2/2)^(1/6)-1),B71,$D$3*12,$D$1))</f>
        <v>1316.4418069983626</v>
      </c>
      <c r="E71" s="138">
        <f t="shared" si="12"/>
        <v>1248.5595255350597</v>
      </c>
    </row>
    <row r="72" spans="2:5" x14ac:dyDescent="0.2">
      <c r="B72" s="136">
        <v>53</v>
      </c>
      <c r="C72" s="137">
        <f t="shared" si="13"/>
        <v>452130.74481454236</v>
      </c>
      <c r="D72" s="138">
        <f t="shared" si="14"/>
        <v>1312.8264481130868</v>
      </c>
      <c r="E72" s="138">
        <f t="shared" si="12"/>
        <v>1252.1748844203355</v>
      </c>
    </row>
    <row r="73" spans="2:5" x14ac:dyDescent="0.2">
      <c r="B73" s="136">
        <v>54</v>
      </c>
      <c r="C73" s="137">
        <f t="shared" si="13"/>
        <v>450874.94410251692</v>
      </c>
      <c r="D73" s="138">
        <f t="shared" si="14"/>
        <v>1309.2006205079763</v>
      </c>
      <c r="E73" s="138">
        <f t="shared" si="12"/>
        <v>1255.8007120254458</v>
      </c>
    </row>
    <row r="74" spans="2:5" x14ac:dyDescent="0.2">
      <c r="B74" s="136">
        <v>55</v>
      </c>
      <c r="C74" s="137">
        <f t="shared" si="13"/>
        <v>449615.50706385303</v>
      </c>
      <c r="D74" s="138">
        <f t="shared" si="14"/>
        <v>1305.5642938695562</v>
      </c>
      <c r="E74" s="138">
        <f t="shared" si="12"/>
        <v>1259.4370386638664</v>
      </c>
    </row>
    <row r="75" spans="2:5" x14ac:dyDescent="0.2">
      <c r="B75" s="136">
        <v>56</v>
      </c>
      <c r="C75" s="137">
        <f t="shared" si="13"/>
        <v>448352.4231691162</v>
      </c>
      <c r="D75" s="138">
        <f t="shared" si="14"/>
        <v>1301.9174377965724</v>
      </c>
      <c r="E75" s="138">
        <f t="shared" si="12"/>
        <v>1263.08389473685</v>
      </c>
    </row>
    <row r="76" spans="2:5" x14ac:dyDescent="0.2">
      <c r="B76" s="136">
        <v>57</v>
      </c>
      <c r="C76" s="137">
        <f t="shared" si="13"/>
        <v>447085.68185838254</v>
      </c>
      <c r="D76" s="138">
        <f t="shared" si="14"/>
        <v>1298.2600217997433</v>
      </c>
      <c r="E76" s="138">
        <f t="shared" si="12"/>
        <v>1266.7413107336793</v>
      </c>
    </row>
    <row r="77" spans="2:5" x14ac:dyDescent="0.2">
      <c r="B77" s="136">
        <v>58</v>
      </c>
      <c r="C77" s="137">
        <f t="shared" si="13"/>
        <v>445815.27254115063</v>
      </c>
      <c r="D77" s="138">
        <f t="shared" si="14"/>
        <v>1294.5920153014993</v>
      </c>
      <c r="E77" s="138">
        <f t="shared" si="12"/>
        <v>1270.4093172319231</v>
      </c>
    </row>
    <row r="78" spans="2:5" x14ac:dyDescent="0.2">
      <c r="B78" s="136">
        <v>59</v>
      </c>
      <c r="C78" s="137">
        <f t="shared" si="13"/>
        <v>444541.18459625292</v>
      </c>
      <c r="D78" s="138">
        <f t="shared" si="14"/>
        <v>1290.9133876357307</v>
      </c>
      <c r="E78" s="138">
        <f t="shared" si="12"/>
        <v>1274.0879448976914</v>
      </c>
    </row>
    <row r="79" spans="2:5" x14ac:dyDescent="0.2">
      <c r="B79" s="136">
        <v>60</v>
      </c>
      <c r="C79" s="137">
        <f t="shared" si="13"/>
        <v>443263.40737176704</v>
      </c>
      <c r="D79" s="138">
        <f t="shared" si="14"/>
        <v>1287.2241080475312</v>
      </c>
      <c r="E79" s="138">
        <f>IF($D$3*12&lt;=B79,C78,-PPMT(((1+$D$2/2)^(1/6)-1),B79,$D$3*12,$D$1))</f>
        <v>1277.7772244858911</v>
      </c>
    </row>
    <row r="80" spans="2:5" ht="13.5" thickBot="1" x14ac:dyDescent="0.25">
      <c r="B80" s="139" t="s">
        <v>89</v>
      </c>
      <c r="C80" s="141"/>
      <c r="D80" s="140">
        <f>SUM(D68:D79)</f>
        <v>15687.853480044383</v>
      </c>
      <c r="E80" s="140">
        <f>SUM(E68:E79)</f>
        <v>15092.162510356686</v>
      </c>
    </row>
    <row r="81" spans="2:5" x14ac:dyDescent="0.2">
      <c r="B81" s="136">
        <v>61</v>
      </c>
      <c r="C81" s="137">
        <f>IF(B81&gt;$D$3*12,0,C79-E81)</f>
        <v>441981.93018492655</v>
      </c>
      <c r="D81" s="138">
        <f>IF(C79&lt;0.001,0,-IPMT(((1+$D$2/2)^(1/6)-1),B81,$D$3*12,$D$1))</f>
        <v>1283.5241456929384</v>
      </c>
      <c r="E81" s="138">
        <f>IF($D$3*12&lt;=B81,C79,-PPMT(((1+$D$2/2)^(1/6)-1),B81,$D$3*12,$D$1))</f>
        <v>1281.4771868404839</v>
      </c>
    </row>
    <row r="82" spans="2:5" x14ac:dyDescent="0.2">
      <c r="B82" s="136">
        <v>62</v>
      </c>
      <c r="C82" s="137">
        <f>IF(B82&gt;$D$3*12,0,C81-E82)</f>
        <v>440696.74232203182</v>
      </c>
      <c r="D82" s="138">
        <f>IF(C81&lt;0.001,0,-IPMT(((1+$D$2/2)^(1/6)-1),B82,$D$3*12,$D$1))</f>
        <v>1279.8134696386776</v>
      </c>
      <c r="E82" s="138">
        <f t="shared" ref="E82:E91" si="15">IF($D$3*12&lt;=B82,C81,-PPMT(((1+$D$2/2)^(1/6)-1),B82,$D$3*12,$D$1))</f>
        <v>1285.1878628947447</v>
      </c>
    </row>
    <row r="83" spans="2:5" x14ac:dyDescent="0.2">
      <c r="B83" s="136">
        <v>63</v>
      </c>
      <c r="C83" s="137">
        <f t="shared" ref="C83:C92" si="16">IF(B83&gt;$D$3*12,0,C82-E83)</f>
        <v>439407.83303836029</v>
      </c>
      <c r="D83" s="138">
        <f>IF(C82&lt;0.001,0,-IPMT(((1+$D$2/2)^(1/6)-1),B83,$D$3*12,$D$1))</f>
        <v>1276.0920488619038</v>
      </c>
      <c r="E83" s="138">
        <f t="shared" si="15"/>
        <v>1288.9092836715188</v>
      </c>
    </row>
    <row r="84" spans="2:5" x14ac:dyDescent="0.2">
      <c r="B84" s="136">
        <v>64</v>
      </c>
      <c r="C84" s="137">
        <f t="shared" si="16"/>
        <v>438115.19155807683</v>
      </c>
      <c r="D84" s="138">
        <f t="shared" ref="D84:D92" si="17">IF(C83&lt;0.001,0,-IPMT(((1+$D$2/2)^(1/6)-1),B84,$D$3*12,$D$1))</f>
        <v>1272.3598522499406</v>
      </c>
      <c r="E84" s="138">
        <f t="shared" si="15"/>
        <v>1292.641480283482</v>
      </c>
    </row>
    <row r="85" spans="2:5" x14ac:dyDescent="0.2">
      <c r="B85" s="136">
        <v>65</v>
      </c>
      <c r="C85" s="137">
        <f t="shared" si="16"/>
        <v>436818.80707414343</v>
      </c>
      <c r="D85" s="138">
        <f t="shared" si="17"/>
        <v>1268.6168486000213</v>
      </c>
      <c r="E85" s="138">
        <f t="shared" si="15"/>
        <v>1296.3844839334008</v>
      </c>
    </row>
    <row r="86" spans="2:5" x14ac:dyDescent="0.2">
      <c r="B86" s="136">
        <v>66</v>
      </c>
      <c r="C86" s="137">
        <f t="shared" si="16"/>
        <v>435518.66874822904</v>
      </c>
      <c r="D86" s="138">
        <f t="shared" si="17"/>
        <v>1264.8630066190281</v>
      </c>
      <c r="E86" s="138">
        <f t="shared" si="15"/>
        <v>1300.1383259143943</v>
      </c>
    </row>
    <row r="87" spans="2:5" x14ac:dyDescent="0.2">
      <c r="B87" s="136">
        <v>67</v>
      </c>
      <c r="C87" s="137">
        <f t="shared" si="16"/>
        <v>434214.76571061887</v>
      </c>
      <c r="D87" s="138">
        <f t="shared" si="17"/>
        <v>1261.0982949232298</v>
      </c>
      <c r="E87" s="138">
        <f t="shared" si="15"/>
        <v>1303.9030376101925</v>
      </c>
    </row>
    <row r="88" spans="2:5" x14ac:dyDescent="0.2">
      <c r="B88" s="136">
        <v>68</v>
      </c>
      <c r="C88" s="137">
        <f t="shared" si="16"/>
        <v>432907.08706012345</v>
      </c>
      <c r="D88" s="138">
        <f t="shared" si="17"/>
        <v>1257.3226820380194</v>
      </c>
      <c r="E88" s="138">
        <f t="shared" si="15"/>
        <v>1307.6786504954027</v>
      </c>
    </row>
    <row r="89" spans="2:5" x14ac:dyDescent="0.2">
      <c r="B89" s="136">
        <v>69</v>
      </c>
      <c r="C89" s="137">
        <f t="shared" si="16"/>
        <v>431595.6218639877</v>
      </c>
      <c r="D89" s="138">
        <f t="shared" si="17"/>
        <v>1253.5361363976519</v>
      </c>
      <c r="E89" s="138">
        <f t="shared" si="15"/>
        <v>1311.4651961357702</v>
      </c>
    </row>
    <row r="90" spans="2:5" x14ac:dyDescent="0.2">
      <c r="B90" s="136">
        <v>70</v>
      </c>
      <c r="C90" s="137">
        <f t="shared" si="16"/>
        <v>430280.35915779928</v>
      </c>
      <c r="D90" s="138">
        <f t="shared" si="17"/>
        <v>1249.7386263449794</v>
      </c>
      <c r="E90" s="138">
        <f t="shared" si="15"/>
        <v>1315.262706188443</v>
      </c>
    </row>
    <row r="91" spans="2:5" x14ac:dyDescent="0.2">
      <c r="B91" s="136">
        <v>71</v>
      </c>
      <c r="C91" s="137">
        <f t="shared" si="16"/>
        <v>428961.28794539702</v>
      </c>
      <c r="D91" s="138">
        <f t="shared" si="17"/>
        <v>1245.9301201311866</v>
      </c>
      <c r="E91" s="138">
        <f t="shared" si="15"/>
        <v>1319.0712124022352</v>
      </c>
    </row>
    <row r="92" spans="2:5" x14ac:dyDescent="0.2">
      <c r="B92" s="136">
        <v>72</v>
      </c>
      <c r="C92" s="137">
        <f t="shared" si="16"/>
        <v>427638.3971987791</v>
      </c>
      <c r="D92" s="138">
        <f t="shared" si="17"/>
        <v>1242.1105859155261</v>
      </c>
      <c r="E92" s="138">
        <f>IF($D$3*12&lt;=B92,C91,-PPMT(((1+$D$2/2)^(1/6)-1),B92,$D$3*12,$D$1))</f>
        <v>1322.8907466178962</v>
      </c>
    </row>
    <row r="93" spans="2:5" ht="13.5" thickBot="1" x14ac:dyDescent="0.25">
      <c r="B93" s="139" t="s">
        <v>90</v>
      </c>
      <c r="C93" s="141"/>
      <c r="D93" s="140">
        <f>SUM(D81:D92)</f>
        <v>15155.005817413103</v>
      </c>
      <c r="E93" s="140">
        <f>SUM(E81:E92)</f>
        <v>15625.010172987964</v>
      </c>
    </row>
    <row r="94" spans="2:5" x14ac:dyDescent="0.2">
      <c r="B94" s="136">
        <v>73</v>
      </c>
      <c r="C94" s="137">
        <f>IF(B94&gt;$D$3*12,0,C92-E94)</f>
        <v>426311.67585801071</v>
      </c>
      <c r="D94" s="138">
        <f>IF(C92&lt;0.001,0,-IPMT(((1+$D$2/2)^(1/6)-1),B94,$D$3*12,$D$1))</f>
        <v>1238.2799917650514</v>
      </c>
      <c r="E94" s="138">
        <f>IF($D$3*12&lt;=B94,C92,-PPMT(((1+$D$2/2)^(1/6)-1),B94,$D$3*12,$D$1))</f>
        <v>1326.721340768371</v>
      </c>
    </row>
    <row r="95" spans="2:5" x14ac:dyDescent="0.2">
      <c r="B95" s="136">
        <v>74</v>
      </c>
      <c r="C95" s="137">
        <f>IF(B95&gt;$D$3*12,0,C94-E95)</f>
        <v>424981.11283113161</v>
      </c>
      <c r="D95" s="138">
        <f>IF(C94&lt;0.001,0,-IPMT(((1+$D$2/2)^(1/6)-1),B95,$D$3*12,$D$1))</f>
        <v>1234.4383056543502</v>
      </c>
      <c r="E95" s="138">
        <f t="shared" ref="E95:E104" si="18">IF($D$3*12&lt;=B95,C94,-PPMT(((1+$D$2/2)^(1/6)-1),B95,$D$3*12,$D$1))</f>
        <v>1330.5630268790724</v>
      </c>
    </row>
    <row r="96" spans="2:5" x14ac:dyDescent="0.2">
      <c r="B96" s="136">
        <v>75</v>
      </c>
      <c r="C96" s="137">
        <f t="shared" ref="C96:C105" si="19">IF(B96&gt;$D$3*12,0,C95-E96)</f>
        <v>423646.69699406344</v>
      </c>
      <c r="D96" s="138">
        <f>IF(C95&lt;0.001,0,-IPMT(((1+$D$2/2)^(1/6)-1),B96,$D$3*12,$D$1))</f>
        <v>1230.5854954652759</v>
      </c>
      <c r="E96" s="138">
        <f t="shared" si="18"/>
        <v>1334.4158370681462</v>
      </c>
    </row>
    <row r="97" spans="2:5" x14ac:dyDescent="0.2">
      <c r="B97" s="136">
        <v>76</v>
      </c>
      <c r="C97" s="137">
        <f t="shared" si="19"/>
        <v>422308.41719051672</v>
      </c>
      <c r="D97" s="138">
        <f t="shared" ref="D97:D105" si="20">IF(C96&lt;0.001,0,-IPMT(((1+$D$2/2)^(1/6)-1),B97,$D$3*12,$D$1))</f>
        <v>1226.7215289866817</v>
      </c>
      <c r="E97" s="138">
        <f t="shared" si="18"/>
        <v>1338.2798035467406</v>
      </c>
    </row>
    <row r="98" spans="2:5" x14ac:dyDescent="0.2">
      <c r="B98" s="136">
        <v>77</v>
      </c>
      <c r="C98" s="137">
        <f t="shared" si="19"/>
        <v>420966.26223189745</v>
      </c>
      <c r="D98" s="138">
        <f t="shared" si="20"/>
        <v>1222.8463739141475</v>
      </c>
      <c r="E98" s="138">
        <f t="shared" si="18"/>
        <v>1342.1549586192748</v>
      </c>
    </row>
    <row r="99" spans="2:5" x14ac:dyDescent="0.2">
      <c r="B99" s="136">
        <v>78</v>
      </c>
      <c r="C99" s="137">
        <f t="shared" si="19"/>
        <v>419620.22089721373</v>
      </c>
      <c r="D99" s="138">
        <f t="shared" si="20"/>
        <v>1218.9599978497131</v>
      </c>
      <c r="E99" s="138">
        <f t="shared" si="18"/>
        <v>1346.041334683709</v>
      </c>
    </row>
    <row r="100" spans="2:5" x14ac:dyDescent="0.2">
      <c r="B100" s="136">
        <v>79</v>
      </c>
      <c r="C100" s="137">
        <f t="shared" si="19"/>
        <v>418270.28193298192</v>
      </c>
      <c r="D100" s="138">
        <f t="shared" si="20"/>
        <v>1215.0623683016051</v>
      </c>
      <c r="E100" s="138">
        <f t="shared" si="18"/>
        <v>1349.9389642318174</v>
      </c>
    </row>
    <row r="101" spans="2:5" x14ac:dyDescent="0.2">
      <c r="B101" s="136">
        <v>80</v>
      </c>
      <c r="C101" s="137">
        <f t="shared" si="19"/>
        <v>416916.43405313249</v>
      </c>
      <c r="D101" s="138">
        <f t="shared" si="20"/>
        <v>1211.1534526839664</v>
      </c>
      <c r="E101" s="138">
        <f t="shared" si="18"/>
        <v>1353.8478798494561</v>
      </c>
    </row>
    <row r="102" spans="2:5" x14ac:dyDescent="0.2">
      <c r="B102" s="136">
        <v>81</v>
      </c>
      <c r="C102" s="137">
        <f t="shared" si="19"/>
        <v>415558.66593891563</v>
      </c>
      <c r="D102" s="138">
        <f t="shared" si="20"/>
        <v>1207.2332183165834</v>
      </c>
      <c r="E102" s="138">
        <f t="shared" si="18"/>
        <v>1357.7681142168387</v>
      </c>
    </row>
    <row r="103" spans="2:5" x14ac:dyDescent="0.2">
      <c r="B103" s="136">
        <v>82</v>
      </c>
      <c r="C103" s="137">
        <f t="shared" si="19"/>
        <v>414196.96623880684</v>
      </c>
      <c r="D103" s="138">
        <f t="shared" si="20"/>
        <v>1203.3016324246134</v>
      </c>
      <c r="E103" s="138">
        <f t="shared" si="18"/>
        <v>1361.6997001088087</v>
      </c>
    </row>
    <row r="104" spans="2:5" x14ac:dyDescent="0.2">
      <c r="B104" s="136">
        <v>83</v>
      </c>
      <c r="C104" s="137">
        <f t="shared" si="19"/>
        <v>412831.32356841175</v>
      </c>
      <c r="D104" s="138">
        <f t="shared" si="20"/>
        <v>1199.3586621383104</v>
      </c>
      <c r="E104" s="138">
        <f t="shared" si="18"/>
        <v>1365.6426703951122</v>
      </c>
    </row>
    <row r="105" spans="2:5" x14ac:dyDescent="0.2">
      <c r="B105" s="136">
        <v>84</v>
      </c>
      <c r="C105" s="137">
        <f t="shared" si="19"/>
        <v>411461.72651037108</v>
      </c>
      <c r="D105" s="138">
        <f t="shared" si="20"/>
        <v>1195.4042744927478</v>
      </c>
      <c r="E105" s="138">
        <f>IF($D$3*12&lt;=B105,C104,-PPMT(((1+$D$2/2)^(1/6)-1),B105,$D$3*12,$D$1))</f>
        <v>1369.597058040674</v>
      </c>
    </row>
    <row r="106" spans="2:5" ht="13.5" thickBot="1" x14ac:dyDescent="0.25">
      <c r="B106" s="139" t="s">
        <v>91</v>
      </c>
      <c r="C106" s="141"/>
      <c r="D106" s="140">
        <f>SUM(D94:D105)</f>
        <v>14603.345301993048</v>
      </c>
      <c r="E106" s="140">
        <f>SUM(E94:E105)</f>
        <v>16176.670688408023</v>
      </c>
    </row>
    <row r="107" spans="2:5" x14ac:dyDescent="0.2">
      <c r="B107" s="136">
        <v>85</v>
      </c>
      <c r="C107" s="137">
        <f>IF(B107&gt;$D$3*12,0,C105-E107)</f>
        <v>410088.16361426521</v>
      </c>
      <c r="D107" s="138">
        <f>IF(C105&lt;0.001,0,-IPMT(((1+$D$2/2)^(1/6)-1),B107,$D$3*12,$D$1))</f>
        <v>1191.4384364275481</v>
      </c>
      <c r="E107" s="138">
        <f>IF($D$3*12&lt;=B107,C105,-PPMT(((1+$D$2/2)^(1/6)-1),B107,$D$3*12,$D$1))</f>
        <v>1373.5628961058742</v>
      </c>
    </row>
    <row r="108" spans="2:5" x14ac:dyDescent="0.2">
      <c r="B108" s="136">
        <v>86</v>
      </c>
      <c r="C108" s="137">
        <f>IF(B108&gt;$D$3*12,0,C107-E108)</f>
        <v>408710.62339651841</v>
      </c>
      <c r="D108" s="138">
        <f>IF(C107&lt;0.001,0,-IPMT(((1+$D$2/2)^(1/6)-1),B108,$D$3*12,$D$1))</f>
        <v>1187.4611147866005</v>
      </c>
      <c r="E108" s="138">
        <f t="shared" ref="E108:E117" si="21">IF($D$3*12&lt;=B108,C107,-PPMT(((1+$D$2/2)^(1/6)-1),B108,$D$3*12,$D$1))</f>
        <v>1377.5402177468213</v>
      </c>
    </row>
    <row r="109" spans="2:5" x14ac:dyDescent="0.2">
      <c r="B109" s="136">
        <v>87</v>
      </c>
      <c r="C109" s="137">
        <f t="shared" ref="C109:C118" si="22">IF(B109&gt;$D$3*12,0,C108-E109)</f>
        <v>407329.09434030275</v>
      </c>
      <c r="D109" s="138">
        <f>IF(C108&lt;0.001,0,-IPMT(((1+$D$2/2)^(1/6)-1),B109,$D$3*12,$D$1))</f>
        <v>1183.4722763177886</v>
      </c>
      <c r="E109" s="138">
        <f t="shared" si="21"/>
        <v>1381.5290562156335</v>
      </c>
    </row>
    <row r="110" spans="2:5" x14ac:dyDescent="0.2">
      <c r="B110" s="136">
        <v>88</v>
      </c>
      <c r="C110" s="137">
        <f t="shared" si="22"/>
        <v>405943.56489544205</v>
      </c>
      <c r="D110" s="138">
        <f t="shared" ref="D110:D118" si="23">IF(C109&lt;0.001,0,-IPMT(((1+$D$2/2)^(1/6)-1),B110,$D$3*12,$D$1))</f>
        <v>1179.4718876727093</v>
      </c>
      <c r="E110" s="138">
        <f t="shared" si="21"/>
        <v>1385.5294448607128</v>
      </c>
    </row>
    <row r="111" spans="2:5" x14ac:dyDescent="0.2">
      <c r="B111" s="136">
        <v>89</v>
      </c>
      <c r="C111" s="137">
        <f t="shared" si="22"/>
        <v>404554.02347831504</v>
      </c>
      <c r="D111" s="138">
        <f t="shared" si="23"/>
        <v>1175.459915406396</v>
      </c>
      <c r="E111" s="138">
        <f t="shared" si="21"/>
        <v>1389.5414171270265</v>
      </c>
    </row>
    <row r="112" spans="2:5" x14ac:dyDescent="0.2">
      <c r="B112" s="136">
        <v>90</v>
      </c>
      <c r="C112" s="137">
        <f t="shared" si="22"/>
        <v>403160.45847175864</v>
      </c>
      <c r="D112" s="138">
        <f t="shared" si="23"/>
        <v>1171.4363259770364</v>
      </c>
      <c r="E112" s="138">
        <f t="shared" si="21"/>
        <v>1393.5650065563859</v>
      </c>
    </row>
    <row r="113" spans="2:5" x14ac:dyDescent="0.2">
      <c r="B113" s="136">
        <v>91</v>
      </c>
      <c r="C113" s="137">
        <f t="shared" si="22"/>
        <v>401762.85822497093</v>
      </c>
      <c r="D113" s="138">
        <f t="shared" si="23"/>
        <v>1167.4010857456954</v>
      </c>
      <c r="E113" s="138">
        <f t="shared" si="21"/>
        <v>1397.6002467877272</v>
      </c>
    </row>
    <row r="114" spans="2:5" x14ac:dyDescent="0.2">
      <c r="B114" s="136">
        <v>92</v>
      </c>
      <c r="C114" s="137">
        <f t="shared" si="22"/>
        <v>400361.21105341351</v>
      </c>
      <c r="D114" s="138">
        <f t="shared" si="23"/>
        <v>1163.3541609760314</v>
      </c>
      <c r="E114" s="138">
        <f t="shared" si="21"/>
        <v>1401.6471715573909</v>
      </c>
    </row>
    <row r="115" spans="2:5" x14ac:dyDescent="0.2">
      <c r="B115" s="136">
        <v>93</v>
      </c>
      <c r="C115" s="137">
        <f t="shared" si="22"/>
        <v>398955.5052387141</v>
      </c>
      <c r="D115" s="138">
        <f t="shared" si="23"/>
        <v>1159.2955178340151</v>
      </c>
      <c r="E115" s="138">
        <f t="shared" si="21"/>
        <v>1405.7058146994073</v>
      </c>
    </row>
    <row r="116" spans="2:5" x14ac:dyDescent="0.2">
      <c r="B116" s="136">
        <v>94</v>
      </c>
      <c r="C116" s="137">
        <f t="shared" si="22"/>
        <v>397545.72902856831</v>
      </c>
      <c r="D116" s="138">
        <f t="shared" si="23"/>
        <v>1155.2251223876472</v>
      </c>
      <c r="E116" s="138">
        <f t="shared" si="21"/>
        <v>1409.7762101457752</v>
      </c>
    </row>
    <row r="117" spans="2:5" x14ac:dyDescent="0.2">
      <c r="B117" s="136">
        <v>95</v>
      </c>
      <c r="C117" s="137">
        <f t="shared" si="22"/>
        <v>396131.87063664157</v>
      </c>
      <c r="D117" s="138">
        <f t="shared" si="23"/>
        <v>1151.1429406066729</v>
      </c>
      <c r="E117" s="138">
        <f t="shared" si="21"/>
        <v>1413.8583919267494</v>
      </c>
    </row>
    <row r="118" spans="2:5" x14ac:dyDescent="0.2">
      <c r="B118" s="136">
        <v>96</v>
      </c>
      <c r="C118" s="137">
        <f t="shared" si="22"/>
        <v>394713.91824247048</v>
      </c>
      <c r="D118" s="138">
        <f t="shared" si="23"/>
        <v>1147.0489383622996</v>
      </c>
      <c r="E118" s="138">
        <f>IF($D$3*12&lt;=B118,C117,-PPMT(((1+$D$2/2)^(1/6)-1),B118,$D$3*12,$D$1))</f>
        <v>1417.9523941711227</v>
      </c>
    </row>
    <row r="119" spans="2:5" ht="13.5" thickBot="1" x14ac:dyDescent="0.25">
      <c r="B119" s="139" t="s">
        <v>92</v>
      </c>
      <c r="C119" s="141"/>
      <c r="D119" s="140">
        <f>SUM(D107:D118)</f>
        <v>14032.207722500438</v>
      </c>
      <c r="E119" s="140">
        <f>SUM(E107:E118)</f>
        <v>16747.808267900629</v>
      </c>
    </row>
    <row r="120" spans="2:5" x14ac:dyDescent="0.2">
      <c r="B120" s="136">
        <v>97</v>
      </c>
      <c r="C120" s="137">
        <f>IF(B120&gt;$D$3*12,0,C118-E120)</f>
        <v>393291.85999136395</v>
      </c>
      <c r="D120" s="138">
        <f>IF(C118&lt;0.001,0,-IPMT(((1+$D$2/2)^(1/6)-1),B120,$D$3*12,$D$1))</f>
        <v>1142.9430814269099</v>
      </c>
      <c r="E120" s="138">
        <f>IF($D$3*12&lt;=B120,C118,-PPMT(((1+$D$2/2)^(1/6)-1),B120,$D$3*12,$D$1))</f>
        <v>1422.0582511065122</v>
      </c>
    </row>
    <row r="121" spans="2:5" x14ac:dyDescent="0.2">
      <c r="B121" s="136">
        <v>98</v>
      </c>
      <c r="C121" s="137">
        <f>IF(B121&gt;$D$3*12,0,C120-E121)</f>
        <v>391865.68399430433</v>
      </c>
      <c r="D121" s="138">
        <f>IF(C120&lt;0.001,0,-IPMT(((1+$D$2/2)^(1/6)-1),B121,$D$3*12,$D$1))</f>
        <v>1138.8253354737769</v>
      </c>
      <c r="E121" s="138">
        <f t="shared" ref="E121:E130" si="24">IF($D$3*12&lt;=B121,C120,-PPMT(((1+$D$2/2)^(1/6)-1),B121,$D$3*12,$D$1))</f>
        <v>1426.1759970596452</v>
      </c>
    </row>
    <row r="122" spans="2:5" x14ac:dyDescent="0.2">
      <c r="B122" s="136">
        <v>99</v>
      </c>
      <c r="C122" s="137">
        <f t="shared" ref="C122:C131" si="25">IF(B122&gt;$D$3*12,0,C121-E122)</f>
        <v>390435.37832784769</v>
      </c>
      <c r="D122" s="138">
        <f>IF(C121&lt;0.001,0,-IPMT(((1+$D$2/2)^(1/6)-1),B122,$D$3*12,$D$1))</f>
        <v>1134.6956660767755</v>
      </c>
      <c r="E122" s="138">
        <f t="shared" si="24"/>
        <v>1430.3056664566468</v>
      </c>
    </row>
    <row r="123" spans="2:5" x14ac:dyDescent="0.2">
      <c r="B123" s="136">
        <v>100</v>
      </c>
      <c r="C123" s="137">
        <f t="shared" si="25"/>
        <v>389000.93103402434</v>
      </c>
      <c r="D123" s="138">
        <f t="shared" ref="D123:D131" si="26">IF(C122&lt;0.001,0,-IPMT(((1+$D$2/2)^(1/6)-1),B123,$D$3*12,$D$1))</f>
        <v>1130.5540387100959</v>
      </c>
      <c r="E123" s="138">
        <f t="shared" si="24"/>
        <v>1434.4472938233264</v>
      </c>
    </row>
    <row r="124" spans="2:5" x14ac:dyDescent="0.2">
      <c r="B124" s="136">
        <v>101</v>
      </c>
      <c r="C124" s="137">
        <f t="shared" si="25"/>
        <v>387562.33012023888</v>
      </c>
      <c r="D124" s="138">
        <f t="shared" si="26"/>
        <v>1126.4004187479545</v>
      </c>
      <c r="E124" s="138">
        <f t="shared" si="24"/>
        <v>1438.6009137854674</v>
      </c>
    </row>
    <row r="125" spans="2:5" x14ac:dyDescent="0.2">
      <c r="B125" s="136">
        <v>102</v>
      </c>
      <c r="C125" s="137">
        <f t="shared" si="25"/>
        <v>386119.56355916976</v>
      </c>
      <c r="D125" s="138">
        <f t="shared" si="26"/>
        <v>1122.2347714643047</v>
      </c>
      <c r="E125" s="138">
        <f t="shared" si="24"/>
        <v>1442.7665610691176</v>
      </c>
    </row>
    <row r="126" spans="2:5" x14ac:dyDescent="0.2">
      <c r="B126" s="136">
        <v>103</v>
      </c>
      <c r="C126" s="137">
        <f t="shared" si="25"/>
        <v>384672.61928866891</v>
      </c>
      <c r="D126" s="138">
        <f t="shared" si="26"/>
        <v>1118.0570620325461</v>
      </c>
      <c r="E126" s="138">
        <f t="shared" si="24"/>
        <v>1446.9442705008762</v>
      </c>
    </row>
    <row r="127" spans="2:5" x14ac:dyDescent="0.2">
      <c r="B127" s="136">
        <v>104</v>
      </c>
      <c r="C127" s="137">
        <f t="shared" si="25"/>
        <v>383221.48521166074</v>
      </c>
      <c r="D127" s="138">
        <f t="shared" si="26"/>
        <v>1113.8672555252331</v>
      </c>
      <c r="E127" s="138">
        <f t="shared" si="24"/>
        <v>1451.1340770081893</v>
      </c>
    </row>
    <row r="128" spans="2:5" x14ac:dyDescent="0.2">
      <c r="B128" s="136">
        <v>105</v>
      </c>
      <c r="C128" s="137">
        <f t="shared" si="25"/>
        <v>381766.14919604111</v>
      </c>
      <c r="D128" s="138">
        <f t="shared" si="26"/>
        <v>1109.6653169137844</v>
      </c>
      <c r="E128" s="138">
        <f t="shared" si="24"/>
        <v>1455.3360156196379</v>
      </c>
    </row>
    <row r="129" spans="2:5" x14ac:dyDescent="0.2">
      <c r="B129" s="136">
        <v>106</v>
      </c>
      <c r="C129" s="137">
        <f t="shared" si="25"/>
        <v>380306.59907457588</v>
      </c>
      <c r="D129" s="138">
        <f t="shared" si="26"/>
        <v>1105.4512110681876</v>
      </c>
      <c r="E129" s="138">
        <f t="shared" si="24"/>
        <v>1459.5501214652343</v>
      </c>
    </row>
    <row r="130" spans="2:5" x14ac:dyDescent="0.2">
      <c r="B130" s="136">
        <v>107</v>
      </c>
      <c r="C130" s="137">
        <f t="shared" si="25"/>
        <v>378842.82264479919</v>
      </c>
      <c r="D130" s="138">
        <f t="shared" si="26"/>
        <v>1101.2249027567093</v>
      </c>
      <c r="E130" s="138">
        <f t="shared" si="24"/>
        <v>1463.776429776713</v>
      </c>
    </row>
    <row r="131" spans="2:5" x14ac:dyDescent="0.2">
      <c r="B131" s="136">
        <v>108</v>
      </c>
      <c r="C131" s="137">
        <f t="shared" si="25"/>
        <v>377374.80766891135</v>
      </c>
      <c r="D131" s="138">
        <f t="shared" si="26"/>
        <v>1096.9863566455952</v>
      </c>
      <c r="E131" s="138">
        <f>IF($D$3*12&lt;=B131,C130,-PPMT(((1+$D$2/2)^(1/6)-1),B131,$D$3*12,$D$1))</f>
        <v>1468.0149758878269</v>
      </c>
    </row>
    <row r="132" spans="2:5" ht="13.5" thickBot="1" x14ac:dyDescent="0.25">
      <c r="B132" s="139" t="s">
        <v>93</v>
      </c>
      <c r="C132" s="141"/>
      <c r="D132" s="140">
        <f>SUM(D120:D131)</f>
        <v>13440.905416841873</v>
      </c>
      <c r="E132" s="140">
        <f>SUM(E120:E131)</f>
        <v>17339.110573559192</v>
      </c>
    </row>
    <row r="133" spans="2:5" x14ac:dyDescent="0.2">
      <c r="B133" s="136">
        <v>109</v>
      </c>
      <c r="C133" s="137">
        <f>IF(B133&gt;$D$3*12,0,C131-E133)</f>
        <v>375902.5418736767</v>
      </c>
      <c r="D133" s="138">
        <f>IF(C131&lt;0.001,0,-IPMT(((1+$D$2/2)^(1/6)-1),B133,$D$3*12,$D$1))</f>
        <v>1092.7355372987806</v>
      </c>
      <c r="E133" s="138">
        <f>IF($D$3*12&lt;=B133,C131,-PPMT(((1+$D$2/2)^(1/6)-1),B133,$D$3*12,$D$1))</f>
        <v>1472.2657952346417</v>
      </c>
    </row>
    <row r="134" spans="2:5" x14ac:dyDescent="0.2">
      <c r="B134" s="136">
        <v>110</v>
      </c>
      <c r="C134" s="137">
        <f>IF(B134&gt;$D$3*12,0,C133-E134)</f>
        <v>374426.01295032084</v>
      </c>
      <c r="D134" s="138">
        <f>IF(C133&lt;0.001,0,-IPMT(((1+$D$2/2)^(1/6)-1),B134,$D$3*12,$D$1))</f>
        <v>1088.47240917759</v>
      </c>
      <c r="E134" s="138">
        <f t="shared" ref="E134:E143" si="27">IF($D$3*12&lt;=B134,C133,-PPMT(((1+$D$2/2)^(1/6)-1),B134,$D$3*12,$D$1))</f>
        <v>1476.5289233558324</v>
      </c>
    </row>
    <row r="135" spans="2:5" x14ac:dyDescent="0.2">
      <c r="B135" s="136">
        <v>111</v>
      </c>
      <c r="C135" s="137">
        <f t="shared" ref="C135:C144" si="28">IF(B135&gt;$D$3*12,0,C134-E135)</f>
        <v>372945.20855442784</v>
      </c>
      <c r="D135" s="138">
        <f>IF(C134&lt;0.001,0,-IPMT(((1+$D$2/2)^(1/6)-1),B135,$D$3*12,$D$1))</f>
        <v>1084.1969366404403</v>
      </c>
      <c r="E135" s="138">
        <f t="shared" si="27"/>
        <v>1480.8043958929818</v>
      </c>
    </row>
    <row r="136" spans="2:5" x14ac:dyDescent="0.2">
      <c r="B136" s="136">
        <v>112</v>
      </c>
      <c r="C136" s="137">
        <f t="shared" si="28"/>
        <v>371460.11630583694</v>
      </c>
      <c r="D136" s="138">
        <f t="shared" ref="D136:D144" si="29">IF(C135&lt;0.001,0,-IPMT(((1+$D$2/2)^(1/6)-1),B136,$D$3*12,$D$1))</f>
        <v>1079.9090839425464</v>
      </c>
      <c r="E136" s="138">
        <f t="shared" si="27"/>
        <v>1485.0922485908764</v>
      </c>
    </row>
    <row r="137" spans="2:5" x14ac:dyDescent="0.2">
      <c r="B137" s="136">
        <v>113</v>
      </c>
      <c r="C137" s="137">
        <f t="shared" si="28"/>
        <v>369970.72378853912</v>
      </c>
      <c r="D137" s="138">
        <f t="shared" si="29"/>
        <v>1075.6088152356165</v>
      </c>
      <c r="E137" s="138">
        <f t="shared" si="27"/>
        <v>1489.3925172978059</v>
      </c>
    </row>
    <row r="138" spans="2:5" x14ac:dyDescent="0.2">
      <c r="B138" s="136">
        <v>114</v>
      </c>
      <c r="C138" s="137">
        <f t="shared" si="28"/>
        <v>368477.01855057327</v>
      </c>
      <c r="D138" s="138">
        <f t="shared" si="29"/>
        <v>1071.2960945675584</v>
      </c>
      <c r="E138" s="138">
        <f t="shared" si="27"/>
        <v>1493.7052379658639</v>
      </c>
    </row>
    <row r="139" spans="2:5" x14ac:dyDescent="0.2">
      <c r="B139" s="136">
        <v>115</v>
      </c>
      <c r="C139" s="137">
        <f t="shared" si="28"/>
        <v>366978.98810392199</v>
      </c>
      <c r="D139" s="138">
        <f t="shared" si="29"/>
        <v>1066.9708858821746</v>
      </c>
      <c r="E139" s="138">
        <f t="shared" si="27"/>
        <v>1498.0304466512478</v>
      </c>
    </row>
    <row r="140" spans="2:5" x14ac:dyDescent="0.2">
      <c r="B140" s="136">
        <v>116</v>
      </c>
      <c r="C140" s="137">
        <f t="shared" si="28"/>
        <v>365476.61992440745</v>
      </c>
      <c r="D140" s="138">
        <f t="shared" si="29"/>
        <v>1062.6331530188629</v>
      </c>
      <c r="E140" s="138">
        <f t="shared" si="27"/>
        <v>1502.3681795145594</v>
      </c>
    </row>
    <row r="141" spans="2:5" x14ac:dyDescent="0.2">
      <c r="B141" s="136">
        <v>117</v>
      </c>
      <c r="C141" s="137">
        <f t="shared" si="28"/>
        <v>363969.90145158634</v>
      </c>
      <c r="D141" s="138">
        <f t="shared" si="29"/>
        <v>1058.2828597123132</v>
      </c>
      <c r="E141" s="138">
        <f t="shared" si="27"/>
        <v>1506.7184728211089</v>
      </c>
    </row>
    <row r="142" spans="2:5" x14ac:dyDescent="0.2">
      <c r="B142" s="136">
        <v>118</v>
      </c>
      <c r="C142" s="137">
        <f t="shared" si="28"/>
        <v>362458.82008864509</v>
      </c>
      <c r="D142" s="138">
        <f t="shared" si="29"/>
        <v>1053.9199695922059</v>
      </c>
      <c r="E142" s="138">
        <f t="shared" si="27"/>
        <v>1511.0813629412164</v>
      </c>
    </row>
    <row r="143" spans="2:5" x14ac:dyDescent="0.2">
      <c r="B143" s="136">
        <v>119</v>
      </c>
      <c r="C143" s="137">
        <f t="shared" si="28"/>
        <v>360943.36320229457</v>
      </c>
      <c r="D143" s="138">
        <f t="shared" si="29"/>
        <v>1049.5444461829047</v>
      </c>
      <c r="E143" s="138">
        <f t="shared" si="27"/>
        <v>1515.4568863505176</v>
      </c>
    </row>
    <row r="144" spans="2:5" x14ac:dyDescent="0.2">
      <c r="B144" s="136">
        <v>120</v>
      </c>
      <c r="C144" s="137">
        <f t="shared" si="28"/>
        <v>359423.5181226643</v>
      </c>
      <c r="D144" s="138">
        <f t="shared" si="29"/>
        <v>1045.1562529031555</v>
      </c>
      <c r="E144" s="138">
        <f>IF($D$3*12&lt;=B144,C143,-PPMT(((1+$D$2/2)^(1/6)-1),B144,$D$3*12,$D$1))</f>
        <v>1519.8450796302668</v>
      </c>
    </row>
    <row r="145" spans="2:5" ht="13.5" thickBot="1" x14ac:dyDescent="0.25">
      <c r="B145" s="139" t="s">
        <v>94</v>
      </c>
      <c r="C145" s="141"/>
      <c r="D145" s="140">
        <f>SUM(D133:D144)</f>
        <v>12828.72644415415</v>
      </c>
      <c r="E145" s="140">
        <f>SUM(E133:E144)</f>
        <v>17951.289546246924</v>
      </c>
    </row>
    <row r="146" spans="2:5" x14ac:dyDescent="0.2">
      <c r="B146" s="136">
        <v>121</v>
      </c>
      <c r="C146" s="137">
        <f>IF(B146&gt;$D$3*12,0,C144-E146)</f>
        <v>357899.27214319666</v>
      </c>
      <c r="D146" s="138">
        <f>IF(C144&lt;0.001,0,-IPMT(((1+$D$2/2)^(1/6)-1),B146,$D$3*12,$D$1))</f>
        <v>1040.7553530657774</v>
      </c>
      <c r="E146" s="138">
        <f>IF($D$3*12&lt;=B146,C144,-PPMT(((1+$D$2/2)^(1/6)-1),B146,$D$3*12,$D$1))</f>
        <v>1524.2459794676445</v>
      </c>
    </row>
    <row r="147" spans="2:5" x14ac:dyDescent="0.2">
      <c r="B147" s="136">
        <v>122</v>
      </c>
      <c r="C147" s="137">
        <f>IF(B147&gt;$D$3*12,0,C146-E147)</f>
        <v>356370.6125205406</v>
      </c>
      <c r="D147" s="138">
        <f>IF(C146&lt;0.001,0,-IPMT(((1+$D$2/2)^(1/6)-1),B147,$D$3*12,$D$1))</f>
        <v>1036.3417098773577</v>
      </c>
      <c r="E147" s="138">
        <f t="shared" ref="E147:E156" si="30">IF($D$3*12&lt;=B147,C146,-PPMT(((1+$D$2/2)^(1/6)-1),B147,$D$3*12,$D$1))</f>
        <v>1528.6596226560646</v>
      </c>
    </row>
    <row r="148" spans="2:5" x14ac:dyDescent="0.2">
      <c r="B148" s="136">
        <v>123</v>
      </c>
      <c r="C148" s="137">
        <f t="shared" ref="C148:C157" si="31">IF(B148&gt;$D$3*12,0,C147-E148)</f>
        <v>354837.52647444513</v>
      </c>
      <c r="D148" s="138">
        <f>IF(C147&lt;0.001,0,-IPMT(((1+$D$2/2)^(1/6)-1),B148,$D$3*12,$D$1))</f>
        <v>1031.9152864379439</v>
      </c>
      <c r="E148" s="138">
        <f t="shared" si="30"/>
        <v>1533.0860460954782</v>
      </c>
    </row>
    <row r="149" spans="2:5" x14ac:dyDescent="0.2">
      <c r="B149" s="136">
        <v>124</v>
      </c>
      <c r="C149" s="137">
        <f t="shared" si="31"/>
        <v>353300.00118765247</v>
      </c>
      <c r="D149" s="138">
        <f t="shared" ref="D149:D157" si="32">IF(C148&lt;0.001,0,-IPMT(((1+$D$2/2)^(1/6)-1),B149,$D$3*12,$D$1))</f>
        <v>1027.4760457407344</v>
      </c>
      <c r="E149" s="138">
        <f t="shared" si="30"/>
        <v>1537.5252867926879</v>
      </c>
    </row>
    <row r="150" spans="2:5" x14ac:dyDescent="0.2">
      <c r="B150" s="136">
        <v>125</v>
      </c>
      <c r="C150" s="137">
        <f t="shared" si="31"/>
        <v>351758.02380579081</v>
      </c>
      <c r="D150" s="138">
        <f t="shared" si="32"/>
        <v>1023.023950671771</v>
      </c>
      <c r="E150" s="138">
        <f t="shared" si="30"/>
        <v>1541.9773818616516</v>
      </c>
    </row>
    <row r="151" spans="2:5" x14ac:dyDescent="0.2">
      <c r="B151" s="136">
        <v>126</v>
      </c>
      <c r="C151" s="137">
        <f t="shared" si="31"/>
        <v>350211.58143726701</v>
      </c>
      <c r="D151" s="138">
        <f t="shared" si="32"/>
        <v>1018.5589640096259</v>
      </c>
      <c r="E151" s="138">
        <f t="shared" si="30"/>
        <v>1546.4423685237964</v>
      </c>
    </row>
    <row r="152" spans="2:5" x14ac:dyDescent="0.2">
      <c r="B152" s="136">
        <v>127</v>
      </c>
      <c r="C152" s="137">
        <f t="shared" si="31"/>
        <v>348660.6611531587</v>
      </c>
      <c r="D152" s="138">
        <f t="shared" si="32"/>
        <v>1014.081048425094</v>
      </c>
      <c r="E152" s="138">
        <f t="shared" si="30"/>
        <v>1550.9202841083281</v>
      </c>
    </row>
    <row r="153" spans="2:5" x14ac:dyDescent="0.2">
      <c r="B153" s="136">
        <v>128</v>
      </c>
      <c r="C153" s="137">
        <f t="shared" si="31"/>
        <v>347105.24998710613</v>
      </c>
      <c r="D153" s="138">
        <f t="shared" si="32"/>
        <v>1009.5901664808767</v>
      </c>
      <c r="E153" s="138">
        <f t="shared" si="30"/>
        <v>1555.4111660525457</v>
      </c>
    </row>
    <row r="154" spans="2:5" x14ac:dyDescent="0.2">
      <c r="B154" s="136">
        <v>129</v>
      </c>
      <c r="C154" s="137">
        <f t="shared" si="31"/>
        <v>345545.33493520401</v>
      </c>
      <c r="D154" s="138">
        <f t="shared" si="32"/>
        <v>1005.0862806312731</v>
      </c>
      <c r="E154" s="138">
        <f t="shared" si="30"/>
        <v>1559.9150519021491</v>
      </c>
    </row>
    <row r="155" spans="2:5" x14ac:dyDescent="0.2">
      <c r="B155" s="136">
        <v>130</v>
      </c>
      <c r="C155" s="137">
        <f t="shared" si="31"/>
        <v>343980.90295589244</v>
      </c>
      <c r="D155" s="138">
        <f t="shared" si="32"/>
        <v>1000.5693532218625</v>
      </c>
      <c r="E155" s="138">
        <f t="shared" si="30"/>
        <v>1564.4319793115599</v>
      </c>
    </row>
    <row r="156" spans="2:5" x14ac:dyDescent="0.2">
      <c r="B156" s="136">
        <v>131</v>
      </c>
      <c r="C156" s="137">
        <f t="shared" si="31"/>
        <v>342411.94096984819</v>
      </c>
      <c r="D156" s="138">
        <f t="shared" si="32"/>
        <v>996.0393464891921</v>
      </c>
      <c r="E156" s="138">
        <f t="shared" si="30"/>
        <v>1568.9619860442303</v>
      </c>
    </row>
    <row r="157" spans="2:5" x14ac:dyDescent="0.2">
      <c r="B157" s="136">
        <v>132</v>
      </c>
      <c r="C157" s="137">
        <f t="shared" si="31"/>
        <v>340838.43585987523</v>
      </c>
      <c r="D157" s="138">
        <f t="shared" si="32"/>
        <v>991.49622256045961</v>
      </c>
      <c r="E157" s="138">
        <f>IF($D$3*12&lt;=B157,C156,-PPMT(((1+$D$2/2)^(1/6)-1),B157,$D$3*12,$D$1))</f>
        <v>1573.5051099729628</v>
      </c>
    </row>
    <row r="158" spans="2:5" ht="13.5" thickBot="1" x14ac:dyDescent="0.25">
      <c r="B158" s="139" t="s">
        <v>95</v>
      </c>
      <c r="C158" s="141"/>
      <c r="D158" s="140">
        <f>SUM(D146:D157)</f>
        <v>12194.933727611968</v>
      </c>
      <c r="E158" s="140">
        <f>SUM(E146:E157)</f>
        <v>18585.082262789099</v>
      </c>
    </row>
    <row r="159" spans="2:5" x14ac:dyDescent="0.2">
      <c r="B159" s="136">
        <v>133</v>
      </c>
      <c r="C159" s="137">
        <f>IF(B159&gt;$D$3*12,0,C157-E159)</f>
        <v>339260.37447079498</v>
      </c>
      <c r="D159" s="138">
        <f>IF(C157&lt;0.001,0,-IPMT(((1+$D$2/2)^(1/6)-1),B159,$D$3*12,$D$1))</f>
        <v>986.939943453198</v>
      </c>
      <c r="E159" s="138">
        <f>IF($D$3*12&lt;=B159,C157,-PPMT(((1+$D$2/2)^(1/6)-1),B159,$D$3*12,$D$1))</f>
        <v>1578.0613890802242</v>
      </c>
    </row>
    <row r="160" spans="2:5" x14ac:dyDescent="0.2">
      <c r="B160" s="136">
        <v>134</v>
      </c>
      <c r="C160" s="137">
        <f>IF(B160&gt;$D$3*12,0,C159-E160)</f>
        <v>337677.7436093365</v>
      </c>
      <c r="D160" s="138">
        <f>IF(C159&lt;0.001,0,-IPMT(((1+$D$2/2)^(1/6)-1),B160,$D$3*12,$D$1))</f>
        <v>982.37047107495721</v>
      </c>
      <c r="E160" s="138">
        <f t="shared" ref="E160:E169" si="33">IF($D$3*12&lt;=B160,C159,-PPMT(((1+$D$2/2)^(1/6)-1),B160,$D$3*12,$D$1))</f>
        <v>1582.630861458465</v>
      </c>
    </row>
    <row r="161" spans="1:5" x14ac:dyDescent="0.2">
      <c r="B161" s="136">
        <v>135</v>
      </c>
      <c r="C161" s="137">
        <f t="shared" ref="C161:C170" si="34">IF(B161&gt;$D$3*12,0,C160-E161)</f>
        <v>336090.53004402603</v>
      </c>
      <c r="D161" s="138">
        <f>IF(C160&lt;0.001,0,-IPMT(((1+$D$2/2)^(1/6)-1),B161,$D$3*12,$D$1))</f>
        <v>977.78776722298539</v>
      </c>
      <c r="E161" s="138">
        <f t="shared" si="33"/>
        <v>1587.2135653104369</v>
      </c>
    </row>
    <row r="162" spans="1:5" x14ac:dyDescent="0.2">
      <c r="B162" s="136">
        <v>136</v>
      </c>
      <c r="C162" s="137">
        <f t="shared" si="34"/>
        <v>334498.72050507652</v>
      </c>
      <c r="D162" s="138">
        <f t="shared" ref="D162:D170" si="35">IF(C161&lt;0.001,0,-IPMT(((1+$D$2/2)^(1/6)-1),B162,$D$3*12,$D$1))</f>
        <v>973.19179358391</v>
      </c>
      <c r="E162" s="138">
        <f t="shared" si="33"/>
        <v>1591.8095389495122</v>
      </c>
    </row>
    <row r="163" spans="1:5" x14ac:dyDescent="0.2">
      <c r="B163" s="136">
        <v>137</v>
      </c>
      <c r="C163" s="137">
        <f t="shared" si="34"/>
        <v>332902.30168427649</v>
      </c>
      <c r="D163" s="138">
        <f t="shared" si="35"/>
        <v>968.58251173341796</v>
      </c>
      <c r="E163" s="138">
        <f t="shared" si="33"/>
        <v>1596.4188208000046</v>
      </c>
    </row>
    <row r="164" spans="1:5" x14ac:dyDescent="0.2">
      <c r="B164" s="136">
        <v>138</v>
      </c>
      <c r="C164" s="137">
        <f t="shared" si="34"/>
        <v>331301.26023487898</v>
      </c>
      <c r="D164" s="138">
        <f t="shared" si="35"/>
        <v>963.95988313593273</v>
      </c>
      <c r="E164" s="138">
        <f t="shared" si="33"/>
        <v>1601.0414493974895</v>
      </c>
    </row>
    <row r="165" spans="1:5" x14ac:dyDescent="0.2">
      <c r="B165" s="136">
        <v>139</v>
      </c>
      <c r="C165" s="137">
        <f t="shared" si="34"/>
        <v>329695.58277148986</v>
      </c>
      <c r="D165" s="138">
        <f t="shared" si="35"/>
        <v>959.32386914429401</v>
      </c>
      <c r="E165" s="138">
        <f t="shared" si="33"/>
        <v>1605.677463389128</v>
      </c>
    </row>
    <row r="166" spans="1:5" x14ac:dyDescent="0.2">
      <c r="B166" s="136">
        <v>140</v>
      </c>
      <c r="C166" s="137">
        <f t="shared" si="34"/>
        <v>328085.25586995587</v>
      </c>
      <c r="D166" s="138">
        <f t="shared" si="35"/>
        <v>954.67443099943398</v>
      </c>
      <c r="E166" s="138">
        <f t="shared" si="33"/>
        <v>1610.3269015339883</v>
      </c>
    </row>
    <row r="167" spans="1:5" x14ac:dyDescent="0.2">
      <c r="B167" s="136">
        <v>141</v>
      </c>
      <c r="C167" s="137">
        <f t="shared" si="34"/>
        <v>326470.26606725249</v>
      </c>
      <c r="D167" s="138">
        <f t="shared" si="35"/>
        <v>950.01152983005284</v>
      </c>
      <c r="E167" s="138">
        <f t="shared" si="33"/>
        <v>1614.9898027033696</v>
      </c>
    </row>
    <row r="168" spans="1:5" x14ac:dyDescent="0.2">
      <c r="B168" s="136">
        <v>142</v>
      </c>
      <c r="C168" s="137">
        <f t="shared" si="34"/>
        <v>324850.59986137139</v>
      </c>
      <c r="D168" s="138">
        <f t="shared" si="35"/>
        <v>945.33512665229352</v>
      </c>
      <c r="E168" s="138">
        <f t="shared" si="33"/>
        <v>1619.6662058811287</v>
      </c>
    </row>
    <row r="169" spans="1:5" x14ac:dyDescent="0.2">
      <c r="A169" s="72"/>
      <c r="B169" s="136">
        <v>143</v>
      </c>
      <c r="C169" s="137">
        <f t="shared" si="34"/>
        <v>323226.24371120741</v>
      </c>
      <c r="D169" s="138">
        <f t="shared" si="35"/>
        <v>940.64518236941774</v>
      </c>
      <c r="E169" s="138">
        <f t="shared" si="33"/>
        <v>1624.3561501640047</v>
      </c>
    </row>
    <row r="170" spans="1:5" x14ac:dyDescent="0.2">
      <c r="B170" s="136">
        <v>144</v>
      </c>
      <c r="C170" s="137">
        <f t="shared" si="34"/>
        <v>321597.18403644545</v>
      </c>
      <c r="D170" s="138">
        <f t="shared" si="35"/>
        <v>935.94165777147646</v>
      </c>
      <c r="E170" s="138">
        <f>IF($D$3*12&lt;=B170,C169,-PPMT(((1+$D$2/2)^(1/6)-1),B170,$D$3*12,$D$1))</f>
        <v>1629.0596747619456</v>
      </c>
    </row>
    <row r="171" spans="1:5" ht="13.5" thickBot="1" x14ac:dyDescent="0.25">
      <c r="B171" s="139" t="s">
        <v>96</v>
      </c>
      <c r="C171" s="141"/>
      <c r="D171" s="140">
        <f>SUM(D159:D170)</f>
        <v>11538.764166971368</v>
      </c>
      <c r="E171" s="140">
        <f>SUM(E159:E170)</f>
        <v>19241.251823429699</v>
      </c>
    </row>
    <row r="172" spans="1:5" x14ac:dyDescent="0.2">
      <c r="B172" s="136">
        <v>145</v>
      </c>
      <c r="C172" s="137">
        <f>IF(B172&gt;$D$3*12,0,C170-E172)</f>
        <v>319963.40721744701</v>
      </c>
      <c r="D172" s="138">
        <f>IF(C170&lt;0.001,0,-IPMT(((1+$D$2/2)^(1/6)-1),B172,$D$3*12,$D$1))</f>
        <v>931.22451353498445</v>
      </c>
      <c r="E172" s="138">
        <f>IF($D$3*12&lt;=B172,C170,-PPMT(((1+$D$2/2)^(1/6)-1),B172,$D$3*12,$D$1))</f>
        <v>1633.7768189984379</v>
      </c>
    </row>
    <row r="173" spans="1:5" x14ac:dyDescent="0.2">
      <c r="B173" s="136">
        <v>146</v>
      </c>
      <c r="C173" s="137">
        <f>IF(B173&gt;$D$3*12,0,C172-E173)</f>
        <v>318324.89959513617</v>
      </c>
      <c r="D173" s="138">
        <f>IF(C172&lt;0.001,0,-IPMT(((1+$D$2/2)^(1/6)-1),B173,$D$3*12,$D$1))</f>
        <v>926.49371022258924</v>
      </c>
      <c r="E173" s="138">
        <f t="shared" ref="E173:E182" si="36">IF($D$3*12&lt;=B173,C172,-PPMT(((1+$D$2/2)^(1/6)-1),B173,$D$3*12,$D$1))</f>
        <v>1638.5076223108329</v>
      </c>
    </row>
    <row r="174" spans="1:5" x14ac:dyDescent="0.2">
      <c r="B174" s="136">
        <v>147</v>
      </c>
      <c r="C174" s="137">
        <f t="shared" ref="C174:C183" si="37">IF(B174&gt;$D$3*12,0,C173-E174)</f>
        <v>316681.64747088548</v>
      </c>
      <c r="D174" s="138">
        <f>IF(C173&lt;0.001,0,-IPMT(((1+$D$2/2)^(1/6)-1),B174,$D$3*12,$D$1))</f>
        <v>921.74920828274378</v>
      </c>
      <c r="E174" s="138">
        <f t="shared" si="36"/>
        <v>1643.2521242506784</v>
      </c>
    </row>
    <row r="175" spans="1:5" x14ac:dyDescent="0.2">
      <c r="B175" s="136">
        <v>148</v>
      </c>
      <c r="C175" s="137">
        <f t="shared" si="37"/>
        <v>315033.63710640144</v>
      </c>
      <c r="D175" s="138">
        <f t="shared" ref="D175:D183" si="38">IF(C174&lt;0.001,0,-IPMT(((1+$D$2/2)^(1/6)-1),B175,$D$3*12,$D$1))</f>
        <v>916.99096804937403</v>
      </c>
      <c r="E175" s="138">
        <f t="shared" si="36"/>
        <v>1648.0103644840483</v>
      </c>
    </row>
    <row r="176" spans="1:5" x14ac:dyDescent="0.2">
      <c r="B176" s="136">
        <v>149</v>
      </c>
      <c r="C176" s="137">
        <f t="shared" si="37"/>
        <v>313380.85472360958</v>
      </c>
      <c r="D176" s="138">
        <f t="shared" si="38"/>
        <v>912.2189497415477</v>
      </c>
      <c r="E176" s="138">
        <f t="shared" si="36"/>
        <v>1652.7823827918749</v>
      </c>
    </row>
    <row r="177" spans="2:5" x14ac:dyDescent="0.2">
      <c r="B177" s="136">
        <v>150</v>
      </c>
      <c r="C177" s="137">
        <f t="shared" si="37"/>
        <v>311723.28650453931</v>
      </c>
      <c r="D177" s="138">
        <f t="shared" si="38"/>
        <v>907.4331134631426</v>
      </c>
      <c r="E177" s="138">
        <f t="shared" si="36"/>
        <v>1657.5682190702798</v>
      </c>
    </row>
    <row r="178" spans="2:5" x14ac:dyDescent="0.2">
      <c r="B178" s="136">
        <v>151</v>
      </c>
      <c r="C178" s="137">
        <f t="shared" si="37"/>
        <v>310060.91859120841</v>
      </c>
      <c r="D178" s="138">
        <f t="shared" si="38"/>
        <v>902.63341920251162</v>
      </c>
      <c r="E178" s="138">
        <f t="shared" si="36"/>
        <v>1662.3679133309106</v>
      </c>
    </row>
    <row r="179" spans="2:5" x14ac:dyDescent="0.2">
      <c r="B179" s="136">
        <v>152</v>
      </c>
      <c r="C179" s="137">
        <f t="shared" si="37"/>
        <v>308393.73708550713</v>
      </c>
      <c r="D179" s="138">
        <f t="shared" si="38"/>
        <v>897.81982683214937</v>
      </c>
      <c r="E179" s="138">
        <f t="shared" si="36"/>
        <v>1667.1815057012725</v>
      </c>
    </row>
    <row r="180" spans="2:5" x14ac:dyDescent="0.2">
      <c r="B180" s="136">
        <v>153</v>
      </c>
      <c r="C180" s="137">
        <f t="shared" si="37"/>
        <v>306721.72804908204</v>
      </c>
      <c r="D180" s="138">
        <f t="shared" si="38"/>
        <v>892.99229610835698</v>
      </c>
      <c r="E180" s="138">
        <f t="shared" si="36"/>
        <v>1672.0090364250657</v>
      </c>
    </row>
    <row r="181" spans="2:5" x14ac:dyDescent="0.2">
      <c r="B181" s="136">
        <v>154</v>
      </c>
      <c r="C181" s="137">
        <f t="shared" si="37"/>
        <v>305044.87750321953</v>
      </c>
      <c r="D181" s="138">
        <f t="shared" si="38"/>
        <v>888.15078667090302</v>
      </c>
      <c r="E181" s="138">
        <f t="shared" si="36"/>
        <v>1676.8505458625191</v>
      </c>
    </row>
    <row r="182" spans="2:5" x14ac:dyDescent="0.2">
      <c r="B182" s="136">
        <v>155</v>
      </c>
      <c r="C182" s="137">
        <f t="shared" si="37"/>
        <v>303363.17142872879</v>
      </c>
      <c r="D182" s="138">
        <f t="shared" si="38"/>
        <v>883.29525804268985</v>
      </c>
      <c r="E182" s="138">
        <f t="shared" si="36"/>
        <v>1681.7060744907324</v>
      </c>
    </row>
    <row r="183" spans="2:5" x14ac:dyDescent="0.2">
      <c r="B183" s="136">
        <v>156</v>
      </c>
      <c r="C183" s="137">
        <f t="shared" si="37"/>
        <v>301676.59576582478</v>
      </c>
      <c r="D183" s="138">
        <f t="shared" si="38"/>
        <v>878.42566962941282</v>
      </c>
      <c r="E183" s="138">
        <f>IF($D$3*12&lt;=B183,C182,-PPMT(((1+$D$2/2)^(1/6)-1),B183,$D$3*12,$D$1))</f>
        <v>1686.5756629040097</v>
      </c>
    </row>
    <row r="184" spans="2:5" ht="13.5" thickBot="1" x14ac:dyDescent="0.25">
      <c r="B184" s="139" t="s">
        <v>97</v>
      </c>
      <c r="C184" s="141"/>
      <c r="D184" s="140">
        <f>SUM(D172:D183)</f>
        <v>10859.427719780406</v>
      </c>
      <c r="E184" s="140">
        <f>SUM(E172:E183)</f>
        <v>19920.588270620661</v>
      </c>
    </row>
    <row r="185" spans="2:5" x14ac:dyDescent="0.2">
      <c r="B185" s="136">
        <v>157</v>
      </c>
      <c r="C185" s="137">
        <f>IF(B185&gt;$D$3*12,0,C183-E185)</f>
        <v>299985.1364140106</v>
      </c>
      <c r="D185" s="138">
        <f>IF(C183&lt;0.001,0,-IPMT(((1+$D$2/2)^(1/6)-1),B185,$D$3*12,$D$1))</f>
        <v>873.54198071922087</v>
      </c>
      <c r="E185" s="138">
        <f>IF($D$3*12&lt;=B185,C183,-PPMT(((1+$D$2/2)^(1/6)-1),B185,$D$3*12,$D$1))</f>
        <v>1691.4593518142015</v>
      </c>
    </row>
    <row r="186" spans="2:5" x14ac:dyDescent="0.2">
      <c r="B186" s="136">
        <v>158</v>
      </c>
      <c r="C186" s="137">
        <f>IF(B186&gt;$D$3*12,0,C185-E186)</f>
        <v>298288.77923195955</v>
      </c>
      <c r="D186" s="138">
        <f>IF(C185&lt;0.001,0,-IPMT(((1+$D$2/2)^(1/6)-1),B186,$D$3*12,$D$1))</f>
        <v>868.64415048237743</v>
      </c>
      <c r="E186" s="138">
        <f t="shared" ref="E186:E195" si="39">IF($D$3*12&lt;=B186,C185,-PPMT(((1+$D$2/2)^(1/6)-1),B186,$D$3*12,$D$1))</f>
        <v>1696.3571820510451</v>
      </c>
    </row>
    <row r="187" spans="2:5" x14ac:dyDescent="0.2">
      <c r="B187" s="136">
        <v>159</v>
      </c>
      <c r="C187" s="137">
        <f t="shared" ref="C187:C196" si="40">IF(B187&gt;$D$3*12,0,C186-E187)</f>
        <v>296587.51003739703</v>
      </c>
      <c r="D187" s="138">
        <f>IF(C186&lt;0.001,0,-IPMT(((1+$D$2/2)^(1/6)-1),B187,$D$3*12,$D$1))</f>
        <v>863.73213797091819</v>
      </c>
      <c r="E187" s="138">
        <f t="shared" si="39"/>
        <v>1701.2691945625038</v>
      </c>
    </row>
    <row r="188" spans="2:5" x14ac:dyDescent="0.2">
      <c r="B188" s="136">
        <v>160</v>
      </c>
      <c r="C188" s="137">
        <f t="shared" si="40"/>
        <v>294881.31460698193</v>
      </c>
      <c r="D188" s="138">
        <f t="shared" ref="D188:D196" si="41">IF(C187&lt;0.001,0,-IPMT(((1+$D$2/2)^(1/6)-1),B188,$D$3*12,$D$1))</f>
        <v>858.80590211830872</v>
      </c>
      <c r="E188" s="138">
        <f t="shared" si="39"/>
        <v>1706.1954304151134</v>
      </c>
    </row>
    <row r="189" spans="2:5" x14ac:dyDescent="0.2">
      <c r="B189" s="136">
        <v>161</v>
      </c>
      <c r="C189" s="137">
        <f t="shared" si="40"/>
        <v>293170.17867618764</v>
      </c>
      <c r="D189" s="138">
        <f t="shared" si="41"/>
        <v>853.86540173910191</v>
      </c>
      <c r="E189" s="138">
        <f t="shared" si="39"/>
        <v>1711.1359307943203</v>
      </c>
    </row>
    <row r="190" spans="2:5" x14ac:dyDescent="0.2">
      <c r="B190" s="136">
        <v>162</v>
      </c>
      <c r="C190" s="137">
        <f t="shared" si="40"/>
        <v>291454.08793918282</v>
      </c>
      <c r="D190" s="138">
        <f t="shared" si="41"/>
        <v>848.91059552859235</v>
      </c>
      <c r="E190" s="138">
        <f t="shared" si="39"/>
        <v>1716.0907370048296</v>
      </c>
    </row>
    <row r="191" spans="2:5" x14ac:dyDescent="0.2">
      <c r="B191" s="136">
        <v>163</v>
      </c>
      <c r="C191" s="137">
        <f t="shared" si="40"/>
        <v>289733.02804871189</v>
      </c>
      <c r="D191" s="138">
        <f t="shared" si="41"/>
        <v>843.94144206247222</v>
      </c>
      <c r="E191" s="138">
        <f t="shared" si="39"/>
        <v>1721.0598904709502</v>
      </c>
    </row>
    <row r="192" spans="2:5" x14ac:dyDescent="0.2">
      <c r="B192" s="136">
        <v>164</v>
      </c>
      <c r="C192" s="137">
        <f t="shared" si="40"/>
        <v>288006.98461597494</v>
      </c>
      <c r="D192" s="138">
        <f t="shared" si="41"/>
        <v>838.95789979648396</v>
      </c>
      <c r="E192" s="138">
        <f t="shared" si="39"/>
        <v>1726.0434327369383</v>
      </c>
    </row>
    <row r="193" spans="1:5" x14ac:dyDescent="0.2">
      <c r="B193" s="136">
        <v>165</v>
      </c>
      <c r="C193" s="137">
        <f t="shared" si="40"/>
        <v>286275.94321050757</v>
      </c>
      <c r="D193" s="138">
        <f t="shared" si="41"/>
        <v>833.95992706607421</v>
      </c>
      <c r="E193" s="138">
        <f t="shared" si="39"/>
        <v>1731.0414054673477</v>
      </c>
    </row>
    <row r="194" spans="1:5" x14ac:dyDescent="0.2">
      <c r="B194" s="136">
        <v>166</v>
      </c>
      <c r="C194" s="137">
        <f t="shared" si="40"/>
        <v>284539.88936006022</v>
      </c>
      <c r="D194" s="138">
        <f t="shared" si="41"/>
        <v>828.94748208604437</v>
      </c>
      <c r="E194" s="138">
        <f t="shared" si="39"/>
        <v>1736.0538504473775</v>
      </c>
    </row>
    <row r="195" spans="1:5" x14ac:dyDescent="0.2">
      <c r="A195" s="72"/>
      <c r="B195" s="136">
        <v>167</v>
      </c>
      <c r="C195" s="137">
        <f t="shared" si="40"/>
        <v>282798.80855047697</v>
      </c>
      <c r="D195" s="138">
        <f t="shared" si="41"/>
        <v>823.92052295020142</v>
      </c>
      <c r="E195" s="138">
        <f t="shared" si="39"/>
        <v>1741.0808095832208</v>
      </c>
    </row>
    <row r="196" spans="1:5" x14ac:dyDescent="0.2">
      <c r="B196" s="136">
        <v>168</v>
      </c>
      <c r="C196" s="137">
        <f t="shared" si="40"/>
        <v>281052.68622557458</v>
      </c>
      <c r="D196" s="138">
        <f t="shared" si="41"/>
        <v>818.87900763100788</v>
      </c>
      <c r="E196" s="138">
        <f>IF($D$3*12&lt;=B196,C195,-PPMT(((1+$D$2/2)^(1/6)-1),B196,$D$3*12,$D$1))</f>
        <v>1746.1223249024144</v>
      </c>
    </row>
    <row r="197" spans="1:5" ht="13.5" thickBot="1" x14ac:dyDescent="0.25">
      <c r="B197" s="139" t="s">
        <v>98</v>
      </c>
      <c r="C197" s="141"/>
      <c r="D197" s="140">
        <f>SUM(D185:D196)</f>
        <v>10156.106450150804</v>
      </c>
      <c r="E197" s="140">
        <f>SUM(E185:E196)</f>
        <v>20623.909540250264</v>
      </c>
    </row>
    <row r="198" spans="1:5" x14ac:dyDescent="0.2">
      <c r="B198" s="136">
        <v>169</v>
      </c>
      <c r="C198" s="137">
        <f>IF(B198&gt;$D$3*12,0,C196-E198)</f>
        <v>279301.50778702041</v>
      </c>
      <c r="D198" s="138">
        <f>IF(C196&lt;0.001,0,-IPMT(((1+$D$2/2)^(1/6)-1),B198,$D$3*12,$D$1))</f>
        <v>813.82289397923057</v>
      </c>
      <c r="E198" s="138">
        <f>IF($D$3*12&lt;=B198,C196,-PPMT(((1+$D$2/2)^(1/6)-1),B198,$D$3*12,$D$1))</f>
        <v>1751.1784385541916</v>
      </c>
    </row>
    <row r="199" spans="1:5" x14ac:dyDescent="0.2">
      <c r="B199" s="136">
        <v>170</v>
      </c>
      <c r="C199" s="137">
        <f>IF(B199&gt;$D$3*12,0,C198-E199)</f>
        <v>277545.25859421055</v>
      </c>
      <c r="D199" s="138">
        <f>IF(C198&lt;0.001,0,-IPMT(((1+$D$2/2)^(1/6)-1),B199,$D$3*12,$D$1))</f>
        <v>808.75213972358767</v>
      </c>
      <c r="E199" s="138">
        <f t="shared" ref="E199:E208" si="42">IF($D$3*12&lt;=B199,C198,-PPMT(((1+$D$2/2)^(1/6)-1),B199,$D$3*12,$D$1))</f>
        <v>1756.2491928098348</v>
      </c>
    </row>
    <row r="200" spans="1:5" x14ac:dyDescent="0.2">
      <c r="B200" s="136">
        <v>171</v>
      </c>
      <c r="C200" s="137">
        <f t="shared" ref="C200:C209" si="43">IF(B200&gt;$D$3*12,0,C199-E200)</f>
        <v>275783.92396414751</v>
      </c>
      <c r="D200" s="138">
        <f>IF(C199&lt;0.001,0,-IPMT(((1+$D$2/2)^(1/6)-1),B200,$D$3*12,$D$1))</f>
        <v>803.66670247039576</v>
      </c>
      <c r="E200" s="138">
        <f t="shared" si="42"/>
        <v>1761.3346300630265</v>
      </c>
    </row>
    <row r="201" spans="1:5" x14ac:dyDescent="0.2">
      <c r="B201" s="136">
        <v>172</v>
      </c>
      <c r="C201" s="137">
        <f t="shared" si="43"/>
        <v>274017.48917131731</v>
      </c>
      <c r="D201" s="138">
        <f t="shared" ref="D201:D209" si="44">IF(C200&lt;0.001,0,-IPMT(((1+$D$2/2)^(1/6)-1),B201,$D$3*12,$D$1))</f>
        <v>798.5665397032152</v>
      </c>
      <c r="E201" s="138">
        <f t="shared" si="42"/>
        <v>1766.434792830207</v>
      </c>
    </row>
    <row r="202" spans="1:5" x14ac:dyDescent="0.2">
      <c r="B202" s="136">
        <v>173</v>
      </c>
      <c r="C202" s="137">
        <f t="shared" si="43"/>
        <v>272245.9394475664</v>
      </c>
      <c r="D202" s="138">
        <f t="shared" si="44"/>
        <v>793.45160878249499</v>
      </c>
      <c r="E202" s="138">
        <f t="shared" si="42"/>
        <v>1771.5497237509271</v>
      </c>
    </row>
    <row r="203" spans="1:5" x14ac:dyDescent="0.2">
      <c r="B203" s="136">
        <v>174</v>
      </c>
      <c r="C203" s="137">
        <f t="shared" si="43"/>
        <v>270469.25998197822</v>
      </c>
      <c r="D203" s="138">
        <f t="shared" si="44"/>
        <v>788.32186694521545</v>
      </c>
      <c r="E203" s="138">
        <f t="shared" si="42"/>
        <v>1776.6794655882065</v>
      </c>
    </row>
    <row r="204" spans="1:5" x14ac:dyDescent="0.2">
      <c r="B204" s="136">
        <v>175</v>
      </c>
      <c r="C204" s="137">
        <f t="shared" si="43"/>
        <v>268687.43592074933</v>
      </c>
      <c r="D204" s="138">
        <f t="shared" si="44"/>
        <v>783.17727130453216</v>
      </c>
      <c r="E204" s="138">
        <f t="shared" si="42"/>
        <v>1781.8240612288903</v>
      </c>
    </row>
    <row r="205" spans="1:5" x14ac:dyDescent="0.2">
      <c r="B205" s="136">
        <v>176</v>
      </c>
      <c r="C205" s="137">
        <f t="shared" si="43"/>
        <v>266900.4523670653</v>
      </c>
      <c r="D205" s="138">
        <f t="shared" si="44"/>
        <v>778.01777884941544</v>
      </c>
      <c r="E205" s="138">
        <f t="shared" si="42"/>
        <v>1786.9835536840064</v>
      </c>
    </row>
    <row r="206" spans="1:5" x14ac:dyDescent="0.2">
      <c r="B206" s="136">
        <v>177</v>
      </c>
      <c r="C206" s="137">
        <f t="shared" si="43"/>
        <v>265108.29438097618</v>
      </c>
      <c r="D206" s="138">
        <f t="shared" si="44"/>
        <v>772.84334644429282</v>
      </c>
      <c r="E206" s="138">
        <f t="shared" si="42"/>
        <v>1792.1579860891295</v>
      </c>
    </row>
    <row r="207" spans="1:5" x14ac:dyDescent="0.2">
      <c r="B207" s="136">
        <v>178</v>
      </c>
      <c r="C207" s="137">
        <f t="shared" si="43"/>
        <v>263310.94697927142</v>
      </c>
      <c r="D207" s="138">
        <f t="shared" si="44"/>
        <v>767.6539308286865</v>
      </c>
      <c r="E207" s="138">
        <f t="shared" si="42"/>
        <v>1797.3474017047358</v>
      </c>
    </row>
    <row r="208" spans="1:5" x14ac:dyDescent="0.2">
      <c r="B208" s="136">
        <v>179</v>
      </c>
      <c r="C208" s="137">
        <f t="shared" si="43"/>
        <v>261508.39513535486</v>
      </c>
      <c r="D208" s="138">
        <f t="shared" si="44"/>
        <v>762.44948861685361</v>
      </c>
      <c r="E208" s="138">
        <f t="shared" si="42"/>
        <v>1802.5518439165685</v>
      </c>
    </row>
    <row r="209" spans="2:5" x14ac:dyDescent="0.2">
      <c r="B209" s="136">
        <v>180</v>
      </c>
      <c r="C209" s="137">
        <f t="shared" si="43"/>
        <v>259700.62377911888</v>
      </c>
      <c r="D209" s="138">
        <f t="shared" si="44"/>
        <v>757.2299762974219</v>
      </c>
      <c r="E209" s="138">
        <f>IF($D$3*12&lt;=B209,C208,-PPMT(((1+$D$2/2)^(1/6)-1),B209,$D$3*12,$D$1))</f>
        <v>1807.7713562360002</v>
      </c>
    </row>
    <row r="210" spans="2:5" ht="13.5" thickBot="1" x14ac:dyDescent="0.25">
      <c r="B210" s="139" t="s">
        <v>99</v>
      </c>
      <c r="C210" s="141"/>
      <c r="D210" s="140">
        <f>SUM(D198:D209)</f>
        <v>9427.953543945343</v>
      </c>
      <c r="E210" s="140">
        <f>SUM(E198:E209)</f>
        <v>21352.062446455722</v>
      </c>
    </row>
    <row r="211" spans="2:5" x14ac:dyDescent="0.2">
      <c r="B211" s="136">
        <v>181</v>
      </c>
      <c r="C211" s="137">
        <f>IF(B211&gt;$D$3*12,0,C209-E211)</f>
        <v>257887.61779681849</v>
      </c>
      <c r="D211" s="138">
        <f>IF(C209&lt;0.001,0,-IPMT(((1+$D$2/2)^(1/6)-1),B211,$D$3*12,$D$1))</f>
        <v>751.99535023302644</v>
      </c>
      <c r="E211" s="138">
        <f>IF($D$3*12&lt;=B211,C209,-PPMT(((1+$D$2/2)^(1/6)-1),B211,$D$3*12,$D$1))</f>
        <v>1813.0059823003958</v>
      </c>
    </row>
    <row r="212" spans="2:5" x14ac:dyDescent="0.2">
      <c r="B212" s="136">
        <v>182</v>
      </c>
      <c r="C212" s="137">
        <f>IF(B212&gt;$D$3*12,0,C211-E212)</f>
        <v>256069.36203094502</v>
      </c>
      <c r="D212" s="138">
        <f>IF(C211&lt;0.001,0,-IPMT(((1+$D$2/2)^(1/6)-1),B212,$D$3*12,$D$1))</f>
        <v>746.74556665994544</v>
      </c>
      <c r="E212" s="138">
        <f t="shared" ref="E212:E221" si="45">IF($D$3*12&lt;=B212,C211,-PPMT(((1+$D$2/2)^(1/6)-1),B212,$D$3*12,$D$1))</f>
        <v>1818.255765873477</v>
      </c>
    </row>
    <row r="213" spans="2:5" x14ac:dyDescent="0.2">
      <c r="B213" s="136">
        <v>183</v>
      </c>
      <c r="C213" s="137">
        <f t="shared" ref="C213:C222" si="46">IF(B213&gt;$D$3*12,0,C212-E213)</f>
        <v>254245.84128009932</v>
      </c>
      <c r="D213" s="138">
        <f>IF(C212&lt;0.001,0,-IPMT(((1+$D$2/2)^(1/6)-1),B213,$D$3*12,$D$1))</f>
        <v>741.48058168773287</v>
      </c>
      <c r="E213" s="138">
        <f t="shared" si="45"/>
        <v>1823.5207508456895</v>
      </c>
    </row>
    <row r="214" spans="2:5" x14ac:dyDescent="0.2">
      <c r="B214" s="136">
        <v>184</v>
      </c>
      <c r="C214" s="137">
        <f t="shared" si="46"/>
        <v>252417.04029886477</v>
      </c>
      <c r="D214" s="138">
        <f t="shared" ref="D214:D222" si="47">IF(C213&lt;0.001,0,-IPMT(((1+$D$2/2)^(1/6)-1),B214,$D$3*12,$D$1))</f>
        <v>736.20035129885378</v>
      </c>
      <c r="E214" s="138">
        <f t="shared" si="45"/>
        <v>1828.8009812345686</v>
      </c>
    </row>
    <row r="215" spans="2:5" x14ac:dyDescent="0.2">
      <c r="B215" s="136">
        <v>185</v>
      </c>
      <c r="C215" s="137">
        <f t="shared" si="46"/>
        <v>250582.94379767965</v>
      </c>
      <c r="D215" s="138">
        <f t="shared" si="47"/>
        <v>730.90483134831391</v>
      </c>
      <c r="E215" s="138">
        <f t="shared" si="45"/>
        <v>1834.0965011851083</v>
      </c>
    </row>
    <row r="216" spans="2:5" x14ac:dyDescent="0.2">
      <c r="B216" s="136">
        <v>186</v>
      </c>
      <c r="C216" s="137">
        <f t="shared" si="46"/>
        <v>248743.5364427095</v>
      </c>
      <c r="D216" s="138">
        <f t="shared" si="47"/>
        <v>725.59397756329201</v>
      </c>
      <c r="E216" s="138">
        <f t="shared" si="45"/>
        <v>1839.4073549701304</v>
      </c>
    </row>
    <row r="217" spans="2:5" x14ac:dyDescent="0.2">
      <c r="B217" s="136">
        <v>187</v>
      </c>
      <c r="C217" s="137">
        <f t="shared" si="46"/>
        <v>246898.80285571885</v>
      </c>
      <c r="D217" s="138">
        <f t="shared" si="47"/>
        <v>720.26774554276949</v>
      </c>
      <c r="E217" s="138">
        <f t="shared" si="45"/>
        <v>1844.7335869906528</v>
      </c>
    </row>
    <row r="218" spans="2:5" x14ac:dyDescent="0.2">
      <c r="B218" s="136">
        <v>188</v>
      </c>
      <c r="C218" s="137">
        <f t="shared" si="46"/>
        <v>245048.72761394258</v>
      </c>
      <c r="D218" s="138">
        <f t="shared" si="47"/>
        <v>714.9260907571595</v>
      </c>
      <c r="E218" s="138">
        <f t="shared" si="45"/>
        <v>1850.0752417762628</v>
      </c>
    </row>
    <row r="219" spans="2:5" x14ac:dyDescent="0.2">
      <c r="B219" s="136">
        <v>189</v>
      </c>
      <c r="C219" s="137">
        <f t="shared" si="46"/>
        <v>243193.2952499571</v>
      </c>
      <c r="D219" s="138">
        <f t="shared" si="47"/>
        <v>709.56896854793342</v>
      </c>
      <c r="E219" s="138">
        <f t="shared" si="45"/>
        <v>1855.432363985489</v>
      </c>
    </row>
    <row r="220" spans="2:5" x14ac:dyDescent="0.2">
      <c r="B220" s="136">
        <v>190</v>
      </c>
      <c r="C220" s="137">
        <f t="shared" si="46"/>
        <v>241332.49025155092</v>
      </c>
      <c r="D220" s="138">
        <f t="shared" si="47"/>
        <v>704.19633412724875</v>
      </c>
      <c r="E220" s="138">
        <f t="shared" si="45"/>
        <v>1860.8049984061736</v>
      </c>
    </row>
    <row r="221" spans="2:5" x14ac:dyDescent="0.2">
      <c r="B221" s="136">
        <v>191</v>
      </c>
      <c r="C221" s="137">
        <f t="shared" si="46"/>
        <v>239466.29706159508</v>
      </c>
      <c r="D221" s="138">
        <f t="shared" si="47"/>
        <v>698.80814257757436</v>
      </c>
      <c r="E221" s="138">
        <f t="shared" si="45"/>
        <v>1866.1931899558476</v>
      </c>
    </row>
    <row r="222" spans="2:5" x14ac:dyDescent="0.2">
      <c r="B222" s="136">
        <v>192</v>
      </c>
      <c r="C222" s="137">
        <f t="shared" si="46"/>
        <v>237594.70007791297</v>
      </c>
      <c r="D222" s="138">
        <f t="shared" si="47"/>
        <v>693.40434885131469</v>
      </c>
      <c r="E222" s="138">
        <f>IF($D$3*12&lt;=B222,C221,-PPMT(((1+$D$2/2)^(1/6)-1),B222,$D$3*12,$D$1))</f>
        <v>1871.5969836821075</v>
      </c>
    </row>
    <row r="223" spans="2:5" ht="13.5" thickBot="1" x14ac:dyDescent="0.25">
      <c r="B223" s="139" t="s">
        <v>100</v>
      </c>
      <c r="C223" s="141"/>
      <c r="D223" s="140">
        <f>SUM(D211:D222)</f>
        <v>8674.092289195165</v>
      </c>
      <c r="E223" s="140">
        <f>SUM(E211:E222)</f>
        <v>22105.923701205898</v>
      </c>
    </row>
    <row r="224" spans="2:5" x14ac:dyDescent="0.2">
      <c r="B224" s="136">
        <v>193</v>
      </c>
      <c r="C224" s="137">
        <f>IF(B224&gt;$D$3*12,0,C222-E224)</f>
        <v>235717.68365314999</v>
      </c>
      <c r="D224" s="138">
        <f>IF(C222&lt;0.001,0,-IPMT(((1+$D$2/2)^(1/6)-1),B224,$D$3*12,$D$1))</f>
        <v>687.98490777043321</v>
      </c>
      <c r="E224" s="138">
        <f>IF($D$3*12&lt;=B224,C222,-PPMT(((1+$D$2/2)^(1/6)-1),B224,$D$3*12,$D$1))</f>
        <v>1877.0164247629891</v>
      </c>
    </row>
    <row r="225" spans="2:5" x14ac:dyDescent="0.2">
      <c r="B225" s="136">
        <v>194</v>
      </c>
      <c r="C225" s="137">
        <f>IF(B225&gt;$D$3*12,0,C224-E225)</f>
        <v>233835.23209464265</v>
      </c>
      <c r="D225" s="138">
        <f>IF(C224&lt;0.001,0,-IPMT(((1+$D$2/2)^(1/6)-1),B225,$D$3*12,$D$1))</f>
        <v>682.54977402607494</v>
      </c>
      <c r="E225" s="138">
        <f t="shared" ref="E225:E234" si="48">IF($D$3*12&lt;=B225,C224,-PPMT(((1+$D$2/2)^(1/6)-1),B225,$D$3*12,$D$1))</f>
        <v>1882.4515585073475</v>
      </c>
    </row>
    <row r="226" spans="2:5" x14ac:dyDescent="0.2">
      <c r="B226" s="136">
        <v>195</v>
      </c>
      <c r="C226" s="137">
        <f t="shared" ref="C226:C235" si="49">IF(B226&gt;$D$3*12,0,C225-E226)</f>
        <v>231947.32966428742</v>
      </c>
      <c r="D226" s="138">
        <f>IF(C225&lt;0.001,0,-IPMT(((1+$D$2/2)^(1/6)-1),B226,$D$3*12,$D$1))</f>
        <v>677.09890217818736</v>
      </c>
      <c r="E226" s="138">
        <f t="shared" si="48"/>
        <v>1887.9024303552349</v>
      </c>
    </row>
    <row r="227" spans="2:5" x14ac:dyDescent="0.2">
      <c r="B227" s="136">
        <v>196</v>
      </c>
      <c r="C227" s="137">
        <f t="shared" si="49"/>
        <v>230053.96057840914</v>
      </c>
      <c r="D227" s="138">
        <f t="shared" ref="D227:D235" si="50">IF(C226&lt;0.001,0,-IPMT(((1+$D$2/2)^(1/6)-1),B227,$D$3*12,$D$1))</f>
        <v>671.63224665514053</v>
      </c>
      <c r="E227" s="138">
        <f t="shared" si="48"/>
        <v>1893.3690858782818</v>
      </c>
    </row>
    <row r="228" spans="2:5" x14ac:dyDescent="0.2">
      <c r="B228" s="136">
        <v>197</v>
      </c>
      <c r="C228" s="137">
        <f t="shared" si="49"/>
        <v>228155.10900762907</v>
      </c>
      <c r="D228" s="138">
        <f t="shared" si="50"/>
        <v>666.14976175334698</v>
      </c>
      <c r="E228" s="138">
        <f t="shared" si="48"/>
        <v>1898.8515707800752</v>
      </c>
    </row>
    <row r="229" spans="2:5" x14ac:dyDescent="0.2">
      <c r="B229" s="136">
        <v>198</v>
      </c>
      <c r="C229" s="137">
        <f t="shared" si="49"/>
        <v>226250.75907673253</v>
      </c>
      <c r="D229" s="138">
        <f t="shared" si="50"/>
        <v>660.65140163687761</v>
      </c>
      <c r="E229" s="138">
        <f t="shared" si="48"/>
        <v>1904.3499308965445</v>
      </c>
    </row>
    <row r="230" spans="2:5" x14ac:dyDescent="0.2">
      <c r="B230" s="136">
        <v>199</v>
      </c>
      <c r="C230" s="137">
        <f t="shared" si="49"/>
        <v>224340.89486453618</v>
      </c>
      <c r="D230" s="138">
        <f t="shared" si="50"/>
        <v>655.13712033708089</v>
      </c>
      <c r="E230" s="138">
        <f t="shared" si="48"/>
        <v>1909.8642121963414</v>
      </c>
    </row>
    <row r="231" spans="2:5" x14ac:dyDescent="0.2">
      <c r="B231" s="136">
        <v>200</v>
      </c>
      <c r="C231" s="137">
        <f t="shared" si="49"/>
        <v>222425.50040375497</v>
      </c>
      <c r="D231" s="138">
        <f t="shared" si="50"/>
        <v>649.6068717521963</v>
      </c>
      <c r="E231" s="138">
        <f t="shared" si="48"/>
        <v>1915.3944607812261</v>
      </c>
    </row>
    <row r="232" spans="2:5" x14ac:dyDescent="0.2">
      <c r="B232" s="136">
        <v>201</v>
      </c>
      <c r="C232" s="137">
        <f t="shared" si="49"/>
        <v>220504.55968086852</v>
      </c>
      <c r="D232" s="138">
        <f t="shared" si="50"/>
        <v>644.06060964697076</v>
      </c>
      <c r="E232" s="138">
        <f t="shared" si="48"/>
        <v>1920.9407228864516</v>
      </c>
    </row>
    <row r="233" spans="2:5" x14ac:dyDescent="0.2">
      <c r="B233" s="136">
        <v>202</v>
      </c>
      <c r="C233" s="137">
        <f t="shared" si="49"/>
        <v>218578.05663598736</v>
      </c>
      <c r="D233" s="138">
        <f t="shared" si="50"/>
        <v>638.49828765227073</v>
      </c>
      <c r="E233" s="138">
        <f t="shared" si="48"/>
        <v>1926.5030448811515</v>
      </c>
    </row>
    <row r="234" spans="2:5" x14ac:dyDescent="0.2">
      <c r="B234" s="136">
        <v>203</v>
      </c>
      <c r="C234" s="137">
        <f t="shared" si="49"/>
        <v>216645.97516271865</v>
      </c>
      <c r="D234" s="138">
        <f t="shared" si="50"/>
        <v>632.91985926469567</v>
      </c>
      <c r="E234" s="138">
        <f t="shared" si="48"/>
        <v>1932.0814732687265</v>
      </c>
    </row>
    <row r="235" spans="2:5" x14ac:dyDescent="0.2">
      <c r="B235" s="136">
        <v>204</v>
      </c>
      <c r="C235" s="137">
        <f t="shared" si="49"/>
        <v>214708.29910803141</v>
      </c>
      <c r="D235" s="138">
        <f t="shared" si="50"/>
        <v>627.32527784618821</v>
      </c>
      <c r="E235" s="138">
        <f>IF($D$3*12&lt;=B235,C234,-PPMT(((1+$D$2/2)^(1/6)-1),B235,$D$3*12,$D$1))</f>
        <v>1937.676054687234</v>
      </c>
    </row>
    <row r="236" spans="2:5" ht="13.5" thickBot="1" x14ac:dyDescent="0.25">
      <c r="B236" s="139" t="s">
        <v>101</v>
      </c>
      <c r="C236" s="141"/>
      <c r="D236" s="140">
        <f>SUM(D224:D235)</f>
        <v>7893.6150205194635</v>
      </c>
      <c r="E236" s="140">
        <f>SUM(E224:E235)</f>
        <v>22886.400969881604</v>
      </c>
    </row>
    <row r="237" spans="2:5" x14ac:dyDescent="0.2">
      <c r="B237" s="136">
        <v>205</v>
      </c>
      <c r="C237" s="137">
        <f>IF(B237&gt;$D$3*12,0,C235-E237)</f>
        <v>212765.01227212162</v>
      </c>
      <c r="D237" s="138">
        <f>IF(C235&lt;0.001,0,-IPMT(((1+$D$2/2)^(1/6)-1),B237,$D$3*12,$D$1))</f>
        <v>621.71449662364478</v>
      </c>
      <c r="E237" s="138">
        <f>IF($D$3*12&lt;=B237,C235,-PPMT(((1+$D$2/2)^(1/6)-1),B237,$D$3*12,$D$1))</f>
        <v>1943.2868359097774</v>
      </c>
    </row>
    <row r="238" spans="2:5" x14ac:dyDescent="0.2">
      <c r="B238" s="136">
        <v>206</v>
      </c>
      <c r="C238" s="137">
        <f>IF(B238&gt;$D$3*12,0,C237-E238)</f>
        <v>210816.09840827671</v>
      </c>
      <c r="D238" s="138">
        <f>IF(C237&lt;0.001,0,-IPMT(((1+$D$2/2)^(1/6)-1),B238,$D$3*12,$D$1))</f>
        <v>616.08746868852472</v>
      </c>
      <c r="E238" s="138">
        <f t="shared" ref="E238:E247" si="51">IF($D$3*12&lt;=B238,C237,-PPMT(((1+$D$2/2)^(1/6)-1),B238,$D$3*12,$D$1))</f>
        <v>1948.9138638448976</v>
      </c>
    </row>
    <row r="239" spans="2:5" x14ac:dyDescent="0.2">
      <c r="B239" s="136">
        <v>207</v>
      </c>
      <c r="C239" s="137">
        <f t="shared" ref="C239:C248" si="52">IF(B239&gt;$D$3*12,0,C238-E239)</f>
        <v>208861.54122273973</v>
      </c>
      <c r="D239" s="138">
        <f>IF(C238&lt;0.001,0,-IPMT(((1+$D$2/2)^(1/6)-1),B239,$D$3*12,$D$1))</f>
        <v>610.44414699645756</v>
      </c>
      <c r="E239" s="138">
        <f t="shared" si="51"/>
        <v>1954.5571855369647</v>
      </c>
    </row>
    <row r="240" spans="2:5" x14ac:dyDescent="0.2">
      <c r="B240" s="136">
        <v>208</v>
      </c>
      <c r="C240" s="137">
        <f t="shared" si="52"/>
        <v>206901.32437457316</v>
      </c>
      <c r="D240" s="138">
        <f t="shared" ref="D240:D248" si="53">IF(C239&lt;0.001,0,-IPMT(((1+$D$2/2)^(1/6)-1),B240,$D$3*12,$D$1))</f>
        <v>604.78448436685062</v>
      </c>
      <c r="E240" s="138">
        <f t="shared" si="51"/>
        <v>1960.2168481665717</v>
      </c>
    </row>
    <row r="241" spans="2:5" x14ac:dyDescent="0.2">
      <c r="B241" s="136">
        <v>209</v>
      </c>
      <c r="C241" s="137">
        <f t="shared" si="52"/>
        <v>204935.43147552223</v>
      </c>
      <c r="D241" s="138">
        <f t="shared" si="53"/>
        <v>599.10843348249284</v>
      </c>
      <c r="E241" s="138">
        <f t="shared" si="51"/>
        <v>1965.8928990509294</v>
      </c>
    </row>
    <row r="242" spans="2:5" x14ac:dyDescent="0.2">
      <c r="B242" s="136">
        <v>210</v>
      </c>
      <c r="C242" s="137">
        <f t="shared" si="52"/>
        <v>202963.84608987797</v>
      </c>
      <c r="D242" s="138">
        <f t="shared" si="53"/>
        <v>593.41594688916155</v>
      </c>
      <c r="E242" s="138">
        <f t="shared" si="51"/>
        <v>1971.5853856442604</v>
      </c>
    </row>
    <row r="243" spans="2:5" x14ac:dyDescent="0.2">
      <c r="B243" s="136">
        <v>211</v>
      </c>
      <c r="C243" s="137">
        <f t="shared" si="52"/>
        <v>200986.55173433977</v>
      </c>
      <c r="D243" s="138">
        <f t="shared" si="53"/>
        <v>587.70697699522384</v>
      </c>
      <c r="E243" s="138">
        <f t="shared" si="51"/>
        <v>1977.2943555381985</v>
      </c>
    </row>
    <row r="244" spans="2:5" x14ac:dyDescent="0.2">
      <c r="B244" s="136">
        <v>212</v>
      </c>
      <c r="C244" s="137">
        <f t="shared" si="52"/>
        <v>199003.53187787757</v>
      </c>
      <c r="D244" s="138">
        <f t="shared" si="53"/>
        <v>581.98147607123906</v>
      </c>
      <c r="E244" s="138">
        <f t="shared" si="51"/>
        <v>1983.0198564621833</v>
      </c>
    </row>
    <row r="245" spans="2:5" x14ac:dyDescent="0.2">
      <c r="B245" s="136">
        <v>213</v>
      </c>
      <c r="C245" s="137">
        <f t="shared" si="52"/>
        <v>197014.76994159369</v>
      </c>
      <c r="D245" s="138">
        <f t="shared" si="53"/>
        <v>576.23939624956085</v>
      </c>
      <c r="E245" s="138">
        <f t="shared" si="51"/>
        <v>1988.7619362838614</v>
      </c>
    </row>
    <row r="246" spans="2:5" x14ac:dyDescent="0.2">
      <c r="B246" s="136">
        <v>214</v>
      </c>
      <c r="C246" s="137">
        <f t="shared" si="52"/>
        <v>195020.24929858421</v>
      </c>
      <c r="D246" s="138">
        <f t="shared" si="53"/>
        <v>570.48068952393567</v>
      </c>
      <c r="E246" s="138">
        <f t="shared" si="51"/>
        <v>1994.5206430094868</v>
      </c>
    </row>
    <row r="247" spans="2:5" x14ac:dyDescent="0.2">
      <c r="B247" s="136">
        <v>215</v>
      </c>
      <c r="C247" s="137">
        <f t="shared" si="52"/>
        <v>193019.95327379988</v>
      </c>
      <c r="D247" s="138">
        <f t="shared" si="53"/>
        <v>564.70530774910162</v>
      </c>
      <c r="E247" s="138">
        <f t="shared" si="51"/>
        <v>2000.2960247843205</v>
      </c>
    </row>
    <row r="248" spans="2:5" x14ac:dyDescent="0.2">
      <c r="B248" s="136">
        <v>216</v>
      </c>
      <c r="C248" s="137">
        <f t="shared" si="52"/>
        <v>191013.86514390685</v>
      </c>
      <c r="D248" s="138">
        <f t="shared" si="53"/>
        <v>558.913202640387</v>
      </c>
      <c r="E248" s="138">
        <f>IF($D$3*12&lt;=B248,C247,-PPMT(((1+$D$2/2)^(1/6)-1),B248,$D$3*12,$D$1))</f>
        <v>2006.0881298930353</v>
      </c>
    </row>
    <row r="249" spans="2:5" ht="13.5" thickBot="1" x14ac:dyDescent="0.25">
      <c r="B249" s="139" t="s">
        <v>102</v>
      </c>
      <c r="C249" s="141"/>
      <c r="D249" s="140">
        <f>SUM(D237:D248)</f>
        <v>7085.5820262765792</v>
      </c>
      <c r="E249" s="140">
        <f>SUM(E237:E248)</f>
        <v>23694.433964124488</v>
      </c>
    </row>
    <row r="250" spans="2:5" x14ac:dyDescent="0.2">
      <c r="B250" s="136">
        <v>217</v>
      </c>
      <c r="C250" s="137">
        <f>IF(B250&gt;$D$3*12,0,C248-E250)</f>
        <v>189001.96813714673</v>
      </c>
      <c r="D250" s="138">
        <f>IF(C248&lt;0.001,0,-IPMT(((1+$D$2/2)^(1/6)-1),B250,$D$3*12,$D$1))</f>
        <v>553.10432577330528</v>
      </c>
      <c r="E250" s="138">
        <f>IF($D$3*12&lt;=B250,C248,-PPMT(((1+$D$2/2)^(1/6)-1),B250,$D$3*12,$D$1))</f>
        <v>2011.8970067601172</v>
      </c>
    </row>
    <row r="251" spans="2:5" x14ac:dyDescent="0.2">
      <c r="B251" s="136">
        <v>218</v>
      </c>
      <c r="C251" s="137">
        <f>IF(B251&gt;$D$3*12,0,C250-E251)</f>
        <v>186984.24543319645</v>
      </c>
      <c r="D251" s="138">
        <f>IF(C250&lt;0.001,0,-IPMT(((1+$D$2/2)^(1/6)-1),B251,$D$3*12,$D$1))</f>
        <v>547.27862858315086</v>
      </c>
      <c r="E251" s="138">
        <f t="shared" ref="E251:E260" si="54">IF($D$3*12&lt;=B251,C250,-PPMT(((1+$D$2/2)^(1/6)-1),B251,$D$3*12,$D$1))</f>
        <v>2017.7227039502716</v>
      </c>
    </row>
    <row r="252" spans="2:5" x14ac:dyDescent="0.2">
      <c r="B252" s="136">
        <v>219</v>
      </c>
      <c r="C252" s="137">
        <f t="shared" ref="C252:C261" si="55">IF(B252&gt;$D$3*12,0,C251-E252)</f>
        <v>184960.68016302763</v>
      </c>
      <c r="D252" s="138">
        <f>IF(C251&lt;0.001,0,-IPMT(((1+$D$2/2)^(1/6)-1),B252,$D$3*12,$D$1))</f>
        <v>541.43606236459334</v>
      </c>
      <c r="E252" s="138">
        <f t="shared" si="54"/>
        <v>2023.5652701688291</v>
      </c>
    </row>
    <row r="253" spans="2:5" x14ac:dyDescent="0.2">
      <c r="B253" s="136">
        <v>220</v>
      </c>
      <c r="C253" s="137">
        <f t="shared" si="55"/>
        <v>182931.25540876549</v>
      </c>
      <c r="D253" s="138">
        <f t="shared" ref="D253:D261" si="56">IF(C252&lt;0.001,0,-IPMT(((1+$D$2/2)^(1/6)-1),B253,$D$3*12,$D$1))</f>
        <v>535.57657827126945</v>
      </c>
      <c r="E253" s="138">
        <f t="shared" si="54"/>
        <v>2029.4247542621526</v>
      </c>
    </row>
    <row r="254" spans="2:5" x14ac:dyDescent="0.2">
      <c r="B254" s="136">
        <v>221</v>
      </c>
      <c r="C254" s="137">
        <f t="shared" si="55"/>
        <v>180895.95420354744</v>
      </c>
      <c r="D254" s="138">
        <f t="shared" si="56"/>
        <v>529.70012731537611</v>
      </c>
      <c r="E254" s="138">
        <f t="shared" si="54"/>
        <v>2035.3012052180463</v>
      </c>
    </row>
    <row r="255" spans="2:5" x14ac:dyDescent="0.2">
      <c r="B255" s="136">
        <v>222</v>
      </c>
      <c r="C255" s="137">
        <f t="shared" si="55"/>
        <v>178854.75953138128</v>
      </c>
      <c r="D255" s="138">
        <f t="shared" si="56"/>
        <v>523.80666036725881</v>
      </c>
      <c r="E255" s="138">
        <f t="shared" si="54"/>
        <v>2041.1946721661632</v>
      </c>
    </row>
    <row r="256" spans="2:5" x14ac:dyDescent="0.2">
      <c r="B256" s="136">
        <v>223</v>
      </c>
      <c r="C256" s="137">
        <f t="shared" si="55"/>
        <v>176807.65432700285</v>
      </c>
      <c r="D256" s="138">
        <f t="shared" si="56"/>
        <v>517.89612815500311</v>
      </c>
      <c r="E256" s="138">
        <f t="shared" si="54"/>
        <v>2047.1052043784191</v>
      </c>
    </row>
    <row r="257" spans="2:5" x14ac:dyDescent="0.2">
      <c r="B257" s="136">
        <v>224</v>
      </c>
      <c r="C257" s="137">
        <f t="shared" si="55"/>
        <v>174754.62147573344</v>
      </c>
      <c r="D257" s="138">
        <f t="shared" si="56"/>
        <v>511.96848126402114</v>
      </c>
      <c r="E257" s="138">
        <f t="shared" si="54"/>
        <v>2053.0328512694014</v>
      </c>
    </row>
    <row r="258" spans="2:5" x14ac:dyDescent="0.2">
      <c r="B258" s="136">
        <v>225</v>
      </c>
      <c r="C258" s="137">
        <f t="shared" si="55"/>
        <v>172695.64381333665</v>
      </c>
      <c r="D258" s="138">
        <f t="shared" si="56"/>
        <v>506.02367013663877</v>
      </c>
      <c r="E258" s="138">
        <f t="shared" si="54"/>
        <v>2058.9776623967837</v>
      </c>
    </row>
    <row r="259" spans="2:5" x14ac:dyDescent="0.2">
      <c r="B259" s="136">
        <v>226</v>
      </c>
      <c r="C259" s="137">
        <f t="shared" si="55"/>
        <v>170630.70412587491</v>
      </c>
      <c r="D259" s="138">
        <f t="shared" si="56"/>
        <v>500.06164507168182</v>
      </c>
      <c r="E259" s="138">
        <f t="shared" si="54"/>
        <v>2064.9396874617405</v>
      </c>
    </row>
    <row r="260" spans="2:5" x14ac:dyDescent="0.2">
      <c r="B260" s="136">
        <v>227</v>
      </c>
      <c r="C260" s="137">
        <f t="shared" si="55"/>
        <v>168559.78514956555</v>
      </c>
      <c r="D260" s="138">
        <f t="shared" si="56"/>
        <v>494.08235622406022</v>
      </c>
      <c r="E260" s="138">
        <f t="shared" si="54"/>
        <v>2070.9189763093618</v>
      </c>
    </row>
    <row r="261" spans="2:5" x14ac:dyDescent="0.2">
      <c r="B261" s="136">
        <v>228</v>
      </c>
      <c r="C261" s="137">
        <f t="shared" si="55"/>
        <v>166482.86957063648</v>
      </c>
      <c r="D261" s="138">
        <f t="shared" si="56"/>
        <v>488.085753604351</v>
      </c>
      <c r="E261" s="138">
        <f>IF($D$3*12&lt;=B261,C260,-PPMT(((1+$D$2/2)^(1/6)-1),B261,$D$3*12,$D$1))</f>
        <v>2076.9155789290712</v>
      </c>
    </row>
    <row r="262" spans="2:5" ht="13.5" thickBot="1" x14ac:dyDescent="0.25">
      <c r="B262" s="139" t="s">
        <v>103</v>
      </c>
      <c r="C262" s="141"/>
      <c r="D262" s="140">
        <f>SUM(D250:D261)</f>
        <v>6249.0204171307096</v>
      </c>
      <c r="E262" s="140">
        <f>SUM(E250:E261)</f>
        <v>24530.995573270357</v>
      </c>
    </row>
    <row r="263" spans="2:5" x14ac:dyDescent="0.2">
      <c r="B263" s="136">
        <v>229</v>
      </c>
      <c r="C263" s="137">
        <f>IF(B263&gt;$D$3*12,0,C261-E263)</f>
        <v>164399.94002518145</v>
      </c>
      <c r="D263" s="138">
        <f>IF(C261&lt;0.001,0,-IPMT(((1+$D$2/2)^(1/6)-1),B263,$D$3*12,$D$1))</f>
        <v>482.07178707838085</v>
      </c>
      <c r="E263" s="138">
        <f>IF($D$3*12&lt;=B263,C261,-PPMT(((1+$D$2/2)^(1/6)-1),B263,$D$3*12,$D$1))</f>
        <v>2082.9295454550411</v>
      </c>
    </row>
    <row r="264" spans="2:5" x14ac:dyDescent="0.2">
      <c r="B264" s="136">
        <v>230</v>
      </c>
      <c r="C264" s="137">
        <f>IF(B264&gt;$D$3*12,0,C263-E264)</f>
        <v>162310.97909901483</v>
      </c>
      <c r="D264" s="138">
        <f>IF(C263&lt;0.001,0,-IPMT(((1+$D$2/2)^(1/6)-1),B264,$D$3*12,$D$1))</f>
        <v>476.04040636680651</v>
      </c>
      <c r="E264" s="138">
        <f t="shared" ref="E264:E273" si="57">IF($D$3*12&lt;=B264,C263,-PPMT(((1+$D$2/2)^(1/6)-1),B264,$D$3*12,$D$1))</f>
        <v>2088.960926166616</v>
      </c>
    </row>
    <row r="265" spans="2:5" x14ac:dyDescent="0.2">
      <c r="B265" s="136">
        <v>231</v>
      </c>
      <c r="C265" s="137">
        <f t="shared" ref="C265:C274" si="58">IF(B265&gt;$D$3*12,0,C264-E265)</f>
        <v>160215.96932752611</v>
      </c>
      <c r="D265" s="138">
        <f>IF(C264&lt;0.001,0,-IPMT(((1+$D$2/2)^(1/6)-1),B265,$D$3*12,$D$1))</f>
        <v>469.99156104469495</v>
      </c>
      <c r="E265" s="138">
        <f t="shared" si="57"/>
        <v>2095.0097714887274</v>
      </c>
    </row>
    <row r="266" spans="2:5" x14ac:dyDescent="0.2">
      <c r="B266" s="136">
        <v>232</v>
      </c>
      <c r="C266" s="137">
        <f t="shared" si="58"/>
        <v>158114.89319553378</v>
      </c>
      <c r="D266" s="138">
        <f t="shared" ref="D266:D274" si="59">IF(C265&lt;0.001,0,-IPMT(((1+$D$2/2)^(1/6)-1),B266,$D$3*12,$D$1))</f>
        <v>463.92520054110122</v>
      </c>
      <c r="E266" s="138">
        <f t="shared" si="57"/>
        <v>2101.0761319923208</v>
      </c>
    </row>
    <row r="267" spans="2:5" x14ac:dyDescent="0.2">
      <c r="B267" s="136">
        <v>233</v>
      </c>
      <c r="C267" s="137">
        <f t="shared" si="58"/>
        <v>156007.733137139</v>
      </c>
      <c r="D267" s="138">
        <f t="shared" si="59"/>
        <v>457.84127413864627</v>
      </c>
      <c r="E267" s="138">
        <f t="shared" si="57"/>
        <v>2107.1600583947757</v>
      </c>
    </row>
    <row r="268" spans="2:5" x14ac:dyDescent="0.2">
      <c r="B268" s="136">
        <v>234</v>
      </c>
      <c r="C268" s="137">
        <f t="shared" si="58"/>
        <v>153894.47153557866</v>
      </c>
      <c r="D268" s="138">
        <f t="shared" si="59"/>
        <v>451.73973097309215</v>
      </c>
      <c r="E268" s="138">
        <f t="shared" si="57"/>
        <v>2113.2616015603298</v>
      </c>
    </row>
    <row r="269" spans="2:5" x14ac:dyDescent="0.2">
      <c r="B269" s="136">
        <v>235</v>
      </c>
      <c r="C269" s="137">
        <f t="shared" si="58"/>
        <v>151775.09072307814</v>
      </c>
      <c r="D269" s="138">
        <f t="shared" si="59"/>
        <v>445.62052003291757</v>
      </c>
      <c r="E269" s="138">
        <f t="shared" si="57"/>
        <v>2119.3808125005048</v>
      </c>
    </row>
    <row r="270" spans="2:5" x14ac:dyDescent="0.2">
      <c r="B270" s="136">
        <v>236</v>
      </c>
      <c r="C270" s="137">
        <f t="shared" si="58"/>
        <v>149649.57298070361</v>
      </c>
      <c r="D270" s="138">
        <f t="shared" si="59"/>
        <v>439.48359015889071</v>
      </c>
      <c r="E270" s="138">
        <f t="shared" si="57"/>
        <v>2125.5177423745317</v>
      </c>
    </row>
    <row r="271" spans="2:5" x14ac:dyDescent="0.2">
      <c r="B271" s="136">
        <v>237</v>
      </c>
      <c r="C271" s="137">
        <f t="shared" si="58"/>
        <v>147517.90053821384</v>
      </c>
      <c r="D271" s="138">
        <f t="shared" si="59"/>
        <v>433.32889004364222</v>
      </c>
      <c r="E271" s="138">
        <f t="shared" si="57"/>
        <v>2131.6724424897802</v>
      </c>
    </row>
    <row r="272" spans="2:5" x14ac:dyDescent="0.2">
      <c r="B272" s="136">
        <v>238</v>
      </c>
      <c r="C272" s="137">
        <f t="shared" si="58"/>
        <v>145380.05557391167</v>
      </c>
      <c r="D272" s="138">
        <f t="shared" si="59"/>
        <v>427.15636823123572</v>
      </c>
      <c r="E272" s="138">
        <f t="shared" si="57"/>
        <v>2137.8449643021868</v>
      </c>
    </row>
    <row r="273" spans="2:5" x14ac:dyDescent="0.2">
      <c r="B273" s="136">
        <v>239</v>
      </c>
      <c r="C273" s="137">
        <f t="shared" si="58"/>
        <v>143236.02021449499</v>
      </c>
      <c r="D273" s="138">
        <f t="shared" si="59"/>
        <v>420.96597311673776</v>
      </c>
      <c r="E273" s="138">
        <f t="shared" si="57"/>
        <v>2144.0353594166845</v>
      </c>
    </row>
    <row r="274" spans="2:5" x14ac:dyDescent="0.2">
      <c r="B274" s="136">
        <v>240</v>
      </c>
      <c r="C274" s="137">
        <f t="shared" si="58"/>
        <v>141085.77653490735</v>
      </c>
      <c r="D274" s="138">
        <f t="shared" si="59"/>
        <v>414.75765294578645</v>
      </c>
      <c r="E274" s="138">
        <f>IF($D$3*12&lt;=B274,C273,-PPMT(((1+$D$2/2)^(1/6)-1),B274,$D$3*12,$D$1))</f>
        <v>2150.2436795876361</v>
      </c>
    </row>
    <row r="275" spans="2:5" ht="13.5" thickBot="1" x14ac:dyDescent="0.25">
      <c r="B275" s="139" t="s">
        <v>104</v>
      </c>
      <c r="C275" s="141"/>
      <c r="D275" s="140">
        <f>SUM(D263:D274)</f>
        <v>5382.9229546719325</v>
      </c>
      <c r="E275" s="140">
        <f>SUM(E263:E274)</f>
        <v>25397.093035729133</v>
      </c>
    </row>
    <row r="276" spans="2:5" x14ac:dyDescent="0.2">
      <c r="B276" s="136">
        <v>241</v>
      </c>
      <c r="C276" s="137">
        <f>IF(B276&gt;$D$3*12,0,C274-E276)</f>
        <v>138929.30655818808</v>
      </c>
      <c r="D276" s="138">
        <f>IF(C274&lt;0.001,0,-IPMT(((1+$D$2/2)^(1/6)-1),B276,$D$3*12,$D$1))</f>
        <v>408.5313558141587</v>
      </c>
      <c r="E276" s="138">
        <f>IF($D$3*12&lt;=B276,C274,-PPMT(((1+$D$2/2)^(1/6)-1),B276,$D$3*12,$D$1))</f>
        <v>2156.4699767192633</v>
      </c>
    </row>
    <row r="277" spans="2:5" x14ac:dyDescent="0.2">
      <c r="B277" s="136">
        <v>242</v>
      </c>
      <c r="C277" s="137">
        <f>IF(B277&gt;$D$3*12,0,C276-E277)</f>
        <v>136766.592255322</v>
      </c>
      <c r="D277" s="138">
        <f>IF(C276&lt;0.001,0,-IPMT(((1+$D$2/2)^(1/6)-1),B277,$D$3*12,$D$1))</f>
        <v>402.28702966733641</v>
      </c>
      <c r="E277" s="138">
        <f t="shared" ref="E277:E286" si="60">IF($D$3*12&lt;=B277,C276,-PPMT(((1+$D$2/2)^(1/6)-1),B277,$D$3*12,$D$1))</f>
        <v>2162.7143028660857</v>
      </c>
    </row>
    <row r="278" spans="2:5" x14ac:dyDescent="0.2">
      <c r="B278" s="136">
        <v>243</v>
      </c>
      <c r="C278" s="137">
        <f t="shared" ref="C278:C287" si="61">IF(B278&gt;$D$3*12,0,C277-E278)</f>
        <v>134597.61554508866</v>
      </c>
      <c r="D278" s="138">
        <f>IF(C277&lt;0.001,0,-IPMT(((1+$D$2/2)^(1/6)-1),B278,$D$3*12,$D$1))</f>
        <v>396.02462230007109</v>
      </c>
      <c r="E278" s="138">
        <f t="shared" si="60"/>
        <v>2168.9767102333512</v>
      </c>
    </row>
    <row r="279" spans="2:5" x14ac:dyDescent="0.2">
      <c r="B279" s="136">
        <v>244</v>
      </c>
      <c r="C279" s="137">
        <f t="shared" si="61"/>
        <v>132422.35829391118</v>
      </c>
      <c r="D279" s="138">
        <f t="shared" ref="D279:D287" si="62">IF(C278&lt;0.001,0,-IPMT(((1+$D$2/2)^(1/6)-1),B279,$D$3*12,$D$1))</f>
        <v>389.7440813559474</v>
      </c>
      <c r="E279" s="138">
        <f t="shared" si="60"/>
        <v>2175.2572511774752</v>
      </c>
    </row>
    <row r="280" spans="2:5" x14ac:dyDescent="0.2">
      <c r="B280" s="136">
        <v>245</v>
      </c>
      <c r="C280" s="137">
        <f t="shared" si="61"/>
        <v>130240.8023157047</v>
      </c>
      <c r="D280" s="138">
        <f t="shared" si="62"/>
        <v>383.44535432694579</v>
      </c>
      <c r="E280" s="138">
        <f t="shared" si="60"/>
        <v>2181.5559782064765</v>
      </c>
    </row>
    <row r="281" spans="2:5" x14ac:dyDescent="0.2">
      <c r="B281" s="136">
        <v>246</v>
      </c>
      <c r="C281" s="137">
        <f t="shared" si="61"/>
        <v>128052.92937172428</v>
      </c>
      <c r="D281" s="138">
        <f t="shared" si="62"/>
        <v>377.12838855300276</v>
      </c>
      <c r="E281" s="138">
        <f t="shared" si="60"/>
        <v>2187.8729439804197</v>
      </c>
    </row>
    <row r="282" spans="2:5" x14ac:dyDescent="0.2">
      <c r="B282" s="136">
        <v>247</v>
      </c>
      <c r="C282" s="137">
        <f t="shared" si="61"/>
        <v>125858.72117041243</v>
      </c>
      <c r="D282" s="138">
        <f t="shared" si="62"/>
        <v>370.79313122157157</v>
      </c>
      <c r="E282" s="138">
        <f t="shared" si="60"/>
        <v>2194.2082013118506</v>
      </c>
    </row>
    <row r="283" spans="2:5" x14ac:dyDescent="0.2">
      <c r="B283" s="136">
        <v>248</v>
      </c>
      <c r="C283" s="137">
        <f t="shared" si="61"/>
        <v>123658.15936724619</v>
      </c>
      <c r="D283" s="138">
        <f t="shared" si="62"/>
        <v>364.43952936717989</v>
      </c>
      <c r="E283" s="138">
        <f t="shared" si="60"/>
        <v>2200.5618031662425</v>
      </c>
    </row>
    <row r="284" spans="2:5" x14ac:dyDescent="0.2">
      <c r="B284" s="136">
        <v>249</v>
      </c>
      <c r="C284" s="137">
        <f t="shared" si="61"/>
        <v>121451.22556458376</v>
      </c>
      <c r="D284" s="138">
        <f t="shared" si="62"/>
        <v>358.06752987098741</v>
      </c>
      <c r="E284" s="138">
        <f t="shared" si="60"/>
        <v>2206.933802662435</v>
      </c>
    </row>
    <row r="285" spans="2:5" x14ac:dyDescent="0.2">
      <c r="B285" s="136">
        <v>250</v>
      </c>
      <c r="C285" s="137">
        <f t="shared" si="61"/>
        <v>119237.90131151068</v>
      </c>
      <c r="D285" s="138">
        <f t="shared" si="62"/>
        <v>351.67707946034153</v>
      </c>
      <c r="E285" s="138">
        <f t="shared" si="60"/>
        <v>2213.3242530730809</v>
      </c>
    </row>
    <row r="286" spans="2:5" x14ac:dyDescent="0.2">
      <c r="B286" s="136">
        <v>251</v>
      </c>
      <c r="C286" s="137">
        <f t="shared" si="61"/>
        <v>117018.16810368559</v>
      </c>
      <c r="D286" s="138">
        <f t="shared" si="62"/>
        <v>345.26812470833232</v>
      </c>
      <c r="E286" s="138">
        <f t="shared" si="60"/>
        <v>2219.7332078250902</v>
      </c>
    </row>
    <row r="287" spans="2:5" x14ac:dyDescent="0.2">
      <c r="B287" s="136">
        <v>252</v>
      </c>
      <c r="C287" s="137">
        <f t="shared" si="61"/>
        <v>114792.00738318551</v>
      </c>
      <c r="D287" s="138">
        <f t="shared" si="62"/>
        <v>338.84061203334539</v>
      </c>
      <c r="E287" s="138">
        <f>IF($D$3*12&lt;=B287,C286,-PPMT(((1+$D$2/2)^(1/6)-1),B287,$D$3*12,$D$1))</f>
        <v>2226.1607205000769</v>
      </c>
    </row>
    <row r="288" spans="2:5" ht="13.5" thickBot="1" x14ac:dyDescent="0.25">
      <c r="B288" s="139" t="s">
        <v>105</v>
      </c>
      <c r="C288" s="141"/>
      <c r="D288" s="140">
        <f>SUM(D276:D287)</f>
        <v>4486.2468386792207</v>
      </c>
      <c r="E288" s="140">
        <f>SUM(E276:E287)</f>
        <v>26293.769151721852</v>
      </c>
    </row>
    <row r="289" spans="2:5" x14ac:dyDescent="0.2">
      <c r="B289" s="136">
        <v>253</v>
      </c>
      <c r="C289" s="137">
        <f>IF(B289&gt;$D$3*12,0,C287-E289)</f>
        <v>112559.4005383507</v>
      </c>
      <c r="D289" s="138">
        <f>IF(C287&lt;0.001,0,-IPMT(((1+$D$2/2)^(1/6)-1),B289,$D$3*12,$D$1))</f>
        <v>332.39448769861406</v>
      </c>
      <c r="E289" s="138">
        <f>IF($D$3*12&lt;=B289,C287,-PPMT(((1+$D$2/2)^(1/6)-1),B289,$D$3*12,$D$1))</f>
        <v>2232.6068448348083</v>
      </c>
    </row>
    <row r="290" spans="2:5" x14ac:dyDescent="0.2">
      <c r="B290" s="136">
        <v>254</v>
      </c>
      <c r="C290" s="137">
        <f>IF(B290&gt;$D$3*12,0,C289-E290)</f>
        <v>110320.32890362905</v>
      </c>
      <c r="D290" s="138">
        <f>IF(C289&lt;0.001,0,-IPMT(((1+$D$2/2)^(1/6)-1),B290,$D$3*12,$D$1))</f>
        <v>325.92969781177061</v>
      </c>
      <c r="E290" s="138">
        <f t="shared" ref="E290:E299" si="63">IF($D$3*12&lt;=B290,C289,-PPMT(((1+$D$2/2)^(1/6)-1),B290,$D$3*12,$D$1))</f>
        <v>2239.0716347216517</v>
      </c>
    </row>
    <row r="291" spans="2:5" x14ac:dyDescent="0.2">
      <c r="B291" s="136">
        <v>255</v>
      </c>
      <c r="C291" s="137">
        <f t="shared" ref="C291:C300" si="64">IF(B291&gt;$D$3*12,0,C290-E291)</f>
        <v>108074.77375942003</v>
      </c>
      <c r="D291" s="138">
        <f>IF(C290&lt;0.001,0,-IPMT(((1+$D$2/2)^(1/6)-1),B291,$D$3*12,$D$1))</f>
        <v>319.44618832439471</v>
      </c>
      <c r="E291" s="138">
        <f t="shared" si="63"/>
        <v>2245.5551442090277</v>
      </c>
    </row>
    <row r="292" spans="2:5" x14ac:dyDescent="0.2">
      <c r="B292" s="136">
        <v>256</v>
      </c>
      <c r="C292" s="137">
        <f t="shared" si="64"/>
        <v>105822.71633191817</v>
      </c>
      <c r="D292" s="138">
        <f t="shared" ref="D292:D300" si="65">IF(C291&lt;0.001,0,-IPMT(((1+$D$2/2)^(1/6)-1),B292,$D$3*12,$D$1))</f>
        <v>312.94390503156262</v>
      </c>
      <c r="E292" s="138">
        <f t="shared" si="63"/>
        <v>2252.0574275018594</v>
      </c>
    </row>
    <row r="293" spans="2:5" x14ac:dyDescent="0.2">
      <c r="B293" s="136">
        <v>257</v>
      </c>
      <c r="C293" s="137">
        <f t="shared" si="64"/>
        <v>103564.13779295614</v>
      </c>
      <c r="D293" s="138">
        <f t="shared" si="65"/>
        <v>306.4227935713933</v>
      </c>
      <c r="E293" s="138">
        <f t="shared" si="63"/>
        <v>2258.5785389620291</v>
      </c>
    </row>
    <row r="294" spans="2:5" x14ac:dyDescent="0.2">
      <c r="B294" s="136">
        <v>258</v>
      </c>
      <c r="C294" s="137">
        <f t="shared" si="64"/>
        <v>101299.01925984731</v>
      </c>
      <c r="D294" s="138">
        <f t="shared" si="65"/>
        <v>299.882799424594</v>
      </c>
      <c r="E294" s="138">
        <f t="shared" si="63"/>
        <v>2265.1185331088282</v>
      </c>
    </row>
    <row r="295" spans="2:5" x14ac:dyDescent="0.2">
      <c r="B295" s="136">
        <v>259</v>
      </c>
      <c r="C295" s="137">
        <f t="shared" si="64"/>
        <v>99027.341795227898</v>
      </c>
      <c r="D295" s="138">
        <f t="shared" si="65"/>
        <v>293.32386791400495</v>
      </c>
      <c r="E295" s="138">
        <f t="shared" si="63"/>
        <v>2271.6774646194172</v>
      </c>
    </row>
    <row r="296" spans="2:5" x14ac:dyDescent="0.2">
      <c r="B296" s="136">
        <v>260</v>
      </c>
      <c r="C296" s="137">
        <f t="shared" si="64"/>
        <v>96749.086406898612</v>
      </c>
      <c r="D296" s="138">
        <f t="shared" si="65"/>
        <v>286.74594420414172</v>
      </c>
      <c r="E296" s="138">
        <f t="shared" si="63"/>
        <v>2278.2553883292808</v>
      </c>
    </row>
    <row r="297" spans="2:5" x14ac:dyDescent="0.2">
      <c r="B297" s="136">
        <v>261</v>
      </c>
      <c r="C297" s="137">
        <f t="shared" si="64"/>
        <v>94464.23404766593</v>
      </c>
      <c r="D297" s="138">
        <f t="shared" si="65"/>
        <v>280.14897330073677</v>
      </c>
      <c r="E297" s="138">
        <f t="shared" si="63"/>
        <v>2284.8523592326856</v>
      </c>
    </row>
    <row r="298" spans="2:5" x14ac:dyDescent="0.2">
      <c r="B298" s="136">
        <v>262</v>
      </c>
      <c r="C298" s="137">
        <f t="shared" si="64"/>
        <v>92172.765615182783</v>
      </c>
      <c r="D298" s="138">
        <f t="shared" si="65"/>
        <v>273.53290005028009</v>
      </c>
      <c r="E298" s="138">
        <f t="shared" si="63"/>
        <v>2291.4684324831424</v>
      </c>
    </row>
    <row r="299" spans="2:5" x14ac:dyDescent="0.2">
      <c r="B299" s="136">
        <v>263</v>
      </c>
      <c r="C299" s="137">
        <f t="shared" si="64"/>
        <v>89874.661951788919</v>
      </c>
      <c r="D299" s="138">
        <f t="shared" si="65"/>
        <v>266.89766913955776</v>
      </c>
      <c r="E299" s="138">
        <f t="shared" si="63"/>
        <v>2298.1036633938643</v>
      </c>
    </row>
    <row r="300" spans="2:5" x14ac:dyDescent="0.2">
      <c r="B300" s="136">
        <v>264</v>
      </c>
      <c r="C300" s="137">
        <f t="shared" si="64"/>
        <v>87569.903844350687</v>
      </c>
      <c r="D300" s="138">
        <f t="shared" si="65"/>
        <v>260.24322509518947</v>
      </c>
      <c r="E300" s="138">
        <f>IF($D$3*12&lt;=B300,C299,-PPMT(((1+$D$2/2)^(1/6)-1),B300,$D$3*12,$D$1))</f>
        <v>2304.7581074382324</v>
      </c>
    </row>
    <row r="301" spans="2:5" ht="13.5" thickBot="1" x14ac:dyDescent="0.25">
      <c r="B301" s="139" t="s">
        <v>106</v>
      </c>
      <c r="C301" s="141"/>
      <c r="D301" s="140">
        <f>SUM(D289:D300)</f>
        <v>3557.9124515662406</v>
      </c>
      <c r="E301" s="140">
        <f>SUM(E289:E300)</f>
        <v>27222.103538834828</v>
      </c>
    </row>
    <row r="302" spans="2:5" x14ac:dyDescent="0.2">
      <c r="B302" s="136">
        <v>265</v>
      </c>
      <c r="C302" s="137">
        <f>IF(B302&gt;$D$3*12,0,C300-E302)</f>
        <v>85258.472024100425</v>
      </c>
      <c r="D302" s="138">
        <f>IF(C300&lt;0.001,0,-IPMT(((1+$D$2/2)^(1/6)-1),B302,$D$3*12,$D$1))</f>
        <v>253.56951228316518</v>
      </c>
      <c r="E302" s="138">
        <f>IF($D$3*12&lt;=B302,C300,-PPMT(((1+$D$2/2)^(1/6)-1),B302,$D$3*12,$D$1))</f>
        <v>2311.4318202502568</v>
      </c>
    </row>
    <row r="303" spans="2:5" x14ac:dyDescent="0.2">
      <c r="B303" s="136">
        <v>266</v>
      </c>
      <c r="C303" s="137">
        <f>IF(B303&gt;$D$3*12,0,C302-E303)</f>
        <v>82940.347166475389</v>
      </c>
      <c r="D303" s="138">
        <f>IF(C302&lt;0.001,0,-IPMT(((1+$D$2/2)^(1/6)-1),B303,$D$3*12,$D$1))</f>
        <v>246.87647490837929</v>
      </c>
      <c r="E303" s="138">
        <f t="shared" ref="E303:E312" si="66">IF($D$3*12&lt;=B303,C302,-PPMT(((1+$D$2/2)^(1/6)-1),B303,$D$3*12,$D$1))</f>
        <v>2318.1248576250432</v>
      </c>
    </row>
    <row r="304" spans="2:5" x14ac:dyDescent="0.2">
      <c r="B304" s="136">
        <v>267</v>
      </c>
      <c r="C304" s="137">
        <f t="shared" ref="C304:C313" si="67">IF(B304&gt;$D$3*12,0,C303-E304)</f>
        <v>80615.509890956135</v>
      </c>
      <c r="D304" s="138">
        <f>IF(C303&lt;0.001,0,-IPMT(((1+$D$2/2)^(1/6)-1),B304,$D$3*12,$D$1))</f>
        <v>240.16405701416477</v>
      </c>
      <c r="E304" s="138">
        <f t="shared" si="66"/>
        <v>2324.8372755192577</v>
      </c>
    </row>
    <row r="305" spans="2:5" x14ac:dyDescent="0.2">
      <c r="B305" s="136">
        <v>268</v>
      </c>
      <c r="C305" s="137">
        <f t="shared" si="67"/>
        <v>78283.940760904545</v>
      </c>
      <c r="D305" s="138">
        <f t="shared" ref="D305:D313" si="68">IF(C304&lt;0.001,0,-IPMT(((1+$D$2/2)^(1/6)-1),B305,$D$3*12,$D$1))</f>
        <v>233.43220248182502</v>
      </c>
      <c r="E305" s="138">
        <f t="shared" si="66"/>
        <v>2331.5691300515973</v>
      </c>
    </row>
    <row r="306" spans="2:5" x14ac:dyDescent="0.2">
      <c r="B306" s="136">
        <v>269</v>
      </c>
      <c r="C306" s="137">
        <f t="shared" si="67"/>
        <v>75945.62028340128</v>
      </c>
      <c r="D306" s="138">
        <f t="shared" si="68"/>
        <v>226.68085503016511</v>
      </c>
      <c r="E306" s="138">
        <f t="shared" si="66"/>
        <v>2338.3204775032573</v>
      </c>
    </row>
    <row r="307" spans="2:5" x14ac:dyDescent="0.2">
      <c r="B307" s="136">
        <v>270</v>
      </c>
      <c r="C307" s="137">
        <f t="shared" si="67"/>
        <v>73600.528909082874</v>
      </c>
      <c r="D307" s="138">
        <f t="shared" si="68"/>
        <v>219.9099582150204</v>
      </c>
      <c r="E307" s="138">
        <f t="shared" si="66"/>
        <v>2345.0913743184019</v>
      </c>
    </row>
    <row r="308" spans="2:5" x14ac:dyDescent="0.2">
      <c r="B308" s="136">
        <v>271</v>
      </c>
      <c r="C308" s="137">
        <f t="shared" si="67"/>
        <v>71248.647031978238</v>
      </c>
      <c r="D308" s="138">
        <f t="shared" si="68"/>
        <v>213.11945542878564</v>
      </c>
      <c r="E308" s="138">
        <f t="shared" si="66"/>
        <v>2351.8818771046367</v>
      </c>
    </row>
    <row r="309" spans="2:5" x14ac:dyDescent="0.2">
      <c r="B309" s="136">
        <v>272</v>
      </c>
      <c r="C309" s="137">
        <f t="shared" si="67"/>
        <v>68889.954989344755</v>
      </c>
      <c r="D309" s="138">
        <f t="shared" si="68"/>
        <v>206.30928989994095</v>
      </c>
      <c r="E309" s="138">
        <f t="shared" si="66"/>
        <v>2358.6920426334814</v>
      </c>
    </row>
    <row r="310" spans="2:5" x14ac:dyDescent="0.2">
      <c r="B310" s="136">
        <v>273</v>
      </c>
      <c r="C310" s="137">
        <f t="shared" si="67"/>
        <v>66524.433061503907</v>
      </c>
      <c r="D310" s="138">
        <f t="shared" si="68"/>
        <v>199.47940469257767</v>
      </c>
      <c r="E310" s="138">
        <f t="shared" si="66"/>
        <v>2365.5219278408445</v>
      </c>
    </row>
    <row r="311" spans="2:5" x14ac:dyDescent="0.2">
      <c r="B311" s="136">
        <v>274</v>
      </c>
      <c r="C311" s="137">
        <f t="shared" si="67"/>
        <v>64152.06147167641</v>
      </c>
      <c r="D311" s="138">
        <f t="shared" si="68"/>
        <v>192.6297427059221</v>
      </c>
      <c r="E311" s="138">
        <f t="shared" si="66"/>
        <v>2372.3715898275004</v>
      </c>
    </row>
    <row r="312" spans="2:5" x14ac:dyDescent="0.2">
      <c r="B312" s="136">
        <v>275</v>
      </c>
      <c r="C312" s="137">
        <f t="shared" si="67"/>
        <v>61772.820385816849</v>
      </c>
      <c r="D312" s="138">
        <f t="shared" si="68"/>
        <v>185.76024667385801</v>
      </c>
      <c r="E312" s="138">
        <f t="shared" si="66"/>
        <v>2379.2410858595645</v>
      </c>
    </row>
    <row r="313" spans="2:5" x14ac:dyDescent="0.2">
      <c r="B313" s="136">
        <v>276</v>
      </c>
      <c r="C313" s="137">
        <f t="shared" si="67"/>
        <v>59386.689912447873</v>
      </c>
      <c r="D313" s="138">
        <f t="shared" si="68"/>
        <v>178.87085916444835</v>
      </c>
      <c r="E313" s="138">
        <f>IF($D$3*12&lt;=B313,C312,-PPMT(((1+$D$2/2)^(1/6)-1),B313,$D$3*12,$D$1))</f>
        <v>2386.130473368974</v>
      </c>
    </row>
    <row r="314" spans="2:5" ht="13.5" thickBot="1" x14ac:dyDescent="0.25">
      <c r="B314" s="139" t="s">
        <v>107</v>
      </c>
      <c r="C314" s="141"/>
      <c r="D314" s="140">
        <f>SUM(D302:D313)</f>
        <v>2596.8020584982523</v>
      </c>
      <c r="E314" s="140">
        <f>SUM(E302:E313)</f>
        <v>28183.213931902814</v>
      </c>
    </row>
    <row r="315" spans="2:5" x14ac:dyDescent="0.2">
      <c r="B315" s="136">
        <v>277</v>
      </c>
      <c r="C315" s="137">
        <f>IF(B315&gt;$D$3*12,0,C313-E315)</f>
        <v>56993.650102493906</v>
      </c>
      <c r="D315" s="138">
        <f>IF(C313&lt;0.001,0,-IPMT(((1+$D$2/2)^(1/6)-1),B315,$D$3*12,$D$1))</f>
        <v>171.96152257945445</v>
      </c>
      <c r="E315" s="138">
        <f>IF($D$3*12&lt;=B315,C313,-PPMT(((1+$D$2/2)^(1/6)-1),B315,$D$3*12,$D$1))</f>
        <v>2393.039809953968</v>
      </c>
    </row>
    <row r="316" spans="2:5" x14ac:dyDescent="0.2">
      <c r="B316" s="136">
        <v>278</v>
      </c>
      <c r="C316" s="137">
        <f>IF(B316&gt;$D$3*12,0,C315-E316)</f>
        <v>54593.680949114336</v>
      </c>
      <c r="D316" s="138">
        <f>IF(C315&lt;0.001,0,-IPMT(((1+$D$2/2)^(1/6)-1),B316,$D$3*12,$D$1))</f>
        <v>165.032179153855</v>
      </c>
      <c r="E316" s="138">
        <f t="shared" ref="E316:E325" si="69">IF($D$3*12&lt;=B316,C315,-PPMT(((1+$D$2/2)^(1/6)-1),B316,$D$3*12,$D$1))</f>
        <v>2399.9691533795672</v>
      </c>
    </row>
    <row r="317" spans="2:5" x14ac:dyDescent="0.2">
      <c r="B317" s="136">
        <v>279</v>
      </c>
      <c r="C317" s="137">
        <f t="shared" ref="C317:C326" si="70">IF(B317&gt;$D$3*12,0,C316-E317)</f>
        <v>52186.762387536277</v>
      </c>
      <c r="D317" s="138">
        <f>IF(C316&lt;0.001,0,-IPMT(((1+$D$2/2)^(1/6)-1),B317,$D$3*12,$D$1))</f>
        <v>158.08277095536292</v>
      </c>
      <c r="E317" s="138">
        <f t="shared" si="69"/>
        <v>2406.9185615780593</v>
      </c>
    </row>
    <row r="318" spans="2:5" x14ac:dyDescent="0.2">
      <c r="B318" s="136">
        <v>280</v>
      </c>
      <c r="C318" s="137">
        <f t="shared" si="70"/>
        <v>49772.874294886795</v>
      </c>
      <c r="D318" s="138">
        <f t="shared" ref="D318:D326" si="71">IF(C317&lt;0.001,0,-IPMT(((1+$D$2/2)^(1/6)-1),B318,$D$3*12,$D$1))</f>
        <v>151.11323988394082</v>
      </c>
      <c r="E318" s="138">
        <f t="shared" si="69"/>
        <v>2413.8880926494817</v>
      </c>
    </row>
    <row r="319" spans="2:5" x14ac:dyDescent="0.2">
      <c r="B319" s="136">
        <v>281</v>
      </c>
      <c r="C319" s="137">
        <f t="shared" si="70"/>
        <v>47351.996490024685</v>
      </c>
      <c r="D319" s="138">
        <f t="shared" si="71"/>
        <v>144.12352767131566</v>
      </c>
      <c r="E319" s="138">
        <f t="shared" si="69"/>
        <v>2420.8778048621066</v>
      </c>
    </row>
    <row r="320" spans="2:5" x14ac:dyDescent="0.2">
      <c r="B320" s="136">
        <v>282</v>
      </c>
      <c r="C320" s="137">
        <f t="shared" si="70"/>
        <v>44924.108733371751</v>
      </c>
      <c r="D320" s="138">
        <f t="shared" si="71"/>
        <v>137.11357588049128</v>
      </c>
      <c r="E320" s="138">
        <f t="shared" si="69"/>
        <v>2427.8877566529309</v>
      </c>
    </row>
    <row r="321" spans="2:5" x14ac:dyDescent="0.2">
      <c r="B321" s="136">
        <v>283</v>
      </c>
      <c r="C321" s="137">
        <f t="shared" si="70"/>
        <v>42489.190726743589</v>
      </c>
      <c r="D321" s="138">
        <f t="shared" si="71"/>
        <v>130.08332590526001</v>
      </c>
      <c r="E321" s="138">
        <f t="shared" si="69"/>
        <v>2434.9180066281624</v>
      </c>
    </row>
    <row r="322" spans="2:5" x14ac:dyDescent="0.2">
      <c r="B322" s="136">
        <v>284</v>
      </c>
      <c r="C322" s="137">
        <f t="shared" si="70"/>
        <v>40047.22211317988</v>
      </c>
      <c r="D322" s="138">
        <f t="shared" si="71"/>
        <v>123.03271896971258</v>
      </c>
      <c r="E322" s="138">
        <f t="shared" si="69"/>
        <v>2441.9686135637098</v>
      </c>
    </row>
    <row r="323" spans="2:5" x14ac:dyDescent="0.2">
      <c r="B323" s="136">
        <v>285</v>
      </c>
      <c r="C323" s="137">
        <f t="shared" si="70"/>
        <v>37598.182476774207</v>
      </c>
      <c r="D323" s="138">
        <f t="shared" si="71"/>
        <v>115.96169612774683</v>
      </c>
      <c r="E323" s="138">
        <f t="shared" si="69"/>
        <v>2449.0396364056755</v>
      </c>
    </row>
    <row r="324" spans="2:5" x14ac:dyDescent="0.2">
      <c r="B324" s="136">
        <v>286</v>
      </c>
      <c r="C324" s="137">
        <f t="shared" si="70"/>
        <v>35142.051342503357</v>
      </c>
      <c r="D324" s="138">
        <f t="shared" si="71"/>
        <v>108.87019826257485</v>
      </c>
      <c r="E324" s="138">
        <f t="shared" si="69"/>
        <v>2456.1311342708477</v>
      </c>
    </row>
    <row r="325" spans="2:5" x14ac:dyDescent="0.2">
      <c r="B325" s="136">
        <v>287</v>
      </c>
      <c r="C325" s="137">
        <f t="shared" si="70"/>
        <v>32678.808176056162</v>
      </c>
      <c r="D325" s="138">
        <f t="shared" si="71"/>
        <v>101.75816608622875</v>
      </c>
      <c r="E325" s="138">
        <f t="shared" si="69"/>
        <v>2463.2431664471937</v>
      </c>
    </row>
    <row r="326" spans="2:5" x14ac:dyDescent="0.2">
      <c r="B326" s="136">
        <v>288</v>
      </c>
      <c r="C326" s="137">
        <f t="shared" si="70"/>
        <v>30208.432383661806</v>
      </c>
      <c r="D326" s="138">
        <f t="shared" si="71"/>
        <v>94.625540139064952</v>
      </c>
      <c r="E326" s="138">
        <f>IF($D$3*12&lt;=B326,C325,-PPMT(((1+$D$2/2)^(1/6)-1),B326,$D$3*12,$D$1))</f>
        <v>2470.3757923943572</v>
      </c>
    </row>
    <row r="327" spans="2:5" ht="13.5" thickBot="1" x14ac:dyDescent="0.25">
      <c r="B327" s="139" t="s">
        <v>108</v>
      </c>
      <c r="C327" s="141"/>
      <c r="D327" s="140">
        <f>SUM(D315:D326)</f>
        <v>1601.7584616150079</v>
      </c>
      <c r="E327" s="140">
        <f>SUM(E315:E326)</f>
        <v>29178.25752878606</v>
      </c>
    </row>
    <row r="328" spans="2:5" x14ac:dyDescent="0.2">
      <c r="B328" s="136">
        <v>289</v>
      </c>
      <c r="C328" s="137">
        <f>IF(B328&gt;$D$3*12,0,C326-E328)</f>
        <v>27730.903311917649</v>
      </c>
      <c r="D328" s="138">
        <f>IF(C326&lt;0.001,0,-IPMT(((1+$D$2/2)^(1/6)-1),B328,$D$3*12,$D$1))</f>
        <v>87.472260789267125</v>
      </c>
      <c r="E328" s="138">
        <f>IF($D$3*12&lt;=B328,C326,-PPMT(((1+$D$2/2)^(1/6)-1),B328,$D$3*12,$D$1))</f>
        <v>2477.5290717441553</v>
      </c>
    </row>
    <row r="329" spans="2:5" x14ac:dyDescent="0.2">
      <c r="B329" s="136">
        <v>290</v>
      </c>
      <c r="C329" s="137">
        <f>IF(B329&gt;$D$3*12,0,C328-E329)</f>
        <v>25246.200247616576</v>
      </c>
      <c r="D329" s="138">
        <f>IF(C328&lt;0.001,0,-IPMT(((1+$D$2/2)^(1/6)-1),B329,$D$3*12,$D$1))</f>
        <v>80.298268232347652</v>
      </c>
      <c r="E329" s="138">
        <f t="shared" ref="E329:E338" si="72">IF($D$3*12&lt;=B329,C328,-PPMT(((1+$D$2/2)^(1/6)-1),B329,$D$3*12,$D$1))</f>
        <v>2484.7030643010744</v>
      </c>
    </row>
    <row r="330" spans="2:5" x14ac:dyDescent="0.2">
      <c r="B330" s="136">
        <v>291</v>
      </c>
      <c r="C330" s="137">
        <f t="shared" ref="C330:C339" si="73">IF(B330&gt;$D$3*12,0,C329-E330)</f>
        <v>22754.302417573803</v>
      </c>
      <c r="D330" s="138">
        <f>IF(C329&lt;0.001,0,-IPMT(((1+$D$2/2)^(1/6)-1),B330,$D$3*12,$D$1))</f>
        <v>73.1035024906475</v>
      </c>
      <c r="E330" s="138">
        <f t="shared" si="72"/>
        <v>2491.8978300427748</v>
      </c>
    </row>
    <row r="331" spans="2:5" x14ac:dyDescent="0.2">
      <c r="B331" s="136">
        <v>292</v>
      </c>
      <c r="C331" s="137">
        <f t="shared" si="73"/>
        <v>20255.188988453214</v>
      </c>
      <c r="D331" s="138">
        <f t="shared" ref="D331:D339" si="74">IF(C330&lt;0.001,0,-IPMT(((1+$D$2/2)^(1/6)-1),B331,$D$3*12,$D$1))</f>
        <v>65.887903412835016</v>
      </c>
      <c r="E331" s="138">
        <f t="shared" si="72"/>
        <v>2499.1134291205872</v>
      </c>
    </row>
    <row r="332" spans="2:5" x14ac:dyDescent="0.2">
      <c r="B332" s="136">
        <v>293</v>
      </c>
      <c r="C332" s="137">
        <f t="shared" si="73"/>
        <v>17748.839066593195</v>
      </c>
      <c r="D332" s="138">
        <f t="shared" si="74"/>
        <v>58.651410673402843</v>
      </c>
      <c r="E332" s="138">
        <f t="shared" si="72"/>
        <v>2506.3499218600195</v>
      </c>
    </row>
    <row r="333" spans="2:5" x14ac:dyDescent="0.2">
      <c r="B333" s="136">
        <v>294</v>
      </c>
      <c r="C333" s="137">
        <f t="shared" si="73"/>
        <v>15235.231697831936</v>
      </c>
      <c r="D333" s="138">
        <f t="shared" si="74"/>
        <v>51.39396377216368</v>
      </c>
      <c r="E333" s="138">
        <f t="shared" si="72"/>
        <v>2513.6073687612588</v>
      </c>
    </row>
    <row r="334" spans="2:5" x14ac:dyDescent="0.2">
      <c r="B334" s="136">
        <v>295</v>
      </c>
      <c r="C334" s="137">
        <f t="shared" si="73"/>
        <v>12714.345867332258</v>
      </c>
      <c r="D334" s="138">
        <f t="shared" si="74"/>
        <v>44.115502033744391</v>
      </c>
      <c r="E334" s="138">
        <f t="shared" si="72"/>
        <v>2520.8858304996779</v>
      </c>
    </row>
    <row r="335" spans="2:5" x14ac:dyDescent="0.2">
      <c r="B335" s="136">
        <v>296</v>
      </c>
      <c r="C335" s="137">
        <f t="shared" si="73"/>
        <v>10186.160499405914</v>
      </c>
      <c r="D335" s="138">
        <f t="shared" si="74"/>
        <v>36.81596460707879</v>
      </c>
      <c r="E335" s="138">
        <f t="shared" si="72"/>
        <v>2528.1853679263436</v>
      </c>
    </row>
    <row r="336" spans="2:5" x14ac:dyDescent="0.2">
      <c r="B336" s="136">
        <v>297</v>
      </c>
      <c r="C336" s="137">
        <f t="shared" si="73"/>
        <v>7650.6544573373912</v>
      </c>
      <c r="D336" s="138">
        <f t="shared" si="74"/>
        <v>29.495290464898897</v>
      </c>
      <c r="E336" s="138">
        <f t="shared" si="72"/>
        <v>2535.5060420685231</v>
      </c>
    </row>
    <row r="337" spans="2:5" x14ac:dyDescent="0.2">
      <c r="B337" s="136">
        <v>298</v>
      </c>
      <c r="C337" s="137">
        <f t="shared" si="73"/>
        <v>5107.8065432071935</v>
      </c>
      <c r="D337" s="138">
        <f t="shared" si="74"/>
        <v>22.153418403224702</v>
      </c>
      <c r="E337" s="138">
        <f t="shared" si="72"/>
        <v>2542.8479141301978</v>
      </c>
    </row>
    <row r="338" spans="2:5" x14ac:dyDescent="0.2">
      <c r="B338" s="136">
        <v>299</v>
      </c>
      <c r="C338" s="137">
        <f t="shared" si="73"/>
        <v>2557.5954977146239</v>
      </c>
      <c r="D338" s="138">
        <f t="shared" si="74"/>
        <v>14.79028704085248</v>
      </c>
      <c r="E338" s="138">
        <f t="shared" si="72"/>
        <v>2550.2110454925696</v>
      </c>
    </row>
    <row r="339" spans="2:5" x14ac:dyDescent="0.2">
      <c r="B339" s="136">
        <v>300</v>
      </c>
      <c r="C339" s="137">
        <f t="shared" si="73"/>
        <v>0</v>
      </c>
      <c r="D339" s="138">
        <f t="shared" si="74"/>
        <v>7.4058348188416279</v>
      </c>
      <c r="E339" s="138">
        <f>IF($D$3*12&lt;=B339,C338,-PPMT(((1+$D$2/2)^(1/6)-1),B339,$D$3*12,$D$1))</f>
        <v>2557.5954977146239</v>
      </c>
    </row>
    <row r="340" spans="2:5" ht="13.5" thickBot="1" x14ac:dyDescent="0.25">
      <c r="B340" s="139" t="s">
        <v>109</v>
      </c>
      <c r="C340" s="141"/>
      <c r="D340" s="140">
        <f>SUM(D328:D339)</f>
        <v>571.58360673930474</v>
      </c>
      <c r="E340" s="140">
        <f>SUM(E328:E339)</f>
        <v>30208.432383661806</v>
      </c>
    </row>
    <row r="341" spans="2:5" x14ac:dyDescent="0.2">
      <c r="B341" s="136">
        <v>301</v>
      </c>
      <c r="C341" s="137">
        <f>IF(B341&gt;$D$3*12,0,C339-E341)</f>
        <v>0</v>
      </c>
      <c r="D341" s="138">
        <f>IF(C339&lt;0.001,0,-IPMT(((1+$D$2/2)^(1/6)-1),B341,$D$3*12,$D$1))</f>
        <v>0</v>
      </c>
      <c r="E341" s="138">
        <f>IF($D$3*12&lt;=B341,C339,-PPMT(((1+$D$2/2)^(1/6)-1),B341,$D$3*12,$D$1))</f>
        <v>0</v>
      </c>
    </row>
    <row r="342" spans="2:5" x14ac:dyDescent="0.2">
      <c r="B342" s="136">
        <v>302</v>
      </c>
      <c r="C342" s="137">
        <f>IF(B342&gt;$D$3*12,0,C341-E342)</f>
        <v>0</v>
      </c>
      <c r="D342" s="138">
        <f>IF(C341&lt;0.001,0,-IPMT(((1+$D$2/2)^(1/6)-1),B342,$D$3*12,$D$1))</f>
        <v>0</v>
      </c>
      <c r="E342" s="138">
        <f t="shared" ref="E342:E351" si="75">IF($D$3*12&lt;=B342,C341,-PPMT(((1+$D$2/2)^(1/6)-1),B342,$D$3*12,$D$1))</f>
        <v>0</v>
      </c>
    </row>
    <row r="343" spans="2:5" x14ac:dyDescent="0.2">
      <c r="B343" s="136">
        <v>303</v>
      </c>
      <c r="C343" s="137">
        <f t="shared" ref="C343:C352" si="76">IF(B343&gt;$D$3*12,0,C342-E343)</f>
        <v>0</v>
      </c>
      <c r="D343" s="138">
        <f>IF(C342&lt;0.001,0,-IPMT(((1+$D$2/2)^(1/6)-1),B343,$D$3*12,$D$1))</f>
        <v>0</v>
      </c>
      <c r="E343" s="138">
        <f t="shared" si="75"/>
        <v>0</v>
      </c>
    </row>
    <row r="344" spans="2:5" x14ac:dyDescent="0.2">
      <c r="B344" s="136">
        <v>304</v>
      </c>
      <c r="C344" s="137">
        <f t="shared" si="76"/>
        <v>0</v>
      </c>
      <c r="D344" s="138">
        <f t="shared" ref="D344:D352" si="77">IF(C343&lt;0.001,0,-IPMT(((1+$D$2/2)^(1/6)-1),B344,$D$3*12,$D$1))</f>
        <v>0</v>
      </c>
      <c r="E344" s="138">
        <f t="shared" si="75"/>
        <v>0</v>
      </c>
    </row>
    <row r="345" spans="2:5" x14ac:dyDescent="0.2">
      <c r="B345" s="136">
        <v>305</v>
      </c>
      <c r="C345" s="137">
        <f t="shared" si="76"/>
        <v>0</v>
      </c>
      <c r="D345" s="138">
        <f t="shared" si="77"/>
        <v>0</v>
      </c>
      <c r="E345" s="138">
        <f t="shared" si="75"/>
        <v>0</v>
      </c>
    </row>
    <row r="346" spans="2:5" x14ac:dyDescent="0.2">
      <c r="B346" s="136">
        <v>306</v>
      </c>
      <c r="C346" s="137">
        <f t="shared" si="76"/>
        <v>0</v>
      </c>
      <c r="D346" s="138">
        <f t="shared" si="77"/>
        <v>0</v>
      </c>
      <c r="E346" s="138">
        <f t="shared" si="75"/>
        <v>0</v>
      </c>
    </row>
    <row r="347" spans="2:5" x14ac:dyDescent="0.2">
      <c r="B347" s="136">
        <v>307</v>
      </c>
      <c r="C347" s="137">
        <f t="shared" si="76"/>
        <v>0</v>
      </c>
      <c r="D347" s="138">
        <f t="shared" si="77"/>
        <v>0</v>
      </c>
      <c r="E347" s="138">
        <f t="shared" si="75"/>
        <v>0</v>
      </c>
    </row>
    <row r="348" spans="2:5" x14ac:dyDescent="0.2">
      <c r="B348" s="136">
        <v>308</v>
      </c>
      <c r="C348" s="137">
        <f t="shared" si="76"/>
        <v>0</v>
      </c>
      <c r="D348" s="138">
        <f t="shared" si="77"/>
        <v>0</v>
      </c>
      <c r="E348" s="138">
        <f t="shared" si="75"/>
        <v>0</v>
      </c>
    </row>
    <row r="349" spans="2:5" x14ac:dyDescent="0.2">
      <c r="B349" s="136">
        <v>309</v>
      </c>
      <c r="C349" s="137">
        <f t="shared" si="76"/>
        <v>0</v>
      </c>
      <c r="D349" s="138">
        <f t="shared" si="77"/>
        <v>0</v>
      </c>
      <c r="E349" s="138">
        <f t="shared" si="75"/>
        <v>0</v>
      </c>
    </row>
    <row r="350" spans="2:5" x14ac:dyDescent="0.2">
      <c r="B350" s="136">
        <v>310</v>
      </c>
      <c r="C350" s="137">
        <f t="shared" si="76"/>
        <v>0</v>
      </c>
      <c r="D350" s="138">
        <f t="shared" si="77"/>
        <v>0</v>
      </c>
      <c r="E350" s="138">
        <f t="shared" si="75"/>
        <v>0</v>
      </c>
    </row>
    <row r="351" spans="2:5" x14ac:dyDescent="0.2">
      <c r="B351" s="136">
        <v>311</v>
      </c>
      <c r="C351" s="137">
        <f t="shared" si="76"/>
        <v>0</v>
      </c>
      <c r="D351" s="138">
        <f t="shared" si="77"/>
        <v>0</v>
      </c>
      <c r="E351" s="138">
        <f t="shared" si="75"/>
        <v>0</v>
      </c>
    </row>
    <row r="352" spans="2:5" x14ac:dyDescent="0.2">
      <c r="B352" s="136">
        <v>312</v>
      </c>
      <c r="C352" s="137">
        <f t="shared" si="76"/>
        <v>0</v>
      </c>
      <c r="D352" s="138">
        <f t="shared" si="77"/>
        <v>0</v>
      </c>
      <c r="E352" s="138">
        <f>IF($D$3*12&lt;=B352,C351,-PPMT(((1+$D$2/2)^(1/6)-1),B352,$D$3*12,$D$1))</f>
        <v>0</v>
      </c>
    </row>
    <row r="353" spans="2:5" ht="13.5" thickBot="1" x14ac:dyDescent="0.25">
      <c r="B353" s="139" t="s">
        <v>110</v>
      </c>
      <c r="C353" s="141"/>
      <c r="D353" s="140">
        <f>SUM(D341:D352)</f>
        <v>0</v>
      </c>
      <c r="E353" s="140">
        <f>SUM(E341:E352)</f>
        <v>0</v>
      </c>
    </row>
    <row r="354" spans="2:5" x14ac:dyDescent="0.2">
      <c r="B354" s="136">
        <v>313</v>
      </c>
      <c r="C354" s="137">
        <f>IF(B354&gt;$D$3*12,0,C352-E354)</f>
        <v>0</v>
      </c>
      <c r="D354" s="138">
        <f>IF(C352&lt;0.001,0,-IPMT(((1+$D$2/2)^(1/6)-1),B354,$D$3*12,$D$1))</f>
        <v>0</v>
      </c>
      <c r="E354" s="138">
        <f>IF($D$3*12&lt;=B354,C352,-PPMT(((1+$D$2/2)^(1/6)-1),B354,$D$3*12,$D$1))</f>
        <v>0</v>
      </c>
    </row>
    <row r="355" spans="2:5" x14ac:dyDescent="0.2">
      <c r="B355" s="136">
        <v>314</v>
      </c>
      <c r="C355" s="137">
        <f>IF(B355&gt;$D$3*12,0,C354-E355)</f>
        <v>0</v>
      </c>
      <c r="D355" s="138">
        <f>IF(C354&lt;0.001,0,-IPMT(((1+$D$2/2)^(1/6)-1),B355,$D$3*12,$D$1))</f>
        <v>0</v>
      </c>
      <c r="E355" s="138">
        <f t="shared" ref="E355:E364" si="78">IF($D$3*12&lt;=B355,C354,-PPMT(((1+$D$2/2)^(1/6)-1),B355,$D$3*12,$D$1))</f>
        <v>0</v>
      </c>
    </row>
    <row r="356" spans="2:5" x14ac:dyDescent="0.2">
      <c r="B356" s="136">
        <v>315</v>
      </c>
      <c r="C356" s="137">
        <f t="shared" ref="C356:C365" si="79">IF(B356&gt;$D$3*12,0,C355-E356)</f>
        <v>0</v>
      </c>
      <c r="D356" s="138">
        <f>IF(C355&lt;0.001,0,-IPMT(((1+$D$2/2)^(1/6)-1),B356,$D$3*12,$D$1))</f>
        <v>0</v>
      </c>
      <c r="E356" s="138">
        <f t="shared" si="78"/>
        <v>0</v>
      </c>
    </row>
    <row r="357" spans="2:5" x14ac:dyDescent="0.2">
      <c r="B357" s="136">
        <v>316</v>
      </c>
      <c r="C357" s="137">
        <f t="shared" si="79"/>
        <v>0</v>
      </c>
      <c r="D357" s="138">
        <f t="shared" ref="D357:D365" si="80">IF(C356&lt;0.001,0,-IPMT(((1+$D$2/2)^(1/6)-1),B357,$D$3*12,$D$1))</f>
        <v>0</v>
      </c>
      <c r="E357" s="138">
        <f t="shared" si="78"/>
        <v>0</v>
      </c>
    </row>
    <row r="358" spans="2:5" x14ac:dyDescent="0.2">
      <c r="B358" s="136">
        <v>317</v>
      </c>
      <c r="C358" s="137">
        <f t="shared" si="79"/>
        <v>0</v>
      </c>
      <c r="D358" s="138">
        <f t="shared" si="80"/>
        <v>0</v>
      </c>
      <c r="E358" s="138">
        <f t="shared" si="78"/>
        <v>0</v>
      </c>
    </row>
    <row r="359" spans="2:5" x14ac:dyDescent="0.2">
      <c r="B359" s="136">
        <v>318</v>
      </c>
      <c r="C359" s="137">
        <f t="shared" si="79"/>
        <v>0</v>
      </c>
      <c r="D359" s="138">
        <f t="shared" si="80"/>
        <v>0</v>
      </c>
      <c r="E359" s="138">
        <f t="shared" si="78"/>
        <v>0</v>
      </c>
    </row>
    <row r="360" spans="2:5" x14ac:dyDescent="0.2">
      <c r="B360" s="136">
        <v>319</v>
      </c>
      <c r="C360" s="137">
        <f t="shared" si="79"/>
        <v>0</v>
      </c>
      <c r="D360" s="138">
        <f t="shared" si="80"/>
        <v>0</v>
      </c>
      <c r="E360" s="138">
        <f t="shared" si="78"/>
        <v>0</v>
      </c>
    </row>
    <row r="361" spans="2:5" x14ac:dyDescent="0.2">
      <c r="B361" s="136">
        <v>320</v>
      </c>
      <c r="C361" s="137">
        <f t="shared" si="79"/>
        <v>0</v>
      </c>
      <c r="D361" s="138">
        <f t="shared" si="80"/>
        <v>0</v>
      </c>
      <c r="E361" s="138">
        <f t="shared" si="78"/>
        <v>0</v>
      </c>
    </row>
    <row r="362" spans="2:5" x14ac:dyDescent="0.2">
      <c r="B362" s="136">
        <v>321</v>
      </c>
      <c r="C362" s="137">
        <f t="shared" si="79"/>
        <v>0</v>
      </c>
      <c r="D362" s="138">
        <f t="shared" si="80"/>
        <v>0</v>
      </c>
      <c r="E362" s="138">
        <f t="shared" si="78"/>
        <v>0</v>
      </c>
    </row>
    <row r="363" spans="2:5" x14ac:dyDescent="0.2">
      <c r="B363" s="136">
        <v>322</v>
      </c>
      <c r="C363" s="137">
        <f t="shared" si="79"/>
        <v>0</v>
      </c>
      <c r="D363" s="138">
        <f t="shared" si="80"/>
        <v>0</v>
      </c>
      <c r="E363" s="138">
        <f t="shared" si="78"/>
        <v>0</v>
      </c>
    </row>
    <row r="364" spans="2:5" x14ac:dyDescent="0.2">
      <c r="B364" s="136">
        <v>323</v>
      </c>
      <c r="C364" s="137">
        <f t="shared" si="79"/>
        <v>0</v>
      </c>
      <c r="D364" s="138">
        <f t="shared" si="80"/>
        <v>0</v>
      </c>
      <c r="E364" s="138">
        <f t="shared" si="78"/>
        <v>0</v>
      </c>
    </row>
    <row r="365" spans="2:5" x14ac:dyDescent="0.2">
      <c r="B365" s="136">
        <v>324</v>
      </c>
      <c r="C365" s="137">
        <f t="shared" si="79"/>
        <v>0</v>
      </c>
      <c r="D365" s="138">
        <f t="shared" si="80"/>
        <v>0</v>
      </c>
      <c r="E365" s="138">
        <f>IF($D$3*12&lt;=B365,C364,-PPMT(((1+$D$2/2)^(1/6)-1),B365,$D$3*12,$D$1))</f>
        <v>0</v>
      </c>
    </row>
    <row r="366" spans="2:5" ht="13.5" thickBot="1" x14ac:dyDescent="0.25">
      <c r="B366" s="139" t="s">
        <v>111</v>
      </c>
      <c r="C366" s="141"/>
      <c r="D366" s="140">
        <f>SUM(D354:D365)</f>
        <v>0</v>
      </c>
      <c r="E366" s="140">
        <f>SUM(E354:E365)</f>
        <v>0</v>
      </c>
    </row>
    <row r="367" spans="2:5" x14ac:dyDescent="0.2">
      <c r="B367" s="136">
        <v>325</v>
      </c>
      <c r="C367" s="137">
        <f>IF(B367&gt;$D$3*12,0,C365-E367)</f>
        <v>0</v>
      </c>
      <c r="D367" s="138">
        <f>IF(C365&lt;0.001,0,-IPMT(((1+$D$2/2)^(1/6)-1),B367,$D$3*12,$D$1))</f>
        <v>0</v>
      </c>
      <c r="E367" s="138">
        <f>IF($D$3*12&lt;=B367,C365,-PPMT(((1+$D$2/2)^(1/6)-1),B367,$D$3*12,$D$1))</f>
        <v>0</v>
      </c>
    </row>
    <row r="368" spans="2:5" x14ac:dyDescent="0.2">
      <c r="B368" s="136">
        <v>326</v>
      </c>
      <c r="C368" s="137">
        <f>IF(B368&gt;$D$3*12,0,C367-E368)</f>
        <v>0</v>
      </c>
      <c r="D368" s="138">
        <f>IF(C367&lt;0.001,0,-IPMT(((1+$D$2/2)^(1/6)-1),B368,$D$3*12,$D$1))</f>
        <v>0</v>
      </c>
      <c r="E368" s="138">
        <f t="shared" ref="E368:E377" si="81">IF($D$3*12&lt;=B368,C367,-PPMT(((1+$D$2/2)^(1/6)-1),B368,$D$3*12,$D$1))</f>
        <v>0</v>
      </c>
    </row>
    <row r="369" spans="2:5" x14ac:dyDescent="0.2">
      <c r="B369" s="136">
        <v>327</v>
      </c>
      <c r="C369" s="137">
        <f t="shared" ref="C369:C378" si="82">IF(B369&gt;$D$3*12,0,C368-E369)</f>
        <v>0</v>
      </c>
      <c r="D369" s="138">
        <f>IF(C368&lt;0.001,0,-IPMT(((1+$D$2/2)^(1/6)-1),B369,$D$3*12,$D$1))</f>
        <v>0</v>
      </c>
      <c r="E369" s="138">
        <f t="shared" si="81"/>
        <v>0</v>
      </c>
    </row>
    <row r="370" spans="2:5" x14ac:dyDescent="0.2">
      <c r="B370" s="136">
        <v>328</v>
      </c>
      <c r="C370" s="137">
        <f t="shared" si="82"/>
        <v>0</v>
      </c>
      <c r="D370" s="138">
        <f t="shared" ref="D370:D378" si="83">IF(C369&lt;0.001,0,-IPMT(((1+$D$2/2)^(1/6)-1),B370,$D$3*12,$D$1))</f>
        <v>0</v>
      </c>
      <c r="E370" s="138">
        <f t="shared" si="81"/>
        <v>0</v>
      </c>
    </row>
    <row r="371" spans="2:5" x14ac:dyDescent="0.2">
      <c r="B371" s="136">
        <v>329</v>
      </c>
      <c r="C371" s="137">
        <f t="shared" si="82"/>
        <v>0</v>
      </c>
      <c r="D371" s="138">
        <f t="shared" si="83"/>
        <v>0</v>
      </c>
      <c r="E371" s="138">
        <f t="shared" si="81"/>
        <v>0</v>
      </c>
    </row>
    <row r="372" spans="2:5" x14ac:dyDescent="0.2">
      <c r="B372" s="136">
        <v>330</v>
      </c>
      <c r="C372" s="137">
        <f t="shared" si="82"/>
        <v>0</v>
      </c>
      <c r="D372" s="138">
        <f t="shared" si="83"/>
        <v>0</v>
      </c>
      <c r="E372" s="138">
        <f t="shared" si="81"/>
        <v>0</v>
      </c>
    </row>
    <row r="373" spans="2:5" x14ac:dyDescent="0.2">
      <c r="B373" s="136">
        <v>331</v>
      </c>
      <c r="C373" s="137">
        <f t="shared" si="82"/>
        <v>0</v>
      </c>
      <c r="D373" s="138">
        <f t="shared" si="83"/>
        <v>0</v>
      </c>
      <c r="E373" s="138">
        <f t="shared" si="81"/>
        <v>0</v>
      </c>
    </row>
    <row r="374" spans="2:5" x14ac:dyDescent="0.2">
      <c r="B374" s="136">
        <v>332</v>
      </c>
      <c r="C374" s="137">
        <f t="shared" si="82"/>
        <v>0</v>
      </c>
      <c r="D374" s="138">
        <f t="shared" si="83"/>
        <v>0</v>
      </c>
      <c r="E374" s="138">
        <f t="shared" si="81"/>
        <v>0</v>
      </c>
    </row>
    <row r="375" spans="2:5" x14ac:dyDescent="0.2">
      <c r="B375" s="136">
        <v>333</v>
      </c>
      <c r="C375" s="137">
        <f t="shared" si="82"/>
        <v>0</v>
      </c>
      <c r="D375" s="138">
        <f t="shared" si="83"/>
        <v>0</v>
      </c>
      <c r="E375" s="138">
        <f t="shared" si="81"/>
        <v>0</v>
      </c>
    </row>
    <row r="376" spans="2:5" x14ac:dyDescent="0.2">
      <c r="B376" s="136">
        <v>334</v>
      </c>
      <c r="C376" s="137">
        <f t="shared" si="82"/>
        <v>0</v>
      </c>
      <c r="D376" s="138">
        <f t="shared" si="83"/>
        <v>0</v>
      </c>
      <c r="E376" s="138">
        <f t="shared" si="81"/>
        <v>0</v>
      </c>
    </row>
    <row r="377" spans="2:5" x14ac:dyDescent="0.2">
      <c r="B377" s="136">
        <v>335</v>
      </c>
      <c r="C377" s="137">
        <f t="shared" si="82"/>
        <v>0</v>
      </c>
      <c r="D377" s="138">
        <f t="shared" si="83"/>
        <v>0</v>
      </c>
      <c r="E377" s="138">
        <f t="shared" si="81"/>
        <v>0</v>
      </c>
    </row>
    <row r="378" spans="2:5" x14ac:dyDescent="0.2">
      <c r="B378" s="136">
        <v>336</v>
      </c>
      <c r="C378" s="137">
        <f t="shared" si="82"/>
        <v>0</v>
      </c>
      <c r="D378" s="138">
        <f t="shared" si="83"/>
        <v>0</v>
      </c>
      <c r="E378" s="138">
        <f>IF($D$3*12&lt;=B378,C377,-PPMT(((1+$D$2/2)^(1/6)-1),B378,$D$3*12,$D$1))</f>
        <v>0</v>
      </c>
    </row>
    <row r="379" spans="2:5" ht="13.5" thickBot="1" x14ac:dyDescent="0.25">
      <c r="B379" s="139" t="s">
        <v>112</v>
      </c>
      <c r="C379" s="141"/>
      <c r="D379" s="140">
        <f>SUM(D367:D378)</f>
        <v>0</v>
      </c>
      <c r="E379" s="140">
        <f>SUM(E367:E378)</f>
        <v>0</v>
      </c>
    </row>
    <row r="380" spans="2:5" x14ac:dyDescent="0.2">
      <c r="B380" s="136">
        <v>337</v>
      </c>
      <c r="C380" s="137">
        <f>IF(B380&gt;$D$3*12,0,C378-E380)</f>
        <v>0</v>
      </c>
      <c r="D380" s="138">
        <f>IF(C378&lt;0.001,0,-IPMT(((1+$D$2/2)^(1/6)-1),B380,$D$3*12,$D$1))</f>
        <v>0</v>
      </c>
      <c r="E380" s="138">
        <f>IF($D$3*12&lt;=B380,C378,-PPMT(((1+$D$2/2)^(1/6)-1),B380,$D$3*12,$D$1))</f>
        <v>0</v>
      </c>
    </row>
    <row r="381" spans="2:5" x14ac:dyDescent="0.2">
      <c r="B381" s="136">
        <v>338</v>
      </c>
      <c r="C381" s="137">
        <f>IF(B381&gt;$D$3*12,0,C380-E381)</f>
        <v>0</v>
      </c>
      <c r="D381" s="138">
        <f>IF(C380&lt;0.001,0,-IPMT(((1+$D$2/2)^(1/6)-1),B381,$D$3*12,$D$1))</f>
        <v>0</v>
      </c>
      <c r="E381" s="138">
        <f t="shared" ref="E381:E390" si="84">IF($D$3*12&lt;=B381,C380,-PPMT(((1+$D$2/2)^(1/6)-1),B381,$D$3*12,$D$1))</f>
        <v>0</v>
      </c>
    </row>
    <row r="382" spans="2:5" x14ac:dyDescent="0.2">
      <c r="B382" s="136">
        <v>339</v>
      </c>
      <c r="C382" s="137">
        <f t="shared" ref="C382:C391" si="85">IF(B382&gt;$D$3*12,0,C381-E382)</f>
        <v>0</v>
      </c>
      <c r="D382" s="138">
        <f>IF(C381&lt;0.001,0,-IPMT(((1+$D$2/2)^(1/6)-1),B382,$D$3*12,$D$1))</f>
        <v>0</v>
      </c>
      <c r="E382" s="138">
        <f t="shared" si="84"/>
        <v>0</v>
      </c>
    </row>
    <row r="383" spans="2:5" x14ac:dyDescent="0.2">
      <c r="B383" s="136">
        <v>340</v>
      </c>
      <c r="C383" s="137">
        <f t="shared" si="85"/>
        <v>0</v>
      </c>
      <c r="D383" s="138">
        <f t="shared" ref="D383:D391" si="86">IF(C382&lt;0.001,0,-IPMT(((1+$D$2/2)^(1/6)-1),B383,$D$3*12,$D$1))</f>
        <v>0</v>
      </c>
      <c r="E383" s="138">
        <f t="shared" si="84"/>
        <v>0</v>
      </c>
    </row>
    <row r="384" spans="2:5" x14ac:dyDescent="0.2">
      <c r="B384" s="136">
        <v>341</v>
      </c>
      <c r="C384" s="137">
        <f t="shared" si="85"/>
        <v>0</v>
      </c>
      <c r="D384" s="138">
        <f t="shared" si="86"/>
        <v>0</v>
      </c>
      <c r="E384" s="138">
        <f t="shared" si="84"/>
        <v>0</v>
      </c>
    </row>
    <row r="385" spans="2:5" x14ac:dyDescent="0.2">
      <c r="B385" s="136">
        <v>342</v>
      </c>
      <c r="C385" s="137">
        <f t="shared" si="85"/>
        <v>0</v>
      </c>
      <c r="D385" s="138">
        <f t="shared" si="86"/>
        <v>0</v>
      </c>
      <c r="E385" s="138">
        <f t="shared" si="84"/>
        <v>0</v>
      </c>
    </row>
    <row r="386" spans="2:5" x14ac:dyDescent="0.2">
      <c r="B386" s="136">
        <v>343</v>
      </c>
      <c r="C386" s="137">
        <f t="shared" si="85"/>
        <v>0</v>
      </c>
      <c r="D386" s="138">
        <f t="shared" si="86"/>
        <v>0</v>
      </c>
      <c r="E386" s="138">
        <f t="shared" si="84"/>
        <v>0</v>
      </c>
    </row>
    <row r="387" spans="2:5" x14ac:dyDescent="0.2">
      <c r="B387" s="136">
        <v>344</v>
      </c>
      <c r="C387" s="137">
        <f t="shared" si="85"/>
        <v>0</v>
      </c>
      <c r="D387" s="138">
        <f t="shared" si="86"/>
        <v>0</v>
      </c>
      <c r="E387" s="138">
        <f t="shared" si="84"/>
        <v>0</v>
      </c>
    </row>
    <row r="388" spans="2:5" x14ac:dyDescent="0.2">
      <c r="B388" s="136">
        <v>345</v>
      </c>
      <c r="C388" s="137">
        <f t="shared" si="85"/>
        <v>0</v>
      </c>
      <c r="D388" s="138">
        <f t="shared" si="86"/>
        <v>0</v>
      </c>
      <c r="E388" s="138">
        <f t="shared" si="84"/>
        <v>0</v>
      </c>
    </row>
    <row r="389" spans="2:5" x14ac:dyDescent="0.2">
      <c r="B389" s="136">
        <v>346</v>
      </c>
      <c r="C389" s="137">
        <f t="shared" si="85"/>
        <v>0</v>
      </c>
      <c r="D389" s="138">
        <f t="shared" si="86"/>
        <v>0</v>
      </c>
      <c r="E389" s="138">
        <f t="shared" si="84"/>
        <v>0</v>
      </c>
    </row>
    <row r="390" spans="2:5" x14ac:dyDescent="0.2">
      <c r="B390" s="136">
        <v>347</v>
      </c>
      <c r="C390" s="137">
        <f t="shared" si="85"/>
        <v>0</v>
      </c>
      <c r="D390" s="138">
        <f t="shared" si="86"/>
        <v>0</v>
      </c>
      <c r="E390" s="138">
        <f t="shared" si="84"/>
        <v>0</v>
      </c>
    </row>
    <row r="391" spans="2:5" x14ac:dyDescent="0.2">
      <c r="B391" s="136">
        <v>348</v>
      </c>
      <c r="C391" s="137">
        <f t="shared" si="85"/>
        <v>0</v>
      </c>
      <c r="D391" s="138">
        <f t="shared" si="86"/>
        <v>0</v>
      </c>
      <c r="E391" s="138">
        <f>IF($D$3*12&lt;=B391,C390,-PPMT(((1+$D$2/2)^(1/6)-1),B391,$D$3*12,$D$1))</f>
        <v>0</v>
      </c>
    </row>
    <row r="392" spans="2:5" ht="13.5" thickBot="1" x14ac:dyDescent="0.25">
      <c r="B392" s="139" t="s">
        <v>113</v>
      </c>
      <c r="C392" s="141"/>
      <c r="D392" s="140">
        <f>SUM(D380:D391)</f>
        <v>0</v>
      </c>
      <c r="E392" s="140">
        <f>SUM(E380:E391)</f>
        <v>0</v>
      </c>
    </row>
    <row r="393" spans="2:5" x14ac:dyDescent="0.2">
      <c r="B393" s="136">
        <v>349</v>
      </c>
      <c r="C393" s="137">
        <f>IF(B393&gt;$D$3*12,0,C391-E393)</f>
        <v>0</v>
      </c>
      <c r="D393" s="138">
        <f>IF(C391&lt;0.001,0,-IPMT(((1+$D$2/2)^(1/6)-1),B393,$D$3*12,$D$1))</f>
        <v>0</v>
      </c>
      <c r="E393" s="138">
        <f>IF($D$3*12&lt;=B393,C391,-PPMT(((1+$D$2/2)^(1/6)-1),B393,$D$3*12,$D$1))</f>
        <v>0</v>
      </c>
    </row>
    <row r="394" spans="2:5" x14ac:dyDescent="0.2">
      <c r="B394" s="136">
        <v>350</v>
      </c>
      <c r="C394" s="137">
        <f>IF(B394&gt;$D$3*12,0,C393-E394)</f>
        <v>0</v>
      </c>
      <c r="D394" s="138">
        <f>IF(C393&lt;0.001,0,-IPMT(((1+$D$2/2)^(1/6)-1),B394,$D$3*12,$D$1))</f>
        <v>0</v>
      </c>
      <c r="E394" s="138">
        <f t="shared" ref="E394:E403" si="87">IF($D$3*12&lt;=B394,C393,-PPMT(((1+$D$2/2)^(1/6)-1),B394,$D$3*12,$D$1))</f>
        <v>0</v>
      </c>
    </row>
    <row r="395" spans="2:5" x14ac:dyDescent="0.2">
      <c r="B395" s="136">
        <v>351</v>
      </c>
      <c r="C395" s="137">
        <f t="shared" ref="C395:C404" si="88">IF(B395&gt;$D$3*12,0,C394-E395)</f>
        <v>0</v>
      </c>
      <c r="D395" s="138">
        <f>IF(C394&lt;0.001,0,-IPMT(((1+$D$2/2)^(1/6)-1),B395,$D$3*12,$D$1))</f>
        <v>0</v>
      </c>
      <c r="E395" s="138">
        <f t="shared" si="87"/>
        <v>0</v>
      </c>
    </row>
    <row r="396" spans="2:5" x14ac:dyDescent="0.2">
      <c r="B396" s="136">
        <v>352</v>
      </c>
      <c r="C396" s="137">
        <f t="shared" si="88"/>
        <v>0</v>
      </c>
      <c r="D396" s="138">
        <f t="shared" ref="D396:D404" si="89">IF(C395&lt;0.001,0,-IPMT(((1+$D$2/2)^(1/6)-1),B396,$D$3*12,$D$1))</f>
        <v>0</v>
      </c>
      <c r="E396" s="138">
        <f t="shared" si="87"/>
        <v>0</v>
      </c>
    </row>
    <row r="397" spans="2:5" x14ac:dyDescent="0.2">
      <c r="B397" s="136">
        <v>353</v>
      </c>
      <c r="C397" s="137">
        <f t="shared" si="88"/>
        <v>0</v>
      </c>
      <c r="D397" s="138">
        <f t="shared" si="89"/>
        <v>0</v>
      </c>
      <c r="E397" s="138">
        <f t="shared" si="87"/>
        <v>0</v>
      </c>
    </row>
    <row r="398" spans="2:5" x14ac:dyDescent="0.2">
      <c r="B398" s="136">
        <v>354</v>
      </c>
      <c r="C398" s="137">
        <f t="shared" si="88"/>
        <v>0</v>
      </c>
      <c r="D398" s="138">
        <f t="shared" si="89"/>
        <v>0</v>
      </c>
      <c r="E398" s="138">
        <f t="shared" si="87"/>
        <v>0</v>
      </c>
    </row>
    <row r="399" spans="2:5" x14ac:dyDescent="0.2">
      <c r="B399" s="136">
        <v>355</v>
      </c>
      <c r="C399" s="137">
        <f t="shared" si="88"/>
        <v>0</v>
      </c>
      <c r="D399" s="138">
        <f t="shared" si="89"/>
        <v>0</v>
      </c>
      <c r="E399" s="138">
        <f t="shared" si="87"/>
        <v>0</v>
      </c>
    </row>
    <row r="400" spans="2:5" x14ac:dyDescent="0.2">
      <c r="B400" s="136">
        <v>356</v>
      </c>
      <c r="C400" s="137">
        <f t="shared" si="88"/>
        <v>0</v>
      </c>
      <c r="D400" s="138">
        <f t="shared" si="89"/>
        <v>0</v>
      </c>
      <c r="E400" s="138">
        <f t="shared" si="87"/>
        <v>0</v>
      </c>
    </row>
    <row r="401" spans="2:5" x14ac:dyDescent="0.2">
      <c r="B401" s="136">
        <v>357</v>
      </c>
      <c r="C401" s="137">
        <f t="shared" si="88"/>
        <v>0</v>
      </c>
      <c r="D401" s="138">
        <f t="shared" si="89"/>
        <v>0</v>
      </c>
      <c r="E401" s="138">
        <f t="shared" si="87"/>
        <v>0</v>
      </c>
    </row>
    <row r="402" spans="2:5" x14ac:dyDescent="0.2">
      <c r="B402" s="136">
        <v>358</v>
      </c>
      <c r="C402" s="137">
        <f t="shared" si="88"/>
        <v>0</v>
      </c>
      <c r="D402" s="138">
        <f t="shared" si="89"/>
        <v>0</v>
      </c>
      <c r="E402" s="138">
        <f t="shared" si="87"/>
        <v>0</v>
      </c>
    </row>
    <row r="403" spans="2:5" x14ac:dyDescent="0.2">
      <c r="B403" s="136">
        <v>359</v>
      </c>
      <c r="C403" s="137">
        <f t="shared" si="88"/>
        <v>0</v>
      </c>
      <c r="D403" s="138">
        <f t="shared" si="89"/>
        <v>0</v>
      </c>
      <c r="E403" s="138">
        <f t="shared" si="87"/>
        <v>0</v>
      </c>
    </row>
    <row r="404" spans="2:5" x14ac:dyDescent="0.2">
      <c r="B404" s="136">
        <v>360</v>
      </c>
      <c r="C404" s="137">
        <f t="shared" si="88"/>
        <v>0</v>
      </c>
      <c r="D404" s="138">
        <f t="shared" si="89"/>
        <v>0</v>
      </c>
      <c r="E404" s="138">
        <f>IF($D$3*12&lt;=B404,C403,-PPMT(((1+$D$2/2)^(1/6)-1),B404,$D$3*12,$D$1))</f>
        <v>0</v>
      </c>
    </row>
    <row r="405" spans="2:5" ht="13.5" thickBot="1" x14ac:dyDescent="0.25">
      <c r="B405" s="132" t="s">
        <v>114</v>
      </c>
      <c r="C405" s="142"/>
      <c r="D405" s="140">
        <f>SUM(D393:D404)</f>
        <v>0</v>
      </c>
      <c r="E405" s="140">
        <f>SUM(E393:E404)</f>
        <v>0</v>
      </c>
    </row>
    <row r="406" spans="2:5" x14ac:dyDescent="0.2">
      <c r="B406" s="136">
        <v>361</v>
      </c>
      <c r="C406" s="137">
        <f>IF(B406&gt;$D$3*12,0,C404-E406)</f>
        <v>0</v>
      </c>
      <c r="D406" s="138">
        <f>IF(C404&lt;0.001,0,-IPMT(((1+$D$2/2)^(1/6)-1),B406,$D$3*12,$D$1))</f>
        <v>0</v>
      </c>
      <c r="E406" s="138">
        <f>IF($D$3*12&lt;=B406,C404,-PPMT(((1+$D$2/2)^(1/6)-1),B406,$D$3*12,$D$1))</f>
        <v>0</v>
      </c>
    </row>
    <row r="407" spans="2:5" x14ac:dyDescent="0.2">
      <c r="B407" s="136">
        <v>362</v>
      </c>
      <c r="C407" s="137">
        <f>IF(B407&gt;$D$3*12,0,C406-E407)</f>
        <v>0</v>
      </c>
      <c r="D407" s="138">
        <f>IF(C406&lt;0.001,0,-IPMT(((1+$D$2/2)^(1/6)-1),B407,$D$3*12,$D$1))</f>
        <v>0</v>
      </c>
      <c r="E407" s="138">
        <f t="shared" ref="E407:E416" si="90">IF($D$3*12&lt;=B407,C406,-PPMT(((1+$D$2/2)^(1/6)-1),B407,$D$3*12,$D$1))</f>
        <v>0</v>
      </c>
    </row>
    <row r="408" spans="2:5" x14ac:dyDescent="0.2">
      <c r="B408" s="136">
        <v>363</v>
      </c>
      <c r="C408" s="137">
        <f t="shared" ref="C408:C417" si="91">IF(B408&gt;$D$3*12,0,C407-E408)</f>
        <v>0</v>
      </c>
      <c r="D408" s="138">
        <f>IF(C407&lt;0.001,0,-IPMT(((1+$D$2/2)^(1/6)-1),B408,$D$3*12,$D$1))</f>
        <v>0</v>
      </c>
      <c r="E408" s="138">
        <f t="shared" si="90"/>
        <v>0</v>
      </c>
    </row>
    <row r="409" spans="2:5" x14ac:dyDescent="0.2">
      <c r="B409" s="136">
        <v>364</v>
      </c>
      <c r="C409" s="137">
        <f t="shared" si="91"/>
        <v>0</v>
      </c>
      <c r="D409" s="138">
        <f t="shared" ref="D409:D417" si="92">IF(C408&lt;0.001,0,-IPMT(((1+$D$2/2)^(1/6)-1),B409,$D$3*12,$D$1))</f>
        <v>0</v>
      </c>
      <c r="E409" s="138">
        <f t="shared" si="90"/>
        <v>0</v>
      </c>
    </row>
    <row r="410" spans="2:5" x14ac:dyDescent="0.2">
      <c r="B410" s="136">
        <v>365</v>
      </c>
      <c r="C410" s="137">
        <f t="shared" si="91"/>
        <v>0</v>
      </c>
      <c r="D410" s="138">
        <f t="shared" si="92"/>
        <v>0</v>
      </c>
      <c r="E410" s="138">
        <f t="shared" si="90"/>
        <v>0</v>
      </c>
    </row>
    <row r="411" spans="2:5" x14ac:dyDescent="0.2">
      <c r="B411" s="136">
        <v>366</v>
      </c>
      <c r="C411" s="137">
        <f t="shared" si="91"/>
        <v>0</v>
      </c>
      <c r="D411" s="138">
        <f t="shared" si="92"/>
        <v>0</v>
      </c>
      <c r="E411" s="138">
        <f t="shared" si="90"/>
        <v>0</v>
      </c>
    </row>
    <row r="412" spans="2:5" x14ac:dyDescent="0.2">
      <c r="B412" s="136">
        <v>367</v>
      </c>
      <c r="C412" s="137">
        <f t="shared" si="91"/>
        <v>0</v>
      </c>
      <c r="D412" s="138">
        <f t="shared" si="92"/>
        <v>0</v>
      </c>
      <c r="E412" s="138">
        <f t="shared" si="90"/>
        <v>0</v>
      </c>
    </row>
    <row r="413" spans="2:5" x14ac:dyDescent="0.2">
      <c r="B413" s="136">
        <v>368</v>
      </c>
      <c r="C413" s="137">
        <f t="shared" si="91"/>
        <v>0</v>
      </c>
      <c r="D413" s="138">
        <f t="shared" si="92"/>
        <v>0</v>
      </c>
      <c r="E413" s="138">
        <f t="shared" si="90"/>
        <v>0</v>
      </c>
    </row>
    <row r="414" spans="2:5" x14ac:dyDescent="0.2">
      <c r="B414" s="136">
        <v>369</v>
      </c>
      <c r="C414" s="137">
        <f t="shared" si="91"/>
        <v>0</v>
      </c>
      <c r="D414" s="138">
        <f t="shared" si="92"/>
        <v>0</v>
      </c>
      <c r="E414" s="138">
        <f t="shared" si="90"/>
        <v>0</v>
      </c>
    </row>
    <row r="415" spans="2:5" x14ac:dyDescent="0.2">
      <c r="B415" s="136">
        <v>370</v>
      </c>
      <c r="C415" s="137">
        <f t="shared" si="91"/>
        <v>0</v>
      </c>
      <c r="D415" s="138">
        <f t="shared" si="92"/>
        <v>0</v>
      </c>
      <c r="E415" s="138">
        <f t="shared" si="90"/>
        <v>0</v>
      </c>
    </row>
    <row r="416" spans="2:5" x14ac:dyDescent="0.2">
      <c r="B416" s="136">
        <v>371</v>
      </c>
      <c r="C416" s="137">
        <f t="shared" si="91"/>
        <v>0</v>
      </c>
      <c r="D416" s="138">
        <f t="shared" si="92"/>
        <v>0</v>
      </c>
      <c r="E416" s="138">
        <f t="shared" si="90"/>
        <v>0</v>
      </c>
    </row>
    <row r="417" spans="2:5" x14ac:dyDescent="0.2">
      <c r="B417" s="136">
        <v>372</v>
      </c>
      <c r="C417" s="137">
        <f t="shared" si="91"/>
        <v>0</v>
      </c>
      <c r="D417" s="138">
        <f t="shared" si="92"/>
        <v>0</v>
      </c>
      <c r="E417" s="138">
        <f>IF($D$3*12&lt;=B417,C416,-PPMT(((1+$D$2/2)^(1/6)-1),B417,$D$3*12,$D$1))</f>
        <v>0</v>
      </c>
    </row>
    <row r="418" spans="2:5" ht="13.5" thickBot="1" x14ac:dyDescent="0.25">
      <c r="B418" s="132" t="s">
        <v>126</v>
      </c>
      <c r="C418" s="142"/>
      <c r="D418" s="140">
        <f>SUM(D406:D417)</f>
        <v>0</v>
      </c>
      <c r="E418" s="140">
        <f>SUM(E406:E417)</f>
        <v>0</v>
      </c>
    </row>
    <row r="419" spans="2:5" x14ac:dyDescent="0.2">
      <c r="B419" s="136">
        <v>373</v>
      </c>
      <c r="C419" s="137">
        <f>IF(B419&gt;$D$3*12,0,C417-E419)</f>
        <v>0</v>
      </c>
      <c r="D419" s="138">
        <f>IF(C417&lt;0.001,0,-IPMT(((1+$D$2/2)^(1/6)-1),B419,$D$3*12,$D$1))</f>
        <v>0</v>
      </c>
      <c r="E419" s="138">
        <f>IF($D$3*12&lt;=B419,C417,-PPMT(((1+$D$2/2)^(1/6)-1),B419,$D$3*12,$D$1))</f>
        <v>0</v>
      </c>
    </row>
    <row r="420" spans="2:5" x14ac:dyDescent="0.2">
      <c r="B420" s="136">
        <v>374</v>
      </c>
      <c r="C420" s="137">
        <f>IF(B420&gt;$D$3*12,0,C419-E420)</f>
        <v>0</v>
      </c>
      <c r="D420" s="138">
        <f>IF(C419&lt;0.001,0,-IPMT(((1+$D$2/2)^(1/6)-1),B420,$D$3*12,$D$1))</f>
        <v>0</v>
      </c>
      <c r="E420" s="138">
        <f t="shared" ref="E420:E429" si="93">IF($D$3*12&lt;=B420,C419,-PPMT(((1+$D$2/2)^(1/6)-1),B420,$D$3*12,$D$1))</f>
        <v>0</v>
      </c>
    </row>
    <row r="421" spans="2:5" x14ac:dyDescent="0.2">
      <c r="B421" s="136">
        <v>375</v>
      </c>
      <c r="C421" s="137">
        <f t="shared" ref="C421:C430" si="94">IF(B421&gt;$D$3*12,0,C420-E421)</f>
        <v>0</v>
      </c>
      <c r="D421" s="138">
        <f>IF(C420&lt;0.001,0,-IPMT(((1+$D$2/2)^(1/6)-1),B421,$D$3*12,$D$1))</f>
        <v>0</v>
      </c>
      <c r="E421" s="138">
        <f t="shared" si="93"/>
        <v>0</v>
      </c>
    </row>
    <row r="422" spans="2:5" x14ac:dyDescent="0.2">
      <c r="B422" s="136">
        <v>376</v>
      </c>
      <c r="C422" s="137">
        <f t="shared" si="94"/>
        <v>0</v>
      </c>
      <c r="D422" s="138">
        <f t="shared" ref="D422:D430" si="95">IF(C421&lt;0.001,0,-IPMT(((1+$D$2/2)^(1/6)-1),B422,$D$3*12,$D$1))</f>
        <v>0</v>
      </c>
      <c r="E422" s="138">
        <f t="shared" si="93"/>
        <v>0</v>
      </c>
    </row>
    <row r="423" spans="2:5" x14ac:dyDescent="0.2">
      <c r="B423" s="136">
        <v>377</v>
      </c>
      <c r="C423" s="137">
        <f t="shared" si="94"/>
        <v>0</v>
      </c>
      <c r="D423" s="138">
        <f t="shared" si="95"/>
        <v>0</v>
      </c>
      <c r="E423" s="138">
        <f t="shared" si="93"/>
        <v>0</v>
      </c>
    </row>
    <row r="424" spans="2:5" x14ac:dyDescent="0.2">
      <c r="B424" s="136">
        <v>378</v>
      </c>
      <c r="C424" s="137">
        <f t="shared" si="94"/>
        <v>0</v>
      </c>
      <c r="D424" s="138">
        <f t="shared" si="95"/>
        <v>0</v>
      </c>
      <c r="E424" s="138">
        <f t="shared" si="93"/>
        <v>0</v>
      </c>
    </row>
    <row r="425" spans="2:5" x14ac:dyDescent="0.2">
      <c r="B425" s="136">
        <v>379</v>
      </c>
      <c r="C425" s="137">
        <f t="shared" si="94"/>
        <v>0</v>
      </c>
      <c r="D425" s="138">
        <f t="shared" si="95"/>
        <v>0</v>
      </c>
      <c r="E425" s="138">
        <f t="shared" si="93"/>
        <v>0</v>
      </c>
    </row>
    <row r="426" spans="2:5" x14ac:dyDescent="0.2">
      <c r="B426" s="136">
        <v>380</v>
      </c>
      <c r="C426" s="137">
        <f t="shared" si="94"/>
        <v>0</v>
      </c>
      <c r="D426" s="138">
        <f t="shared" si="95"/>
        <v>0</v>
      </c>
      <c r="E426" s="138">
        <f t="shared" si="93"/>
        <v>0</v>
      </c>
    </row>
    <row r="427" spans="2:5" x14ac:dyDescent="0.2">
      <c r="B427" s="136">
        <v>381</v>
      </c>
      <c r="C427" s="137">
        <f t="shared" si="94"/>
        <v>0</v>
      </c>
      <c r="D427" s="138">
        <f t="shared" si="95"/>
        <v>0</v>
      </c>
      <c r="E427" s="138">
        <f t="shared" si="93"/>
        <v>0</v>
      </c>
    </row>
    <row r="428" spans="2:5" x14ac:dyDescent="0.2">
      <c r="B428" s="136">
        <v>382</v>
      </c>
      <c r="C428" s="137">
        <f t="shared" si="94"/>
        <v>0</v>
      </c>
      <c r="D428" s="138">
        <f t="shared" si="95"/>
        <v>0</v>
      </c>
      <c r="E428" s="138">
        <f t="shared" si="93"/>
        <v>0</v>
      </c>
    </row>
    <row r="429" spans="2:5" x14ac:dyDescent="0.2">
      <c r="B429" s="136">
        <v>383</v>
      </c>
      <c r="C429" s="137">
        <f t="shared" si="94"/>
        <v>0</v>
      </c>
      <c r="D429" s="138">
        <f t="shared" si="95"/>
        <v>0</v>
      </c>
      <c r="E429" s="138">
        <f t="shared" si="93"/>
        <v>0</v>
      </c>
    </row>
    <row r="430" spans="2:5" x14ac:dyDescent="0.2">
      <c r="B430" s="136">
        <v>384</v>
      </c>
      <c r="C430" s="137">
        <f t="shared" si="94"/>
        <v>0</v>
      </c>
      <c r="D430" s="138">
        <f t="shared" si="95"/>
        <v>0</v>
      </c>
      <c r="E430" s="138">
        <f>IF($D$3*12&lt;=B430,C429,-PPMT(((1+$D$2/2)^(1/6)-1),B430,$D$3*12,$D$1))</f>
        <v>0</v>
      </c>
    </row>
    <row r="431" spans="2:5" ht="13.5" thickBot="1" x14ac:dyDescent="0.25">
      <c r="B431" s="132" t="s">
        <v>127</v>
      </c>
      <c r="C431" s="142"/>
      <c r="D431" s="140">
        <f>SUM(D419:D430)</f>
        <v>0</v>
      </c>
      <c r="E431" s="140">
        <f>SUM(E419:E430)</f>
        <v>0</v>
      </c>
    </row>
    <row r="432" spans="2:5" x14ac:dyDescent="0.2">
      <c r="B432" s="136">
        <v>385</v>
      </c>
      <c r="C432" s="137">
        <f>IF(B432&gt;$D$3*12,0,C430-E432)</f>
        <v>0</v>
      </c>
      <c r="D432" s="138">
        <f>IF(C430&lt;0.001,0,-IPMT(((1+$D$2/2)^(1/6)-1),B432,$D$3*12,$D$1))</f>
        <v>0</v>
      </c>
      <c r="E432" s="138">
        <f>IF($D$3*12&lt;=B432,C430,-PPMT(((1+$D$2/2)^(1/6)-1),B432,$D$3*12,$D$1))</f>
        <v>0</v>
      </c>
    </row>
    <row r="433" spans="2:5" x14ac:dyDescent="0.2">
      <c r="B433" s="136">
        <v>386</v>
      </c>
      <c r="C433" s="137">
        <f>IF(B433&gt;$D$3*12,0,C432-E433)</f>
        <v>0</v>
      </c>
      <c r="D433" s="138">
        <f>IF(C432&lt;0.001,0,-IPMT(((1+$D$2/2)^(1/6)-1),B433,$D$3*12,$D$1))</f>
        <v>0</v>
      </c>
      <c r="E433" s="138">
        <f t="shared" ref="E433:E442" si="96">IF($D$3*12&lt;=B433,C432,-PPMT(((1+$D$2/2)^(1/6)-1),B433,$D$3*12,$D$1))</f>
        <v>0</v>
      </c>
    </row>
    <row r="434" spans="2:5" x14ac:dyDescent="0.2">
      <c r="B434" s="136">
        <v>387</v>
      </c>
      <c r="C434" s="137">
        <f t="shared" ref="C434:C443" si="97">IF(B434&gt;$D$3*12,0,C433-E434)</f>
        <v>0</v>
      </c>
      <c r="D434" s="138">
        <f>IF(C433&lt;0.001,0,-IPMT(((1+$D$2/2)^(1/6)-1),B434,$D$3*12,$D$1))</f>
        <v>0</v>
      </c>
      <c r="E434" s="138">
        <f t="shared" si="96"/>
        <v>0</v>
      </c>
    </row>
    <row r="435" spans="2:5" x14ac:dyDescent="0.2">
      <c r="B435" s="136">
        <v>388</v>
      </c>
      <c r="C435" s="137">
        <f t="shared" si="97"/>
        <v>0</v>
      </c>
      <c r="D435" s="138">
        <f t="shared" ref="D435:D443" si="98">IF(C434&lt;0.001,0,-IPMT(((1+$D$2/2)^(1/6)-1),B435,$D$3*12,$D$1))</f>
        <v>0</v>
      </c>
      <c r="E435" s="138">
        <f t="shared" si="96"/>
        <v>0</v>
      </c>
    </row>
    <row r="436" spans="2:5" x14ac:dyDescent="0.2">
      <c r="B436" s="136">
        <v>389</v>
      </c>
      <c r="C436" s="137">
        <f t="shared" si="97"/>
        <v>0</v>
      </c>
      <c r="D436" s="138">
        <f t="shared" si="98"/>
        <v>0</v>
      </c>
      <c r="E436" s="138">
        <f t="shared" si="96"/>
        <v>0</v>
      </c>
    </row>
    <row r="437" spans="2:5" x14ac:dyDescent="0.2">
      <c r="B437" s="136">
        <v>390</v>
      </c>
      <c r="C437" s="137">
        <f t="shared" si="97"/>
        <v>0</v>
      </c>
      <c r="D437" s="138">
        <f t="shared" si="98"/>
        <v>0</v>
      </c>
      <c r="E437" s="138">
        <f t="shared" si="96"/>
        <v>0</v>
      </c>
    </row>
    <row r="438" spans="2:5" x14ac:dyDescent="0.2">
      <c r="B438" s="136">
        <v>391</v>
      </c>
      <c r="C438" s="137">
        <f t="shared" si="97"/>
        <v>0</v>
      </c>
      <c r="D438" s="138">
        <f t="shared" si="98"/>
        <v>0</v>
      </c>
      <c r="E438" s="138">
        <f t="shared" si="96"/>
        <v>0</v>
      </c>
    </row>
    <row r="439" spans="2:5" x14ac:dyDescent="0.2">
      <c r="B439" s="136">
        <v>392</v>
      </c>
      <c r="C439" s="137">
        <f t="shared" si="97"/>
        <v>0</v>
      </c>
      <c r="D439" s="138">
        <f t="shared" si="98"/>
        <v>0</v>
      </c>
      <c r="E439" s="138">
        <f t="shared" si="96"/>
        <v>0</v>
      </c>
    </row>
    <row r="440" spans="2:5" x14ac:dyDescent="0.2">
      <c r="B440" s="136">
        <v>393</v>
      </c>
      <c r="C440" s="137">
        <f t="shared" si="97"/>
        <v>0</v>
      </c>
      <c r="D440" s="138">
        <f t="shared" si="98"/>
        <v>0</v>
      </c>
      <c r="E440" s="138">
        <f t="shared" si="96"/>
        <v>0</v>
      </c>
    </row>
    <row r="441" spans="2:5" x14ac:dyDescent="0.2">
      <c r="B441" s="136">
        <v>394</v>
      </c>
      <c r="C441" s="137">
        <f t="shared" si="97"/>
        <v>0</v>
      </c>
      <c r="D441" s="138">
        <f t="shared" si="98"/>
        <v>0</v>
      </c>
      <c r="E441" s="138">
        <f t="shared" si="96"/>
        <v>0</v>
      </c>
    </row>
    <row r="442" spans="2:5" x14ac:dyDescent="0.2">
      <c r="B442" s="136">
        <v>395</v>
      </c>
      <c r="C442" s="137">
        <f t="shared" si="97"/>
        <v>0</v>
      </c>
      <c r="D442" s="138">
        <f t="shared" si="98"/>
        <v>0</v>
      </c>
      <c r="E442" s="138">
        <f t="shared" si="96"/>
        <v>0</v>
      </c>
    </row>
    <row r="443" spans="2:5" x14ac:dyDescent="0.2">
      <c r="B443" s="136">
        <v>396</v>
      </c>
      <c r="C443" s="137">
        <f t="shared" si="97"/>
        <v>0</v>
      </c>
      <c r="D443" s="138">
        <f t="shared" si="98"/>
        <v>0</v>
      </c>
      <c r="E443" s="138">
        <f>IF($D$3*12&lt;=B443,C442,-PPMT(((1+$D$2/2)^(1/6)-1),B443,$D$3*12,$D$1))</f>
        <v>0</v>
      </c>
    </row>
    <row r="444" spans="2:5" ht="13.5" thickBot="1" x14ac:dyDescent="0.25">
      <c r="B444" s="132" t="s">
        <v>128</v>
      </c>
      <c r="C444" s="142"/>
      <c r="D444" s="140">
        <f>SUM(D432:D443)</f>
        <v>0</v>
      </c>
      <c r="E444" s="140">
        <f>SUM(E432:E443)</f>
        <v>0</v>
      </c>
    </row>
    <row r="445" spans="2:5" x14ac:dyDescent="0.2">
      <c r="B445" s="136">
        <v>397</v>
      </c>
      <c r="C445" s="137">
        <f>IF(B445&gt;$D$3*12,0,C443-E445)</f>
        <v>0</v>
      </c>
      <c r="D445" s="138">
        <f>IF(C443&lt;0.001,0,-IPMT(((1+$D$2/2)^(1/6)-1),B445,$D$3*12,$D$1))</f>
        <v>0</v>
      </c>
      <c r="E445" s="138">
        <f>IF($D$3*12&lt;=B445,C443,-PPMT(((1+$D$2/2)^(1/6)-1),B445,$D$3*12,$D$1))</f>
        <v>0</v>
      </c>
    </row>
    <row r="446" spans="2:5" x14ac:dyDescent="0.2">
      <c r="B446" s="136">
        <v>398</v>
      </c>
      <c r="C446" s="137">
        <f>IF(B446&gt;$D$3*12,0,C445-E446)</f>
        <v>0</v>
      </c>
      <c r="D446" s="138">
        <f>IF(C445&lt;0.001,0,-IPMT(((1+$D$2/2)^(1/6)-1),B446,$D$3*12,$D$1))</f>
        <v>0</v>
      </c>
      <c r="E446" s="138">
        <f t="shared" ref="E446:E455" si="99">IF($D$3*12&lt;=B446,C445,-PPMT(((1+$D$2/2)^(1/6)-1),B446,$D$3*12,$D$1))</f>
        <v>0</v>
      </c>
    </row>
    <row r="447" spans="2:5" x14ac:dyDescent="0.2">
      <c r="B447" s="136">
        <v>399</v>
      </c>
      <c r="C447" s="137">
        <f t="shared" ref="C447:C456" si="100">IF(B447&gt;$D$3*12,0,C446-E447)</f>
        <v>0</v>
      </c>
      <c r="D447" s="138">
        <f>IF(C446&lt;0.001,0,-IPMT(((1+$D$2/2)^(1/6)-1),B447,$D$3*12,$D$1))</f>
        <v>0</v>
      </c>
      <c r="E447" s="138">
        <f t="shared" si="99"/>
        <v>0</v>
      </c>
    </row>
    <row r="448" spans="2:5" x14ac:dyDescent="0.2">
      <c r="B448" s="136">
        <v>400</v>
      </c>
      <c r="C448" s="137">
        <f t="shared" si="100"/>
        <v>0</v>
      </c>
      <c r="D448" s="138">
        <f t="shared" ref="D448:D456" si="101">IF(C447&lt;0.001,0,-IPMT(((1+$D$2/2)^(1/6)-1),B448,$D$3*12,$D$1))</f>
        <v>0</v>
      </c>
      <c r="E448" s="138">
        <f t="shared" si="99"/>
        <v>0</v>
      </c>
    </row>
    <row r="449" spans="2:5" x14ac:dyDescent="0.2">
      <c r="B449" s="136">
        <v>401</v>
      </c>
      <c r="C449" s="137">
        <f t="shared" si="100"/>
        <v>0</v>
      </c>
      <c r="D449" s="138">
        <f t="shared" si="101"/>
        <v>0</v>
      </c>
      <c r="E449" s="138">
        <f t="shared" si="99"/>
        <v>0</v>
      </c>
    </row>
    <row r="450" spans="2:5" x14ac:dyDescent="0.2">
      <c r="B450" s="136">
        <v>402</v>
      </c>
      <c r="C450" s="137">
        <f t="shared" si="100"/>
        <v>0</v>
      </c>
      <c r="D450" s="138">
        <f t="shared" si="101"/>
        <v>0</v>
      </c>
      <c r="E450" s="138">
        <f t="shared" si="99"/>
        <v>0</v>
      </c>
    </row>
    <row r="451" spans="2:5" x14ac:dyDescent="0.2">
      <c r="B451" s="136">
        <v>403</v>
      </c>
      <c r="C451" s="137">
        <f t="shared" si="100"/>
        <v>0</v>
      </c>
      <c r="D451" s="138">
        <f t="shared" si="101"/>
        <v>0</v>
      </c>
      <c r="E451" s="138">
        <f t="shared" si="99"/>
        <v>0</v>
      </c>
    </row>
    <row r="452" spans="2:5" x14ac:dyDescent="0.2">
      <c r="B452" s="136">
        <v>404</v>
      </c>
      <c r="C452" s="137">
        <f t="shared" si="100"/>
        <v>0</v>
      </c>
      <c r="D452" s="138">
        <f t="shared" si="101"/>
        <v>0</v>
      </c>
      <c r="E452" s="138">
        <f t="shared" si="99"/>
        <v>0</v>
      </c>
    </row>
    <row r="453" spans="2:5" x14ac:dyDescent="0.2">
      <c r="B453" s="136">
        <v>405</v>
      </c>
      <c r="C453" s="137">
        <f t="shared" si="100"/>
        <v>0</v>
      </c>
      <c r="D453" s="138">
        <f t="shared" si="101"/>
        <v>0</v>
      </c>
      <c r="E453" s="138">
        <f t="shared" si="99"/>
        <v>0</v>
      </c>
    </row>
    <row r="454" spans="2:5" x14ac:dyDescent="0.2">
      <c r="B454" s="136">
        <v>406</v>
      </c>
      <c r="C454" s="137">
        <f t="shared" si="100"/>
        <v>0</v>
      </c>
      <c r="D454" s="138">
        <f t="shared" si="101"/>
        <v>0</v>
      </c>
      <c r="E454" s="138">
        <f t="shared" si="99"/>
        <v>0</v>
      </c>
    </row>
    <row r="455" spans="2:5" x14ac:dyDescent="0.2">
      <c r="B455" s="136">
        <v>407</v>
      </c>
      <c r="C455" s="137">
        <f t="shared" si="100"/>
        <v>0</v>
      </c>
      <c r="D455" s="138">
        <f t="shared" si="101"/>
        <v>0</v>
      </c>
      <c r="E455" s="138">
        <f t="shared" si="99"/>
        <v>0</v>
      </c>
    </row>
    <row r="456" spans="2:5" x14ac:dyDescent="0.2">
      <c r="B456" s="136">
        <v>408</v>
      </c>
      <c r="C456" s="137">
        <f t="shared" si="100"/>
        <v>0</v>
      </c>
      <c r="D456" s="138">
        <f t="shared" si="101"/>
        <v>0</v>
      </c>
      <c r="E456" s="138">
        <f>IF($D$3*12&lt;=B456,C455,-PPMT(((1+$D$2/2)^(1/6)-1),B456,$D$3*12,$D$1))</f>
        <v>0</v>
      </c>
    </row>
    <row r="457" spans="2:5" ht="13.5" thickBot="1" x14ac:dyDescent="0.25">
      <c r="B457" s="132" t="s">
        <v>129</v>
      </c>
      <c r="C457" s="142"/>
      <c r="D457" s="140">
        <f>SUM(D445:D456)</f>
        <v>0</v>
      </c>
      <c r="E457" s="140">
        <f>SUM(E445:E456)</f>
        <v>0</v>
      </c>
    </row>
    <row r="458" spans="2:5" x14ac:dyDescent="0.2">
      <c r="B458" s="136">
        <v>409</v>
      </c>
      <c r="C458" s="137">
        <f>IF(B458&gt;$D$3*12,0,C456-E458)</f>
        <v>0</v>
      </c>
      <c r="D458" s="138">
        <f>IF(C456&lt;0.001,0,-IPMT(((1+$D$2/2)^(1/6)-1),B458,$D$3*12,$D$1))</f>
        <v>0</v>
      </c>
      <c r="E458" s="138">
        <f>IF($D$3*12&lt;=B458,C456,-PPMT(((1+$D$2/2)^(1/6)-1),B458,$D$3*12,$D$1))</f>
        <v>0</v>
      </c>
    </row>
    <row r="459" spans="2:5" x14ac:dyDescent="0.2">
      <c r="B459" s="136">
        <v>410</v>
      </c>
      <c r="C459" s="137">
        <f>IF(B459&gt;$D$3*12,0,C458-E459)</f>
        <v>0</v>
      </c>
      <c r="D459" s="138">
        <f>IF(C458&lt;0.001,0,-IPMT(((1+$D$2/2)^(1/6)-1),B459,$D$3*12,$D$1))</f>
        <v>0</v>
      </c>
      <c r="E459" s="138">
        <f t="shared" ref="E459:E468" si="102">IF($D$3*12&lt;=B459,C458,-PPMT(((1+$D$2/2)^(1/6)-1),B459,$D$3*12,$D$1))</f>
        <v>0</v>
      </c>
    </row>
    <row r="460" spans="2:5" x14ac:dyDescent="0.2">
      <c r="B460" s="136">
        <v>411</v>
      </c>
      <c r="C460" s="137">
        <f t="shared" ref="C460:C469" si="103">IF(B460&gt;$D$3*12,0,C459-E460)</f>
        <v>0</v>
      </c>
      <c r="D460" s="138">
        <f>IF(C459&lt;0.001,0,-IPMT(((1+$D$2/2)^(1/6)-1),B460,$D$3*12,$D$1))</f>
        <v>0</v>
      </c>
      <c r="E460" s="138">
        <f t="shared" si="102"/>
        <v>0</v>
      </c>
    </row>
    <row r="461" spans="2:5" x14ac:dyDescent="0.2">
      <c r="B461" s="136">
        <v>412</v>
      </c>
      <c r="C461" s="137">
        <f t="shared" si="103"/>
        <v>0</v>
      </c>
      <c r="D461" s="138">
        <f t="shared" ref="D461:D469" si="104">IF(C460&lt;0.001,0,-IPMT(((1+$D$2/2)^(1/6)-1),B461,$D$3*12,$D$1))</f>
        <v>0</v>
      </c>
      <c r="E461" s="138">
        <f t="shared" si="102"/>
        <v>0</v>
      </c>
    </row>
    <row r="462" spans="2:5" x14ac:dyDescent="0.2">
      <c r="B462" s="136">
        <v>413</v>
      </c>
      <c r="C462" s="137">
        <f t="shared" si="103"/>
        <v>0</v>
      </c>
      <c r="D462" s="138">
        <f t="shared" si="104"/>
        <v>0</v>
      </c>
      <c r="E462" s="138">
        <f t="shared" si="102"/>
        <v>0</v>
      </c>
    </row>
    <row r="463" spans="2:5" x14ac:dyDescent="0.2">
      <c r="B463" s="136">
        <v>414</v>
      </c>
      <c r="C463" s="137">
        <f t="shared" si="103"/>
        <v>0</v>
      </c>
      <c r="D463" s="138">
        <f t="shared" si="104"/>
        <v>0</v>
      </c>
      <c r="E463" s="138">
        <f t="shared" si="102"/>
        <v>0</v>
      </c>
    </row>
    <row r="464" spans="2:5" x14ac:dyDescent="0.2">
      <c r="B464" s="136">
        <v>415</v>
      </c>
      <c r="C464" s="137">
        <f t="shared" si="103"/>
        <v>0</v>
      </c>
      <c r="D464" s="138">
        <f t="shared" si="104"/>
        <v>0</v>
      </c>
      <c r="E464" s="138">
        <f t="shared" si="102"/>
        <v>0</v>
      </c>
    </row>
    <row r="465" spans="2:5" x14ac:dyDescent="0.2">
      <c r="B465" s="136">
        <v>416</v>
      </c>
      <c r="C465" s="137">
        <f t="shared" si="103"/>
        <v>0</v>
      </c>
      <c r="D465" s="138">
        <f t="shared" si="104"/>
        <v>0</v>
      </c>
      <c r="E465" s="138">
        <f t="shared" si="102"/>
        <v>0</v>
      </c>
    </row>
    <row r="466" spans="2:5" x14ac:dyDescent="0.2">
      <c r="B466" s="136">
        <v>417</v>
      </c>
      <c r="C466" s="137">
        <f t="shared" si="103"/>
        <v>0</v>
      </c>
      <c r="D466" s="138">
        <f t="shared" si="104"/>
        <v>0</v>
      </c>
      <c r="E466" s="138">
        <f t="shared" si="102"/>
        <v>0</v>
      </c>
    </row>
    <row r="467" spans="2:5" x14ac:dyDescent="0.2">
      <c r="B467" s="136">
        <v>418</v>
      </c>
      <c r="C467" s="137">
        <f t="shared" si="103"/>
        <v>0</v>
      </c>
      <c r="D467" s="138">
        <f t="shared" si="104"/>
        <v>0</v>
      </c>
      <c r="E467" s="138">
        <f t="shared" si="102"/>
        <v>0</v>
      </c>
    </row>
    <row r="468" spans="2:5" x14ac:dyDescent="0.2">
      <c r="B468" s="136">
        <v>419</v>
      </c>
      <c r="C468" s="137">
        <f t="shared" si="103"/>
        <v>0</v>
      </c>
      <c r="D468" s="138">
        <f t="shared" si="104"/>
        <v>0</v>
      </c>
      <c r="E468" s="138">
        <f t="shared" si="102"/>
        <v>0</v>
      </c>
    </row>
    <row r="469" spans="2:5" x14ac:dyDescent="0.2">
      <c r="B469" s="136">
        <v>420</v>
      </c>
      <c r="C469" s="137">
        <f t="shared" si="103"/>
        <v>0</v>
      </c>
      <c r="D469" s="138">
        <f t="shared" si="104"/>
        <v>0</v>
      </c>
      <c r="E469" s="138">
        <f>IF($D$3*12&lt;=B469,C468,-PPMT(((1+$D$2/2)^(1/6)-1),B469,$D$3*12,$D$1))</f>
        <v>0</v>
      </c>
    </row>
    <row r="470" spans="2:5" ht="13.5" thickBot="1" x14ac:dyDescent="0.25">
      <c r="B470" s="132" t="s">
        <v>130</v>
      </c>
      <c r="C470" s="142"/>
      <c r="D470" s="140">
        <f>SUM(D458:D469)</f>
        <v>0</v>
      </c>
      <c r="E470" s="140">
        <f>SUM(E458:E469)</f>
        <v>0</v>
      </c>
    </row>
    <row r="471" spans="2:5" x14ac:dyDescent="0.2">
      <c r="B471" s="136">
        <v>421</v>
      </c>
      <c r="C471" s="137">
        <f>IF(B471&gt;$D$3*12,0,C469-E471)</f>
        <v>0</v>
      </c>
      <c r="D471" s="138">
        <f>IF(C469&lt;0.001,0,-IPMT(((1+$D$2/2)^(1/6)-1),B471,$D$3*12,$D$1))</f>
        <v>0</v>
      </c>
      <c r="E471" s="138">
        <f>IF($D$3*12&lt;=B471,C469,-PPMT(((1+$D$2/2)^(1/6)-1),B471,$D$3*12,$D$1))</f>
        <v>0</v>
      </c>
    </row>
    <row r="472" spans="2:5" x14ac:dyDescent="0.2">
      <c r="B472" s="136">
        <v>422</v>
      </c>
      <c r="C472" s="137">
        <f>IF(B472&gt;$D$3*12,0,C471-E472)</f>
        <v>0</v>
      </c>
      <c r="D472" s="138">
        <f>IF(C471&lt;0.001,0,-IPMT(((1+$D$2/2)^(1/6)-1),B472,$D$3*12,$D$1))</f>
        <v>0</v>
      </c>
      <c r="E472" s="138">
        <f t="shared" ref="E472:E481" si="105">IF($D$3*12&lt;=B472,C471,-PPMT(((1+$D$2/2)^(1/6)-1),B472,$D$3*12,$D$1))</f>
        <v>0</v>
      </c>
    </row>
    <row r="473" spans="2:5" x14ac:dyDescent="0.2">
      <c r="B473" s="136">
        <v>423</v>
      </c>
      <c r="C473" s="137">
        <f t="shared" ref="C473:C482" si="106">IF(B473&gt;$D$3*12,0,C472-E473)</f>
        <v>0</v>
      </c>
      <c r="D473" s="138">
        <f>IF(C472&lt;0.001,0,-IPMT(((1+$D$2/2)^(1/6)-1),B473,$D$3*12,$D$1))</f>
        <v>0</v>
      </c>
      <c r="E473" s="138">
        <f t="shared" si="105"/>
        <v>0</v>
      </c>
    </row>
    <row r="474" spans="2:5" x14ac:dyDescent="0.2">
      <c r="B474" s="136">
        <v>424</v>
      </c>
      <c r="C474" s="137">
        <f t="shared" si="106"/>
        <v>0</v>
      </c>
      <c r="D474" s="138">
        <f t="shared" ref="D474:D482" si="107">IF(C473&lt;0.001,0,-IPMT(((1+$D$2/2)^(1/6)-1),B474,$D$3*12,$D$1))</f>
        <v>0</v>
      </c>
      <c r="E474" s="138">
        <f t="shared" si="105"/>
        <v>0</v>
      </c>
    </row>
    <row r="475" spans="2:5" x14ac:dyDescent="0.2">
      <c r="B475" s="136">
        <v>425</v>
      </c>
      <c r="C475" s="137">
        <f t="shared" si="106"/>
        <v>0</v>
      </c>
      <c r="D475" s="138">
        <f t="shared" si="107"/>
        <v>0</v>
      </c>
      <c r="E475" s="138">
        <f t="shared" si="105"/>
        <v>0</v>
      </c>
    </row>
    <row r="476" spans="2:5" x14ac:dyDescent="0.2">
      <c r="B476" s="136">
        <v>426</v>
      </c>
      <c r="C476" s="137">
        <f t="shared" si="106"/>
        <v>0</v>
      </c>
      <c r="D476" s="138">
        <f t="shared" si="107"/>
        <v>0</v>
      </c>
      <c r="E476" s="138">
        <f t="shared" si="105"/>
        <v>0</v>
      </c>
    </row>
    <row r="477" spans="2:5" x14ac:dyDescent="0.2">
      <c r="B477" s="136">
        <v>427</v>
      </c>
      <c r="C477" s="137">
        <f t="shared" si="106"/>
        <v>0</v>
      </c>
      <c r="D477" s="138">
        <f t="shared" si="107"/>
        <v>0</v>
      </c>
      <c r="E477" s="138">
        <f t="shared" si="105"/>
        <v>0</v>
      </c>
    </row>
    <row r="478" spans="2:5" x14ac:dyDescent="0.2">
      <c r="B478" s="136">
        <v>428</v>
      </c>
      <c r="C478" s="137">
        <f t="shared" si="106"/>
        <v>0</v>
      </c>
      <c r="D478" s="138">
        <f t="shared" si="107"/>
        <v>0</v>
      </c>
      <c r="E478" s="138">
        <f t="shared" si="105"/>
        <v>0</v>
      </c>
    </row>
    <row r="479" spans="2:5" x14ac:dyDescent="0.2">
      <c r="B479" s="136">
        <v>429</v>
      </c>
      <c r="C479" s="137">
        <f t="shared" si="106"/>
        <v>0</v>
      </c>
      <c r="D479" s="138">
        <f t="shared" si="107"/>
        <v>0</v>
      </c>
      <c r="E479" s="138">
        <f t="shared" si="105"/>
        <v>0</v>
      </c>
    </row>
    <row r="480" spans="2:5" x14ac:dyDescent="0.2">
      <c r="B480" s="136">
        <v>430</v>
      </c>
      <c r="C480" s="137">
        <f t="shared" si="106"/>
        <v>0</v>
      </c>
      <c r="D480" s="138">
        <f t="shared" si="107"/>
        <v>0</v>
      </c>
      <c r="E480" s="138">
        <f t="shared" si="105"/>
        <v>0</v>
      </c>
    </row>
    <row r="481" spans="2:5" x14ac:dyDescent="0.2">
      <c r="B481" s="136">
        <v>431</v>
      </c>
      <c r="C481" s="137">
        <f t="shared" si="106"/>
        <v>0</v>
      </c>
      <c r="D481" s="138">
        <f t="shared" si="107"/>
        <v>0</v>
      </c>
      <c r="E481" s="138">
        <f t="shared" si="105"/>
        <v>0</v>
      </c>
    </row>
    <row r="482" spans="2:5" x14ac:dyDescent="0.2">
      <c r="B482" s="136">
        <v>432</v>
      </c>
      <c r="C482" s="137">
        <f t="shared" si="106"/>
        <v>0</v>
      </c>
      <c r="D482" s="138">
        <f t="shared" si="107"/>
        <v>0</v>
      </c>
      <c r="E482" s="138">
        <f>IF($D$3*12&lt;=B482,C481,-PPMT(((1+$D$2/2)^(1/6)-1),B482,$D$3*12,$D$1))</f>
        <v>0</v>
      </c>
    </row>
    <row r="483" spans="2:5" ht="13.5" thickBot="1" x14ac:dyDescent="0.25">
      <c r="B483" s="132" t="s">
        <v>131</v>
      </c>
      <c r="C483" s="142"/>
      <c r="D483" s="140">
        <f>SUM(D471:D482)</f>
        <v>0</v>
      </c>
      <c r="E483" s="140">
        <f>SUM(E471:E482)</f>
        <v>0</v>
      </c>
    </row>
    <row r="484" spans="2:5" x14ac:dyDescent="0.2">
      <c r="B484" s="136">
        <v>433</v>
      </c>
      <c r="C484" s="137">
        <f>IF(B484&gt;$D$3*12,0,C482-E484)</f>
        <v>0</v>
      </c>
      <c r="D484" s="138">
        <f>IF(C482&lt;0.001,0,-IPMT(((1+$D$2/2)^(1/6)-1),B484,$D$3*12,$D$1))</f>
        <v>0</v>
      </c>
      <c r="E484" s="138">
        <f>IF($D$3*12&lt;=B484,C482,-PPMT(((1+$D$2/2)^(1/6)-1),B484,$D$3*12,$D$1))</f>
        <v>0</v>
      </c>
    </row>
    <row r="485" spans="2:5" x14ac:dyDescent="0.2">
      <c r="B485" s="136">
        <v>434</v>
      </c>
      <c r="C485" s="137">
        <f>IF(B485&gt;$D$3*12,0,C484-E485)</f>
        <v>0</v>
      </c>
      <c r="D485" s="138">
        <f>IF(C484&lt;0.001,0,-IPMT(((1+$D$2/2)^(1/6)-1),B485,$D$3*12,$D$1))</f>
        <v>0</v>
      </c>
      <c r="E485" s="138">
        <f t="shared" ref="E485:E494" si="108">IF($D$3*12&lt;=B485,C484,-PPMT(((1+$D$2/2)^(1/6)-1),B485,$D$3*12,$D$1))</f>
        <v>0</v>
      </c>
    </row>
    <row r="486" spans="2:5" x14ac:dyDescent="0.2">
      <c r="B486" s="136">
        <v>435</v>
      </c>
      <c r="C486" s="137">
        <f t="shared" ref="C486:C495" si="109">IF(B486&gt;$D$3*12,0,C485-E486)</f>
        <v>0</v>
      </c>
      <c r="D486" s="138">
        <f>IF(C485&lt;0.001,0,-IPMT(((1+$D$2/2)^(1/6)-1),B486,$D$3*12,$D$1))</f>
        <v>0</v>
      </c>
      <c r="E486" s="138">
        <f t="shared" si="108"/>
        <v>0</v>
      </c>
    </row>
    <row r="487" spans="2:5" x14ac:dyDescent="0.2">
      <c r="B487" s="136">
        <v>436</v>
      </c>
      <c r="C487" s="137">
        <f t="shared" si="109"/>
        <v>0</v>
      </c>
      <c r="D487" s="138">
        <f t="shared" ref="D487:D495" si="110">IF(C486&lt;0.001,0,-IPMT(((1+$D$2/2)^(1/6)-1),B487,$D$3*12,$D$1))</f>
        <v>0</v>
      </c>
      <c r="E487" s="138">
        <f t="shared" si="108"/>
        <v>0</v>
      </c>
    </row>
    <row r="488" spans="2:5" x14ac:dyDescent="0.2">
      <c r="B488" s="136">
        <v>437</v>
      </c>
      <c r="C488" s="137">
        <f t="shared" si="109"/>
        <v>0</v>
      </c>
      <c r="D488" s="138">
        <f t="shared" si="110"/>
        <v>0</v>
      </c>
      <c r="E488" s="138">
        <f t="shared" si="108"/>
        <v>0</v>
      </c>
    </row>
    <row r="489" spans="2:5" x14ac:dyDescent="0.2">
      <c r="B489" s="136">
        <v>438</v>
      </c>
      <c r="C489" s="137">
        <f t="shared" si="109"/>
        <v>0</v>
      </c>
      <c r="D489" s="138">
        <f t="shared" si="110"/>
        <v>0</v>
      </c>
      <c r="E489" s="138">
        <f t="shared" si="108"/>
        <v>0</v>
      </c>
    </row>
    <row r="490" spans="2:5" x14ac:dyDescent="0.2">
      <c r="B490" s="136">
        <v>439</v>
      </c>
      <c r="C490" s="137">
        <f t="shared" si="109"/>
        <v>0</v>
      </c>
      <c r="D490" s="138">
        <f t="shared" si="110"/>
        <v>0</v>
      </c>
      <c r="E490" s="138">
        <f t="shared" si="108"/>
        <v>0</v>
      </c>
    </row>
    <row r="491" spans="2:5" x14ac:dyDescent="0.2">
      <c r="B491" s="136">
        <v>440</v>
      </c>
      <c r="C491" s="137">
        <f t="shared" si="109"/>
        <v>0</v>
      </c>
      <c r="D491" s="138">
        <f t="shared" si="110"/>
        <v>0</v>
      </c>
      <c r="E491" s="138">
        <f t="shared" si="108"/>
        <v>0</v>
      </c>
    </row>
    <row r="492" spans="2:5" x14ac:dyDescent="0.2">
      <c r="B492" s="136">
        <v>441</v>
      </c>
      <c r="C492" s="137">
        <f t="shared" si="109"/>
        <v>0</v>
      </c>
      <c r="D492" s="138">
        <f t="shared" si="110"/>
        <v>0</v>
      </c>
      <c r="E492" s="138">
        <f t="shared" si="108"/>
        <v>0</v>
      </c>
    </row>
    <row r="493" spans="2:5" x14ac:dyDescent="0.2">
      <c r="B493" s="136">
        <v>442</v>
      </c>
      <c r="C493" s="137">
        <f t="shared" si="109"/>
        <v>0</v>
      </c>
      <c r="D493" s="138">
        <f t="shared" si="110"/>
        <v>0</v>
      </c>
      <c r="E493" s="138">
        <f t="shared" si="108"/>
        <v>0</v>
      </c>
    </row>
    <row r="494" spans="2:5" x14ac:dyDescent="0.2">
      <c r="B494" s="136">
        <v>443</v>
      </c>
      <c r="C494" s="137">
        <f t="shared" si="109"/>
        <v>0</v>
      </c>
      <c r="D494" s="138">
        <f t="shared" si="110"/>
        <v>0</v>
      </c>
      <c r="E494" s="138">
        <f t="shared" si="108"/>
        <v>0</v>
      </c>
    </row>
    <row r="495" spans="2:5" x14ac:dyDescent="0.2">
      <c r="B495" s="136">
        <v>444</v>
      </c>
      <c r="C495" s="137">
        <f t="shared" si="109"/>
        <v>0</v>
      </c>
      <c r="D495" s="138">
        <f t="shared" si="110"/>
        <v>0</v>
      </c>
      <c r="E495" s="138">
        <f>IF($D$3*12&lt;=B495,C494,-PPMT(((1+$D$2/2)^(1/6)-1),B495,$D$3*12,$D$1))</f>
        <v>0</v>
      </c>
    </row>
    <row r="496" spans="2:5" ht="13.5" thickBot="1" x14ac:dyDescent="0.25">
      <c r="B496" s="132" t="s">
        <v>132</v>
      </c>
      <c r="C496" s="142"/>
      <c r="D496" s="140">
        <f>SUM(D484:D495)</f>
        <v>0</v>
      </c>
      <c r="E496" s="140">
        <f>SUM(E484:E495)</f>
        <v>0</v>
      </c>
    </row>
    <row r="497" spans="2:5" x14ac:dyDescent="0.2">
      <c r="B497" s="136">
        <v>445</v>
      </c>
      <c r="C497" s="137">
        <f>IF(B497&gt;$D$3*12,0,C495-E497)</f>
        <v>0</v>
      </c>
      <c r="D497" s="138">
        <f>IF(C495&lt;0.001,0,-IPMT(((1+$D$2/2)^(1/6)-1),B497,$D$3*12,$D$1))</f>
        <v>0</v>
      </c>
      <c r="E497" s="138">
        <f>IF($D$3*12&lt;=B497,C495,-PPMT(((1+$D$2/2)^(1/6)-1),B497,$D$3*12,$D$1))</f>
        <v>0</v>
      </c>
    </row>
    <row r="498" spans="2:5" x14ac:dyDescent="0.2">
      <c r="B498" s="136">
        <v>446</v>
      </c>
      <c r="C498" s="137">
        <f>IF(B498&gt;$D$3*12,0,C497-E498)</f>
        <v>0</v>
      </c>
      <c r="D498" s="138">
        <f>IF(C497&lt;0.001,0,-IPMT(((1+$D$2/2)^(1/6)-1),B498,$D$3*12,$D$1))</f>
        <v>0</v>
      </c>
      <c r="E498" s="138">
        <f t="shared" ref="E498:E507" si="111">IF($D$3*12&lt;=B498,C497,-PPMT(((1+$D$2/2)^(1/6)-1),B498,$D$3*12,$D$1))</f>
        <v>0</v>
      </c>
    </row>
    <row r="499" spans="2:5" x14ac:dyDescent="0.2">
      <c r="B499" s="136">
        <v>447</v>
      </c>
      <c r="C499" s="137">
        <f t="shared" ref="C499:C508" si="112">IF(B499&gt;$D$3*12,0,C498-E499)</f>
        <v>0</v>
      </c>
      <c r="D499" s="138">
        <f>IF(C498&lt;0.001,0,-IPMT(((1+$D$2/2)^(1/6)-1),B499,$D$3*12,$D$1))</f>
        <v>0</v>
      </c>
      <c r="E499" s="138">
        <f t="shared" si="111"/>
        <v>0</v>
      </c>
    </row>
    <row r="500" spans="2:5" x14ac:dyDescent="0.2">
      <c r="B500" s="136">
        <v>448</v>
      </c>
      <c r="C500" s="137">
        <f t="shared" si="112"/>
        <v>0</v>
      </c>
      <c r="D500" s="138">
        <f t="shared" ref="D500:D508" si="113">IF(C499&lt;0.001,0,-IPMT(((1+$D$2/2)^(1/6)-1),B500,$D$3*12,$D$1))</f>
        <v>0</v>
      </c>
      <c r="E500" s="138">
        <f t="shared" si="111"/>
        <v>0</v>
      </c>
    </row>
    <row r="501" spans="2:5" x14ac:dyDescent="0.2">
      <c r="B501" s="136">
        <v>449</v>
      </c>
      <c r="C501" s="137">
        <f t="shared" si="112"/>
        <v>0</v>
      </c>
      <c r="D501" s="138">
        <f t="shared" si="113"/>
        <v>0</v>
      </c>
      <c r="E501" s="138">
        <f t="shared" si="111"/>
        <v>0</v>
      </c>
    </row>
    <row r="502" spans="2:5" x14ac:dyDescent="0.2">
      <c r="B502" s="136">
        <v>450</v>
      </c>
      <c r="C502" s="137">
        <f t="shared" si="112"/>
        <v>0</v>
      </c>
      <c r="D502" s="138">
        <f t="shared" si="113"/>
        <v>0</v>
      </c>
      <c r="E502" s="138">
        <f t="shared" si="111"/>
        <v>0</v>
      </c>
    </row>
    <row r="503" spans="2:5" x14ac:dyDescent="0.2">
      <c r="B503" s="136">
        <v>451</v>
      </c>
      <c r="C503" s="137">
        <f t="shared" si="112"/>
        <v>0</v>
      </c>
      <c r="D503" s="138">
        <f t="shared" si="113"/>
        <v>0</v>
      </c>
      <c r="E503" s="138">
        <f t="shared" si="111"/>
        <v>0</v>
      </c>
    </row>
    <row r="504" spans="2:5" x14ac:dyDescent="0.2">
      <c r="B504" s="136">
        <v>452</v>
      </c>
      <c r="C504" s="137">
        <f t="shared" si="112"/>
        <v>0</v>
      </c>
      <c r="D504" s="138">
        <f t="shared" si="113"/>
        <v>0</v>
      </c>
      <c r="E504" s="138">
        <f t="shared" si="111"/>
        <v>0</v>
      </c>
    </row>
    <row r="505" spans="2:5" x14ac:dyDescent="0.2">
      <c r="B505" s="136">
        <v>453</v>
      </c>
      <c r="C505" s="137">
        <f t="shared" si="112"/>
        <v>0</v>
      </c>
      <c r="D505" s="138">
        <f t="shared" si="113"/>
        <v>0</v>
      </c>
      <c r="E505" s="138">
        <f t="shared" si="111"/>
        <v>0</v>
      </c>
    </row>
    <row r="506" spans="2:5" x14ac:dyDescent="0.2">
      <c r="B506" s="136">
        <v>454</v>
      </c>
      <c r="C506" s="137">
        <f t="shared" si="112"/>
        <v>0</v>
      </c>
      <c r="D506" s="138">
        <f t="shared" si="113"/>
        <v>0</v>
      </c>
      <c r="E506" s="138">
        <f t="shared" si="111"/>
        <v>0</v>
      </c>
    </row>
    <row r="507" spans="2:5" x14ac:dyDescent="0.2">
      <c r="B507" s="136">
        <v>455</v>
      </c>
      <c r="C507" s="137">
        <f t="shared" si="112"/>
        <v>0</v>
      </c>
      <c r="D507" s="138">
        <f t="shared" si="113"/>
        <v>0</v>
      </c>
      <c r="E507" s="138">
        <f t="shared" si="111"/>
        <v>0</v>
      </c>
    </row>
    <row r="508" spans="2:5" x14ac:dyDescent="0.2">
      <c r="B508" s="136">
        <v>456</v>
      </c>
      <c r="C508" s="137">
        <f t="shared" si="112"/>
        <v>0</v>
      </c>
      <c r="D508" s="138">
        <f t="shared" si="113"/>
        <v>0</v>
      </c>
      <c r="E508" s="138">
        <f>IF($D$3*12&lt;=B508,C507,-PPMT(((1+$D$2/2)^(1/6)-1),B508,$D$3*12,$D$1))</f>
        <v>0</v>
      </c>
    </row>
    <row r="509" spans="2:5" ht="13.5" thickBot="1" x14ac:dyDescent="0.25">
      <c r="B509" s="132" t="s">
        <v>133</v>
      </c>
      <c r="C509" s="142"/>
      <c r="D509" s="140">
        <f>SUM(D497:D508)</f>
        <v>0</v>
      </c>
      <c r="E509" s="140">
        <f>SUM(E497:E508)</f>
        <v>0</v>
      </c>
    </row>
    <row r="510" spans="2:5" x14ac:dyDescent="0.2">
      <c r="B510" s="136">
        <v>457</v>
      </c>
      <c r="C510" s="137">
        <f>IF(B510&gt;$D$3*12,0,C508-E510)</f>
        <v>0</v>
      </c>
      <c r="D510" s="138">
        <f>IF(C508&lt;0.001,0,-IPMT(((1+$D$2/2)^(1/6)-1),B510,$D$3*12,$D$1))</f>
        <v>0</v>
      </c>
      <c r="E510" s="138">
        <f>IF($D$3*12&lt;=B510,C508,-PPMT(((1+$D$2/2)^(1/6)-1),B510,$D$3*12,$D$1))</f>
        <v>0</v>
      </c>
    </row>
    <row r="511" spans="2:5" x14ac:dyDescent="0.2">
      <c r="B511" s="136">
        <v>458</v>
      </c>
      <c r="C511" s="137">
        <f>IF(B511&gt;$D$3*12,0,C510-E511)</f>
        <v>0</v>
      </c>
      <c r="D511" s="138">
        <f>IF(C510&lt;0.001,0,-IPMT(((1+$D$2/2)^(1/6)-1),B511,$D$3*12,$D$1))</f>
        <v>0</v>
      </c>
      <c r="E511" s="138">
        <f t="shared" ref="E511:E520" si="114">IF($D$3*12&lt;=B511,C510,-PPMT(((1+$D$2/2)^(1/6)-1),B511,$D$3*12,$D$1))</f>
        <v>0</v>
      </c>
    </row>
    <row r="512" spans="2:5" x14ac:dyDescent="0.2">
      <c r="B512" s="136">
        <v>459</v>
      </c>
      <c r="C512" s="137">
        <f t="shared" ref="C512:C521" si="115">IF(B512&gt;$D$3*12,0,C511-E512)</f>
        <v>0</v>
      </c>
      <c r="D512" s="138">
        <f>IF(C511&lt;0.001,0,-IPMT(((1+$D$2/2)^(1/6)-1),B512,$D$3*12,$D$1))</f>
        <v>0</v>
      </c>
      <c r="E512" s="138">
        <f t="shared" si="114"/>
        <v>0</v>
      </c>
    </row>
    <row r="513" spans="2:5" x14ac:dyDescent="0.2">
      <c r="B513" s="136">
        <v>460</v>
      </c>
      <c r="C513" s="137">
        <f t="shared" si="115"/>
        <v>0</v>
      </c>
      <c r="D513" s="138">
        <f t="shared" ref="D513:D521" si="116">IF(C512&lt;0.001,0,-IPMT(((1+$D$2/2)^(1/6)-1),B513,$D$3*12,$D$1))</f>
        <v>0</v>
      </c>
      <c r="E513" s="138">
        <f t="shared" si="114"/>
        <v>0</v>
      </c>
    </row>
    <row r="514" spans="2:5" x14ac:dyDescent="0.2">
      <c r="B514" s="136">
        <v>461</v>
      </c>
      <c r="C514" s="137">
        <f t="shared" si="115"/>
        <v>0</v>
      </c>
      <c r="D514" s="138">
        <f t="shared" si="116"/>
        <v>0</v>
      </c>
      <c r="E514" s="138">
        <f t="shared" si="114"/>
        <v>0</v>
      </c>
    </row>
    <row r="515" spans="2:5" x14ac:dyDescent="0.2">
      <c r="B515" s="136">
        <v>462</v>
      </c>
      <c r="C515" s="137">
        <f t="shared" si="115"/>
        <v>0</v>
      </c>
      <c r="D515" s="138">
        <f t="shared" si="116"/>
        <v>0</v>
      </c>
      <c r="E515" s="138">
        <f t="shared" si="114"/>
        <v>0</v>
      </c>
    </row>
    <row r="516" spans="2:5" x14ac:dyDescent="0.2">
      <c r="B516" s="136">
        <v>463</v>
      </c>
      <c r="C516" s="137">
        <f t="shared" si="115"/>
        <v>0</v>
      </c>
      <c r="D516" s="138">
        <f t="shared" si="116"/>
        <v>0</v>
      </c>
      <c r="E516" s="138">
        <f t="shared" si="114"/>
        <v>0</v>
      </c>
    </row>
    <row r="517" spans="2:5" x14ac:dyDescent="0.2">
      <c r="B517" s="136">
        <v>464</v>
      </c>
      <c r="C517" s="137">
        <f t="shared" si="115"/>
        <v>0</v>
      </c>
      <c r="D517" s="138">
        <f t="shared" si="116"/>
        <v>0</v>
      </c>
      <c r="E517" s="138">
        <f t="shared" si="114"/>
        <v>0</v>
      </c>
    </row>
    <row r="518" spans="2:5" x14ac:dyDescent="0.2">
      <c r="B518" s="136">
        <v>465</v>
      </c>
      <c r="C518" s="137">
        <f t="shared" si="115"/>
        <v>0</v>
      </c>
      <c r="D518" s="138">
        <f t="shared" si="116"/>
        <v>0</v>
      </c>
      <c r="E518" s="138">
        <f t="shared" si="114"/>
        <v>0</v>
      </c>
    </row>
    <row r="519" spans="2:5" x14ac:dyDescent="0.2">
      <c r="B519" s="136">
        <v>466</v>
      </c>
      <c r="C519" s="137">
        <f t="shared" si="115"/>
        <v>0</v>
      </c>
      <c r="D519" s="138">
        <f t="shared" si="116"/>
        <v>0</v>
      </c>
      <c r="E519" s="138">
        <f t="shared" si="114"/>
        <v>0</v>
      </c>
    </row>
    <row r="520" spans="2:5" x14ac:dyDescent="0.2">
      <c r="B520" s="136">
        <v>467</v>
      </c>
      <c r="C520" s="137">
        <f t="shared" si="115"/>
        <v>0</v>
      </c>
      <c r="D520" s="138">
        <f t="shared" si="116"/>
        <v>0</v>
      </c>
      <c r="E520" s="138">
        <f t="shared" si="114"/>
        <v>0</v>
      </c>
    </row>
    <row r="521" spans="2:5" x14ac:dyDescent="0.2">
      <c r="B521" s="136">
        <v>468</v>
      </c>
      <c r="C521" s="137">
        <f t="shared" si="115"/>
        <v>0</v>
      </c>
      <c r="D521" s="138">
        <f t="shared" si="116"/>
        <v>0</v>
      </c>
      <c r="E521" s="138">
        <f>IF($D$3*12&lt;=B521,C520,-PPMT(((1+$D$2/2)^(1/6)-1),B521,$D$3*12,$D$1))</f>
        <v>0</v>
      </c>
    </row>
    <row r="522" spans="2:5" ht="13.5" thickBot="1" x14ac:dyDescent="0.25">
      <c r="B522" s="132" t="s">
        <v>134</v>
      </c>
      <c r="C522" s="142"/>
      <c r="D522" s="140">
        <f>SUM(D510:D521)</f>
        <v>0</v>
      </c>
      <c r="E522" s="140">
        <f>SUM(E510:E521)</f>
        <v>0</v>
      </c>
    </row>
    <row r="523" spans="2:5" x14ac:dyDescent="0.2">
      <c r="B523" s="136">
        <v>469</v>
      </c>
      <c r="C523" s="137">
        <f>IF(B523&gt;$D$3*12,0,C521-E523)</f>
        <v>0</v>
      </c>
      <c r="D523" s="138">
        <f>IF(C521&lt;0.001,0,-IPMT(((1+$D$2/2)^(1/6)-1),B523,$D$3*12,$D$1))</f>
        <v>0</v>
      </c>
      <c r="E523" s="138">
        <f>IF($D$3*12&lt;=B523,C521,-PPMT(((1+$D$2/2)^(1/6)-1),B523,$D$3*12,$D$1))</f>
        <v>0</v>
      </c>
    </row>
    <row r="524" spans="2:5" x14ac:dyDescent="0.2">
      <c r="B524" s="136">
        <v>470</v>
      </c>
      <c r="C524" s="137">
        <f>IF(B524&gt;$D$3*12,0,C523-E524)</f>
        <v>0</v>
      </c>
      <c r="D524" s="138">
        <f>IF(C523&lt;0.001,0,-IPMT(((1+$D$2/2)^(1/6)-1),B524,$D$3*12,$D$1))</f>
        <v>0</v>
      </c>
      <c r="E524" s="138">
        <f t="shared" ref="E524:E533" si="117">IF($D$3*12&lt;=B524,C523,-PPMT(((1+$D$2/2)^(1/6)-1),B524,$D$3*12,$D$1))</f>
        <v>0</v>
      </c>
    </row>
    <row r="525" spans="2:5" x14ac:dyDescent="0.2">
      <c r="B525" s="136">
        <v>471</v>
      </c>
      <c r="C525" s="137">
        <f t="shared" ref="C525:C534" si="118">IF(B525&gt;$D$3*12,0,C524-E525)</f>
        <v>0</v>
      </c>
      <c r="D525" s="138">
        <f>IF(C524&lt;0.001,0,-IPMT(((1+$D$2/2)^(1/6)-1),B525,$D$3*12,$D$1))</f>
        <v>0</v>
      </c>
      <c r="E525" s="138">
        <f t="shared" si="117"/>
        <v>0</v>
      </c>
    </row>
    <row r="526" spans="2:5" x14ac:dyDescent="0.2">
      <c r="B526" s="136">
        <v>472</v>
      </c>
      <c r="C526" s="137">
        <f t="shared" si="118"/>
        <v>0</v>
      </c>
      <c r="D526" s="138">
        <f t="shared" ref="D526:D534" si="119">IF(C525&lt;0.001,0,-IPMT(((1+$D$2/2)^(1/6)-1),B526,$D$3*12,$D$1))</f>
        <v>0</v>
      </c>
      <c r="E526" s="138">
        <f t="shared" si="117"/>
        <v>0</v>
      </c>
    </row>
    <row r="527" spans="2:5" x14ac:dyDescent="0.2">
      <c r="B527" s="136">
        <v>473</v>
      </c>
      <c r="C527" s="137">
        <f t="shared" si="118"/>
        <v>0</v>
      </c>
      <c r="D527" s="138">
        <f t="shared" si="119"/>
        <v>0</v>
      </c>
      <c r="E527" s="138">
        <f t="shared" si="117"/>
        <v>0</v>
      </c>
    </row>
    <row r="528" spans="2:5" x14ac:dyDescent="0.2">
      <c r="B528" s="136">
        <v>474</v>
      </c>
      <c r="C528" s="137">
        <f t="shared" si="118"/>
        <v>0</v>
      </c>
      <c r="D528" s="138">
        <f t="shared" si="119"/>
        <v>0</v>
      </c>
      <c r="E528" s="138">
        <f t="shared" si="117"/>
        <v>0</v>
      </c>
    </row>
    <row r="529" spans="2:5" x14ac:dyDescent="0.2">
      <c r="B529" s="136">
        <v>475</v>
      </c>
      <c r="C529" s="137">
        <f t="shared" si="118"/>
        <v>0</v>
      </c>
      <c r="D529" s="138">
        <f t="shared" si="119"/>
        <v>0</v>
      </c>
      <c r="E529" s="138">
        <f t="shared" si="117"/>
        <v>0</v>
      </c>
    </row>
    <row r="530" spans="2:5" x14ac:dyDescent="0.2">
      <c r="B530" s="136">
        <v>476</v>
      </c>
      <c r="C530" s="137">
        <f t="shared" si="118"/>
        <v>0</v>
      </c>
      <c r="D530" s="138">
        <f t="shared" si="119"/>
        <v>0</v>
      </c>
      <c r="E530" s="138">
        <f t="shared" si="117"/>
        <v>0</v>
      </c>
    </row>
    <row r="531" spans="2:5" x14ac:dyDescent="0.2">
      <c r="B531" s="136">
        <v>477</v>
      </c>
      <c r="C531" s="137">
        <f t="shared" si="118"/>
        <v>0</v>
      </c>
      <c r="D531" s="138">
        <f t="shared" si="119"/>
        <v>0</v>
      </c>
      <c r="E531" s="138">
        <f t="shared" si="117"/>
        <v>0</v>
      </c>
    </row>
    <row r="532" spans="2:5" x14ac:dyDescent="0.2">
      <c r="B532" s="136">
        <v>478</v>
      </c>
      <c r="C532" s="137">
        <f t="shared" si="118"/>
        <v>0</v>
      </c>
      <c r="D532" s="138">
        <f t="shared" si="119"/>
        <v>0</v>
      </c>
      <c r="E532" s="138">
        <f t="shared" si="117"/>
        <v>0</v>
      </c>
    </row>
    <row r="533" spans="2:5" x14ac:dyDescent="0.2">
      <c r="B533" s="136">
        <v>479</v>
      </c>
      <c r="C533" s="137">
        <f t="shared" si="118"/>
        <v>0</v>
      </c>
      <c r="D533" s="138">
        <f t="shared" si="119"/>
        <v>0</v>
      </c>
      <c r="E533" s="138">
        <f t="shared" si="117"/>
        <v>0</v>
      </c>
    </row>
    <row r="534" spans="2:5" x14ac:dyDescent="0.2">
      <c r="B534" s="136">
        <v>480</v>
      </c>
      <c r="C534" s="137">
        <f t="shared" si="118"/>
        <v>0</v>
      </c>
      <c r="D534" s="138">
        <f t="shared" si="119"/>
        <v>0</v>
      </c>
      <c r="E534" s="138">
        <f>IF($D$3*12&lt;=B534,C533,-PPMT(((1+$D$2/2)^(1/6)-1),B534,$D$3*12,$D$1))</f>
        <v>0</v>
      </c>
    </row>
    <row r="535" spans="2:5" ht="13.5" thickBot="1" x14ac:dyDescent="0.25">
      <c r="B535" s="132" t="s">
        <v>135</v>
      </c>
      <c r="C535" s="142"/>
      <c r="D535" s="140">
        <f>SUM(D523:D534)</f>
        <v>0</v>
      </c>
      <c r="E535" s="140">
        <f>SUM(E523:E534)</f>
        <v>0</v>
      </c>
    </row>
  </sheetData>
  <mergeCells count="22">
    <mergeCell ref="B5:C5"/>
    <mergeCell ref="D5:E5"/>
    <mergeCell ref="B12:C12"/>
    <mergeCell ref="D12:E12"/>
    <mergeCell ref="B7:C7"/>
    <mergeCell ref="D7:E7"/>
    <mergeCell ref="B1:C1"/>
    <mergeCell ref="B10:C10"/>
    <mergeCell ref="B11:C11"/>
    <mergeCell ref="D10:E10"/>
    <mergeCell ref="D11:E11"/>
    <mergeCell ref="D1:E1"/>
    <mergeCell ref="D4:E4"/>
    <mergeCell ref="D9:E9"/>
    <mergeCell ref="D8:E8"/>
    <mergeCell ref="B2:C2"/>
    <mergeCell ref="B3:C3"/>
    <mergeCell ref="B4:C4"/>
    <mergeCell ref="B8:C8"/>
    <mergeCell ref="B9:C9"/>
    <mergeCell ref="B6:C6"/>
    <mergeCell ref="D6:E6"/>
  </mergeCells>
  <pageMargins left="0.7" right="0.7" top="0.75" bottom="0.75" header="0.3" footer="0.3"/>
  <pageSetup paperSize="1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1"/>
  <sheetViews>
    <sheetView topLeftCell="A13" workbookViewId="0">
      <selection activeCell="B11" sqref="B11"/>
    </sheetView>
  </sheetViews>
  <sheetFormatPr baseColWidth="10" defaultRowHeight="12.75" x14ac:dyDescent="0.2"/>
  <cols>
    <col min="1" max="1" width="80.42578125" customWidth="1"/>
    <col min="2" max="2" width="8.5703125" customWidth="1"/>
    <col min="3" max="27" width="18.5703125" style="147" customWidth="1"/>
    <col min="28" max="28" width="18.5703125" style="148" customWidth="1"/>
  </cols>
  <sheetData>
    <row r="1" spans="1:28" s="152" customFormat="1" ht="15.75" x14ac:dyDescent="0.2">
      <c r="A1" s="150" t="s">
        <v>217</v>
      </c>
      <c r="B1" s="150"/>
      <c r="C1" s="151" t="s">
        <v>170</v>
      </c>
      <c r="D1" s="150" t="s">
        <v>186</v>
      </c>
      <c r="E1" s="150" t="s">
        <v>187</v>
      </c>
      <c r="F1" s="150" t="s">
        <v>188</v>
      </c>
      <c r="G1" s="150" t="s">
        <v>189</v>
      </c>
      <c r="H1" s="150" t="s">
        <v>190</v>
      </c>
      <c r="I1" s="150" t="s">
        <v>191</v>
      </c>
      <c r="J1" s="150" t="s">
        <v>192</v>
      </c>
      <c r="K1" s="150" t="s">
        <v>193</v>
      </c>
      <c r="L1" s="150" t="s">
        <v>194</v>
      </c>
      <c r="M1" s="150" t="s">
        <v>195</v>
      </c>
      <c r="N1" s="150" t="s">
        <v>196</v>
      </c>
      <c r="O1" s="150" t="s">
        <v>197</v>
      </c>
      <c r="P1" s="150" t="s">
        <v>198</v>
      </c>
      <c r="Q1" s="150" t="s">
        <v>199</v>
      </c>
      <c r="R1" s="150" t="s">
        <v>200</v>
      </c>
      <c r="S1" s="150" t="s">
        <v>201</v>
      </c>
      <c r="T1" s="150" t="s">
        <v>202</v>
      </c>
      <c r="U1" s="150" t="s">
        <v>203</v>
      </c>
      <c r="V1" s="150" t="s">
        <v>204</v>
      </c>
      <c r="W1" s="150" t="s">
        <v>205</v>
      </c>
      <c r="X1" s="150" t="s">
        <v>206</v>
      </c>
      <c r="Y1" s="150" t="s">
        <v>207</v>
      </c>
      <c r="Z1" s="150" t="s">
        <v>208</v>
      </c>
      <c r="AA1" s="150" t="s">
        <v>209</v>
      </c>
      <c r="AB1" s="150" t="s">
        <v>210</v>
      </c>
    </row>
    <row r="2" spans="1:28" s="240" customFormat="1" ht="12.75" customHeight="1" x14ac:dyDescent="0.2">
      <c r="A2" s="326" t="s">
        <v>272</v>
      </c>
      <c r="B2" s="299">
        <v>2.4E-2</v>
      </c>
      <c r="C2" s="248"/>
      <c r="D2" s="249"/>
      <c r="E2" s="249"/>
      <c r="F2" s="249"/>
      <c r="G2" s="249"/>
      <c r="H2" s="249"/>
      <c r="I2" s="249"/>
      <c r="J2" s="249"/>
      <c r="K2" s="249"/>
      <c r="L2" s="249"/>
      <c r="M2" s="249"/>
      <c r="N2" s="249"/>
      <c r="O2" s="249"/>
      <c r="P2" s="249"/>
      <c r="Q2" s="249"/>
      <c r="R2" s="249"/>
      <c r="S2" s="249"/>
      <c r="T2" s="249"/>
      <c r="U2" s="249"/>
      <c r="V2" s="249"/>
      <c r="W2" s="249"/>
      <c r="X2" s="249"/>
      <c r="Y2" s="249"/>
      <c r="Z2" s="249"/>
      <c r="AA2" s="249"/>
      <c r="AB2" s="250"/>
    </row>
    <row r="3" spans="1:28" s="155" customFormat="1" x14ac:dyDescent="0.2">
      <c r="A3" s="327" t="s">
        <v>267</v>
      </c>
      <c r="B3" s="348"/>
      <c r="C3" s="154"/>
      <c r="D3" s="304">
        <f>' Exemple avec SCHL'!B38</f>
        <v>50666.400000000001</v>
      </c>
      <c r="E3" s="304">
        <f>(B2*'Flux financier avec SCHL'!D3)+'Flux financier avec SCHL'!D3</f>
        <v>51882.393600000003</v>
      </c>
      <c r="F3" s="304">
        <f>(B2*'Flux financier avec SCHL'!E3)+'Flux financier avec SCHL'!E3</f>
        <v>53127.5710464</v>
      </c>
      <c r="G3" s="304">
        <f>(B2*'Flux financier avec SCHL'!F3)+'Flux financier avec SCHL'!F3</f>
        <v>54402.6327515136</v>
      </c>
      <c r="H3" s="372">
        <f>(B2*'Flux financier avec SCHL'!G3)+'Flux financier avec SCHL'!G3</f>
        <v>55708.295937549927</v>
      </c>
      <c r="I3" s="369">
        <f>(B2*'Flux financier avec SCHL'!H3)+'Flux financier avec SCHL'!H3</f>
        <v>57045.295040051125</v>
      </c>
      <c r="J3" s="304">
        <f>(B2*'Flux financier avec SCHL'!I3)+'Flux financier avec SCHL'!I3</f>
        <v>58414.38212101235</v>
      </c>
      <c r="K3" s="304">
        <f>(B2*'Flux financier avec SCHL'!J3)+'Flux financier avec SCHL'!J3</f>
        <v>59816.327291916648</v>
      </c>
      <c r="L3" s="304">
        <f>(B2*'Flux financier avec SCHL'!K3)+'Flux financier avec SCHL'!K3</f>
        <v>61251.91914692265</v>
      </c>
      <c r="M3" s="372">
        <f>(B2*'Flux financier avec SCHL'!L3)+'Flux financier avec SCHL'!L3</f>
        <v>62721.965206448796</v>
      </c>
      <c r="N3" s="369">
        <f>(B2*'Flux financier avec SCHL'!M3)+'Flux financier avec SCHL'!M3</f>
        <v>64227.292371403564</v>
      </c>
      <c r="O3" s="304">
        <f>(B2*'Flux financier avec SCHL'!N3)+'Flux financier avec SCHL'!N3</f>
        <v>65768.74738831725</v>
      </c>
      <c r="P3" s="304">
        <f>(B2*'Flux financier avec SCHL'!O3)+'Flux financier avec SCHL'!O3</f>
        <v>67347.197325636866</v>
      </c>
      <c r="Q3" s="304">
        <f>(B2*'Flux financier avec SCHL'!P3)+'Flux financier avec SCHL'!P3</f>
        <v>68963.530061452155</v>
      </c>
      <c r="R3" s="372">
        <f>(B2*'Flux financier avec SCHL'!Q3)+'Flux financier avec SCHL'!Q3</f>
        <v>70618.654782927013</v>
      </c>
      <c r="S3" s="369">
        <f>(B2*'Flux financier avec SCHL'!R3)+'Flux financier avec SCHL'!R3</f>
        <v>72313.502497717258</v>
      </c>
      <c r="T3" s="304">
        <f>(B2*'Flux financier avec SCHL'!S3)+'Flux financier avec SCHL'!S3</f>
        <v>74049.026557662466</v>
      </c>
      <c r="U3" s="304">
        <f>(B2*'Flux financier avec SCHL'!T3)+'Flux financier avec SCHL'!T3</f>
        <v>75826.203195046372</v>
      </c>
      <c r="V3" s="304">
        <f>(B2*'Flux financier avec SCHL'!U3)+'Flux financier avec SCHL'!U3</f>
        <v>77646.032071727488</v>
      </c>
      <c r="W3" s="372">
        <f>(B2*'Flux financier avec SCHL'!V3)+'Flux financier avec SCHL'!V3</f>
        <v>79509.536841448949</v>
      </c>
      <c r="X3" s="369">
        <f>(B2*'Flux financier avec SCHL'!W3)+'Flux financier avec SCHL'!W3</f>
        <v>81417.765725643723</v>
      </c>
      <c r="Y3" s="304">
        <f>(B2*'Flux financier avec SCHL'!X3)+'Flux financier avec SCHL'!X3</f>
        <v>83371.792103059168</v>
      </c>
      <c r="Z3" s="304">
        <f>(B2*'Flux financier avec SCHL'!Y3)+'Flux financier avec SCHL'!Y3</f>
        <v>85372.715113532584</v>
      </c>
      <c r="AA3" s="304">
        <f>(B2*'Flux financier avec SCHL'!Z3)+'Flux financier avec SCHL'!Z3</f>
        <v>87421.66027625736</v>
      </c>
      <c r="AB3" s="304">
        <f>(B2*'Flux financier avec SCHL'!AA3)+'Flux financier avec SCHL'!AA3</f>
        <v>89519.780122887532</v>
      </c>
    </row>
    <row r="4" spans="1:28" s="155" customFormat="1" x14ac:dyDescent="0.2">
      <c r="A4" s="326" t="s">
        <v>171</v>
      </c>
      <c r="B4" s="348"/>
      <c r="C4" s="356">
        <f>' Exemple avec SCHL'!B21</f>
        <v>513750</v>
      </c>
      <c r="D4" s="340"/>
      <c r="E4" s="340"/>
      <c r="F4" s="340"/>
      <c r="G4" s="340"/>
      <c r="H4" s="340"/>
      <c r="I4" s="340"/>
      <c r="J4" s="340"/>
      <c r="K4" s="340"/>
      <c r="L4" s="340"/>
      <c r="M4" s="340"/>
      <c r="N4" s="340"/>
      <c r="O4" s="340"/>
      <c r="P4" s="340"/>
      <c r="Q4" s="340"/>
      <c r="R4" s="340"/>
      <c r="S4" s="340"/>
      <c r="T4" s="340"/>
      <c r="U4" s="340"/>
      <c r="V4" s="340"/>
      <c r="W4" s="340"/>
      <c r="X4" s="340"/>
      <c r="Y4" s="340"/>
      <c r="Z4" s="340"/>
      <c r="AA4" s="340"/>
      <c r="AB4" s="340"/>
    </row>
    <row r="5" spans="1:28" s="155" customFormat="1" x14ac:dyDescent="0.2">
      <c r="A5" s="326" t="s">
        <v>172</v>
      </c>
      <c r="B5" s="348"/>
      <c r="C5" s="305">
        <f>AB6</f>
        <v>1239337.2051181502</v>
      </c>
      <c r="D5" s="340"/>
      <c r="E5" s="340"/>
      <c r="F5" s="340"/>
      <c r="G5" s="340"/>
      <c r="H5" s="340"/>
      <c r="I5" s="340"/>
      <c r="J5" s="340"/>
      <c r="K5" s="340"/>
      <c r="L5" s="340"/>
      <c r="M5" s="340"/>
      <c r="N5" s="340"/>
      <c r="O5" s="340"/>
      <c r="P5" s="340"/>
      <c r="Q5" s="340"/>
      <c r="R5" s="340"/>
      <c r="S5" s="340"/>
      <c r="T5" s="340"/>
      <c r="U5" s="340"/>
      <c r="V5" s="340"/>
      <c r="W5" s="340"/>
      <c r="X5" s="340"/>
      <c r="Y5" s="340"/>
      <c r="Z5" s="340"/>
      <c r="AA5" s="340"/>
      <c r="AB5" s="340"/>
    </row>
    <row r="6" spans="1:28" s="155" customFormat="1" x14ac:dyDescent="0.2">
      <c r="A6" s="327" t="s">
        <v>268</v>
      </c>
      <c r="B6" s="347"/>
      <c r="C6" s="345">
        <f>C5/C20</f>
        <v>1.8092513943330659</v>
      </c>
      <c r="D6" s="303">
        <f>C20*B2+C20</f>
        <v>701440</v>
      </c>
      <c r="E6" s="303">
        <f>D6*B2+D6</f>
        <v>718274.56000000006</v>
      </c>
      <c r="F6" s="303">
        <f>E6*B2+E6</f>
        <v>735513.14944000007</v>
      </c>
      <c r="G6" s="303">
        <f>F6*B2+F6</f>
        <v>753165.46502656012</v>
      </c>
      <c r="H6" s="371">
        <f>G6*B2+G6</f>
        <v>771241.43618719757</v>
      </c>
      <c r="I6" s="368">
        <f>H6*B2+H6</f>
        <v>789751.23065569031</v>
      </c>
      <c r="J6" s="303">
        <f>I6*B2+I6</f>
        <v>808705.26019142685</v>
      </c>
      <c r="K6" s="303">
        <f>J6*B2+J6</f>
        <v>828114.18643602112</v>
      </c>
      <c r="L6" s="303">
        <f>K6*B2+K6</f>
        <v>847988.92691048561</v>
      </c>
      <c r="M6" s="371">
        <f>L6*B2+L6</f>
        <v>868340.66115633724</v>
      </c>
      <c r="N6" s="368">
        <f>M6*B2+M6</f>
        <v>889180.8370240893</v>
      </c>
      <c r="O6" s="303">
        <f>N6*B2+N6</f>
        <v>910521.17711266747</v>
      </c>
      <c r="P6" s="303">
        <f>O6*B2+O6</f>
        <v>932373.68536337151</v>
      </c>
      <c r="Q6" s="303">
        <f>P6*B2+P6</f>
        <v>954750.65381209238</v>
      </c>
      <c r="R6" s="371">
        <f>Q6*B2+Q6</f>
        <v>977664.66950358264</v>
      </c>
      <c r="S6" s="368">
        <f>R6*B2+R6</f>
        <v>1001128.6215716687</v>
      </c>
      <c r="T6" s="303">
        <f>S6*B2+S6</f>
        <v>1025155.7084893887</v>
      </c>
      <c r="U6" s="303">
        <f>T6*B2+T6</f>
        <v>1049759.445493134</v>
      </c>
      <c r="V6" s="303">
        <f>U6*B2+U6</f>
        <v>1074953.6721849693</v>
      </c>
      <c r="W6" s="371">
        <f>V6*B2+V6</f>
        <v>1100752.5603174085</v>
      </c>
      <c r="X6" s="368">
        <f>W6*B2+W6</f>
        <v>1127170.6217650264</v>
      </c>
      <c r="Y6" s="303">
        <f>X6*B2+X6</f>
        <v>1154222.7166873871</v>
      </c>
      <c r="Z6" s="303">
        <f>Y6*B2+Y6</f>
        <v>1181924.0618878843</v>
      </c>
      <c r="AA6" s="303">
        <f>Z6*B2+Z6</f>
        <v>1210290.2393731936</v>
      </c>
      <c r="AB6" s="303">
        <f>AA6*B2+AA6</f>
        <v>1239337.2051181502</v>
      </c>
    </row>
    <row r="7" spans="1:28" s="155" customFormat="1" x14ac:dyDescent="0.2">
      <c r="A7" s="323" t="s">
        <v>245</v>
      </c>
      <c r="B7" s="298">
        <f>D7/' Exemple avec SCHL'!B18</f>
        <v>7.6708863719751316E-2</v>
      </c>
      <c r="C7" s="154"/>
      <c r="D7" s="304">
        <f>'Financement avec SCHL'!E28</f>
        <v>13136.392912007412</v>
      </c>
      <c r="E7" s="304">
        <f>'Financement avec SCHL'!E41</f>
        <v>13600.189684256971</v>
      </c>
      <c r="F7" s="304">
        <f>'Financement avec SCHL'!E54</f>
        <v>14080.361381296771</v>
      </c>
      <c r="G7" s="304">
        <f>'Financement avec SCHL'!E67</f>
        <v>14577.486140315181</v>
      </c>
      <c r="H7" s="372">
        <f>'Financement avec SCHL'!E80</f>
        <v>15092.162510356686</v>
      </c>
      <c r="I7" s="369">
        <f>'Financement avec SCHL'!E93</f>
        <v>15625.010172987964</v>
      </c>
      <c r="J7" s="304">
        <f>'Financement avec SCHL'!E106</f>
        <v>16176.670688408023</v>
      </c>
      <c r="K7" s="304">
        <f>'Financement avec SCHL'!E119</f>
        <v>16747.808267900629</v>
      </c>
      <c r="L7" s="304">
        <f>'Financement avec SCHL'!E132</f>
        <v>17339.110573559192</v>
      </c>
      <c r="M7" s="372">
        <f>'Financement avec SCHL'!E145</f>
        <v>17951.289546246924</v>
      </c>
      <c r="N7" s="369">
        <f>'Financement avec SCHL'!E158</f>
        <v>18585.082262789099</v>
      </c>
      <c r="O7" s="304">
        <f>'Financement avec SCHL'!E171</f>
        <v>19241.251823429699</v>
      </c>
      <c r="P7" s="304">
        <f>'Financement avec SCHL'!E184</f>
        <v>19920.588270620661</v>
      </c>
      <c r="Q7" s="304">
        <f>'Financement avec SCHL'!E197</f>
        <v>20623.909540250264</v>
      </c>
      <c r="R7" s="372">
        <f>'Financement avec SCHL'!E210</f>
        <v>21352.062446455722</v>
      </c>
      <c r="S7" s="369">
        <f>'Financement avec SCHL'!E223</f>
        <v>22105.923701205898</v>
      </c>
      <c r="T7" s="304">
        <f>'Financement avec SCHL'!E236</f>
        <v>22886.400969881604</v>
      </c>
      <c r="U7" s="304">
        <f>'Financement avec SCHL'!E249</f>
        <v>23694.433964124488</v>
      </c>
      <c r="V7" s="304">
        <f>'Financement avec SCHL'!E262</f>
        <v>24530.995573270357</v>
      </c>
      <c r="W7" s="372">
        <f>'Financement avec SCHL'!E275</f>
        <v>25397.093035729133</v>
      </c>
      <c r="X7" s="369">
        <f>'Financement avec SCHL'!E288</f>
        <v>26293.769151721852</v>
      </c>
      <c r="Y7" s="304">
        <f>'Financement avec SCHL'!E301</f>
        <v>27222.103538834828</v>
      </c>
      <c r="Z7" s="304">
        <f>'Financement avec SCHL'!E314</f>
        <v>28183.213931902814</v>
      </c>
      <c r="AA7" s="304">
        <f>'Financement avec SCHL'!E327</f>
        <v>29178.25752878606</v>
      </c>
      <c r="AB7" s="304">
        <f>'Financement avec SCHL'!E340</f>
        <v>30208.432383661806</v>
      </c>
    </row>
    <row r="8" spans="1:28" s="155" customFormat="1" x14ac:dyDescent="0.2">
      <c r="A8" s="323" t="s">
        <v>251</v>
      </c>
      <c r="B8" s="298">
        <f>C4/(C4+D18+E18+F18+G18+H18+I18+J18+K18+L18+M18+N18+O18+P18+Q18+R18+S18+T18+U18+V18+W18+X18+Y18+Z18+AA18+AB18)</f>
        <v>0.66764097869242978</v>
      </c>
      <c r="C8" s="154"/>
      <c r="D8" s="303">
        <f>D7</f>
        <v>13136.392912007412</v>
      </c>
      <c r="E8" s="303">
        <f>D7+E7</f>
        <v>26736.582596264383</v>
      </c>
      <c r="F8" s="303">
        <f t="shared" ref="F8:AB8" si="0">E8+F7</f>
        <v>40816.943977561154</v>
      </c>
      <c r="G8" s="303">
        <f t="shared" si="0"/>
        <v>55394.430117876334</v>
      </c>
      <c r="H8" s="371">
        <f t="shared" si="0"/>
        <v>70486.592628233018</v>
      </c>
      <c r="I8" s="368">
        <f t="shared" si="0"/>
        <v>86111.602801220986</v>
      </c>
      <c r="J8" s="303">
        <f t="shared" si="0"/>
        <v>102288.27348962901</v>
      </c>
      <c r="K8" s="303">
        <f t="shared" si="0"/>
        <v>119036.08175752964</v>
      </c>
      <c r="L8" s="303">
        <f t="shared" si="0"/>
        <v>136375.19233108882</v>
      </c>
      <c r="M8" s="371">
        <f t="shared" si="0"/>
        <v>154326.48187733575</v>
      </c>
      <c r="N8" s="368">
        <f t="shared" si="0"/>
        <v>172911.56414012486</v>
      </c>
      <c r="O8" s="303">
        <f t="shared" si="0"/>
        <v>192152.81596355455</v>
      </c>
      <c r="P8" s="303">
        <f t="shared" si="0"/>
        <v>212073.40423417522</v>
      </c>
      <c r="Q8" s="303">
        <f t="shared" si="0"/>
        <v>232697.31377442548</v>
      </c>
      <c r="R8" s="371">
        <f t="shared" si="0"/>
        <v>254049.37622088121</v>
      </c>
      <c r="S8" s="368">
        <f t="shared" si="0"/>
        <v>276155.29992208711</v>
      </c>
      <c r="T8" s="303">
        <f t="shared" si="0"/>
        <v>299041.70089196874</v>
      </c>
      <c r="U8" s="303">
        <f t="shared" si="0"/>
        <v>322736.13485609321</v>
      </c>
      <c r="V8" s="303">
        <f t="shared" si="0"/>
        <v>347267.13042936358</v>
      </c>
      <c r="W8" s="371">
        <f t="shared" si="0"/>
        <v>372664.22346509271</v>
      </c>
      <c r="X8" s="368">
        <f t="shared" si="0"/>
        <v>398957.99261681456</v>
      </c>
      <c r="Y8" s="303">
        <f t="shared" si="0"/>
        <v>426180.0961556494</v>
      </c>
      <c r="Z8" s="303">
        <f t="shared" si="0"/>
        <v>454363.31008755224</v>
      </c>
      <c r="AA8" s="303">
        <f t="shared" si="0"/>
        <v>483541.56761633832</v>
      </c>
      <c r="AB8" s="303">
        <f t="shared" si="0"/>
        <v>513750.00000000012</v>
      </c>
    </row>
    <row r="9" spans="1:28" s="155" customFormat="1" x14ac:dyDescent="0.2">
      <c r="A9" s="327" t="s">
        <v>271</v>
      </c>
      <c r="B9" s="348"/>
      <c r="C9" s="190"/>
      <c r="D9" s="303">
        <f>D24+'Financement avec SCHL'!E28+('Flux financier avec SCHL'!D6-'Flux financier avec SCHL'!C20)</f>
        <v>23335.049921606347</v>
      </c>
      <c r="E9" s="303">
        <f>E24+'Financement avec SCHL'!E41+('Flux financier avec SCHL'!E6-'Flux financier avec SCHL'!D6)</f>
        <v>25841.944445855966</v>
      </c>
      <c r="F9" s="303">
        <f>F24+'Financement avec SCHL'!E54+('Flux financier avec SCHL'!F6-'Flux financier avec SCHL'!E6)</f>
        <v>27354.638640943715</v>
      </c>
      <c r="G9" s="303">
        <f>G24+'Financement avec SCHL'!E67+('Flux financier avec SCHL'!G6-'Flux financier avec SCHL'!F6)</f>
        <v>28909.066437963316</v>
      </c>
      <c r="H9" s="371">
        <f>H24+'Financement avec SCHL'!E80+('Flux financier avec SCHL'!H6-'Flux financier avec SCHL'!G6)</f>
        <v>30506.421118917962</v>
      </c>
      <c r="I9" s="368">
        <f>I24+'Financement avec SCHL'!E93+('Flux financier avec SCHL'!I6-'Flux financier avec SCHL'!H6)</f>
        <v>32147.931371924326</v>
      </c>
      <c r="J9" s="303">
        <f>J24+'Financement avec SCHL'!E106+('Flux financier avec SCHL'!J6-'Flux financier avec SCHL'!I6)</f>
        <v>33834.862379888451</v>
      </c>
      <c r="K9" s="303">
        <f>K24+'Financement avec SCHL'!E119+('Flux financier avec SCHL'!K6-'Flux financier avec SCHL'!J6)</f>
        <v>35568.516943746276</v>
      </c>
      <c r="L9" s="303">
        <f>L24+'Financement avec SCHL'!E132+('Flux financier avec SCHL'!L6-'Flux financier avec SCHL'!K6)</f>
        <v>37350.236641394717</v>
      </c>
      <c r="M9" s="371">
        <f>M24+'Financement avec SCHL'!E145+('Flux financier avec SCHL'!M6-'Flux financier avec SCHL'!L6)</f>
        <v>39181.403023480125</v>
      </c>
      <c r="N9" s="368">
        <f>N24+'Financement avec SCHL'!E158+('Flux financier avec SCHL'!N6-'Flux financier avec SCHL'!M6)</f>
        <v>41063.438847245503</v>
      </c>
      <c r="O9" s="303">
        <f>O24+'Financement avec SCHL'!E171+('Flux financier avec SCHL'!O6-'Flux financier avec SCHL'!N6)</f>
        <v>42997.80934968275</v>
      </c>
      <c r="P9" s="303">
        <f>P24+'Financement avec SCHL'!E184+('Flux financier avec SCHL'!P6-'Flux financier avec SCHL'!O6)</f>
        <v>44986.023561273403</v>
      </c>
      <c r="Q9" s="303">
        <f>Q24+'Financement avec SCHL'!E197+('Flux financier avec SCHL'!Q6-'Flux financier avec SCHL'!P6)</f>
        <v>47029.635661648237</v>
      </c>
      <c r="R9" s="371">
        <f>R24+'Financement avec SCHL'!E210+('Flux financier avec SCHL'!R6-'Flux financier avec SCHL'!Q6)</f>
        <v>49130.246378536962</v>
      </c>
      <c r="S9" s="368">
        <f>S24+'Financement avec SCHL'!E223+('Flux financier avec SCHL'!S6-'Flux financier avec SCHL'!R6)</f>
        <v>51289.504431426714</v>
      </c>
      <c r="T9" s="303">
        <f>T24+'Financement avec SCHL'!E236+('Flux financier avec SCHL'!T6-'Flux financier avec SCHL'!S6)</f>
        <v>53509.108021397289</v>
      </c>
      <c r="U9" s="303">
        <f>U24+'Financement avec SCHL'!E249+('Flux financier avec SCHL'!U6-'Flux financier avec SCHL'!T6)</f>
        <v>55790.806368646139</v>
      </c>
      <c r="V9" s="303">
        <f>V24+'Financement avec SCHL'!E262+('Flux financier avec SCHL'!V6-'Flux financier avec SCHL'!U6)</f>
        <v>58136.401299270306</v>
      </c>
      <c r="W9" s="371">
        <f>W24+'Financement avec SCHL'!E275+('Flux financier avec SCHL'!W6-'Flux financier avec SCHL'!V6)</f>
        <v>60547.748882922577</v>
      </c>
      <c r="X9" s="368">
        <f>X24+'Financement avec SCHL'!E288+('Flux financier avec SCHL'!X6-'Flux financier avec SCHL'!W6)</f>
        <v>63026.761123017612</v>
      </c>
      <c r="Y9" s="303">
        <f>Y24+'Financement avec SCHL'!E301+('Flux financier avec SCHL'!Y6-'Flux financier avec SCHL'!X6)</f>
        <v>65575.407701211385</v>
      </c>
      <c r="Z9" s="303">
        <f>Z24+'Financement avec SCHL'!E314+('Flux financier avec SCHL'!Z6-'Flux financier avec SCHL'!Y6)</f>
        <v>68195.717777945829</v>
      </c>
      <c r="AA9" s="303">
        <f>AA24+'Financement avec SCHL'!E327+('Flux financier avec SCHL'!AA6-'Flux financier avec SCHL'!Z6)</f>
        <v>70889.781850903935</v>
      </c>
      <c r="AB9" s="303">
        <f>AB24+'Financement avec SCHL'!E340+('Flux financier avec SCHL'!AB6-'Flux financier avec SCHL'!AA6)</f>
        <v>73659.753673279978</v>
      </c>
    </row>
    <row r="10" spans="1:28" s="155" customFormat="1" x14ac:dyDescent="0.2">
      <c r="A10" s="326" t="s">
        <v>173</v>
      </c>
      <c r="B10" s="348"/>
      <c r="C10" s="154"/>
      <c r="D10" s="303">
        <f>(D6*' Exemple avec SCHL'!B14)-'Financement avec SCHL'!C27</f>
        <v>25466.392912007403</v>
      </c>
      <c r="E10" s="303">
        <f>(E6*' Exemple avec SCHL'!B14)-'Financement avec SCHL'!C40</f>
        <v>51692.502596264356</v>
      </c>
      <c r="F10" s="303">
        <f>(F6*' Exemple avec SCHL'!B14)-'Financement avec SCHL'!C53</f>
        <v>78701.806057561247</v>
      </c>
      <c r="G10" s="303">
        <f>(G6*' Exemple avec SCHL'!B14)-'Financement avec SCHL'!C66</f>
        <v>106518.52888779639</v>
      </c>
      <c r="H10" s="371">
        <f>(H6*' Exemple avec SCHL'!B14)-'Financement avec SCHL'!C79</f>
        <v>135167.66976863117</v>
      </c>
      <c r="I10" s="368">
        <f>(I6*' Exemple avec SCHL'!B14)-'Financement avec SCHL'!C92</f>
        <v>164675.02579298866</v>
      </c>
      <c r="J10" s="303">
        <f>(J6*' Exemple avec SCHL'!B14)-'Financement avec SCHL'!C105</f>
        <v>195067.21863319911</v>
      </c>
      <c r="K10" s="303">
        <f>(K6*' Exemple avec SCHL'!B14)-'Financement avec SCHL'!C118</f>
        <v>226371.72158454533</v>
      </c>
      <c r="L10" s="303">
        <f>(L6*' Exemple avec SCHL'!B14)-'Financement avec SCHL'!C131</f>
        <v>258616.88751395285</v>
      </c>
      <c r="M10" s="372">
        <f>(M6*' Exemple avec SCHL'!B14)-'Financement avec SCHL'!C144</f>
        <v>291831.97774458863</v>
      </c>
      <c r="N10" s="369">
        <f>(N6*' Exemple avec SCHL'!B14)-'Financement avec SCHL'!C157</f>
        <v>326047.19190819171</v>
      </c>
      <c r="O10" s="304">
        <f>(O6*' Exemple avec SCHL'!B14)-'Financement avec SCHL'!C170</f>
        <v>361293.69879805518</v>
      </c>
      <c r="P10" s="304">
        <f>(P6*' Exemple avec SCHL'!B14)-'Financement avec SCHL'!C183</f>
        <v>397603.66825670388</v>
      </c>
      <c r="Q10" s="304">
        <f>(Q6*' Exemple avec SCHL'!B14)-'Financement avec SCHL'!C196</f>
        <v>435010.30413349473</v>
      </c>
      <c r="R10" s="372">
        <f>(R6*' Exemple avec SCHL'!B14)-'Financement avec SCHL'!C209</f>
        <v>473547.87834856811</v>
      </c>
      <c r="S10" s="369">
        <f>(S6*' Exemple avec SCHL'!B14)-'Financement avec SCHL'!C222</f>
        <v>513251.76610083855</v>
      </c>
      <c r="T10" s="304">
        <f>(T6*' Exemple avec SCHL'!B14)-'Financement avec SCHL'!C235</f>
        <v>554158.48225901008</v>
      </c>
      <c r="U10" s="304">
        <f>(U6*' Exemple avec SCHL'!B14)-'Financement avec SCHL'!C248</f>
        <v>596305.71897594375</v>
      </c>
      <c r="V10" s="304">
        <f>(V6*' Exemple avec SCHL'!B14)-'Financement avec SCHL'!C261</f>
        <v>639732.38456809055</v>
      </c>
      <c r="W10" s="372">
        <f>(W6*' Exemple avec SCHL'!B14)-'Financement avec SCHL'!C274</f>
        <v>684478.64370314917</v>
      </c>
      <c r="X10" s="369">
        <f>(X6*' Exemple avec SCHL'!B14)-'Financement avec SCHL'!C287</f>
        <v>730585.95894058421</v>
      </c>
      <c r="Y10" s="304">
        <f>(Y6*' Exemple avec SCHL'!B14)-'Financement avec SCHL'!C300</f>
        <v>778097.13367118966</v>
      </c>
      <c r="Z10" s="304">
        <f>(Z6*' Exemple avec SCHL'!B14)-'Financement avec SCHL'!C313</f>
        <v>827056.35650346533</v>
      </c>
      <c r="AA10" s="304">
        <f>(AA6*' Exemple avec SCHL'!B14)-'Financement avec SCHL'!C326</f>
        <v>877509.24714623333</v>
      </c>
      <c r="AB10" s="304">
        <f>(AB6*' Exemple avec SCHL'!B14)-'Financement avec SCHL'!C339</f>
        <v>929502.9038386126</v>
      </c>
    </row>
    <row r="11" spans="1:28" s="158" customFormat="1" ht="15.75" x14ac:dyDescent="0.2">
      <c r="A11" s="328" t="s">
        <v>174</v>
      </c>
      <c r="B11" s="432"/>
      <c r="C11" s="352">
        <f>C4</f>
        <v>513750</v>
      </c>
      <c r="D11" s="157">
        <f t="shared" ref="D11:AB11" si="1">D3</f>
        <v>50666.400000000001</v>
      </c>
      <c r="E11" s="157">
        <f t="shared" si="1"/>
        <v>51882.393600000003</v>
      </c>
      <c r="F11" s="157">
        <f t="shared" si="1"/>
        <v>53127.5710464</v>
      </c>
      <c r="G11" s="157">
        <f t="shared" si="1"/>
        <v>54402.6327515136</v>
      </c>
      <c r="H11" s="373">
        <f t="shared" si="1"/>
        <v>55708.295937549927</v>
      </c>
      <c r="I11" s="370">
        <f t="shared" si="1"/>
        <v>57045.295040051125</v>
      </c>
      <c r="J11" s="157">
        <f t="shared" si="1"/>
        <v>58414.38212101235</v>
      </c>
      <c r="K11" s="157">
        <f t="shared" si="1"/>
        <v>59816.327291916648</v>
      </c>
      <c r="L11" s="157">
        <f t="shared" si="1"/>
        <v>61251.91914692265</v>
      </c>
      <c r="M11" s="373">
        <f t="shared" si="1"/>
        <v>62721.965206448796</v>
      </c>
      <c r="N11" s="370">
        <f t="shared" si="1"/>
        <v>64227.292371403564</v>
      </c>
      <c r="O11" s="157">
        <f t="shared" si="1"/>
        <v>65768.74738831725</v>
      </c>
      <c r="P11" s="157">
        <f t="shared" si="1"/>
        <v>67347.197325636866</v>
      </c>
      <c r="Q11" s="157">
        <f t="shared" si="1"/>
        <v>68963.530061452155</v>
      </c>
      <c r="R11" s="373">
        <f t="shared" si="1"/>
        <v>70618.654782927013</v>
      </c>
      <c r="S11" s="370">
        <f t="shared" si="1"/>
        <v>72313.502497717258</v>
      </c>
      <c r="T11" s="157">
        <f t="shared" si="1"/>
        <v>74049.026557662466</v>
      </c>
      <c r="U11" s="157">
        <f t="shared" si="1"/>
        <v>75826.203195046372</v>
      </c>
      <c r="V11" s="157">
        <f t="shared" si="1"/>
        <v>77646.032071727488</v>
      </c>
      <c r="W11" s="373">
        <f t="shared" si="1"/>
        <v>79509.536841448949</v>
      </c>
      <c r="X11" s="370">
        <f t="shared" si="1"/>
        <v>81417.765725643723</v>
      </c>
      <c r="Y11" s="157">
        <f t="shared" si="1"/>
        <v>83371.792103059168</v>
      </c>
      <c r="Z11" s="157">
        <f t="shared" si="1"/>
        <v>85372.715113532584</v>
      </c>
      <c r="AA11" s="157">
        <f t="shared" si="1"/>
        <v>87421.66027625736</v>
      </c>
      <c r="AB11" s="157">
        <f t="shared" si="1"/>
        <v>89519.780122887532</v>
      </c>
    </row>
    <row r="12" spans="1:28" s="159" customFormat="1" x14ac:dyDescent="0.2">
      <c r="A12" s="246"/>
      <c r="B12" s="246"/>
      <c r="C12" s="246"/>
      <c r="D12" s="246"/>
      <c r="E12" s="246"/>
      <c r="F12" s="246"/>
      <c r="G12" s="246"/>
      <c r="H12" s="246"/>
      <c r="I12" s="246"/>
      <c r="J12" s="246"/>
      <c r="K12" s="246"/>
      <c r="L12" s="246"/>
      <c r="M12" s="246"/>
      <c r="N12" s="246"/>
      <c r="O12" s="246"/>
      <c r="P12" s="246"/>
      <c r="Q12" s="246"/>
      <c r="R12" s="246"/>
      <c r="S12" s="246"/>
      <c r="T12" s="246"/>
      <c r="U12" s="246"/>
      <c r="V12" s="246"/>
      <c r="W12" s="246"/>
      <c r="X12" s="246"/>
      <c r="Y12" s="246"/>
      <c r="Z12" s="246"/>
      <c r="AA12" s="246"/>
      <c r="AB12" s="246"/>
    </row>
    <row r="13" spans="1:28" s="245" customFormat="1" ht="15.75" x14ac:dyDescent="0.25">
      <c r="A13" s="330" t="s">
        <v>218</v>
      </c>
      <c r="B13" s="170"/>
      <c r="C13" s="168"/>
      <c r="D13" s="168"/>
      <c r="E13" s="168"/>
      <c r="F13" s="168"/>
      <c r="G13" s="168"/>
      <c r="H13" s="168"/>
      <c r="I13" s="168"/>
      <c r="J13" s="168"/>
      <c r="K13" s="168"/>
      <c r="L13" s="168"/>
      <c r="M13" s="168"/>
      <c r="N13" s="168"/>
      <c r="O13" s="168"/>
      <c r="P13" s="168"/>
      <c r="Q13" s="168"/>
      <c r="R13" s="168"/>
      <c r="S13" s="168"/>
      <c r="T13" s="168"/>
      <c r="U13" s="168"/>
      <c r="V13" s="168"/>
      <c r="W13" s="168"/>
      <c r="X13" s="168"/>
      <c r="Y13" s="168"/>
      <c r="Z13" s="168"/>
      <c r="AA13" s="168"/>
      <c r="AB13" s="331"/>
    </row>
    <row r="14" spans="1:28" s="155" customFormat="1" x14ac:dyDescent="0.2">
      <c r="A14" s="329" t="s">
        <v>269</v>
      </c>
      <c r="B14" s="334"/>
      <c r="C14" s="307">
        <f>D14+E14+F14+G14+H14+I14+J14+K14+L14+M14+N14+O14+P14+Q14+R14+S14+T14+U14+V14+W14+X14+Y14+Z14+AA14+AB14</f>
        <v>675263.37122287508</v>
      </c>
      <c r="D14" s="332">
        <f>SUM(' Exemple avec SCHL'!E10:E18)+SUM(' Exemple avec SCHL'!E21:E37)</f>
        <v>20026.311999999998</v>
      </c>
      <c r="E14" s="332">
        <f>D14*B2+'Flux financier avec SCHL'!D14</f>
        <v>20506.943487999997</v>
      </c>
      <c r="F14" s="332">
        <f>E14*B2+'Flux financier avec SCHL'!E14</f>
        <v>20999.110131711997</v>
      </c>
      <c r="G14" s="332">
        <f>F14*B2+'Flux financier avec SCHL'!F14</f>
        <v>21503.088774873086</v>
      </c>
      <c r="H14" s="372">
        <f>G14*B2+'Flux financier avec SCHL'!G14</f>
        <v>22019.162905470039</v>
      </c>
      <c r="I14" s="384">
        <f>H14*B2+'Flux financier avec SCHL'!H14</f>
        <v>22547.622815201321</v>
      </c>
      <c r="J14" s="332">
        <f>I14*B2+'Flux financier avec SCHL'!I14</f>
        <v>23088.765762766154</v>
      </c>
      <c r="K14" s="332">
        <f>J14*B2+'Flux financier avec SCHL'!J14</f>
        <v>23642.896141072542</v>
      </c>
      <c r="L14" s="332">
        <f>K14*B2+'Flux financier avec SCHL'!K14</f>
        <v>24210.325648458282</v>
      </c>
      <c r="M14" s="372">
        <f>L14*B2+'Flux financier avec SCHL'!L14</f>
        <v>24791.373464021279</v>
      </c>
      <c r="N14" s="384">
        <f>M14*B2+'Flux financier avec SCHL'!M14</f>
        <v>25386.366427157791</v>
      </c>
      <c r="O14" s="332">
        <f>N14*B2+'Flux financier avec SCHL'!N14</f>
        <v>25995.639221409579</v>
      </c>
      <c r="P14" s="332">
        <f>O14*B2+'Flux financier avec SCHL'!O14</f>
        <v>26619.534562723409</v>
      </c>
      <c r="Q14" s="332">
        <f>P14*B2+'Flux financier avec SCHL'!P14</f>
        <v>27258.403392228771</v>
      </c>
      <c r="R14" s="372">
        <f>Q14*B2+'Flux financier avec SCHL'!Q14</f>
        <v>27912.605073642262</v>
      </c>
      <c r="S14" s="384">
        <f>R14*B2+'Flux financier avec SCHL'!R14</f>
        <v>28582.507595409676</v>
      </c>
      <c r="T14" s="332">
        <f>S14*B2+'Flux financier avec SCHL'!S14</f>
        <v>29268.487777699509</v>
      </c>
      <c r="U14" s="332">
        <f>T14*B2+'Flux financier avec SCHL'!T14</f>
        <v>29970.931484364297</v>
      </c>
      <c r="V14" s="332">
        <f>U14*B2+'Flux financier avec SCHL'!U14</f>
        <v>30690.23383998904</v>
      </c>
      <c r="W14" s="372">
        <f>V14*B2+'Flux financier avec SCHL'!V14</f>
        <v>31426.799452148778</v>
      </c>
      <c r="X14" s="384">
        <f>W14*B2+'Flux financier avec SCHL'!W14</f>
        <v>32181.042639000349</v>
      </c>
      <c r="Y14" s="332">
        <f>X14*B2+'Flux financier avec SCHL'!X14</f>
        <v>32953.387662336354</v>
      </c>
      <c r="Z14" s="332">
        <f>Y14*B2+'Flux financier avec SCHL'!Y14</f>
        <v>33744.268966232426</v>
      </c>
      <c r="AA14" s="332">
        <f>Z14*B2+'Flux financier avec SCHL'!Z14</f>
        <v>34554.131421422004</v>
      </c>
      <c r="AB14" s="332">
        <f>AA14*B2+'Flux financier avec SCHL'!AA14</f>
        <v>35383.430575536135</v>
      </c>
    </row>
    <row r="15" spans="1:28" s="155" customFormat="1" x14ac:dyDescent="0.2">
      <c r="A15" s="324" t="s">
        <v>270</v>
      </c>
      <c r="B15" s="334"/>
      <c r="C15" s="307">
        <f>D15+E15+F15+G15+H15+I15+J15+K15+L15+M15+N15+O15+P15+Q15+R15+S15+T15+U15+V15+W15+X15+Y15+Z15+AA15+AB15</f>
        <v>170841.06185765349</v>
      </c>
      <c r="D15" s="304">
        <f>' Exemple avec SCHL'!E19</f>
        <v>5066.6400000000003</v>
      </c>
      <c r="E15" s="304">
        <f>B2*'Flux financier avec SCHL'!D15+'Flux financier avec SCHL'!D15</f>
        <v>5188.2393600000005</v>
      </c>
      <c r="F15" s="304">
        <f>B2*'Flux financier avec SCHL'!E15+'Flux financier avec SCHL'!E15</f>
        <v>5312.7571046400008</v>
      </c>
      <c r="G15" s="304">
        <f>B2*'Flux financier avec SCHL'!F15+'Flux financier avec SCHL'!F15</f>
        <v>5440.2632751513611</v>
      </c>
      <c r="H15" s="372">
        <f>B2*'Flux financier avec SCHL'!G15+'Flux financier avec SCHL'!G15</f>
        <v>5570.8295937549938</v>
      </c>
      <c r="I15" s="369">
        <f>B2*'Flux financier avec SCHL'!H15+'Flux financier avec SCHL'!H15</f>
        <v>5704.5295040051133</v>
      </c>
      <c r="J15" s="304">
        <f>B2*'Flux financier avec SCHL'!I15+'Flux financier avec SCHL'!I15</f>
        <v>5841.4382121012359</v>
      </c>
      <c r="K15" s="304">
        <f>B2*'Flux financier avec SCHL'!J15+'Flux financier avec SCHL'!J15</f>
        <v>5981.6327291916659</v>
      </c>
      <c r="L15" s="304">
        <f>B2*'Flux financier avec SCHL'!K15+'Flux financier avec SCHL'!K15</f>
        <v>6125.1919146922655</v>
      </c>
      <c r="M15" s="372">
        <f>B2*'Flux financier avec SCHL'!L15+'Flux financier avec SCHL'!L15</f>
        <v>6272.1965206448804</v>
      </c>
      <c r="N15" s="369">
        <f>B2*'Flux financier avec SCHL'!M15+'Flux financier avec SCHL'!M15</f>
        <v>6422.7292371403573</v>
      </c>
      <c r="O15" s="304">
        <f>B2*'Flux financier avec SCHL'!N15+'Flux financier avec SCHL'!N15</f>
        <v>6576.8747388317261</v>
      </c>
      <c r="P15" s="304">
        <f>B2*'Flux financier avec SCHL'!O15+'Flux financier avec SCHL'!O15</f>
        <v>6734.7197325636871</v>
      </c>
      <c r="Q15" s="304">
        <f>B2*'Flux financier avec SCHL'!P15+'Flux financier avec SCHL'!P15</f>
        <v>6896.3530061452157</v>
      </c>
      <c r="R15" s="372">
        <f>B2*'Flux financier avec SCHL'!Q15+'Flux financier avec SCHL'!Q15</f>
        <v>7061.8654782927006</v>
      </c>
      <c r="S15" s="369">
        <f>B2*'Flux financier avec SCHL'!R15+'Flux financier avec SCHL'!R15</f>
        <v>7231.3502497717254</v>
      </c>
      <c r="T15" s="304">
        <f>B2*'Flux financier avec SCHL'!S15+'Flux financier avec SCHL'!S15</f>
        <v>7404.9026557662464</v>
      </c>
      <c r="U15" s="304">
        <f>B2*'Flux financier avec SCHL'!T15+'Flux financier avec SCHL'!T15</f>
        <v>7582.6203195046364</v>
      </c>
      <c r="V15" s="304">
        <f>B2*'Flux financier avec SCHL'!U15+'Flux financier avec SCHL'!U15</f>
        <v>7764.6032071727477</v>
      </c>
      <c r="W15" s="372">
        <f>B2*'Flux financier avec SCHL'!V15+'Flux financier avec SCHL'!V15</f>
        <v>7950.9536841448935</v>
      </c>
      <c r="X15" s="369">
        <f>B2*'Flux financier avec SCHL'!W15+'Flux financier avec SCHL'!W15</f>
        <v>8141.7765725643712</v>
      </c>
      <c r="Y15" s="304">
        <f>B2*'Flux financier avec SCHL'!X15+'Flux financier avec SCHL'!X15</f>
        <v>8337.1792103059161</v>
      </c>
      <c r="Z15" s="304">
        <f>B2*'Flux financier avec SCHL'!Y15+'Flux financier avec SCHL'!Y15</f>
        <v>8537.2715113532577</v>
      </c>
      <c r="AA15" s="304">
        <f>B2*'Flux financier avec SCHL'!Z15+'Flux financier avec SCHL'!Z15</f>
        <v>8742.1660276257353</v>
      </c>
      <c r="AB15" s="304">
        <f>B2*'Flux financier avec SCHL'!AA15+'Flux financier avec SCHL'!AA15</f>
        <v>8951.9780122887532</v>
      </c>
    </row>
    <row r="16" spans="1:28" s="155" customFormat="1" x14ac:dyDescent="0.2">
      <c r="A16" s="323" t="s">
        <v>175</v>
      </c>
      <c r="B16" s="334"/>
      <c r="C16" s="307">
        <f>D16+E16+F16+G16+H16+I16+J16+K16+L16+M16+N16+O16+P16+Q16+R16+S16+T16+U16+V16+W16+X16+Y16+Z16+AA16+AB16</f>
        <v>846104.43308052851</v>
      </c>
      <c r="D16" s="303">
        <f>D14+D15</f>
        <v>25092.951999999997</v>
      </c>
      <c r="E16" s="303">
        <f t="shared" ref="E16:AB16" si="2">E14+E15</f>
        <v>25695.182847999997</v>
      </c>
      <c r="F16" s="303">
        <f t="shared" si="2"/>
        <v>26311.867236351998</v>
      </c>
      <c r="G16" s="303">
        <f t="shared" si="2"/>
        <v>26943.352050024449</v>
      </c>
      <c r="H16" s="371">
        <f>H14+H15</f>
        <v>27589.992499225031</v>
      </c>
      <c r="I16" s="368">
        <f t="shared" si="2"/>
        <v>28252.152319206434</v>
      </c>
      <c r="J16" s="303">
        <f t="shared" si="2"/>
        <v>28930.203974867389</v>
      </c>
      <c r="K16" s="303">
        <f t="shared" si="2"/>
        <v>29624.528870264206</v>
      </c>
      <c r="L16" s="303">
        <f t="shared" si="2"/>
        <v>30335.517563150548</v>
      </c>
      <c r="M16" s="371">
        <f t="shared" si="2"/>
        <v>31063.569984666159</v>
      </c>
      <c r="N16" s="368">
        <f t="shared" si="2"/>
        <v>31809.095664298147</v>
      </c>
      <c r="O16" s="303">
        <f t="shared" si="2"/>
        <v>32572.513960241304</v>
      </c>
      <c r="P16" s="303">
        <f t="shared" si="2"/>
        <v>33354.254295287094</v>
      </c>
      <c r="Q16" s="303">
        <f t="shared" si="2"/>
        <v>34154.756398373989</v>
      </c>
      <c r="R16" s="371">
        <f t="shared" si="2"/>
        <v>34974.470551934966</v>
      </c>
      <c r="S16" s="368">
        <f t="shared" si="2"/>
        <v>35813.857845181403</v>
      </c>
      <c r="T16" s="303">
        <f t="shared" si="2"/>
        <v>36673.390433465756</v>
      </c>
      <c r="U16" s="303">
        <f t="shared" si="2"/>
        <v>37553.551803868933</v>
      </c>
      <c r="V16" s="303">
        <f t="shared" si="2"/>
        <v>38454.837047161789</v>
      </c>
      <c r="W16" s="371">
        <f t="shared" si="2"/>
        <v>39377.753136293672</v>
      </c>
      <c r="X16" s="368">
        <f t="shared" si="2"/>
        <v>40322.819211564718</v>
      </c>
      <c r="Y16" s="303">
        <f t="shared" si="2"/>
        <v>41290.566872642274</v>
      </c>
      <c r="Z16" s="303">
        <f t="shared" si="2"/>
        <v>42281.540477585688</v>
      </c>
      <c r="AA16" s="303">
        <f t="shared" si="2"/>
        <v>43296.297449047735</v>
      </c>
      <c r="AB16" s="303">
        <f t="shared" si="2"/>
        <v>44335.408587824888</v>
      </c>
    </row>
    <row r="17" spans="1:28" s="155" customFormat="1" x14ac:dyDescent="0.2">
      <c r="A17" s="323" t="s">
        <v>243</v>
      </c>
      <c r="B17" s="334"/>
      <c r="C17" s="304">
        <f>' Exemple avec SCHL'!H34+' Exemple avec SCHL'!H35+' Exemple avec SCHL'!H39+' Exemple avec SCHL'!H40+' Exemple avec SCHL'!H42+' Exemple avec SCHL'!H43+' Exemple avec SCHL'!H44+' Exemple avec SCHL'!H45+' Exemple avec SCHL'!H46+' Exemple avec SCHL'!H47+' Exemple avec SCHL'!H48+' Exemple avec SCHL'!H49</f>
        <v>11645</v>
      </c>
      <c r="D17" s="340"/>
      <c r="E17" s="340"/>
      <c r="F17" s="340"/>
      <c r="G17" s="340"/>
      <c r="H17" s="340"/>
      <c r="I17" s="340"/>
      <c r="J17" s="340"/>
      <c r="K17" s="340"/>
      <c r="L17" s="340"/>
      <c r="M17" s="340"/>
      <c r="N17" s="340"/>
      <c r="O17" s="340"/>
      <c r="P17" s="340"/>
      <c r="Q17" s="340"/>
      <c r="R17" s="340"/>
      <c r="S17" s="340"/>
      <c r="T17" s="340"/>
      <c r="U17" s="340"/>
      <c r="V17" s="340"/>
      <c r="W17" s="340"/>
      <c r="X17" s="340"/>
      <c r="Y17" s="340"/>
      <c r="Z17" s="340"/>
      <c r="AA17" s="340"/>
      <c r="AB17" s="340"/>
    </row>
    <row r="18" spans="1:28" s="155" customFormat="1" x14ac:dyDescent="0.2">
      <c r="A18" s="323" t="s">
        <v>244</v>
      </c>
      <c r="B18" s="298">
        <f>C18/C4</f>
        <v>0.49781099709980869</v>
      </c>
      <c r="C18" s="304">
        <f>D18+E18+F18+G18+H18+I18+J18+K18+L18+M18+N18+O18+P18+Q18+R18+S18+T18+U18+V18+W18+X18+Y18+Z18+AA18+AB18</f>
        <v>255750.39976002672</v>
      </c>
      <c r="D18" s="332">
        <f>'Financement avec SCHL'!D28</f>
        <v>17643.623078393655</v>
      </c>
      <c r="E18" s="332">
        <f>'Financement avec SCHL'!D41</f>
        <v>17179.826306144096</v>
      </c>
      <c r="F18" s="332">
        <f>'Financement avec SCHL'!D54</f>
        <v>16699.654609104295</v>
      </c>
      <c r="G18" s="332">
        <f>'Financement avec SCHL'!D67</f>
        <v>16202.529850085888</v>
      </c>
      <c r="H18" s="372">
        <f>'Financement avec SCHL'!D80</f>
        <v>15687.853480044383</v>
      </c>
      <c r="I18" s="384">
        <f>'Financement avec SCHL'!D93</f>
        <v>15155.005817413103</v>
      </c>
      <c r="J18" s="332">
        <f>'Financement avec SCHL'!D106</f>
        <v>14603.345301993048</v>
      </c>
      <c r="K18" s="332">
        <f>'Financement avec SCHL'!D119</f>
        <v>14032.207722500438</v>
      </c>
      <c r="L18" s="332">
        <f>'Financement avec SCHL'!D132</f>
        <v>13440.905416841873</v>
      </c>
      <c r="M18" s="372">
        <f>'Financement avec SCHL'!D145</f>
        <v>12828.72644415415</v>
      </c>
      <c r="N18" s="384">
        <f>'Financement avec SCHL'!D158</f>
        <v>12194.933727611968</v>
      </c>
      <c r="O18" s="332">
        <f>'Financement avec SCHL'!D171</f>
        <v>11538.764166971368</v>
      </c>
      <c r="P18" s="332">
        <f>'Financement avec SCHL'!D184</f>
        <v>10859.427719780406</v>
      </c>
      <c r="Q18" s="332">
        <f>'Financement avec SCHL'!D197</f>
        <v>10156.106450150804</v>
      </c>
      <c r="R18" s="372">
        <f>'Financement avec SCHL'!D210</f>
        <v>9427.953543945343</v>
      </c>
      <c r="S18" s="384">
        <f>'Financement avec SCHL'!D223</f>
        <v>8674.092289195165</v>
      </c>
      <c r="T18" s="332">
        <f>'Financement avec SCHL'!D236</f>
        <v>7893.6150205194635</v>
      </c>
      <c r="U18" s="332">
        <f>'Financement avec SCHL'!D249</f>
        <v>7085.5820262765792</v>
      </c>
      <c r="V18" s="332">
        <f>'Financement avec SCHL'!D262</f>
        <v>6249.0204171307096</v>
      </c>
      <c r="W18" s="372">
        <f>'Financement avec SCHL'!D275</f>
        <v>5382.9229546719325</v>
      </c>
      <c r="X18" s="384">
        <f>'Financement avec SCHL'!D288</f>
        <v>4486.2468386792207</v>
      </c>
      <c r="Y18" s="332">
        <f>'Financement avec SCHL'!D301</f>
        <v>3557.9124515662406</v>
      </c>
      <c r="Z18" s="332">
        <f>'Financement avec SCHL'!D314</f>
        <v>2596.8020584982523</v>
      </c>
      <c r="AA18" s="332">
        <f>'Financement avec SCHL'!D327</f>
        <v>1601.7584616150079</v>
      </c>
      <c r="AB18" s="332">
        <f>'Financement avec SCHL'!D340</f>
        <v>571.58360673930474</v>
      </c>
    </row>
    <row r="19" spans="1:28" s="155" customFormat="1" x14ac:dyDescent="0.2">
      <c r="A19" s="323" t="s">
        <v>176</v>
      </c>
      <c r="B19" s="334"/>
      <c r="C19" s="304">
        <f>' Exemple avec SCHL'!H36+' Exemple avec SCHL'!H37+' Exemple avec SCHL'!H38+' Exemple avec SCHL'!H41</f>
        <v>1034.7750000000001</v>
      </c>
      <c r="D19" s="340"/>
      <c r="E19" s="340"/>
      <c r="F19" s="340"/>
      <c r="G19" s="340"/>
      <c r="H19" s="340"/>
      <c r="I19" s="340"/>
      <c r="J19" s="340"/>
      <c r="K19" s="340"/>
      <c r="L19" s="340"/>
      <c r="M19" s="340"/>
      <c r="N19" s="340"/>
      <c r="O19" s="340"/>
      <c r="P19" s="340"/>
      <c r="Q19" s="340"/>
      <c r="R19" s="340"/>
      <c r="S19" s="340"/>
      <c r="T19" s="340"/>
      <c r="U19" s="340"/>
      <c r="V19" s="340"/>
      <c r="W19" s="340"/>
      <c r="X19" s="340"/>
      <c r="Y19" s="340"/>
      <c r="Z19" s="340"/>
      <c r="AA19" s="340"/>
      <c r="AB19" s="340"/>
    </row>
    <row r="20" spans="1:28" s="155" customFormat="1" x14ac:dyDescent="0.2">
      <c r="A20" s="323" t="s">
        <v>177</v>
      </c>
      <c r="B20" s="334"/>
      <c r="C20" s="304">
        <f>' Exemple avec SCHL'!B16</f>
        <v>685000</v>
      </c>
      <c r="D20" s="340"/>
      <c r="E20" s="340"/>
      <c r="F20" s="340"/>
      <c r="G20" s="340"/>
      <c r="H20" s="340"/>
      <c r="I20" s="340"/>
      <c r="J20" s="340"/>
      <c r="K20" s="340"/>
      <c r="L20" s="340"/>
      <c r="M20" s="340"/>
      <c r="N20" s="340"/>
      <c r="O20" s="340"/>
      <c r="P20" s="340"/>
      <c r="Q20" s="340"/>
      <c r="R20" s="340"/>
      <c r="S20" s="340"/>
      <c r="T20" s="340"/>
      <c r="U20" s="340"/>
      <c r="V20" s="340"/>
      <c r="W20" s="340"/>
      <c r="X20" s="340"/>
      <c r="Y20" s="340"/>
      <c r="Z20" s="340"/>
      <c r="AA20" s="340"/>
      <c r="AB20" s="340"/>
    </row>
    <row r="21" spans="1:28" s="155" customFormat="1" x14ac:dyDescent="0.2">
      <c r="A21" s="323" t="s">
        <v>275</v>
      </c>
      <c r="B21" s="334"/>
      <c r="C21" s="304">
        <f>' Exemple avec SCHL'!B20</f>
        <v>0</v>
      </c>
      <c r="D21" s="340"/>
      <c r="E21" s="340"/>
      <c r="F21" s="340"/>
      <c r="G21" s="340"/>
      <c r="H21" s="340"/>
      <c r="I21" s="340"/>
      <c r="J21" s="340"/>
      <c r="K21" s="340"/>
      <c r="L21" s="340"/>
      <c r="M21" s="340"/>
      <c r="N21" s="340"/>
      <c r="O21" s="340"/>
      <c r="P21" s="340"/>
      <c r="Q21" s="340"/>
      <c r="R21" s="340"/>
      <c r="S21" s="340"/>
      <c r="T21" s="340"/>
      <c r="U21" s="340"/>
      <c r="V21" s="340"/>
      <c r="W21" s="340"/>
      <c r="X21" s="340"/>
      <c r="Y21" s="340"/>
      <c r="Z21" s="340"/>
      <c r="AA21" s="340"/>
      <c r="AB21" s="340"/>
    </row>
    <row r="22" spans="1:28" s="158" customFormat="1" ht="15.75" x14ac:dyDescent="0.2">
      <c r="A22" s="325" t="s">
        <v>179</v>
      </c>
      <c r="B22" s="256"/>
      <c r="C22" s="149">
        <f>C17+C19+C20+C21</f>
        <v>697679.77500000002</v>
      </c>
      <c r="D22" s="351">
        <f>D16+D18+C19+D7</f>
        <v>56907.742990401064</v>
      </c>
      <c r="E22" s="351">
        <f t="shared" ref="E22:AB22" si="3">E16+E18+E7</f>
        <v>56475.198838401062</v>
      </c>
      <c r="F22" s="351">
        <f t="shared" si="3"/>
        <v>57091.883226753067</v>
      </c>
      <c r="G22" s="351">
        <f t="shared" si="3"/>
        <v>57723.368040425521</v>
      </c>
      <c r="H22" s="379">
        <f t="shared" si="3"/>
        <v>58370.008489626096</v>
      </c>
      <c r="I22" s="385">
        <f t="shared" si="3"/>
        <v>59032.168309607499</v>
      </c>
      <c r="J22" s="351">
        <f t="shared" si="3"/>
        <v>59710.219965268465</v>
      </c>
      <c r="K22" s="351">
        <f t="shared" si="3"/>
        <v>60404.544860665279</v>
      </c>
      <c r="L22" s="351">
        <f t="shared" si="3"/>
        <v>61115.533553551613</v>
      </c>
      <c r="M22" s="379">
        <f t="shared" si="3"/>
        <v>61843.585975067232</v>
      </c>
      <c r="N22" s="385">
        <f t="shared" si="3"/>
        <v>62589.111654699213</v>
      </c>
      <c r="O22" s="351">
        <f t="shared" si="3"/>
        <v>63352.529950642376</v>
      </c>
      <c r="P22" s="351">
        <f t="shared" si="3"/>
        <v>64134.270285688159</v>
      </c>
      <c r="Q22" s="351">
        <f t="shared" si="3"/>
        <v>64934.772388775054</v>
      </c>
      <c r="R22" s="379">
        <f t="shared" si="3"/>
        <v>65754.486542336032</v>
      </c>
      <c r="S22" s="385">
        <f t="shared" si="3"/>
        <v>66593.873835582461</v>
      </c>
      <c r="T22" s="351">
        <f t="shared" si="3"/>
        <v>67453.406423866822</v>
      </c>
      <c r="U22" s="351">
        <f t="shared" si="3"/>
        <v>68333.567794269999</v>
      </c>
      <c r="V22" s="351">
        <f t="shared" si="3"/>
        <v>69234.853037562862</v>
      </c>
      <c r="W22" s="379">
        <f t="shared" si="3"/>
        <v>70157.769126694737</v>
      </c>
      <c r="X22" s="385">
        <f t="shared" si="3"/>
        <v>71102.83520196579</v>
      </c>
      <c r="Y22" s="351">
        <f t="shared" si="3"/>
        <v>72070.582863043339</v>
      </c>
      <c r="Z22" s="351">
        <f t="shared" si="3"/>
        <v>73061.556467986753</v>
      </c>
      <c r="AA22" s="351">
        <f t="shared" si="3"/>
        <v>74076.313439448801</v>
      </c>
      <c r="AB22" s="351">
        <f t="shared" si="3"/>
        <v>75115.424578225997</v>
      </c>
    </row>
    <row r="23" spans="1:28" s="159" customFormat="1" x14ac:dyDescent="0.2">
      <c r="A23" s="251"/>
      <c r="B23" s="251"/>
      <c r="C23" s="251"/>
      <c r="D23" s="251"/>
      <c r="E23" s="251"/>
      <c r="F23" s="251"/>
      <c r="G23" s="251"/>
      <c r="H23" s="251"/>
      <c r="I23" s="251"/>
      <c r="J23" s="251"/>
      <c r="K23" s="251"/>
      <c r="L23" s="251"/>
      <c r="M23" s="251"/>
      <c r="N23" s="251"/>
      <c r="O23" s="251"/>
      <c r="P23" s="251"/>
      <c r="Q23" s="251"/>
      <c r="R23" s="251"/>
      <c r="S23" s="251"/>
      <c r="T23" s="251"/>
      <c r="U23" s="251"/>
      <c r="V23" s="251"/>
      <c r="W23" s="251"/>
      <c r="X23" s="251"/>
      <c r="Y23" s="251"/>
      <c r="Z23" s="251"/>
      <c r="AA23" s="251"/>
      <c r="AB23" s="251"/>
    </row>
    <row r="24" spans="1:28" s="162" customFormat="1" ht="15.75" x14ac:dyDescent="0.2">
      <c r="A24" s="343" t="s">
        <v>180</v>
      </c>
      <c r="B24" s="350"/>
      <c r="C24" s="310">
        <f t="shared" ref="C24:AB24" si="4">C11-C22</f>
        <v>-183929.77500000002</v>
      </c>
      <c r="D24" s="310">
        <f t="shared" si="4"/>
        <v>-6241.3429904010627</v>
      </c>
      <c r="E24" s="310">
        <f t="shared" si="4"/>
        <v>-4592.8052384010589</v>
      </c>
      <c r="F24" s="310">
        <f t="shared" si="4"/>
        <v>-3964.3121803530667</v>
      </c>
      <c r="G24" s="310">
        <f t="shared" si="4"/>
        <v>-3320.7352889119211</v>
      </c>
      <c r="H24" s="380">
        <f t="shared" si="4"/>
        <v>-2661.7125520761692</v>
      </c>
      <c r="I24" s="375">
        <f t="shared" si="4"/>
        <v>-1986.873269556374</v>
      </c>
      <c r="J24" s="310">
        <f t="shared" si="4"/>
        <v>-1295.8378442561152</v>
      </c>
      <c r="K24" s="310">
        <f t="shared" si="4"/>
        <v>-588.21756874863058</v>
      </c>
      <c r="L24" s="310">
        <f t="shared" si="4"/>
        <v>136.38559337103652</v>
      </c>
      <c r="M24" s="380">
        <f t="shared" si="4"/>
        <v>878.37923138156475</v>
      </c>
      <c r="N24" s="375">
        <f t="shared" si="4"/>
        <v>1638.1807167043517</v>
      </c>
      <c r="O24" s="310">
        <f t="shared" si="4"/>
        <v>2416.2174376748735</v>
      </c>
      <c r="P24" s="310">
        <f t="shared" si="4"/>
        <v>3212.9270399487068</v>
      </c>
      <c r="Q24" s="310">
        <f t="shared" si="4"/>
        <v>4028.7576726771003</v>
      </c>
      <c r="R24" s="380">
        <f t="shared" si="4"/>
        <v>4864.1682405909814</v>
      </c>
      <c r="S24" s="375">
        <f t="shared" si="4"/>
        <v>5719.6286621347972</v>
      </c>
      <c r="T24" s="310">
        <f t="shared" si="4"/>
        <v>6595.6201337956445</v>
      </c>
      <c r="U24" s="310">
        <f t="shared" si="4"/>
        <v>7492.635400776373</v>
      </c>
      <c r="V24" s="310">
        <f t="shared" si="4"/>
        <v>8411.1790341646265</v>
      </c>
      <c r="W24" s="380">
        <f t="shared" si="4"/>
        <v>9351.7677147542126</v>
      </c>
      <c r="X24" s="375">
        <f t="shared" si="4"/>
        <v>10314.930523677933</v>
      </c>
      <c r="Y24" s="310">
        <f t="shared" si="4"/>
        <v>11301.209240015829</v>
      </c>
      <c r="Z24" s="310">
        <f t="shared" si="4"/>
        <v>12311.158645545831</v>
      </c>
      <c r="AA24" s="310">
        <f t="shared" si="4"/>
        <v>13345.34683680856</v>
      </c>
      <c r="AB24" s="310">
        <f t="shared" si="4"/>
        <v>14404.355544661536</v>
      </c>
    </row>
    <row r="25" spans="1:28" s="162" customFormat="1" ht="15.75" x14ac:dyDescent="0.2">
      <c r="A25" s="344" t="s">
        <v>181</v>
      </c>
      <c r="B25" s="350"/>
      <c r="C25" s="154"/>
      <c r="D25" s="311">
        <f t="shared" ref="D25:AB25" si="5">D24-D32</f>
        <v>-6241.3429904010627</v>
      </c>
      <c r="E25" s="311">
        <f t="shared" si="5"/>
        <v>-4592.8052384010589</v>
      </c>
      <c r="F25" s="311">
        <f t="shared" si="5"/>
        <v>-3964.3121803530667</v>
      </c>
      <c r="G25" s="311">
        <f t="shared" si="5"/>
        <v>-3320.7352889119211</v>
      </c>
      <c r="H25" s="381">
        <f t="shared" si="5"/>
        <v>-2661.7125520761692</v>
      </c>
      <c r="I25" s="376">
        <f t="shared" si="5"/>
        <v>-1986.873269556374</v>
      </c>
      <c r="J25" s="311">
        <f t="shared" si="5"/>
        <v>-1295.8378442561152</v>
      </c>
      <c r="K25" s="311">
        <f t="shared" si="5"/>
        <v>-588.21756874863058</v>
      </c>
      <c r="L25" s="311">
        <f t="shared" si="5"/>
        <v>95.469915359725576</v>
      </c>
      <c r="M25" s="381">
        <f t="shared" si="5"/>
        <v>614.86546196709537</v>
      </c>
      <c r="N25" s="376">
        <f t="shared" si="5"/>
        <v>1146.7265016930462</v>
      </c>
      <c r="O25" s="311">
        <f t="shared" si="5"/>
        <v>1691.3522063724115</v>
      </c>
      <c r="P25" s="311">
        <f t="shared" si="5"/>
        <v>2249.0489279640947</v>
      </c>
      <c r="Q25" s="311">
        <f t="shared" si="5"/>
        <v>2820.1303708739706</v>
      </c>
      <c r="R25" s="381">
        <f t="shared" si="5"/>
        <v>3404.9177684136871</v>
      </c>
      <c r="S25" s="376">
        <f t="shared" si="5"/>
        <v>4003.7400634943579</v>
      </c>
      <c r="T25" s="311">
        <f t="shared" si="5"/>
        <v>4616.9340936569515</v>
      </c>
      <c r="U25" s="311">
        <f t="shared" si="5"/>
        <v>5244.8447805434607</v>
      </c>
      <c r="V25" s="311">
        <f t="shared" si="5"/>
        <v>5887.8253239152382</v>
      </c>
      <c r="W25" s="381">
        <f t="shared" si="5"/>
        <v>6546.2374003279492</v>
      </c>
      <c r="X25" s="376">
        <f t="shared" si="5"/>
        <v>7220.4513665745526</v>
      </c>
      <c r="Y25" s="311">
        <f t="shared" si="5"/>
        <v>7910.846468011081</v>
      </c>
      <c r="Z25" s="311">
        <f t="shared" si="5"/>
        <v>8617.8110518820813</v>
      </c>
      <c r="AA25" s="311">
        <f t="shared" si="5"/>
        <v>9341.7427857659914</v>
      </c>
      <c r="AB25" s="311">
        <f t="shared" si="5"/>
        <v>10083.048881263076</v>
      </c>
    </row>
    <row r="26" spans="1:28" s="163" customFormat="1" ht="12.75" customHeight="1" x14ac:dyDescent="0.25">
      <c r="A26" s="247"/>
      <c r="B26" s="247"/>
      <c r="C26" s="355"/>
      <c r="D26" s="247"/>
      <c r="E26" s="247"/>
      <c r="F26" s="247"/>
      <c r="G26" s="247"/>
      <c r="H26" s="247"/>
      <c r="I26" s="247"/>
      <c r="J26" s="247"/>
      <c r="K26" s="247"/>
      <c r="L26" s="247"/>
      <c r="M26" s="247"/>
      <c r="N26" s="247"/>
      <c r="O26" s="247"/>
      <c r="P26" s="247"/>
      <c r="Q26" s="247"/>
      <c r="R26" s="247"/>
      <c r="S26" s="247"/>
      <c r="T26" s="247"/>
      <c r="U26" s="247"/>
      <c r="V26" s="247"/>
      <c r="W26" s="247"/>
      <c r="X26" s="247"/>
      <c r="Y26" s="247"/>
      <c r="Z26" s="247"/>
      <c r="AA26" s="247"/>
      <c r="AB26" s="247"/>
    </row>
    <row r="27" spans="1:28" s="162" customFormat="1" ht="15.75" x14ac:dyDescent="0.2">
      <c r="A27" s="164" t="s">
        <v>182</v>
      </c>
      <c r="B27" s="242"/>
      <c r="C27" s="165"/>
      <c r="D27" s="165"/>
      <c r="E27" s="165"/>
      <c r="F27" s="165"/>
      <c r="G27" s="165"/>
      <c r="H27" s="165"/>
      <c r="I27" s="165"/>
      <c r="J27" s="165"/>
      <c r="K27" s="165"/>
      <c r="L27" s="165"/>
      <c r="M27" s="165"/>
      <c r="N27" s="165"/>
      <c r="O27" s="165"/>
      <c r="P27" s="165"/>
      <c r="Q27" s="165"/>
      <c r="R27" s="165"/>
      <c r="S27" s="165"/>
      <c r="T27" s="165"/>
      <c r="U27" s="165"/>
      <c r="V27" s="165"/>
      <c r="W27" s="165"/>
      <c r="X27" s="165"/>
      <c r="Y27" s="165"/>
      <c r="Z27" s="165"/>
      <c r="AA27" s="165"/>
      <c r="AB27" s="166"/>
    </row>
    <row r="28" spans="1:28" s="155" customFormat="1" x14ac:dyDescent="0.2">
      <c r="A28" s="323" t="s">
        <v>183</v>
      </c>
      <c r="B28" s="334"/>
      <c r="C28" s="357"/>
      <c r="D28" s="308">
        <f t="shared" ref="D28:S28" si="6">D11-(D16+D18)</f>
        <v>7929.8249216063487</v>
      </c>
      <c r="E28" s="308">
        <f t="shared" si="6"/>
        <v>9007.3844458559106</v>
      </c>
      <c r="F28" s="308">
        <f t="shared" si="6"/>
        <v>10116.049200943708</v>
      </c>
      <c r="G28" s="308">
        <f t="shared" si="6"/>
        <v>11256.75085140326</v>
      </c>
      <c r="H28" s="382">
        <f t="shared" si="6"/>
        <v>12430.449958280515</v>
      </c>
      <c r="I28" s="377">
        <f t="shared" si="6"/>
        <v>13638.136903431587</v>
      </c>
      <c r="J28" s="308">
        <f t="shared" si="6"/>
        <v>14880.832844151912</v>
      </c>
      <c r="K28" s="308">
        <f t="shared" si="6"/>
        <v>16159.590699152002</v>
      </c>
      <c r="L28" s="308">
        <f t="shared" si="6"/>
        <v>17475.496166930228</v>
      </c>
      <c r="M28" s="382">
        <f t="shared" si="6"/>
        <v>18829.668777628489</v>
      </c>
      <c r="N28" s="377">
        <f t="shared" si="6"/>
        <v>20223.262979493447</v>
      </c>
      <c r="O28" s="308">
        <f t="shared" si="6"/>
        <v>21657.469261104576</v>
      </c>
      <c r="P28" s="308">
        <f t="shared" si="6"/>
        <v>23133.515310569368</v>
      </c>
      <c r="Q28" s="308">
        <f t="shared" si="6"/>
        <v>24652.667212927365</v>
      </c>
      <c r="R28" s="382">
        <f t="shared" si="6"/>
        <v>26216.2306870467</v>
      </c>
      <c r="S28" s="377">
        <f t="shared" si="6"/>
        <v>27825.552363340692</v>
      </c>
      <c r="T28" s="308">
        <f>T11-(T812+T18)</f>
        <v>66155.411537143009</v>
      </c>
      <c r="U28" s="308">
        <f t="shared" ref="U28:AB28" si="7">U11-(U16+U18)</f>
        <v>31187.069364900861</v>
      </c>
      <c r="V28" s="308">
        <f t="shared" si="7"/>
        <v>32942.174607434987</v>
      </c>
      <c r="W28" s="382">
        <f t="shared" si="7"/>
        <v>34748.860750483349</v>
      </c>
      <c r="X28" s="377">
        <f t="shared" si="7"/>
        <v>36608.699675399781</v>
      </c>
      <c r="Y28" s="308">
        <f t="shared" si="7"/>
        <v>38523.312778850654</v>
      </c>
      <c r="Z28" s="308">
        <f t="shared" si="7"/>
        <v>40494.372577448645</v>
      </c>
      <c r="AA28" s="308">
        <f t="shared" si="7"/>
        <v>42523.60436559462</v>
      </c>
      <c r="AB28" s="308">
        <f t="shared" si="7"/>
        <v>44612.787928323341</v>
      </c>
    </row>
    <row r="29" spans="1:28" s="155" customFormat="1" x14ac:dyDescent="0.2">
      <c r="A29" s="323" t="s">
        <v>222</v>
      </c>
      <c r="B29" s="334"/>
      <c r="C29" s="357"/>
      <c r="D29" s="308">
        <f t="shared" ref="D29:AB29" si="8">D40</f>
        <v>0</v>
      </c>
      <c r="E29" s="308">
        <f t="shared" si="8"/>
        <v>0</v>
      </c>
      <c r="F29" s="308">
        <f t="shared" si="8"/>
        <v>0</v>
      </c>
      <c r="G29" s="308">
        <f t="shared" si="8"/>
        <v>0</v>
      </c>
      <c r="H29" s="382">
        <f t="shared" si="8"/>
        <v>0</v>
      </c>
      <c r="I29" s="377">
        <f t="shared" si="8"/>
        <v>0</v>
      </c>
      <c r="J29" s="308">
        <f t="shared" si="8"/>
        <v>0</v>
      </c>
      <c r="K29" s="308">
        <f t="shared" si="8"/>
        <v>0</v>
      </c>
      <c r="L29" s="308">
        <f t="shared" si="8"/>
        <v>0</v>
      </c>
      <c r="M29" s="382">
        <f t="shared" si="8"/>
        <v>0</v>
      </c>
      <c r="N29" s="377">
        <f t="shared" si="8"/>
        <v>0</v>
      </c>
      <c r="O29" s="308">
        <f t="shared" si="8"/>
        <v>0</v>
      </c>
      <c r="P29" s="308">
        <f t="shared" si="8"/>
        <v>0</v>
      </c>
      <c r="Q29" s="308">
        <f t="shared" si="8"/>
        <v>0</v>
      </c>
      <c r="R29" s="382">
        <f t="shared" si="8"/>
        <v>0</v>
      </c>
      <c r="S29" s="377">
        <f t="shared" si="8"/>
        <v>0</v>
      </c>
      <c r="T29" s="308">
        <f t="shared" si="8"/>
        <v>0</v>
      </c>
      <c r="U29" s="308">
        <f t="shared" si="8"/>
        <v>0</v>
      </c>
      <c r="V29" s="308">
        <f t="shared" si="8"/>
        <v>0</v>
      </c>
      <c r="W29" s="382">
        <f t="shared" si="8"/>
        <v>0</v>
      </c>
      <c r="X29" s="377">
        <f t="shared" si="8"/>
        <v>0</v>
      </c>
      <c r="Y29" s="308">
        <f t="shared" si="8"/>
        <v>0</v>
      </c>
      <c r="Z29" s="308">
        <f t="shared" si="8"/>
        <v>0</v>
      </c>
      <c r="AA29" s="308">
        <f t="shared" si="8"/>
        <v>0</v>
      </c>
      <c r="AB29" s="308">
        <f t="shared" si="8"/>
        <v>0</v>
      </c>
    </row>
    <row r="30" spans="1:28" s="155" customFormat="1" x14ac:dyDescent="0.2">
      <c r="A30" s="323" t="s">
        <v>184</v>
      </c>
      <c r="B30" s="334"/>
      <c r="C30" s="357"/>
      <c r="D30" s="308">
        <f>D28-D29</f>
        <v>7929.8249216063487</v>
      </c>
      <c r="E30" s="308">
        <f>E28-E29</f>
        <v>9007.3844458559106</v>
      </c>
      <c r="F30" s="308">
        <f t="shared" ref="F30:AB30" si="9">F28-F29</f>
        <v>10116.049200943708</v>
      </c>
      <c r="G30" s="308">
        <f t="shared" si="9"/>
        <v>11256.75085140326</v>
      </c>
      <c r="H30" s="382">
        <f t="shared" si="9"/>
        <v>12430.449958280515</v>
      </c>
      <c r="I30" s="377">
        <f t="shared" si="9"/>
        <v>13638.136903431587</v>
      </c>
      <c r="J30" s="308">
        <f t="shared" si="9"/>
        <v>14880.832844151912</v>
      </c>
      <c r="K30" s="308">
        <f t="shared" si="9"/>
        <v>16159.590699152002</v>
      </c>
      <c r="L30" s="308">
        <f t="shared" si="9"/>
        <v>17475.496166930228</v>
      </c>
      <c r="M30" s="382">
        <f t="shared" si="9"/>
        <v>18829.668777628489</v>
      </c>
      <c r="N30" s="377">
        <f t="shared" si="9"/>
        <v>20223.262979493447</v>
      </c>
      <c r="O30" s="308">
        <f t="shared" si="9"/>
        <v>21657.469261104576</v>
      </c>
      <c r="P30" s="308">
        <f t="shared" si="9"/>
        <v>23133.515310569368</v>
      </c>
      <c r="Q30" s="308">
        <f t="shared" si="9"/>
        <v>24652.667212927365</v>
      </c>
      <c r="R30" s="382">
        <f t="shared" si="9"/>
        <v>26216.2306870467</v>
      </c>
      <c r="S30" s="377">
        <f t="shared" si="9"/>
        <v>27825.552363340692</v>
      </c>
      <c r="T30" s="308">
        <f t="shared" si="9"/>
        <v>66155.411537143009</v>
      </c>
      <c r="U30" s="308">
        <f t="shared" si="9"/>
        <v>31187.069364900861</v>
      </c>
      <c r="V30" s="308">
        <f t="shared" si="9"/>
        <v>32942.174607434987</v>
      </c>
      <c r="W30" s="382">
        <f t="shared" si="9"/>
        <v>34748.860750483349</v>
      </c>
      <c r="X30" s="377">
        <f t="shared" si="9"/>
        <v>36608.699675399781</v>
      </c>
      <c r="Y30" s="308">
        <f t="shared" si="9"/>
        <v>38523.312778850654</v>
      </c>
      <c r="Z30" s="308">
        <f t="shared" si="9"/>
        <v>40494.372577448645</v>
      </c>
      <c r="AA30" s="308">
        <f t="shared" si="9"/>
        <v>42523.60436559462</v>
      </c>
      <c r="AB30" s="308">
        <f t="shared" si="9"/>
        <v>44612.787928323341</v>
      </c>
    </row>
    <row r="31" spans="1:28" s="155" customFormat="1" x14ac:dyDescent="0.2">
      <c r="A31" s="323" t="s">
        <v>224</v>
      </c>
      <c r="B31" s="255"/>
      <c r="C31" s="353">
        <f>D31+E31+F31+G31+H31+I31+J31+K31+L31+M31+N31+O31+P31+Q31+R31+S31+T31+U31+V31+W31+X31+Y31+Z31+AA31+AB31</f>
        <v>-24651.836932704398</v>
      </c>
      <c r="D31" s="308">
        <f>IF(D25&gt;0,0,D25)</f>
        <v>-6241.3429904010627</v>
      </c>
      <c r="E31" s="308">
        <f>IF(E25&gt;0,0,E25)</f>
        <v>-4592.8052384010589</v>
      </c>
      <c r="F31" s="308">
        <f t="shared" ref="F31:AB31" si="10">IF(F25&gt;0,0,F25)</f>
        <v>-3964.3121803530667</v>
      </c>
      <c r="G31" s="308">
        <f t="shared" si="10"/>
        <v>-3320.7352889119211</v>
      </c>
      <c r="H31" s="382">
        <f t="shared" si="10"/>
        <v>-2661.7125520761692</v>
      </c>
      <c r="I31" s="377">
        <f t="shared" si="10"/>
        <v>-1986.873269556374</v>
      </c>
      <c r="J31" s="308">
        <f t="shared" si="10"/>
        <v>-1295.8378442561152</v>
      </c>
      <c r="K31" s="308">
        <f t="shared" si="10"/>
        <v>-588.21756874863058</v>
      </c>
      <c r="L31" s="308">
        <f t="shared" si="10"/>
        <v>0</v>
      </c>
      <c r="M31" s="382">
        <f t="shared" si="10"/>
        <v>0</v>
      </c>
      <c r="N31" s="377">
        <f t="shared" si="10"/>
        <v>0</v>
      </c>
      <c r="O31" s="308">
        <f t="shared" si="10"/>
        <v>0</v>
      </c>
      <c r="P31" s="308">
        <f t="shared" si="10"/>
        <v>0</v>
      </c>
      <c r="Q31" s="308">
        <f t="shared" si="10"/>
        <v>0</v>
      </c>
      <c r="R31" s="382">
        <f t="shared" si="10"/>
        <v>0</v>
      </c>
      <c r="S31" s="377">
        <f t="shared" si="10"/>
        <v>0</v>
      </c>
      <c r="T31" s="308">
        <f t="shared" si="10"/>
        <v>0</v>
      </c>
      <c r="U31" s="308">
        <f t="shared" si="10"/>
        <v>0</v>
      </c>
      <c r="V31" s="308">
        <f t="shared" si="10"/>
        <v>0</v>
      </c>
      <c r="W31" s="382">
        <f t="shared" si="10"/>
        <v>0</v>
      </c>
      <c r="X31" s="377">
        <f t="shared" si="10"/>
        <v>0</v>
      </c>
      <c r="Y31" s="308">
        <f t="shared" si="10"/>
        <v>0</v>
      </c>
      <c r="Z31" s="308">
        <f t="shared" si="10"/>
        <v>0</v>
      </c>
      <c r="AA31" s="308">
        <f t="shared" si="10"/>
        <v>0</v>
      </c>
      <c r="AB31" s="308">
        <f t="shared" si="10"/>
        <v>0</v>
      </c>
    </row>
    <row r="32" spans="1:28" s="155" customFormat="1" x14ac:dyDescent="0.2">
      <c r="A32" s="323" t="s">
        <v>286</v>
      </c>
      <c r="B32" s="281">
        <v>0.3</v>
      </c>
      <c r="C32" s="172"/>
      <c r="D32" s="308">
        <f t="shared" ref="D32:AB32" si="11">(IF(D24&lt;0,0,D24))*$B$32</f>
        <v>0</v>
      </c>
      <c r="E32" s="308">
        <f t="shared" si="11"/>
        <v>0</v>
      </c>
      <c r="F32" s="308">
        <f t="shared" si="11"/>
        <v>0</v>
      </c>
      <c r="G32" s="308">
        <f t="shared" si="11"/>
        <v>0</v>
      </c>
      <c r="H32" s="382">
        <f t="shared" si="11"/>
        <v>0</v>
      </c>
      <c r="I32" s="377">
        <f t="shared" si="11"/>
        <v>0</v>
      </c>
      <c r="J32" s="308">
        <f t="shared" si="11"/>
        <v>0</v>
      </c>
      <c r="K32" s="308">
        <f t="shared" si="11"/>
        <v>0</v>
      </c>
      <c r="L32" s="308">
        <f t="shared" si="11"/>
        <v>40.915678011310952</v>
      </c>
      <c r="M32" s="382">
        <f t="shared" si="11"/>
        <v>263.51376941446944</v>
      </c>
      <c r="N32" s="377">
        <f t="shared" si="11"/>
        <v>491.45421501130545</v>
      </c>
      <c r="O32" s="308">
        <f t="shared" si="11"/>
        <v>724.86523130246201</v>
      </c>
      <c r="P32" s="308">
        <f t="shared" si="11"/>
        <v>963.87811198461202</v>
      </c>
      <c r="Q32" s="308">
        <f t="shared" si="11"/>
        <v>1208.62730180313</v>
      </c>
      <c r="R32" s="382">
        <f t="shared" si="11"/>
        <v>1459.2504721772943</v>
      </c>
      <c r="S32" s="377">
        <f t="shared" si="11"/>
        <v>1715.8885986404391</v>
      </c>
      <c r="T32" s="308">
        <f t="shared" si="11"/>
        <v>1978.6860401386932</v>
      </c>
      <c r="U32" s="308">
        <f t="shared" si="11"/>
        <v>2247.7906202329118</v>
      </c>
      <c r="V32" s="308">
        <f t="shared" si="11"/>
        <v>2523.3537102493879</v>
      </c>
      <c r="W32" s="382">
        <f t="shared" si="11"/>
        <v>2805.5303144262639</v>
      </c>
      <c r="X32" s="377">
        <f t="shared" si="11"/>
        <v>3094.4791571033797</v>
      </c>
      <c r="Y32" s="308">
        <f t="shared" si="11"/>
        <v>3390.3627720047484</v>
      </c>
      <c r="Z32" s="308">
        <f t="shared" si="11"/>
        <v>3693.3475936637492</v>
      </c>
      <c r="AA32" s="308">
        <f t="shared" si="11"/>
        <v>4003.6040510425678</v>
      </c>
      <c r="AB32" s="308">
        <f t="shared" si="11"/>
        <v>4321.3066633984608</v>
      </c>
    </row>
    <row r="33" spans="1:28" s="162" customFormat="1" x14ac:dyDescent="0.2">
      <c r="A33" s="322" t="s">
        <v>284</v>
      </c>
      <c r="B33" s="321"/>
      <c r="C33" s="313">
        <f>(((C5-C20)/2)+(C41)-(C17-C31))</f>
        <v>240871.7656263707</v>
      </c>
      <c r="D33" s="321"/>
      <c r="E33" s="321"/>
      <c r="F33" s="321"/>
      <c r="G33" s="321"/>
      <c r="H33" s="321"/>
      <c r="I33" s="321"/>
      <c r="J33" s="321"/>
      <c r="K33" s="321"/>
      <c r="L33" s="321"/>
      <c r="M33" s="321"/>
      <c r="N33" s="321"/>
      <c r="O33" s="321"/>
      <c r="P33" s="321"/>
      <c r="Q33" s="321"/>
      <c r="R33" s="321"/>
      <c r="S33" s="321"/>
      <c r="T33" s="321"/>
      <c r="U33" s="321"/>
      <c r="V33" s="321"/>
      <c r="W33" s="321"/>
      <c r="X33" s="321"/>
      <c r="Y33" s="321"/>
      <c r="Z33" s="321"/>
      <c r="AA33" s="321"/>
      <c r="AB33" s="321"/>
    </row>
    <row r="34" spans="1:28" s="155" customFormat="1" x14ac:dyDescent="0.2">
      <c r="A34" s="322" t="s">
        <v>283</v>
      </c>
      <c r="B34" s="243">
        <v>0.5</v>
      </c>
      <c r="C34" s="313">
        <f>C33*B34</f>
        <v>120435.88281318535</v>
      </c>
      <c r="D34" s="321"/>
      <c r="E34" s="321"/>
      <c r="F34" s="321"/>
      <c r="G34" s="321"/>
      <c r="H34" s="321"/>
      <c r="I34" s="321"/>
      <c r="J34" s="321"/>
      <c r="K34" s="321"/>
      <c r="L34" s="321"/>
      <c r="M34" s="321"/>
      <c r="N34" s="321"/>
      <c r="O34" s="321"/>
      <c r="P34" s="321"/>
      <c r="Q34" s="321"/>
      <c r="R34" s="321"/>
      <c r="S34" s="321"/>
      <c r="T34" s="321"/>
      <c r="U34" s="321"/>
      <c r="V34" s="321"/>
      <c r="W34" s="321"/>
      <c r="X34" s="321"/>
      <c r="Y34" s="321"/>
      <c r="Z34" s="321"/>
      <c r="AA34" s="321"/>
      <c r="AB34" s="321"/>
    </row>
    <row r="35" spans="1:28" s="155" customFormat="1" x14ac:dyDescent="0.2">
      <c r="A35" s="322" t="s">
        <v>285</v>
      </c>
      <c r="B35" s="321"/>
      <c r="C35" s="346">
        <f>(((C5-C20)-C34))</f>
        <v>433901.32230496488</v>
      </c>
      <c r="D35" s="321"/>
      <c r="E35" s="321"/>
      <c r="F35" s="321"/>
      <c r="G35" s="321"/>
      <c r="H35" s="321"/>
      <c r="I35" s="321"/>
      <c r="J35" s="321"/>
      <c r="K35" s="321"/>
      <c r="L35" s="321"/>
      <c r="M35" s="321"/>
      <c r="N35" s="321"/>
      <c r="O35" s="321"/>
      <c r="P35" s="321"/>
      <c r="Q35" s="321"/>
      <c r="R35" s="321"/>
      <c r="S35" s="321"/>
      <c r="T35" s="321"/>
      <c r="U35" s="321"/>
      <c r="V35" s="321"/>
      <c r="W35" s="321"/>
      <c r="X35" s="321"/>
      <c r="Y35" s="321"/>
      <c r="Z35" s="321"/>
      <c r="AA35" s="321"/>
      <c r="AB35" s="321"/>
    </row>
    <row r="36" spans="1:28" s="155" customFormat="1" x14ac:dyDescent="0.2">
      <c r="A36" s="320"/>
      <c r="B36" s="320"/>
      <c r="C36" s="320"/>
      <c r="D36" s="320"/>
      <c r="E36" s="320"/>
      <c r="F36" s="320"/>
      <c r="G36" s="320"/>
      <c r="H36" s="320"/>
      <c r="I36" s="320"/>
      <c r="J36" s="320"/>
      <c r="K36" s="320"/>
      <c r="L36" s="320"/>
      <c r="M36" s="320"/>
      <c r="N36" s="320"/>
      <c r="O36" s="320"/>
      <c r="P36" s="320"/>
      <c r="Q36" s="320"/>
      <c r="R36" s="320"/>
      <c r="S36" s="320"/>
      <c r="T36" s="320"/>
      <c r="U36" s="320"/>
      <c r="V36" s="320"/>
      <c r="W36" s="320"/>
      <c r="X36" s="320"/>
      <c r="Y36" s="320"/>
      <c r="Z36" s="320"/>
      <c r="AA36" s="320"/>
      <c r="AB36" s="320"/>
    </row>
    <row r="37" spans="1:28" s="155" customFormat="1" ht="15.75" x14ac:dyDescent="0.2">
      <c r="A37" s="164" t="s">
        <v>47</v>
      </c>
      <c r="B37" s="242"/>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6"/>
    </row>
    <row r="38" spans="1:28" x14ac:dyDescent="0.2">
      <c r="A38" s="160" t="s">
        <v>185</v>
      </c>
      <c r="B38" s="334"/>
      <c r="C38" s="304">
        <f>' Exemple avec SCHL'!B48</f>
        <v>793000</v>
      </c>
      <c r="D38" s="304">
        <f>' Exemple avec SCHL'!E56</f>
        <v>793000</v>
      </c>
      <c r="E38" s="304">
        <f>' Exemple avec SCHL'!E57</f>
        <v>793000</v>
      </c>
      <c r="F38" s="304">
        <f>' Exemple avec SCHL'!E58</f>
        <v>793000</v>
      </c>
      <c r="G38" s="304">
        <f>' Exemple avec SCHL'!E59</f>
        <v>793000</v>
      </c>
      <c r="H38" s="372">
        <f>' Exemple avec SCHL'!E60</f>
        <v>793000</v>
      </c>
      <c r="I38" s="369">
        <f>' Exemple avec SCHL'!E61</f>
        <v>793000</v>
      </c>
      <c r="J38" s="304">
        <f>' Exemple avec SCHL'!E62</f>
        <v>793000</v>
      </c>
      <c r="K38" s="304">
        <f>' Exemple avec SCHL'!E63</f>
        <v>793000</v>
      </c>
      <c r="L38" s="304">
        <f>' Exemple avec SCHL'!E64</f>
        <v>793000</v>
      </c>
      <c r="M38" s="372">
        <f>' Exemple avec SCHL'!E65</f>
        <v>793000</v>
      </c>
      <c r="N38" s="369">
        <f>' Exemple avec SCHL'!E66</f>
        <v>793000</v>
      </c>
      <c r="O38" s="304">
        <f>' Exemple avec SCHL'!E67</f>
        <v>793000</v>
      </c>
      <c r="P38" s="304">
        <f>' Exemple avec SCHL'!E68</f>
        <v>793000</v>
      </c>
      <c r="Q38" s="304">
        <f>' Exemple avec SCHL'!E69</f>
        <v>793000</v>
      </c>
      <c r="R38" s="372">
        <f>' Exemple avec SCHL'!E70</f>
        <v>793000</v>
      </c>
      <c r="S38" s="369">
        <f>' Exemple avec SCHL'!E71</f>
        <v>793000</v>
      </c>
      <c r="T38" s="304">
        <f>' Exemple avec SCHL'!E72</f>
        <v>793000</v>
      </c>
      <c r="U38" s="304">
        <f>' Exemple avec SCHL'!E73</f>
        <v>793000</v>
      </c>
      <c r="V38" s="304">
        <f>' Exemple avec SCHL'!E74</f>
        <v>793000</v>
      </c>
      <c r="W38" s="372">
        <f>' Exemple avec SCHL'!E75</f>
        <v>793000</v>
      </c>
      <c r="X38" s="369">
        <f>' Exemple avec SCHL'!E76</f>
        <v>793000</v>
      </c>
      <c r="Y38" s="304">
        <f>' Exemple avec SCHL'!E77</f>
        <v>793000</v>
      </c>
      <c r="Z38" s="304">
        <f>' Exemple avec SCHL'!E78</f>
        <v>793000</v>
      </c>
      <c r="AA38" s="304">
        <f>' Exemple avec SCHL'!E79</f>
        <v>793000</v>
      </c>
      <c r="AB38" s="304">
        <f>' Exemple avec SCHL'!E80</f>
        <v>793000</v>
      </c>
    </row>
    <row r="39" spans="1:28" x14ac:dyDescent="0.2">
      <c r="A39" s="160" t="s">
        <v>178</v>
      </c>
      <c r="B39" s="334"/>
      <c r="C39" s="358"/>
      <c r="D39" s="304">
        <f>C21/5</f>
        <v>0</v>
      </c>
      <c r="E39" s="304">
        <f>C21/5</f>
        <v>0</v>
      </c>
      <c r="F39" s="304">
        <f>C21/5</f>
        <v>0</v>
      </c>
      <c r="G39" s="304">
        <f>C21/5</f>
        <v>0</v>
      </c>
      <c r="H39" s="372">
        <f>C21/5</f>
        <v>0</v>
      </c>
      <c r="I39" s="244"/>
      <c r="J39" s="340"/>
      <c r="K39" s="340"/>
      <c r="L39" s="340"/>
      <c r="M39" s="340"/>
      <c r="N39" s="340"/>
      <c r="O39" s="340"/>
      <c r="P39" s="340"/>
      <c r="Q39" s="340"/>
      <c r="R39" s="340"/>
      <c r="S39" s="340"/>
      <c r="T39" s="340"/>
      <c r="U39" s="340"/>
      <c r="V39" s="340"/>
      <c r="W39" s="340"/>
      <c r="X39" s="340"/>
      <c r="Y39" s="340"/>
      <c r="Z39" s="340"/>
      <c r="AA39" s="340"/>
      <c r="AB39" s="340"/>
    </row>
    <row r="40" spans="1:28" x14ac:dyDescent="0.2">
      <c r="A40" s="160" t="s">
        <v>221</v>
      </c>
      <c r="B40" s="334"/>
      <c r="C40" s="358"/>
      <c r="D40" s="309">
        <f>' Exemple avec SCHL'!D56</f>
        <v>0</v>
      </c>
      <c r="E40" s="309">
        <f>' Exemple avec SCHL'!D57</f>
        <v>0</v>
      </c>
      <c r="F40" s="309">
        <f>' Exemple avec SCHL'!D58</f>
        <v>0</v>
      </c>
      <c r="G40" s="309">
        <f>' Exemple avec SCHL'!D59</f>
        <v>0</v>
      </c>
      <c r="H40" s="383">
        <f>' Exemple avec SCHL'!D60</f>
        <v>0</v>
      </c>
      <c r="I40" s="386">
        <f>' Exemple avec SCHL'!D61</f>
        <v>0</v>
      </c>
      <c r="J40" s="354">
        <f>' Exemple avec SCHL'!D62</f>
        <v>0</v>
      </c>
      <c r="K40" s="354">
        <f>' Exemple avec SCHL'!D63</f>
        <v>0</v>
      </c>
      <c r="L40" s="354">
        <f>' Exemple avec SCHL'!D64</f>
        <v>0</v>
      </c>
      <c r="M40" s="383">
        <f>' Exemple avec SCHL'!D65</f>
        <v>0</v>
      </c>
      <c r="N40" s="386">
        <f>' Exemple avec SCHL'!D66</f>
        <v>0</v>
      </c>
      <c r="O40" s="354">
        <f>' Exemple avec SCHL'!D67</f>
        <v>0</v>
      </c>
      <c r="P40" s="354">
        <f>' Exemple avec SCHL'!D68</f>
        <v>0</v>
      </c>
      <c r="Q40" s="354">
        <f>' Exemple avec SCHL'!D69</f>
        <v>0</v>
      </c>
      <c r="R40" s="383">
        <f>' Exemple avec SCHL'!D70</f>
        <v>0</v>
      </c>
      <c r="S40" s="386">
        <f>' Exemple avec SCHL'!D71</f>
        <v>0</v>
      </c>
      <c r="T40" s="354">
        <f>' Exemple avec SCHL'!D72</f>
        <v>0</v>
      </c>
      <c r="U40" s="354">
        <f>' Exemple avec SCHL'!D73</f>
        <v>0</v>
      </c>
      <c r="V40" s="354">
        <f>' Exemple avec SCHL'!D74</f>
        <v>0</v>
      </c>
      <c r="W40" s="383">
        <f>' Exemple avec SCHL'!D75</f>
        <v>0</v>
      </c>
      <c r="X40" s="386">
        <f>' Exemple avec SCHL'!D76</f>
        <v>0</v>
      </c>
      <c r="Y40" s="354">
        <f>' Exemple avec SCHL'!D77</f>
        <v>0</v>
      </c>
      <c r="Z40" s="354">
        <f>' Exemple avec SCHL'!D78</f>
        <v>0</v>
      </c>
      <c r="AA40" s="354">
        <f>' Exemple avec SCHL'!D79</f>
        <v>0</v>
      </c>
      <c r="AB40" s="354">
        <f>' Exemple avec SCHL'!D80</f>
        <v>0</v>
      </c>
    </row>
    <row r="41" spans="1:28" x14ac:dyDescent="0.2">
      <c r="A41" s="160" t="s">
        <v>219</v>
      </c>
      <c r="B41" s="334"/>
      <c r="C41" s="307">
        <f>D41+E41+F41+G41+H41+I41+J41+K41+L41+M41+N41+O41+P41+Q41+R41+S41+T41+U41+V41+W41+X41+Y41+Z41+AA41+AB41</f>
        <v>0</v>
      </c>
      <c r="D41" s="304">
        <f t="shared" ref="D41:AB41" si="12">D39+D40</f>
        <v>0</v>
      </c>
      <c r="E41" s="304">
        <f t="shared" si="12"/>
        <v>0</v>
      </c>
      <c r="F41" s="304">
        <f t="shared" si="12"/>
        <v>0</v>
      </c>
      <c r="G41" s="304">
        <f t="shared" si="12"/>
        <v>0</v>
      </c>
      <c r="H41" s="372">
        <f t="shared" si="12"/>
        <v>0</v>
      </c>
      <c r="I41" s="369">
        <f t="shared" si="12"/>
        <v>0</v>
      </c>
      <c r="J41" s="304">
        <f t="shared" si="12"/>
        <v>0</v>
      </c>
      <c r="K41" s="304">
        <f t="shared" si="12"/>
        <v>0</v>
      </c>
      <c r="L41" s="304">
        <f t="shared" si="12"/>
        <v>0</v>
      </c>
      <c r="M41" s="372">
        <f t="shared" si="12"/>
        <v>0</v>
      </c>
      <c r="N41" s="369">
        <f t="shared" si="12"/>
        <v>0</v>
      </c>
      <c r="O41" s="304">
        <f t="shared" si="12"/>
        <v>0</v>
      </c>
      <c r="P41" s="304">
        <f t="shared" si="12"/>
        <v>0</v>
      </c>
      <c r="Q41" s="304">
        <f t="shared" si="12"/>
        <v>0</v>
      </c>
      <c r="R41" s="372">
        <f t="shared" si="12"/>
        <v>0</v>
      </c>
      <c r="S41" s="369">
        <f t="shared" si="12"/>
        <v>0</v>
      </c>
      <c r="T41" s="304">
        <f t="shared" si="12"/>
        <v>0</v>
      </c>
      <c r="U41" s="304">
        <f t="shared" si="12"/>
        <v>0</v>
      </c>
      <c r="V41" s="304">
        <f t="shared" si="12"/>
        <v>0</v>
      </c>
      <c r="W41" s="372">
        <f t="shared" si="12"/>
        <v>0</v>
      </c>
      <c r="X41" s="369">
        <f t="shared" si="12"/>
        <v>0</v>
      </c>
      <c r="Y41" s="304">
        <f t="shared" si="12"/>
        <v>0</v>
      </c>
      <c r="Z41" s="304">
        <f t="shared" si="12"/>
        <v>0</v>
      </c>
      <c r="AA41" s="304">
        <f t="shared" si="12"/>
        <v>0</v>
      </c>
      <c r="AB41" s="304">
        <f t="shared" si="12"/>
        <v>0</v>
      </c>
    </row>
  </sheetData>
  <pageMargins left="0.7" right="0.7" top="0.75" bottom="0.75" header="0.3" footer="0.3"/>
  <pageSetup paperSize="123"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pageSetUpPr fitToPage="1"/>
  </sheetPr>
  <dimension ref="A1:CE187"/>
  <sheetViews>
    <sheetView topLeftCell="A3" zoomScaleNormal="100" zoomScalePageLayoutView="125" workbookViewId="0">
      <selection activeCell="B8" sqref="B8"/>
    </sheetView>
  </sheetViews>
  <sheetFormatPr baseColWidth="10" defaultColWidth="9.140625" defaultRowHeight="12.75" x14ac:dyDescent="0.2"/>
  <cols>
    <col min="1" max="1" width="66" style="20" customWidth="1" collapsed="1"/>
    <col min="2" max="2" width="23.85546875" style="3" customWidth="1" collapsed="1"/>
    <col min="3" max="3" width="9" style="15" customWidth="1"/>
    <col min="4" max="4" width="30.85546875" style="23" customWidth="1" collapsed="1"/>
    <col min="5" max="5" width="13.5703125" style="20" customWidth="1" collapsed="1"/>
    <col min="6" max="6" width="9.7109375" style="31" customWidth="1"/>
    <col min="7" max="7" width="42.85546875" style="20" customWidth="1" collapsed="1"/>
    <col min="8" max="8" width="13.7109375" style="20" customWidth="1" collapsed="1"/>
    <col min="9" max="9" width="15.140625" style="20" customWidth="1" collapsed="1"/>
    <col min="10" max="10" width="19" style="20" customWidth="1" collapsed="1"/>
    <col min="11" max="11" width="2.5703125" style="20" customWidth="1" collapsed="1"/>
    <col min="12" max="20" width="20.85546875" style="45" customWidth="1" collapsed="1"/>
    <col min="21" max="25" width="20.85546875" style="2" customWidth="1" collapsed="1"/>
    <col min="26" max="75" width="9.140625" style="1" collapsed="1"/>
    <col min="76" max="83" width="9.140625" style="1"/>
    <col min="84" max="16384" width="9.140625" style="1" collapsed="1"/>
  </cols>
  <sheetData>
    <row r="1" spans="1:25" ht="21" customHeight="1" x14ac:dyDescent="0.2">
      <c r="A1" s="66"/>
      <c r="B1" s="396" t="s">
        <v>62</v>
      </c>
      <c r="C1" s="396"/>
      <c r="D1" s="396"/>
      <c r="E1" s="34"/>
      <c r="F1" s="395" t="str">
        <f>' Exemple avec SCHL'!F1:I1</f>
        <v>DROITS DE MUTATION (taxe de bienvenue)</v>
      </c>
      <c r="G1" s="395"/>
      <c r="H1" s="395"/>
      <c r="I1" s="395"/>
      <c r="J1" s="34"/>
      <c r="K1" s="34"/>
    </row>
    <row r="2" spans="1:25" ht="14.1" customHeight="1" x14ac:dyDescent="0.2">
      <c r="A2" s="64" t="str">
        <f>' Exemple avec SCHL'!A2</f>
        <v>Date:</v>
      </c>
      <c r="B2" s="420">
        <f>' Exemple avec SCHL'!B2:D2</f>
        <v>0</v>
      </c>
      <c r="C2" s="421"/>
      <c r="D2" s="422"/>
      <c r="E2" s="34"/>
      <c r="F2" s="416" t="str">
        <f>' Exemple avec SCHL'!F2:H2</f>
        <v>Si l'immeuble est à Montréal, inscrire &lt; 1 &gt;  =========&gt;</v>
      </c>
      <c r="G2" s="417"/>
      <c r="H2" s="418"/>
      <c r="I2" s="415">
        <f>' Exemple avec SCHL'!I2:I3</f>
        <v>0</v>
      </c>
      <c r="J2" s="34"/>
      <c r="K2" s="34"/>
    </row>
    <row r="3" spans="1:25" ht="14.1" customHeight="1" x14ac:dyDescent="0.2">
      <c r="A3" s="64" t="str">
        <f>' Exemple avec SCHL'!A3</f>
        <v>Adresse complète:</v>
      </c>
      <c r="B3" s="420">
        <f>' Exemple avec SCHL'!B3:D3</f>
        <v>0</v>
      </c>
      <c r="C3" s="421"/>
      <c r="D3" s="422"/>
      <c r="E3" s="34"/>
      <c r="F3" s="402" t="str">
        <f>' Exemple avec SCHL'!F3:H3</f>
        <v>Si l'immeuble est hors Montréal, inscrire &lt; 0 &gt; =======&gt;</v>
      </c>
      <c r="G3" s="402"/>
      <c r="H3" s="402"/>
      <c r="I3" s="415"/>
      <c r="J3" s="34"/>
      <c r="K3" s="34"/>
    </row>
    <row r="4" spans="1:25" ht="14.1" customHeight="1" x14ac:dyDescent="0.2">
      <c r="A4" s="64" t="str">
        <f>' Exemple avec SCHL'!A4</f>
        <v>Ville:</v>
      </c>
      <c r="B4" s="420">
        <f>' Exemple avec SCHL'!B4:D4</f>
        <v>0</v>
      </c>
      <c r="C4" s="421"/>
      <c r="D4" s="422"/>
      <c r="E4" s="34"/>
      <c r="F4" s="403" t="str">
        <f>' Exemple avec SCHL'!F4:H4</f>
        <v>Montant sur lequel est calculé le droit de mutation</v>
      </c>
      <c r="G4" s="403"/>
      <c r="H4" s="403"/>
      <c r="I4" s="230">
        <f>MAX(B16,B47)</f>
        <v>793000</v>
      </c>
      <c r="J4" s="34"/>
      <c r="K4" s="34"/>
    </row>
    <row r="5" spans="1:25" ht="14.1" customHeight="1" x14ac:dyDescent="0.2">
      <c r="A5" s="64" t="str">
        <f>' Exemple avec SCHL'!A5</f>
        <v>Code postal:</v>
      </c>
      <c r="B5" s="420">
        <f>' Exemple avec SCHL'!B5:D5</f>
        <v>0</v>
      </c>
      <c r="C5" s="421"/>
      <c r="D5" s="422"/>
      <c r="E5" s="34"/>
      <c r="F5" s="403" t="str">
        <f>' Exemple avec SCHL'!F5:H5</f>
        <v>Prix d'achat</v>
      </c>
      <c r="G5" s="403"/>
      <c r="H5" s="403"/>
      <c r="I5" s="52">
        <f>B16</f>
        <v>685000</v>
      </c>
      <c r="J5" s="34"/>
      <c r="K5" s="34"/>
    </row>
    <row r="6" spans="1:25" ht="14.1" customHeight="1" x14ac:dyDescent="0.2">
      <c r="A6" s="237"/>
      <c r="B6" s="237"/>
      <c r="C6" s="237"/>
      <c r="D6" s="237"/>
      <c r="E6" s="34"/>
      <c r="F6" s="403" t="str">
        <f>' Exemple avec SCHL'!F6:H6</f>
        <v>Total évaluation municipale de l'immeuble</v>
      </c>
      <c r="G6" s="403"/>
      <c r="H6" s="403"/>
      <c r="I6" s="57">
        <f>B47</f>
        <v>793000</v>
      </c>
      <c r="J6" s="34"/>
      <c r="K6" s="34"/>
    </row>
    <row r="7" spans="1:25" ht="14.1" customHeight="1" x14ac:dyDescent="0.2">
      <c r="A7" s="237"/>
      <c r="B7" s="237"/>
      <c r="C7" s="237"/>
      <c r="D7" s="237"/>
      <c r="E7" s="34"/>
      <c r="F7" s="279"/>
      <c r="G7" s="279"/>
      <c r="H7" s="279"/>
      <c r="I7" s="278"/>
      <c r="J7" s="34"/>
      <c r="K7" s="34"/>
    </row>
    <row r="8" spans="1:25" ht="14.1" customHeight="1" x14ac:dyDescent="0.2">
      <c r="A8" s="389"/>
      <c r="B8" s="237"/>
      <c r="C8" s="237"/>
      <c r="D8" s="237"/>
      <c r="E8" s="297"/>
      <c r="F8" s="228"/>
      <c r="G8" s="419" t="str">
        <f>' Exemple avec SCHL'!G8:H8</f>
        <v>www.patricemenard.com/indice</v>
      </c>
      <c r="H8" s="419"/>
      <c r="I8" s="34"/>
      <c r="J8" s="34"/>
      <c r="K8" s="34"/>
    </row>
    <row r="9" spans="1:25" ht="14.1" customHeight="1" x14ac:dyDescent="0.2">
      <c r="A9" s="34"/>
      <c r="B9" s="40"/>
      <c r="C9" s="41"/>
      <c r="D9" s="237"/>
      <c r="E9" s="34"/>
      <c r="F9" s="43"/>
      <c r="G9" s="280"/>
      <c r="H9" s="280"/>
      <c r="I9" s="34"/>
      <c r="J9" s="34"/>
      <c r="K9" s="34"/>
    </row>
    <row r="10" spans="1:25" ht="14.1" customHeight="1" x14ac:dyDescent="0.2">
      <c r="A10" s="185" t="str">
        <f>' Exemple avec SCHL'!A10</f>
        <v>Valeur marchande de l'immeuble (référence à 13x les revenus)</v>
      </c>
      <c r="B10" s="30">
        <f>' Exemple avec SCHL'!B10</f>
        <v>708240</v>
      </c>
      <c r="C10" s="213">
        <f>' Exemple avec SCHL'!C10</f>
        <v>13</v>
      </c>
      <c r="D10" s="18" t="str">
        <f>' Exemple avec SCHL'!D10</f>
        <v>Taxes municipales (10% à 16%)</v>
      </c>
      <c r="E10" s="32">
        <f>' Exemple avec SCHL'!E10</f>
        <v>7376</v>
      </c>
      <c r="F10" s="218">
        <f>E10/B36</f>
        <v>0.14557971357743987</v>
      </c>
      <c r="G10" s="185" t="str">
        <f>' Exemple avec SCHL'!G10</f>
        <v>TGA Juste Valeur Machande (JVM)</v>
      </c>
      <c r="H10" s="186">
        <f>' Exemple avec SCHL'!H10</f>
        <v>4.2000000000000003E-2</v>
      </c>
      <c r="I10" s="34"/>
      <c r="J10" s="175"/>
      <c r="K10" s="175"/>
      <c r="L10" s="36"/>
      <c r="M10" s="36"/>
      <c r="N10" s="36"/>
      <c r="O10" s="36"/>
      <c r="P10" s="36"/>
      <c r="Q10" s="36"/>
      <c r="R10" s="36"/>
      <c r="S10" s="36"/>
      <c r="T10" s="36"/>
      <c r="U10" s="37"/>
      <c r="V10" s="37"/>
      <c r="W10" s="37"/>
      <c r="X10" s="37"/>
      <c r="Y10" s="37"/>
    </row>
    <row r="11" spans="1:25" ht="14.1" customHeight="1" x14ac:dyDescent="0.2">
      <c r="A11" s="191" t="str">
        <f>' Exemple avec SCHL'!A11</f>
        <v>Juste Valeur Marchande de l'immeuble</v>
      </c>
      <c r="B11" s="30">
        <f>' Exemple avec SCHL'!B11</f>
        <v>537463.04761904769</v>
      </c>
      <c r="C11" s="213">
        <f>' Exemple avec SCHL'!C11</f>
        <v>10.607879139213516</v>
      </c>
      <c r="D11" s="18" t="str">
        <f>' Exemple avec SCHL'!D11</f>
        <v>Taxes scolaires (2% à 4%)</v>
      </c>
      <c r="E11" s="32">
        <f>' Exemple avec SCHL'!E11</f>
        <v>655</v>
      </c>
      <c r="F11" s="218">
        <f>E11/B36</f>
        <v>1.2927699619471681E-2</v>
      </c>
      <c r="G11" s="185" t="str">
        <f>' Exemple avec SCHL'!G11</f>
        <v>TGA Juste Valeur Machande (indice résultat)</v>
      </c>
      <c r="H11" s="186">
        <f>' Exemple avec SCHL'!H11</f>
        <v>3.295393868613139E-2</v>
      </c>
      <c r="I11" s="34"/>
      <c r="J11" s="175"/>
      <c r="K11" s="175"/>
      <c r="L11" s="36"/>
      <c r="M11" s="36"/>
      <c r="N11" s="36"/>
      <c r="O11" s="36"/>
      <c r="P11" s="36"/>
      <c r="Q11" s="36"/>
      <c r="R11" s="36"/>
      <c r="S11" s="36"/>
      <c r="T11" s="36"/>
      <c r="U11" s="37"/>
      <c r="V11" s="37"/>
      <c r="W11" s="37"/>
      <c r="X11" s="37"/>
      <c r="Y11" s="37"/>
    </row>
    <row r="12" spans="1:25" ht="14.1" customHeight="1" x14ac:dyDescent="0.2">
      <c r="A12" s="191" t="str">
        <f>' Exemple avec SCHL'!A12</f>
        <v>Valeur Économique de l'immeuble</v>
      </c>
      <c r="B12" s="227">
        <f>PV('Financement sans SCHL'!D2/12,'Financement sans SCHL'!D3*12,'Financement sans SCHL'!D4,0,1)</f>
        <v>-513855.6670606932</v>
      </c>
      <c r="C12" s="388">
        <f>' Exemple avec SCHL'!C12</f>
        <v>10.141941544311283</v>
      </c>
      <c r="D12" s="18" t="str">
        <f>' Exemple avec SCHL'!D12</f>
        <v>Assurance (3% à 5%)</v>
      </c>
      <c r="E12" s="32">
        <f>' Exemple avec SCHL'!E12</f>
        <v>2386</v>
      </c>
      <c r="F12" s="218">
        <f>E12/B36</f>
        <v>4.7092353117647985E-2</v>
      </c>
      <c r="G12" s="185" t="str">
        <f>' Exemple avec SCHL'!G12</f>
        <v>TGA Valeur Économique (indice résultat)</v>
      </c>
      <c r="H12" s="189">
        <f>ABS((B39/B12))</f>
        <v>4.3929549573954153E-2</v>
      </c>
      <c r="I12" s="175"/>
      <c r="J12" s="34"/>
      <c r="K12" s="21"/>
      <c r="L12" s="36"/>
      <c r="M12" s="36"/>
      <c r="N12" s="36"/>
      <c r="O12" s="36"/>
      <c r="P12" s="36"/>
      <c r="Q12" s="36"/>
      <c r="R12" s="36"/>
      <c r="S12" s="36"/>
      <c r="T12" s="36"/>
      <c r="U12" s="37"/>
      <c r="V12" s="37"/>
      <c r="W12" s="37"/>
      <c r="X12" s="37"/>
      <c r="Y12" s="37"/>
    </row>
    <row r="13" spans="1:25" ht="14.1" customHeight="1" x14ac:dyDescent="0.2">
      <c r="A13" s="191" t="str">
        <f>' Exemple avec SCHL'!A13</f>
        <v>Valeur Paritaire de l'immeuble</v>
      </c>
      <c r="B13" s="30">
        <f>' Exemple avec SCHL'!B13</f>
        <v>587211.85812062398</v>
      </c>
      <c r="C13" s="213">
        <f>' Exemple avec SCHL'!C13</f>
        <v>11.589768724847708</v>
      </c>
      <c r="D13" s="145" t="str">
        <f>' Exemple avec SCHL'!D13</f>
        <v>Chauffage</v>
      </c>
      <c r="E13" s="32">
        <f>' Exemple avec SCHL'!E13</f>
        <v>0</v>
      </c>
      <c r="F13" s="218">
        <f>E13/B36</f>
        <v>0</v>
      </c>
      <c r="G13" s="185" t="str">
        <f>' Exemple avec SCHL'!G13</f>
        <v>TGA Paritaire (indice résultat)</v>
      </c>
      <c r="H13" s="186">
        <f>' Exemple avec SCHL'!H13</f>
        <v>3.8441744130042768E-2</v>
      </c>
      <c r="I13" s="34"/>
      <c r="J13" s="34"/>
      <c r="K13" s="34"/>
      <c r="L13" s="36"/>
      <c r="M13" s="36"/>
      <c r="N13" s="36"/>
      <c r="O13" s="36"/>
      <c r="P13" s="36"/>
      <c r="Q13" s="36"/>
      <c r="R13" s="36"/>
      <c r="S13" s="36"/>
      <c r="T13" s="36"/>
      <c r="U13" s="37"/>
      <c r="V13" s="37"/>
      <c r="W13" s="37"/>
      <c r="X13" s="37"/>
      <c r="Y13" s="37"/>
    </row>
    <row r="14" spans="1:25" ht="14.1" customHeight="1" x14ac:dyDescent="0.2">
      <c r="A14" s="185" t="str">
        <f>' Exemple avec SCHL'!A14</f>
        <v>Financement de la banque</v>
      </c>
      <c r="B14" s="258">
        <f>IF(AND(B22&gt;1,B22&lt;5),80%,IF(B22&gt;4,75%,))</f>
        <v>0.75</v>
      </c>
      <c r="C14" s="41"/>
      <c r="D14" s="145" t="str">
        <f>' Exemple avec SCHL'!D14</f>
        <v>Électricité, gaz, huile</v>
      </c>
      <c r="E14" s="32">
        <f>' Exemple avec SCHL'!E14</f>
        <v>4506</v>
      </c>
      <c r="F14" s="218">
        <f>E14/B36</f>
        <v>8.8934678603571599E-2</v>
      </c>
      <c r="G14" s="34"/>
      <c r="H14" s="34"/>
      <c r="I14" s="34"/>
      <c r="J14" s="34"/>
      <c r="K14" s="34"/>
      <c r="L14" s="36"/>
      <c r="M14" s="36"/>
      <c r="N14" s="36"/>
      <c r="O14" s="36"/>
      <c r="P14" s="36"/>
      <c r="Q14" s="36"/>
      <c r="R14" s="36"/>
      <c r="S14" s="36"/>
      <c r="T14" s="36"/>
      <c r="U14" s="37"/>
      <c r="V14" s="37"/>
      <c r="W14" s="37"/>
      <c r="X14" s="37"/>
      <c r="Y14" s="37"/>
    </row>
    <row r="15" spans="1:25" ht="14.1" customHeight="1" x14ac:dyDescent="0.2">
      <c r="A15" s="191" t="str">
        <f>' Exemple avec SCHL'!A15</f>
        <v>Montant que la banque va financer entre JVM et VÉ</v>
      </c>
      <c r="B15" s="30">
        <f>MIN(0-B12,B11)</f>
        <v>513855.6670606932</v>
      </c>
      <c r="C15" s="41"/>
      <c r="D15" s="145" t="str">
        <f>' Exemple avec SCHL'!D15</f>
        <v>Partie commune (1%)</v>
      </c>
      <c r="E15" s="32">
        <f>' Exemple avec SCHL'!E15</f>
        <v>0</v>
      </c>
      <c r="F15" s="218">
        <f>E15/B36</f>
        <v>0</v>
      </c>
      <c r="G15" s="18" t="str">
        <f>' Exemple avec SCHL'!G15</f>
        <v>Ratio de couverture de la dette</v>
      </c>
      <c r="H15" s="130">
        <f>B39/B40</f>
        <v>0.73337999587263603</v>
      </c>
      <c r="I15" s="34"/>
      <c r="J15" s="34"/>
      <c r="K15" s="21"/>
      <c r="L15" s="36"/>
      <c r="M15" s="36"/>
      <c r="N15" s="36"/>
      <c r="O15" s="36"/>
      <c r="P15" s="36"/>
      <c r="Q15" s="36"/>
      <c r="R15" s="36"/>
      <c r="S15" s="36"/>
      <c r="T15" s="36"/>
      <c r="U15" s="37"/>
      <c r="V15" s="37"/>
      <c r="W15" s="37"/>
      <c r="X15" s="37"/>
      <c r="Y15" s="37"/>
    </row>
    <row r="16" spans="1:25" ht="14.1" customHeight="1" x14ac:dyDescent="0.2">
      <c r="A16" s="18" t="str">
        <f>' Exemple avec SCHL'!A16</f>
        <v>Prix d'achat</v>
      </c>
      <c r="B16" s="27">
        <v>685000</v>
      </c>
      <c r="C16" s="13"/>
      <c r="D16" s="145" t="str">
        <f>' Exemple avec SCHL'!D16</f>
        <v>Conciergerie (2% à 5%)</v>
      </c>
      <c r="E16" s="32">
        <f>' Exemple avec SCHL'!E16</f>
        <v>750</v>
      </c>
      <c r="F16" s="218">
        <f>E16/B36</f>
        <v>1.4802709487944673E-2</v>
      </c>
      <c r="G16" s="19"/>
      <c r="H16" s="144"/>
      <c r="I16" s="21"/>
      <c r="J16" s="21"/>
      <c r="K16" s="21"/>
      <c r="L16" s="36"/>
      <c r="M16" s="36"/>
      <c r="N16" s="36"/>
      <c r="O16" s="36"/>
      <c r="P16" s="36"/>
      <c r="Q16" s="36"/>
      <c r="R16" s="36"/>
      <c r="S16" s="36"/>
      <c r="T16" s="36"/>
      <c r="U16" s="37"/>
      <c r="V16" s="37"/>
      <c r="W16" s="37"/>
      <c r="X16" s="37"/>
      <c r="Y16" s="37"/>
    </row>
    <row r="17" spans="1:25" ht="14.1" customHeight="1" x14ac:dyDescent="0.2">
      <c r="A17" s="183" t="str">
        <f>' Exemple avec SCHL'!A17</f>
        <v>Prix par logement</v>
      </c>
      <c r="B17" s="32">
        <f>' Exemple avec SCHL'!B17</f>
        <v>114166.66666666667</v>
      </c>
      <c r="C17" s="184"/>
      <c r="D17" s="145" t="str">
        <f>' Exemple avec SCHL'!D17</f>
        <v>Entretien (4% à 8%)</v>
      </c>
      <c r="E17" s="32">
        <f>' Exemple avec SCHL'!E17</f>
        <v>0</v>
      </c>
      <c r="F17" s="218">
        <f>E17/B36</f>
        <v>0</v>
      </c>
      <c r="G17" s="185" t="str">
        <f>' Exemple avec SCHL'!G17</f>
        <v>Ratio minimum d'occupation (TMO)</v>
      </c>
      <c r="H17" s="217">
        <f>(E38+B40)/B36</f>
        <v>1.1619725891399637</v>
      </c>
      <c r="I17" s="34"/>
      <c r="J17" s="34"/>
      <c r="K17" s="21"/>
      <c r="L17" s="36"/>
      <c r="M17" s="36"/>
      <c r="N17" s="36"/>
      <c r="O17" s="36"/>
      <c r="P17" s="36"/>
      <c r="Q17" s="36"/>
      <c r="R17" s="36"/>
      <c r="S17" s="36"/>
      <c r="T17" s="36"/>
      <c r="U17" s="37"/>
      <c r="V17" s="37"/>
      <c r="W17" s="37"/>
      <c r="X17" s="37"/>
      <c r="Y17" s="37"/>
    </row>
    <row r="18" spans="1:25" ht="14.1" customHeight="1" x14ac:dyDescent="0.2">
      <c r="A18" s="18" t="str">
        <f>' Exemple avec SCHL'!A18</f>
        <v>Mise de fonds initiale</v>
      </c>
      <c r="B18" s="32">
        <f>B16*C18</f>
        <v>171250</v>
      </c>
      <c r="C18" s="214">
        <f>1-B14</f>
        <v>0.25</v>
      </c>
      <c r="D18" s="145" t="str">
        <f>' Exemple avec SCHL'!D18</f>
        <v>Administration (3% à 5%)</v>
      </c>
      <c r="E18" s="32">
        <f>' Exemple avec SCHL'!E18</f>
        <v>1519.992</v>
      </c>
      <c r="F18" s="218">
        <f>E18/B36</f>
        <v>0.03</v>
      </c>
      <c r="G18" s="19"/>
      <c r="H18" s="296"/>
      <c r="I18" s="8"/>
      <c r="J18" s="34"/>
      <c r="K18" s="34"/>
      <c r="L18" s="36"/>
      <c r="M18" s="36"/>
      <c r="N18" s="36"/>
      <c r="O18" s="36"/>
      <c r="P18" s="36"/>
      <c r="Q18" s="36"/>
      <c r="R18" s="36"/>
      <c r="S18" s="36"/>
      <c r="T18" s="36"/>
      <c r="U18" s="37"/>
      <c r="V18" s="37"/>
      <c r="W18" s="37"/>
      <c r="X18" s="37"/>
      <c r="Y18" s="37"/>
    </row>
    <row r="19" spans="1:25" ht="14.1" customHeight="1" x14ac:dyDescent="0.2">
      <c r="A19" s="33" t="str">
        <f>' Exemple avec SCHL'!A21</f>
        <v>GRAND TOTAL du montant de l'hypothèque à financer</v>
      </c>
      <c r="B19" s="17">
        <f>B16-B18</f>
        <v>513750</v>
      </c>
      <c r="C19" s="13"/>
      <c r="D19" s="145" t="str">
        <f>' Exemple avec SCHL'!D19</f>
        <v>Fonds de prévoyance (10%)</v>
      </c>
      <c r="E19" s="32">
        <f>' Exemple avec SCHL'!E19</f>
        <v>5066.6400000000003</v>
      </c>
      <c r="F19" s="218">
        <f>E19/B36</f>
        <v>0.1</v>
      </c>
      <c r="G19" s="185" t="str">
        <f>' Exemple avec SCHL'!G19</f>
        <v>Ratio prix d’achat / Évaluation municipale</v>
      </c>
      <c r="H19" s="217">
        <f>' Exemple avec SCHL'!H19</f>
        <v>0.86380832282471631</v>
      </c>
      <c r="I19" s="8"/>
      <c r="J19" s="21"/>
      <c r="K19" s="34"/>
      <c r="L19" s="36"/>
      <c r="M19" s="36"/>
      <c r="N19" s="36"/>
      <c r="O19" s="36"/>
      <c r="P19" s="36"/>
      <c r="Q19" s="36"/>
      <c r="R19" s="36"/>
      <c r="S19" s="36"/>
      <c r="T19" s="36"/>
      <c r="U19" s="37"/>
      <c r="V19" s="37"/>
      <c r="W19" s="37"/>
      <c r="X19" s="37"/>
      <c r="Y19" s="37"/>
    </row>
    <row r="20" spans="1:25" ht="14.1" customHeight="1" x14ac:dyDescent="0.2">
      <c r="A20" s="29"/>
      <c r="B20" s="46"/>
      <c r="C20" s="14"/>
      <c r="D20" s="185" t="str">
        <f>' Exemple avec SCHL'!D20</f>
        <v>Réserve</v>
      </c>
      <c r="E20" s="32">
        <f>' Exemple avec SCHL'!E20</f>
        <v>3000</v>
      </c>
      <c r="F20" s="218">
        <f>E20/B36</f>
        <v>5.9210837951778693E-2</v>
      </c>
      <c r="G20" s="34"/>
      <c r="H20" s="34"/>
      <c r="I20" s="34"/>
      <c r="J20" s="34"/>
      <c r="K20" s="21"/>
      <c r="L20" s="60"/>
      <c r="M20" s="36"/>
      <c r="N20" s="36"/>
      <c r="O20" s="36"/>
      <c r="P20" s="36"/>
      <c r="Q20" s="36"/>
      <c r="R20" s="36"/>
      <c r="S20" s="36"/>
      <c r="T20" s="36"/>
      <c r="U20" s="37"/>
      <c r="V20" s="37"/>
      <c r="W20" s="37"/>
      <c r="X20" s="37"/>
      <c r="Y20" s="37"/>
    </row>
    <row r="21" spans="1:25" ht="14.1" customHeight="1" x14ac:dyDescent="0.2">
      <c r="A21" s="18"/>
      <c r="B21" s="9" t="str">
        <f>' Exemple avec SCHL'!B23</f>
        <v>Revenus</v>
      </c>
      <c r="C21" s="13"/>
      <c r="D21" s="145" t="str">
        <f>' Exemple avec SCHL'!D21</f>
        <v>Frais de gestion (5% à 10%)</v>
      </c>
      <c r="E21" s="32">
        <f>' Exemple avec SCHL'!E21</f>
        <v>2533.3200000000002</v>
      </c>
      <c r="F21" s="218">
        <f>E21/B36</f>
        <v>0.05</v>
      </c>
      <c r="G21" s="185" t="str">
        <f>' Exemple avec SCHL'!G21</f>
        <v>Taux de Rentabilité Interne (TRI)</v>
      </c>
      <c r="H21" s="217">
        <f>IRR('Flux financier sans SCHL'!C23:AB23,0)</f>
        <v>-2.8354175895469402E-2</v>
      </c>
      <c r="I21" s="34"/>
      <c r="J21" s="34"/>
      <c r="K21" s="34"/>
      <c r="L21" s="61"/>
      <c r="M21" s="36"/>
      <c r="N21" s="36"/>
      <c r="O21" s="36"/>
      <c r="P21" s="36"/>
      <c r="Q21" s="36"/>
      <c r="R21" s="36"/>
      <c r="S21" s="36"/>
      <c r="T21" s="36"/>
      <c r="U21" s="37"/>
      <c r="V21" s="37"/>
      <c r="W21" s="37"/>
      <c r="X21" s="37"/>
      <c r="Y21" s="37"/>
    </row>
    <row r="22" spans="1:25" ht="14.1" customHeight="1" x14ac:dyDescent="0.2">
      <c r="A22" s="177" t="str">
        <f>' Exemple avec SCHL'!A24</f>
        <v>Nombre de logement dans l'immeuble</v>
      </c>
      <c r="B22" s="295">
        <f>' Exemple avec SCHL'!B24</f>
        <v>6</v>
      </c>
      <c r="C22" s="41"/>
      <c r="D22" s="145" t="str">
        <f>' Exemple avec SCHL'!D22</f>
        <v>Publicité (2%)</v>
      </c>
      <c r="E22" s="32">
        <f>' Exemple avec SCHL'!E22</f>
        <v>0</v>
      </c>
      <c r="F22" s="218">
        <f>E22/B36</f>
        <v>0</v>
      </c>
      <c r="G22" s="34"/>
      <c r="H22" s="188"/>
      <c r="I22" s="8"/>
      <c r="J22" s="34"/>
      <c r="K22" s="21"/>
      <c r="L22" s="36"/>
      <c r="M22" s="36"/>
      <c r="N22" s="36"/>
      <c r="O22" s="36"/>
      <c r="P22" s="36"/>
      <c r="Q22" s="36"/>
      <c r="R22" s="36"/>
      <c r="S22" s="36"/>
      <c r="T22" s="36"/>
      <c r="U22" s="37"/>
      <c r="V22" s="37"/>
      <c r="W22" s="37"/>
      <c r="X22" s="37"/>
      <c r="Y22" s="37"/>
    </row>
    <row r="23" spans="1:25" ht="14.1" customHeight="1" x14ac:dyDescent="0.2">
      <c r="A23" s="167" t="str">
        <f>' Exemple avec SCHL'!A25</f>
        <v>Prix de location ACTUEL par logement (mensuel)</v>
      </c>
      <c r="B23" s="6">
        <f>' Exemple avec SCHL'!B25</f>
        <v>756.66666666666663</v>
      </c>
      <c r="C23" s="41"/>
      <c r="D23" s="145" t="str">
        <f>' Exemple avec SCHL'!D23</f>
        <v>Eau</v>
      </c>
      <c r="E23" s="32">
        <f>' Exemple avec SCHL'!E23</f>
        <v>0</v>
      </c>
      <c r="F23" s="218">
        <f>E23/B36</f>
        <v>0</v>
      </c>
      <c r="G23" s="185" t="str">
        <f>' Exemple avec SCHL'!G23</f>
        <v>Valeur Actuelle Nette (VAN)</v>
      </c>
      <c r="H23" s="187">
        <f>NPV(H10,'Flux financier sans SCHL'!C23:AB23)+'Flux financier sans SCHL'!C23</f>
        <v>-328773.52167172136</v>
      </c>
      <c r="I23" s="8"/>
      <c r="J23" s="34"/>
      <c r="K23" s="21"/>
      <c r="L23" s="36"/>
      <c r="M23" s="36"/>
      <c r="N23" s="36"/>
      <c r="O23" s="36"/>
      <c r="P23" s="36"/>
      <c r="Q23" s="36"/>
      <c r="R23" s="36"/>
      <c r="S23" s="36"/>
      <c r="T23" s="36"/>
      <c r="U23" s="37"/>
      <c r="V23" s="37"/>
      <c r="W23" s="37"/>
      <c r="X23" s="37"/>
      <c r="Y23" s="37"/>
    </row>
    <row r="24" spans="1:25" ht="14.1" customHeight="1" x14ac:dyDescent="0.2">
      <c r="A24" s="18" t="str">
        <f>' Exemple avec SCHL'!A26</f>
        <v>Revenu total ACTUEL de location (mensuel)</v>
      </c>
      <c r="B24" s="6">
        <f>' Exemple avec SCHL'!B26</f>
        <v>4540</v>
      </c>
      <c r="C24" s="41"/>
      <c r="D24" s="145" t="str">
        <f>' Exemple avec SCHL'!D24</f>
        <v>Égout</v>
      </c>
      <c r="E24" s="32">
        <f>' Exemple avec SCHL'!E24</f>
        <v>0</v>
      </c>
      <c r="F24" s="218">
        <f>E24/B36</f>
        <v>0</v>
      </c>
      <c r="G24" s="207"/>
      <c r="H24" s="208"/>
      <c r="I24" s="34"/>
      <c r="J24" s="34"/>
      <c r="K24" s="59"/>
      <c r="L24" s="36"/>
      <c r="M24" s="36"/>
      <c r="N24" s="36"/>
      <c r="O24" s="36"/>
      <c r="P24" s="36"/>
      <c r="Q24" s="36"/>
      <c r="R24" s="36"/>
      <c r="S24" s="36"/>
      <c r="T24" s="36"/>
      <c r="U24" s="37"/>
      <c r="V24" s="37"/>
      <c r="W24" s="37"/>
      <c r="X24" s="37"/>
      <c r="Y24" s="37"/>
    </row>
    <row r="25" spans="1:25" ht="14.1" customHeight="1" x14ac:dyDescent="0.2">
      <c r="A25" s="185" t="str">
        <f>' Exemple avec SCHL'!A27</f>
        <v>Revenu total ACTUEL de location (annuel)</v>
      </c>
      <c r="B25" s="6">
        <f>' Exemple avec SCHL'!B27</f>
        <v>54480</v>
      </c>
      <c r="C25" s="214"/>
      <c r="D25" s="145" t="str">
        <f>' Exemple avec SCHL'!D25</f>
        <v>Déneigement</v>
      </c>
      <c r="E25" s="32">
        <f>' Exemple avec SCHL'!E25</f>
        <v>300</v>
      </c>
      <c r="F25" s="218">
        <f>E25/B36</f>
        <v>5.9210837951778695E-3</v>
      </c>
      <c r="G25" s="18" t="str">
        <f>' Exemple avec SCHL'!G25</f>
        <v>Délai de récupération MDF (payback)</v>
      </c>
      <c r="H25" s="143">
        <f>B18/B43</f>
        <v>-20.867432061771158</v>
      </c>
      <c r="I25" s="8" t="str">
        <f>' Exemple avec SCHL'!I25</f>
        <v>ans</v>
      </c>
      <c r="J25" s="34"/>
      <c r="K25" s="34"/>
      <c r="L25" s="36"/>
      <c r="M25" s="36"/>
      <c r="N25" s="36"/>
      <c r="O25" s="36"/>
      <c r="P25" s="36"/>
      <c r="Q25" s="36"/>
      <c r="R25" s="36"/>
      <c r="S25" s="36"/>
      <c r="T25" s="36"/>
      <c r="U25" s="37"/>
      <c r="V25" s="37"/>
      <c r="W25" s="37"/>
      <c r="X25" s="37"/>
      <c r="Y25" s="37"/>
    </row>
    <row r="26" spans="1:25" ht="14.1" customHeight="1" x14ac:dyDescent="0.2">
      <c r="A26" s="167" t="str">
        <f>' Exemple avec SCHL'!A28</f>
        <v>Nouveau revenu de location ANNUEL (suite au renouvellement de bail)</v>
      </c>
      <c r="B26" s="6">
        <f>' Exemple avec SCHL'!B28</f>
        <v>54480</v>
      </c>
      <c r="C26" s="214">
        <f>' Exemple avec SCHL'!C28</f>
        <v>0</v>
      </c>
      <c r="D26" s="145" t="str">
        <f>' Exemple avec SCHL'!D26</f>
        <v>Gazon</v>
      </c>
      <c r="E26" s="32">
        <f>' Exemple avec SCHL'!E26</f>
        <v>0</v>
      </c>
      <c r="F26" s="218">
        <f>E26/B36</f>
        <v>0</v>
      </c>
      <c r="G26" s="34"/>
      <c r="H26" s="34"/>
      <c r="I26" s="34"/>
      <c r="J26" s="24"/>
      <c r="K26" s="34"/>
      <c r="L26" s="36"/>
      <c r="M26" s="36"/>
      <c r="N26" s="36"/>
      <c r="O26" s="36"/>
      <c r="P26" s="36"/>
      <c r="Q26" s="36"/>
      <c r="R26" s="36"/>
      <c r="S26" s="36"/>
      <c r="T26" s="36"/>
      <c r="U26" s="37"/>
      <c r="V26" s="37"/>
      <c r="W26" s="37"/>
      <c r="X26" s="37"/>
      <c r="Y26" s="37"/>
    </row>
    <row r="27" spans="1:25" ht="14.1" customHeight="1" x14ac:dyDescent="0.2">
      <c r="A27" s="176" t="str">
        <f>' Exemple avec SCHL'!A29</f>
        <v>Prix du loyer ACTUEL du marché (mensuel)</v>
      </c>
      <c r="B27" s="178">
        <f>' Exemple avec SCHL'!B29</f>
        <v>756.67</v>
      </c>
      <c r="C27" s="222" t="str">
        <f>' Exemple avec SCHL'!C29</f>
        <v>Mapliv</v>
      </c>
      <c r="D27" s="145" t="str">
        <f>' Exemple avec SCHL'!D27</f>
        <v>Vidange</v>
      </c>
      <c r="E27" s="32">
        <f>' Exemple avec SCHL'!E27</f>
        <v>0</v>
      </c>
      <c r="F27" s="218">
        <f>E27/B36</f>
        <v>0</v>
      </c>
      <c r="G27" s="18" t="str">
        <f>' Exemple avec SCHL'!G27</f>
        <v>MRB (Multiplicateur de revenu brut)</v>
      </c>
      <c r="H27" s="211">
        <f>' Exemple avec SCHL'!H27</f>
        <v>12.573421439060205</v>
      </c>
      <c r="I27" s="34"/>
      <c r="J27" s="34"/>
      <c r="K27" s="51"/>
      <c r="L27" s="36"/>
      <c r="M27" s="36"/>
      <c r="N27" s="36"/>
      <c r="O27" s="36"/>
      <c r="P27" s="36"/>
      <c r="Q27" s="36"/>
      <c r="R27" s="36"/>
      <c r="S27" s="36"/>
      <c r="T27" s="36"/>
      <c r="U27" s="37"/>
      <c r="V27" s="37"/>
      <c r="W27" s="37"/>
      <c r="X27" s="37"/>
      <c r="Y27" s="37"/>
    </row>
    <row r="28" spans="1:25" ht="14.1" customHeight="1" x14ac:dyDescent="0.2">
      <c r="A28" s="176" t="str">
        <f>' Exemple avec SCHL'!A30</f>
        <v>Nouveau revenu total de loyer du marché (mensuel)</v>
      </c>
      <c r="B28" s="178">
        <f>' Exemple avec SCHL'!B30</f>
        <v>4540.0199999999995</v>
      </c>
      <c r="C28" s="212">
        <f>' Exemple avec SCHL'!C30</f>
        <v>4.4052863434895784E-6</v>
      </c>
      <c r="D28" s="145" t="str">
        <f>' Exemple avec SCHL'!D28</f>
        <v>Buanderie</v>
      </c>
      <c r="E28" s="32">
        <f>' Exemple avec SCHL'!E28</f>
        <v>0</v>
      </c>
      <c r="F28" s="218">
        <f>E28/B36</f>
        <v>0</v>
      </c>
      <c r="G28" s="34"/>
      <c r="H28" s="188"/>
      <c r="I28" s="34"/>
      <c r="J28" s="21"/>
      <c r="K28" s="21"/>
      <c r="L28" s="36"/>
      <c r="M28" s="36"/>
      <c r="N28" s="36"/>
      <c r="O28" s="36"/>
      <c r="P28" s="36"/>
      <c r="Q28" s="36"/>
      <c r="R28" s="36"/>
      <c r="S28" s="36"/>
      <c r="T28" s="36"/>
      <c r="U28" s="37"/>
      <c r="V28" s="37"/>
      <c r="W28" s="37"/>
      <c r="X28" s="37"/>
      <c r="Y28" s="37"/>
    </row>
    <row r="29" spans="1:25" ht="14.1" customHeight="1" x14ac:dyDescent="0.2">
      <c r="A29" s="177" t="str">
        <f>' Exemple avec SCHL'!A31</f>
        <v>Nouveau revenu de location annuel (optimisé du marché)</v>
      </c>
      <c r="B29" s="178">
        <f>' Exemple avec SCHL'!B31</f>
        <v>54480.239999999991</v>
      </c>
      <c r="C29" s="41"/>
      <c r="D29" s="145" t="str">
        <f>' Exemple avec SCHL'!D29</f>
        <v>Cabanons</v>
      </c>
      <c r="E29" s="32">
        <f>' Exemple avec SCHL'!E29</f>
        <v>0</v>
      </c>
      <c r="F29" s="218">
        <f>E29/B36</f>
        <v>0</v>
      </c>
      <c r="G29" s="18" t="str">
        <f>' Exemple avec SCHL'!G29</f>
        <v>MRN (Multiplicateur de revenu net)</v>
      </c>
      <c r="H29" s="211">
        <f>' Exemple avec SCHL'!H29</f>
        <v>30.345386314044706</v>
      </c>
      <c r="I29" s="131"/>
      <c r="J29" s="21"/>
      <c r="K29" s="21"/>
      <c r="L29" s="36"/>
      <c r="M29" s="36"/>
      <c r="N29" s="36"/>
      <c r="O29" s="36"/>
      <c r="P29" s="36"/>
      <c r="Q29" s="36"/>
      <c r="R29" s="36"/>
      <c r="S29" s="36"/>
      <c r="T29" s="36"/>
      <c r="U29" s="37"/>
      <c r="V29" s="37"/>
      <c r="W29" s="37"/>
      <c r="X29" s="37"/>
      <c r="Y29" s="37"/>
    </row>
    <row r="30" spans="1:25" ht="14.1" customHeight="1" x14ac:dyDescent="0.2">
      <c r="A30" s="176" t="str">
        <f>' Exemple avec SCHL'!A32</f>
        <v>Optimisation de la valeur de l'immeuble</v>
      </c>
      <c r="B30" s="178">
        <f>' Exemple avec SCHL'!B32</f>
        <v>3.0176211452344432</v>
      </c>
      <c r="C30" s="41"/>
      <c r="D30" s="145" t="str">
        <f>' Exemple avec SCHL'!D30</f>
        <v>Garage</v>
      </c>
      <c r="E30" s="32">
        <f>' Exemple avec SCHL'!E30</f>
        <v>0</v>
      </c>
      <c r="F30" s="218">
        <f>E30/B36</f>
        <v>0</v>
      </c>
      <c r="G30" s="34"/>
      <c r="H30" s="34"/>
      <c r="I30" s="34"/>
      <c r="J30" s="34"/>
      <c r="K30" s="34"/>
      <c r="L30" s="36"/>
      <c r="M30" s="36"/>
      <c r="N30" s="36"/>
      <c r="O30" s="36"/>
      <c r="P30" s="36"/>
      <c r="Q30" s="36"/>
      <c r="R30" s="36"/>
      <c r="S30" s="36"/>
      <c r="T30" s="36"/>
      <c r="U30" s="37"/>
      <c r="V30" s="37"/>
      <c r="W30" s="37"/>
      <c r="X30" s="37"/>
      <c r="Y30" s="37"/>
    </row>
    <row r="31" spans="1:25" ht="14.1" customHeight="1" x14ac:dyDescent="0.2">
      <c r="A31" s="191" t="str">
        <f>' Exemple avec SCHL'!A33</f>
        <v>Nouvelle valeur marchande de l'immeuble selon le MRB</v>
      </c>
      <c r="B31" s="178">
        <f>' Exemple avec SCHL'!B33</f>
        <v>685003.01762114523</v>
      </c>
      <c r="C31" s="212">
        <f>' Exemple avec SCHL'!C33</f>
        <v>4.4052863434079464E-6</v>
      </c>
      <c r="D31" s="145" t="str">
        <f>' Exemple avec SCHL'!D31</f>
        <v>Remise</v>
      </c>
      <c r="E31" s="32">
        <f>' Exemple avec SCHL'!E31</f>
        <v>0</v>
      </c>
      <c r="F31" s="218">
        <f>E31/B36</f>
        <v>0</v>
      </c>
      <c r="G31" s="34"/>
      <c r="H31" s="34"/>
      <c r="I31" s="34"/>
      <c r="J31" s="21"/>
      <c r="K31" s="34"/>
      <c r="L31" s="36"/>
      <c r="M31" s="36"/>
      <c r="N31" s="36"/>
      <c r="O31" s="36"/>
      <c r="P31" s="36"/>
      <c r="Q31" s="36"/>
      <c r="R31" s="36"/>
      <c r="S31" s="36"/>
      <c r="T31" s="36"/>
      <c r="U31" s="37"/>
      <c r="V31" s="37"/>
      <c r="W31" s="37"/>
      <c r="X31" s="37"/>
      <c r="Y31" s="37"/>
    </row>
    <row r="32" spans="1:25" ht="14.1" customHeight="1" x14ac:dyDescent="0.2">
      <c r="A32" s="192"/>
      <c r="B32" s="219"/>
      <c r="C32" s="212"/>
      <c r="D32" s="145" t="str">
        <f>' Exemple avec SCHL'!D32</f>
        <v>Stationnements</v>
      </c>
      <c r="E32" s="32">
        <f>' Exemple avec SCHL'!E32</f>
        <v>0</v>
      </c>
      <c r="F32" s="218">
        <f>E32/B36</f>
        <v>0</v>
      </c>
      <c r="G32" s="34"/>
      <c r="H32" s="34"/>
      <c r="I32" s="34"/>
      <c r="J32" s="34"/>
      <c r="K32" s="21"/>
      <c r="L32" s="36"/>
      <c r="M32" s="36"/>
      <c r="N32" s="36"/>
      <c r="O32" s="36"/>
      <c r="P32" s="36"/>
      <c r="Q32" s="36"/>
      <c r="R32" s="36"/>
      <c r="S32" s="36"/>
      <c r="T32" s="36"/>
      <c r="U32" s="37"/>
      <c r="V32" s="37"/>
      <c r="W32" s="37"/>
      <c r="X32" s="37"/>
      <c r="Y32" s="37"/>
    </row>
    <row r="33" spans="1:28" ht="14.1" customHeight="1" x14ac:dyDescent="0.2">
      <c r="A33" s="167" t="str">
        <f>' Exemple avec SCHL'!A35</f>
        <v>Total des revenus annuel bruts POTENTIELS</v>
      </c>
      <c r="B33" s="5">
        <f>B36+B34+B35</f>
        <v>54480</v>
      </c>
      <c r="C33" s="13"/>
      <c r="D33" s="145" t="str">
        <f>' Exemple avec SCHL'!D33</f>
        <v>Ascenseurs</v>
      </c>
      <c r="E33" s="32">
        <f>' Exemple avec SCHL'!E33</f>
        <v>0</v>
      </c>
      <c r="F33" s="218">
        <f>E33/B36</f>
        <v>0</v>
      </c>
      <c r="G33" s="126" t="str">
        <f>' Exemple avec SCHL'!G33</f>
        <v>DÉPENSES FIXES D'ACQUISITION</v>
      </c>
      <c r="H33" s="125"/>
      <c r="I33" s="125"/>
      <c r="J33" s="111" t="str">
        <f>' Exemple avec SCHL'!J33</f>
        <v>Capitalisable = X</v>
      </c>
      <c r="K33" s="21"/>
      <c r="L33" s="36"/>
      <c r="M33" s="36"/>
      <c r="N33" s="36"/>
      <c r="O33" s="36"/>
      <c r="P33" s="36"/>
      <c r="Q33" s="36"/>
      <c r="R33" s="36"/>
      <c r="S33" s="36"/>
      <c r="T33" s="36"/>
      <c r="U33" s="37"/>
      <c r="V33" s="37"/>
      <c r="W33" s="37"/>
      <c r="X33" s="37"/>
      <c r="Y33" s="37"/>
    </row>
    <row r="34" spans="1:28" ht="14.1" customHeight="1" x14ac:dyDescent="0.2">
      <c r="A34" s="167" t="str">
        <f>' Exemple avec SCHL'!A36</f>
        <v>Taux d'inoccupation des logements (3% à 8%)</v>
      </c>
      <c r="B34" s="63">
        <f>' Exemple avec SCHL'!B36</f>
        <v>2724</v>
      </c>
      <c r="C34" s="214">
        <f>' Exemple avec SCHL'!C36</f>
        <v>0.05</v>
      </c>
      <c r="D34" s="145" t="str">
        <f>' Exemple avec SCHL'!D34</f>
        <v>Entretien piscine</v>
      </c>
      <c r="E34" s="32">
        <f>' Exemple avec SCHL'!E34</f>
        <v>0</v>
      </c>
      <c r="F34" s="218">
        <f>E34/B36</f>
        <v>0</v>
      </c>
      <c r="G34" s="117" t="str">
        <f>' Exemple avec SCHL'!G34</f>
        <v>Droits de mutations (taxe de bienvenue)</v>
      </c>
      <c r="H34" s="56">
        <f>IF(I2=1,ROUND(+(IF(I4&lt;50000.01,I4*0.005,0))+(IF((AND(I4&gt;50000,I4&lt;250000.01)),250+(I4-50000)*0.01,0))+(IF((AND(I4&gt;250000,I4&lt;500000.01)),2250+(I4-250000)*0.015,0))+ (IF((AND(I4&gt;500000,I4&lt;1000000.01)),6000+(I4-500000)*0.02,0))+(IF(I4&gt;1000000,16000+(I4-1000000)*0.025,0)),2),ROUND(+(IF(I4&lt;50000.01,I4*0.005,0))+(IF((AND(I4&gt;50000,I4&lt;250000.01)),250+(I4-50000)*0.01,0))+(IF(I4&gt;250000,2250+(I4-250000)*0.015,0)),2))</f>
        <v>10395</v>
      </c>
      <c r="I34" s="223">
        <f>H34/H48</f>
        <v>0.89265779304422499</v>
      </c>
      <c r="J34" s="284" t="str">
        <f>' Exemple avec SCHL'!J34</f>
        <v>X</v>
      </c>
      <c r="K34" s="21"/>
      <c r="L34" s="36"/>
      <c r="M34" s="36"/>
      <c r="N34" s="36"/>
      <c r="O34" s="36"/>
      <c r="P34" s="36"/>
      <c r="Q34" s="36"/>
      <c r="R34" s="36"/>
      <c r="S34" s="36"/>
      <c r="T34" s="36"/>
      <c r="U34" s="37"/>
      <c r="V34" s="37"/>
      <c r="W34" s="37"/>
      <c r="X34" s="37"/>
      <c r="Y34" s="37"/>
    </row>
    <row r="35" spans="1:28" ht="14.1" customHeight="1" x14ac:dyDescent="0.2">
      <c r="A35" s="183" t="str">
        <f>' Exemple avec SCHL'!A37</f>
        <v>Mauvaises créances (1% à 3%)</v>
      </c>
      <c r="B35" s="63">
        <f>' Exemple avec SCHL'!B37</f>
        <v>1089.5999999999999</v>
      </c>
      <c r="C35" s="214">
        <f>' Exemple avec SCHL'!C37</f>
        <v>0.02</v>
      </c>
      <c r="D35" s="145" t="str">
        <f>' Exemple avec SCHL'!D35</f>
        <v>Location chauffe-eau</v>
      </c>
      <c r="E35" s="32">
        <f>' Exemple avec SCHL'!E35</f>
        <v>0</v>
      </c>
      <c r="F35" s="218">
        <f>E35/B36</f>
        <v>0</v>
      </c>
      <c r="G35" s="10" t="str">
        <f>' Exemple avec SCHL'!G35</f>
        <v>Frais de notaire</v>
      </c>
      <c r="H35" s="56">
        <f>' Exemple avec SCHL'!H35</f>
        <v>1250</v>
      </c>
      <c r="I35" s="223">
        <f>H35/H48</f>
        <v>0.10734220695577501</v>
      </c>
      <c r="J35" s="284" t="str">
        <f>' Exemple avec SCHL'!J35</f>
        <v>X</v>
      </c>
      <c r="K35" s="21"/>
      <c r="L35" s="36"/>
      <c r="M35" s="36"/>
      <c r="N35" s="36"/>
      <c r="O35" s="36"/>
      <c r="P35" s="36"/>
      <c r="Q35" s="36"/>
      <c r="R35" s="36"/>
      <c r="S35" s="36"/>
      <c r="T35" s="36"/>
      <c r="U35" s="37"/>
      <c r="V35" s="37"/>
      <c r="W35" s="37"/>
      <c r="X35" s="37"/>
      <c r="Y35" s="37"/>
    </row>
    <row r="36" spans="1:28" ht="14.1" customHeight="1" x14ac:dyDescent="0.2">
      <c r="A36" s="167" t="str">
        <f>' Exemple avec SCHL'!A38</f>
        <v>Total des revenus annuel bruts EFFECTIFS</v>
      </c>
      <c r="B36" s="5">
        <f>(B24*12)-B34-B35</f>
        <v>50666.400000000001</v>
      </c>
      <c r="C36" s="41"/>
      <c r="D36" s="185" t="str">
        <f>' Exemple avec SCHL'!D36</f>
        <v>Électroménagers</v>
      </c>
      <c r="E36" s="32">
        <f>' Exemple avec SCHL'!E36</f>
        <v>0</v>
      </c>
      <c r="F36" s="218">
        <f>E36/B36</f>
        <v>0</v>
      </c>
      <c r="G36" s="10" t="str">
        <f>' Exemple avec SCHL'!G38</f>
        <v>Ajustement de taxes municipale &amp; scolaire</v>
      </c>
      <c r="H36" s="56">
        <f>' Exemple avec SCHL'!H38</f>
        <v>0</v>
      </c>
      <c r="I36" s="223">
        <f>H36/H48</f>
        <v>0</v>
      </c>
      <c r="J36" s="284" t="str">
        <f>' Exemple avec SCHL'!J38</f>
        <v>Dépense</v>
      </c>
      <c r="K36" s="21"/>
      <c r="L36" s="36"/>
      <c r="M36" s="36"/>
      <c r="N36" s="36"/>
      <c r="O36" s="36"/>
      <c r="P36" s="36"/>
      <c r="Q36" s="36"/>
      <c r="R36" s="36"/>
      <c r="S36" s="36"/>
      <c r="T36" s="36"/>
      <c r="U36" s="37"/>
      <c r="V36" s="37"/>
      <c r="W36" s="37"/>
      <c r="X36" s="37"/>
      <c r="Y36" s="37"/>
    </row>
    <row r="37" spans="1:28" ht="14.1" customHeight="1" x14ac:dyDescent="0.2">
      <c r="A37" s="34"/>
      <c r="B37" s="40"/>
      <c r="C37" s="41"/>
      <c r="D37" s="145" t="str">
        <f>' Exemple avec SCHL'!D37</f>
        <v>Divers (1% à 5%)</v>
      </c>
      <c r="E37" s="32">
        <f>' Exemple avec SCHL'!E37</f>
        <v>0</v>
      </c>
      <c r="F37" s="218">
        <f>E37/B36</f>
        <v>0</v>
      </c>
      <c r="G37" s="10" t="str">
        <f>' Exemple avec SCHL'!G39</f>
        <v>Certificat de localisation</v>
      </c>
      <c r="H37" s="56">
        <f>' Exemple avec SCHL'!H39</f>
        <v>0</v>
      </c>
      <c r="I37" s="223">
        <f>H37/H48</f>
        <v>0</v>
      </c>
      <c r="J37" s="284" t="str">
        <f>' Exemple avec SCHL'!J39</f>
        <v>X</v>
      </c>
      <c r="K37" s="21"/>
      <c r="L37" s="36"/>
      <c r="M37" s="36"/>
      <c r="N37" s="36"/>
      <c r="O37" s="36"/>
      <c r="P37" s="36"/>
      <c r="Q37" s="36"/>
      <c r="R37" s="36"/>
      <c r="S37" s="36"/>
      <c r="T37" s="36"/>
      <c r="U37" s="37"/>
      <c r="V37" s="37"/>
      <c r="W37" s="37"/>
      <c r="X37" s="37"/>
      <c r="Y37" s="37"/>
    </row>
    <row r="38" spans="1:28" ht="14.1" customHeight="1" x14ac:dyDescent="0.2">
      <c r="A38" s="167" t="str">
        <f>' Exemple avec SCHL'!A40</f>
        <v>Dépenses annuelles (frais d'exploitation)</v>
      </c>
      <c r="B38" s="16">
        <f>E10+E11+E12+E13+E14+E15+E16+E17+E18+E19+E20+E21+E22+E23+E24+E25+E26+E27+E28+E29+E30+E31+E32+E33+E34+E35+E36+E37</f>
        <v>28092.951999999997</v>
      </c>
      <c r="C38" s="214">
        <f>B38/B36</f>
        <v>0.55446907615303231</v>
      </c>
      <c r="D38" s="145" t="str">
        <f>' Exemple avec SCHL'!D38</f>
        <v>TOTAL DES DÉPENSES</v>
      </c>
      <c r="E38" s="30">
        <f>B38</f>
        <v>28092.951999999997</v>
      </c>
      <c r="F38" s="218">
        <f>C38</f>
        <v>0.55446907615303231</v>
      </c>
      <c r="G38" s="10" t="str">
        <f>' Exemple avec SCHL'!G40</f>
        <v>Infrastructures</v>
      </c>
      <c r="H38" s="56">
        <f>' Exemple avec SCHL'!H40</f>
        <v>0</v>
      </c>
      <c r="I38" s="223">
        <f>H38/H48</f>
        <v>0</v>
      </c>
      <c r="J38" s="284" t="str">
        <f>' Exemple avec SCHL'!J40</f>
        <v>X</v>
      </c>
      <c r="K38" s="25"/>
      <c r="L38" s="36"/>
      <c r="M38" s="36"/>
      <c r="N38" s="36"/>
      <c r="O38" s="36"/>
      <c r="P38" s="36"/>
      <c r="Q38" s="36"/>
      <c r="R38" s="36"/>
      <c r="S38" s="36"/>
      <c r="T38" s="36"/>
      <c r="U38" s="37"/>
      <c r="V38" s="37"/>
      <c r="W38" s="37"/>
      <c r="X38" s="37"/>
      <c r="Y38" s="37"/>
    </row>
    <row r="39" spans="1:28" ht="14.1" customHeight="1" x14ac:dyDescent="0.2">
      <c r="A39" s="167" t="str">
        <f>' Exemple avec SCHL'!A41</f>
        <v>Revenu net d'opération</v>
      </c>
      <c r="B39" s="17">
        <f>B36-B38</f>
        <v>22573.448000000004</v>
      </c>
      <c r="C39" s="214">
        <f>B39/B36</f>
        <v>0.44553092384696769</v>
      </c>
      <c r="D39" s="42"/>
      <c r="E39" s="34"/>
      <c r="F39" s="43"/>
      <c r="G39" s="10" t="str">
        <f>' Exemple avec SCHL'!G41</f>
        <v>Déménagement</v>
      </c>
      <c r="H39" s="56">
        <f>' Exemple avec SCHL'!H41</f>
        <v>0</v>
      </c>
      <c r="I39" s="223">
        <f>H39/H48</f>
        <v>0</v>
      </c>
      <c r="J39" s="284" t="str">
        <f>' Exemple avec SCHL'!J41</f>
        <v>Dépense</v>
      </c>
      <c r="K39" s="25"/>
      <c r="L39" s="36"/>
      <c r="M39" s="36"/>
      <c r="N39" s="36"/>
      <c r="O39" s="36"/>
      <c r="P39" s="36"/>
      <c r="Q39" s="36"/>
      <c r="R39" s="36"/>
      <c r="S39" s="36"/>
      <c r="T39" s="36"/>
      <c r="U39" s="37"/>
      <c r="V39" s="37"/>
      <c r="W39" s="37"/>
      <c r="X39" s="37"/>
      <c r="Y39" s="37"/>
    </row>
    <row r="40" spans="1:28" ht="14.1" customHeight="1" x14ac:dyDescent="0.2">
      <c r="A40" s="167" t="str">
        <f>' Exemple avec SCHL'!A42</f>
        <v>Dette (capital &amp; intérêts)</v>
      </c>
      <c r="B40" s="17">
        <f>'Financement sans SCHL'!D28+'Financement sans SCHL'!E28</f>
        <v>30780.015990401065</v>
      </c>
      <c r="C40" s="214">
        <f>B40/B36</f>
        <v>0.6075035129869315</v>
      </c>
      <c r="D40" s="21"/>
      <c r="E40" s="21"/>
      <c r="F40" s="21"/>
      <c r="G40" s="10" t="str">
        <f>' Exemple avec SCHL'!G42</f>
        <v>Inspection du bâtiment</v>
      </c>
      <c r="H40" s="56">
        <f>' Exemple avec SCHL'!H42</f>
        <v>0</v>
      </c>
      <c r="I40" s="223">
        <f>H40/H48</f>
        <v>0</v>
      </c>
      <c r="J40" s="284" t="str">
        <f>' Exemple avec SCHL'!J42</f>
        <v>X</v>
      </c>
      <c r="K40" s="25"/>
      <c r="L40" s="36"/>
      <c r="M40" s="36"/>
      <c r="N40" s="36"/>
      <c r="O40" s="36"/>
      <c r="P40" s="36"/>
      <c r="Q40" s="36"/>
      <c r="R40" s="36"/>
      <c r="S40" s="36"/>
      <c r="T40" s="36"/>
      <c r="U40" s="37"/>
      <c r="V40" s="37"/>
      <c r="W40" s="37"/>
      <c r="X40" s="37"/>
      <c r="Y40" s="37"/>
    </row>
    <row r="41" spans="1:28" ht="14.1" customHeight="1" x14ac:dyDescent="0.2">
      <c r="A41" s="185" t="str">
        <f>' Exemple avec SCHL'!A43</f>
        <v>Encaisse net (cash flow) PAR LOGEMENT</v>
      </c>
      <c r="B41" s="17">
        <f>B42/B22</f>
        <v>-113.98011097779251</v>
      </c>
      <c r="C41" s="214">
        <f>C42/12</f>
        <v>-3.3278864519063512E-4</v>
      </c>
      <c r="D41" s="21"/>
      <c r="E41" s="21"/>
      <c r="F41" s="21"/>
      <c r="G41" s="10" t="str">
        <f>' Exemple avec SCHL'!G43</f>
        <v>Évaluateur agréé</v>
      </c>
      <c r="H41" s="56">
        <f>' Exemple avec SCHL'!H43</f>
        <v>0</v>
      </c>
      <c r="I41" s="223">
        <f>H41/H48</f>
        <v>0</v>
      </c>
      <c r="J41" s="284" t="str">
        <f>' Exemple avec SCHL'!J43</f>
        <v>X</v>
      </c>
      <c r="K41" s="25"/>
      <c r="L41" s="36"/>
      <c r="M41" s="36"/>
      <c r="N41" s="36"/>
      <c r="O41" s="36"/>
      <c r="P41" s="36"/>
      <c r="Q41" s="36"/>
      <c r="R41" s="36"/>
      <c r="S41" s="36"/>
      <c r="T41" s="36"/>
      <c r="U41" s="37"/>
      <c r="V41" s="37"/>
      <c r="W41" s="37"/>
      <c r="X41" s="37"/>
      <c r="Y41" s="37"/>
    </row>
    <row r="42" spans="1:28" ht="14.1" customHeight="1" x14ac:dyDescent="0.2">
      <c r="A42" s="185" t="str">
        <f>' Exemple avec SCHL'!A44</f>
        <v>Encaisse net (cash flow) MENSUEL</v>
      </c>
      <c r="B42" s="17">
        <f>B43/12</f>
        <v>-683.88066586675507</v>
      </c>
      <c r="C42" s="214">
        <f>C43/12</f>
        <v>-3.9934637422876212E-3</v>
      </c>
      <c r="D42" s="22"/>
      <c r="E42" s="21"/>
      <c r="F42" s="21"/>
      <c r="G42" s="10" t="str">
        <f>' Exemple avec SCHL'!G44</f>
        <v>Test de pyrite</v>
      </c>
      <c r="H42" s="56">
        <f>' Exemple avec SCHL'!H44</f>
        <v>0</v>
      </c>
      <c r="I42" s="223">
        <f>H42/H48</f>
        <v>0</v>
      </c>
      <c r="J42" s="284" t="str">
        <f>' Exemple avec SCHL'!J44</f>
        <v>X</v>
      </c>
      <c r="K42" s="25"/>
      <c r="L42" s="36"/>
      <c r="M42" s="36"/>
      <c r="N42" s="36"/>
      <c r="O42" s="36"/>
      <c r="P42" s="36"/>
      <c r="Q42" s="36"/>
      <c r="R42" s="36"/>
      <c r="S42" s="36"/>
      <c r="T42" s="36"/>
      <c r="U42" s="37"/>
      <c r="V42" s="37"/>
      <c r="W42" s="37"/>
      <c r="X42" s="37"/>
      <c r="Y42" s="37"/>
      <c r="Z42" s="2"/>
      <c r="AA42" s="2"/>
      <c r="AB42" s="2"/>
    </row>
    <row r="43" spans="1:28" ht="14.1" customHeight="1" x14ac:dyDescent="0.2">
      <c r="A43" s="167" t="str">
        <f>' Exemple avec SCHL'!A45</f>
        <v>Encaisse net (cash flow) ANNUEL</v>
      </c>
      <c r="B43" s="17">
        <f>B39-B40</f>
        <v>-8206.5679904010613</v>
      </c>
      <c r="C43" s="214">
        <f>B43/B18</f>
        <v>-4.7921564907451454E-2</v>
      </c>
      <c r="D43" s="22"/>
      <c r="E43" s="22"/>
      <c r="F43" s="22"/>
      <c r="G43" s="10" t="str">
        <f>' Exemple avec SCHL'!G45</f>
        <v>Test d'amiante</v>
      </c>
      <c r="H43" s="56">
        <f>' Exemple avec SCHL'!H45</f>
        <v>0</v>
      </c>
      <c r="I43" s="223">
        <f>H43/H48</f>
        <v>0</v>
      </c>
      <c r="J43" s="284" t="str">
        <f>' Exemple avec SCHL'!J45</f>
        <v>X</v>
      </c>
      <c r="K43" s="25"/>
      <c r="L43" s="38"/>
      <c r="M43" s="38"/>
      <c r="N43" s="38"/>
      <c r="O43" s="38"/>
      <c r="P43" s="38"/>
      <c r="Q43" s="38"/>
      <c r="R43" s="38"/>
      <c r="S43" s="38"/>
      <c r="T43" s="38"/>
      <c r="U43" s="38"/>
      <c r="V43" s="38"/>
      <c r="W43" s="38"/>
      <c r="X43" s="38"/>
      <c r="Y43" s="38"/>
      <c r="Z43" s="2"/>
      <c r="AA43" s="2"/>
      <c r="AB43" s="2"/>
    </row>
    <row r="44" spans="1:28" ht="14.1" customHeight="1" x14ac:dyDescent="0.2">
      <c r="A44" s="34"/>
      <c r="B44" s="40"/>
      <c r="C44" s="41"/>
      <c r="D44" s="22"/>
      <c r="E44" s="22"/>
      <c r="F44" s="22"/>
      <c r="G44" s="10" t="str">
        <f>' Exemple avec SCHL'!G46</f>
        <v>Test d'environnement / Sol</v>
      </c>
      <c r="H44" s="56">
        <f>' Exemple avec SCHL'!H46</f>
        <v>0</v>
      </c>
      <c r="I44" s="223">
        <f>H44/H48</f>
        <v>0</v>
      </c>
      <c r="J44" s="284" t="str">
        <f>' Exemple avec SCHL'!J46</f>
        <v>X</v>
      </c>
      <c r="K44" s="25"/>
      <c r="L44" s="38"/>
      <c r="M44" s="38"/>
      <c r="N44" s="38"/>
      <c r="O44" s="38"/>
      <c r="P44" s="38"/>
      <c r="Q44" s="38"/>
      <c r="R44" s="38"/>
      <c r="S44" s="38"/>
      <c r="T44" s="38"/>
      <c r="U44" s="38"/>
      <c r="V44" s="38"/>
      <c r="W44" s="38"/>
      <c r="X44" s="38"/>
      <c r="Y44" s="38"/>
    </row>
    <row r="45" spans="1:28" ht="14.1" customHeight="1" x14ac:dyDescent="0.2">
      <c r="A45" s="167" t="str">
        <f>' Exemple avec SCHL'!A47</f>
        <v>Évaluation municipale du terrain</v>
      </c>
      <c r="B45" s="5">
        <f>' Exemple avec SCHL'!B47</f>
        <v>0</v>
      </c>
      <c r="C45" s="26"/>
      <c r="D45" s="102"/>
      <c r="E45" s="34"/>
      <c r="F45" s="13"/>
      <c r="G45" s="10" t="str">
        <f>' Exemple avec SCHL'!G47</f>
        <v>Frais d'incorporation</v>
      </c>
      <c r="H45" s="56">
        <f>' Exemple avec SCHL'!H47</f>
        <v>0</v>
      </c>
      <c r="I45" s="223">
        <f>H45/H48</f>
        <v>0</v>
      </c>
      <c r="J45" s="284" t="str">
        <f>' Exemple avec SCHL'!J47</f>
        <v>X</v>
      </c>
      <c r="K45" s="21"/>
      <c r="L45" s="38"/>
      <c r="M45" s="38"/>
      <c r="N45" s="38"/>
      <c r="O45" s="38"/>
      <c r="P45" s="38"/>
      <c r="Q45" s="38"/>
      <c r="R45" s="38"/>
      <c r="S45" s="38"/>
      <c r="T45" s="38"/>
      <c r="U45" s="38"/>
      <c r="V45" s="38"/>
      <c r="W45" s="38"/>
      <c r="X45" s="38"/>
      <c r="Y45" s="38"/>
    </row>
    <row r="46" spans="1:28" ht="14.1" customHeight="1" x14ac:dyDescent="0.2">
      <c r="A46" s="167" t="str">
        <f>' Exemple avec SCHL'!A48</f>
        <v>Évaluation municipale de la bâtisse</v>
      </c>
      <c r="B46" s="5">
        <f>' Exemple avec SCHL'!B48</f>
        <v>793000</v>
      </c>
      <c r="C46" s="26"/>
      <c r="D46" s="42"/>
      <c r="E46" s="34"/>
      <c r="F46" s="96"/>
      <c r="G46" s="10" t="str">
        <f>' Exemple avec SCHL'!G48</f>
        <v>Autres</v>
      </c>
      <c r="H46" s="56">
        <f>' Exemple avec SCHL'!H48</f>
        <v>0</v>
      </c>
      <c r="I46" s="223">
        <f>H46/H48</f>
        <v>0</v>
      </c>
      <c r="J46" s="284" t="str">
        <f>' Exemple avec SCHL'!J48</f>
        <v>X</v>
      </c>
      <c r="K46" s="21"/>
      <c r="L46" s="44"/>
      <c r="M46" s="44"/>
      <c r="N46" s="44"/>
      <c r="O46" s="44"/>
      <c r="P46" s="44"/>
      <c r="Q46" s="44"/>
      <c r="R46" s="44"/>
      <c r="S46" s="44"/>
      <c r="T46" s="44"/>
      <c r="U46" s="44"/>
      <c r="V46" s="44"/>
      <c r="W46" s="44"/>
      <c r="X46" s="44"/>
      <c r="Y46" s="44"/>
    </row>
    <row r="47" spans="1:28" ht="14.1" customHeight="1" x14ac:dyDescent="0.2">
      <c r="A47" s="167" t="str">
        <f>' Exemple avec SCHL'!A49</f>
        <v>Total évaluation municipale de l'immeuble</v>
      </c>
      <c r="B47" s="5">
        <f>B45+B46</f>
        <v>793000</v>
      </c>
      <c r="C47" s="26"/>
      <c r="D47" s="42"/>
      <c r="E47" s="34"/>
      <c r="F47" s="97"/>
      <c r="G47" s="10" t="str">
        <f>' Exemple avec SCHL'!G49</f>
        <v>Réparations à l'acquisition</v>
      </c>
      <c r="H47" s="56">
        <f>' Exemple avec SCHL'!H49</f>
        <v>0</v>
      </c>
      <c r="I47" s="223">
        <f>H47/H48</f>
        <v>0</v>
      </c>
      <c r="J47" s="284" t="str">
        <f>' Exemple avec SCHL'!J49</f>
        <v>X</v>
      </c>
      <c r="K47" s="21"/>
    </row>
    <row r="48" spans="1:28" ht="14.1" customHeight="1" x14ac:dyDescent="0.2">
      <c r="A48" s="167" t="str">
        <f>' Exemple avec SCHL'!A50</f>
        <v>Ratio valeur bâtisse / Valeur total</v>
      </c>
      <c r="B48" s="215">
        <f>B46/(B45+B46)</f>
        <v>1</v>
      </c>
      <c r="C48" s="26"/>
      <c r="D48" s="42"/>
      <c r="E48" s="34"/>
      <c r="F48" s="97"/>
      <c r="G48" s="11" t="s">
        <v>32</v>
      </c>
      <c r="H48" s="12">
        <f>SUM(H34:H47)</f>
        <v>11645</v>
      </c>
      <c r="I48" s="224">
        <f>H48/H48</f>
        <v>1</v>
      </c>
      <c r="J48" s="146"/>
      <c r="K48" s="21"/>
    </row>
    <row r="49" spans="1:11" ht="14.1" customHeight="1" x14ac:dyDescent="0.2">
      <c r="A49" s="191" t="str">
        <f>' Exemple avec SCHL'!A51</f>
        <v>Valeur calcul amortissement</v>
      </c>
      <c r="B49" s="7">
        <f>B48*B16</f>
        <v>685000</v>
      </c>
      <c r="C49" s="41"/>
      <c r="D49" s="42"/>
      <c r="E49" s="34"/>
      <c r="F49" s="96"/>
      <c r="G49" s="34"/>
      <c r="H49" s="34"/>
      <c r="I49" s="34"/>
      <c r="J49" s="34"/>
      <c r="K49" s="21"/>
    </row>
    <row r="50" spans="1:11" ht="14.1" customHeight="1" x14ac:dyDescent="0.2">
      <c r="A50" s="34"/>
      <c r="B50" s="40"/>
      <c r="C50" s="41"/>
      <c r="D50" s="42"/>
      <c r="E50" s="34"/>
      <c r="F50" s="96"/>
      <c r="G50" s="127" t="s">
        <v>22</v>
      </c>
      <c r="H50" s="128"/>
      <c r="I50" s="129"/>
      <c r="J50" s="231"/>
      <c r="K50" s="21"/>
    </row>
    <row r="51" spans="1:11" ht="14.1" customHeight="1" x14ac:dyDescent="0.2">
      <c r="A51" s="34"/>
      <c r="B51" s="40"/>
      <c r="C51" s="41"/>
      <c r="D51" s="42"/>
      <c r="E51" s="34"/>
      <c r="F51" s="96"/>
      <c r="G51" s="123" t="s">
        <v>23</v>
      </c>
      <c r="H51" s="124"/>
      <c r="I51" s="292"/>
      <c r="J51" s="293"/>
      <c r="K51" s="22"/>
    </row>
    <row r="52" spans="1:11" ht="14.1" customHeight="1" x14ac:dyDescent="0.2">
      <c r="A52" s="405" t="str">
        <f>' Exemple avec SCHL'!A54:B54</f>
        <v>Total de l'amortissement que je peux prendre (4% MAX)</v>
      </c>
      <c r="B52" s="406"/>
      <c r="C52" s="41"/>
      <c r="D52" s="42"/>
      <c r="E52" s="34"/>
      <c r="F52" s="96"/>
      <c r="G52" s="123" t="s">
        <v>24</v>
      </c>
      <c r="H52" s="124"/>
      <c r="I52" s="292"/>
      <c r="J52" s="293"/>
      <c r="K52" s="22"/>
    </row>
    <row r="53" spans="1:11" ht="14.1" customHeight="1" x14ac:dyDescent="0.2">
      <c r="A53" s="67" t="str">
        <f>' Exemple avec SCHL'!A55</f>
        <v>Évaluation municipale de la bâtisse (4%)</v>
      </c>
      <c r="B53" s="56">
        <f>B46</f>
        <v>793000</v>
      </c>
      <c r="C53" s="103"/>
      <c r="D53" s="101" t="str">
        <f>' Exemple avec SCHL'!D55</f>
        <v>Amortissement qui a été pris</v>
      </c>
      <c r="E53" s="99" t="str">
        <f>' Exemple avec SCHL'!E55</f>
        <v>Solde</v>
      </c>
      <c r="F53" s="96"/>
      <c r="G53" s="123" t="s">
        <v>25</v>
      </c>
      <c r="H53" s="124"/>
      <c r="I53" s="292"/>
      <c r="J53" s="293"/>
      <c r="K53" s="22"/>
    </row>
    <row r="54" spans="1:11" ht="14.1" customHeight="1" x14ac:dyDescent="0.25">
      <c r="A54" s="100" t="str">
        <f>' Exemple avec SCHL'!A56</f>
        <v>Année 1</v>
      </c>
      <c r="B54" s="56">
        <f>B53*0.02</f>
        <v>15860</v>
      </c>
      <c r="C54" s="103"/>
      <c r="D54" s="94">
        <f>' Exemple avec SCHL'!D56</f>
        <v>0</v>
      </c>
      <c r="E54" s="94">
        <f>B53-D54</f>
        <v>793000</v>
      </c>
      <c r="F54" s="96"/>
      <c r="G54" s="123" t="s">
        <v>26</v>
      </c>
      <c r="H54" s="124"/>
      <c r="I54" s="292"/>
      <c r="J54" s="293"/>
      <c r="K54" s="34"/>
    </row>
    <row r="55" spans="1:11" ht="14.1" customHeight="1" x14ac:dyDescent="0.25">
      <c r="A55" s="100" t="str">
        <f>' Exemple avec SCHL'!A57</f>
        <v>Année 2</v>
      </c>
      <c r="B55" s="56">
        <f>E54*0.04</f>
        <v>31720</v>
      </c>
      <c r="C55" s="103"/>
      <c r="D55" s="94">
        <f>' Exemple avec SCHL'!D57</f>
        <v>0</v>
      </c>
      <c r="E55" s="94">
        <f>E54-D55</f>
        <v>793000</v>
      </c>
      <c r="F55" s="96"/>
      <c r="G55" s="123" t="s">
        <v>27</v>
      </c>
      <c r="H55" s="124"/>
      <c r="I55" s="292"/>
      <c r="J55" s="293"/>
      <c r="K55" s="34"/>
    </row>
    <row r="56" spans="1:11" ht="14.1" customHeight="1" x14ac:dyDescent="0.25">
      <c r="A56" s="100" t="str">
        <f>' Exemple avec SCHL'!A58</f>
        <v>Année 3</v>
      </c>
      <c r="B56" s="56">
        <f t="shared" ref="B56:B85" si="0">E55*0.04</f>
        <v>31720</v>
      </c>
      <c r="C56" s="103"/>
      <c r="D56" s="94">
        <f>' Exemple avec SCHL'!D58</f>
        <v>0</v>
      </c>
      <c r="E56" s="94">
        <f t="shared" ref="E56:E84" si="1">E55-D56</f>
        <v>793000</v>
      </c>
      <c r="F56" s="96"/>
      <c r="G56" s="123" t="s">
        <v>28</v>
      </c>
      <c r="H56" s="124"/>
      <c r="I56" s="292"/>
      <c r="J56" s="293"/>
      <c r="K56" s="34"/>
    </row>
    <row r="57" spans="1:11" ht="14.1" customHeight="1" x14ac:dyDescent="0.25">
      <c r="A57" s="100" t="str">
        <f>' Exemple avec SCHL'!A59</f>
        <v>Année 4</v>
      </c>
      <c r="B57" s="56">
        <f t="shared" si="0"/>
        <v>31720</v>
      </c>
      <c r="C57" s="103"/>
      <c r="D57" s="94">
        <f>' Exemple avec SCHL'!D59</f>
        <v>0</v>
      </c>
      <c r="E57" s="94">
        <f t="shared" si="1"/>
        <v>793000</v>
      </c>
      <c r="F57" s="96"/>
      <c r="G57" s="123" t="s">
        <v>29</v>
      </c>
      <c r="H57" s="124"/>
      <c r="I57" s="292"/>
      <c r="J57" s="293"/>
      <c r="K57" s="34"/>
    </row>
    <row r="58" spans="1:11" ht="14.1" customHeight="1" x14ac:dyDescent="0.25">
      <c r="A58" s="100" t="str">
        <f>' Exemple avec SCHL'!A60</f>
        <v>Année 5</v>
      </c>
      <c r="B58" s="56">
        <f t="shared" si="0"/>
        <v>31720</v>
      </c>
      <c r="C58" s="103"/>
      <c r="D58" s="94">
        <f>' Exemple avec SCHL'!D60</f>
        <v>0</v>
      </c>
      <c r="E58" s="94">
        <f t="shared" si="1"/>
        <v>793000</v>
      </c>
      <c r="F58" s="96"/>
      <c r="G58" s="34"/>
      <c r="H58" s="34"/>
      <c r="I58" s="34"/>
      <c r="J58" s="34"/>
      <c r="K58" s="34"/>
    </row>
    <row r="59" spans="1:11" ht="14.1" customHeight="1" x14ac:dyDescent="0.25">
      <c r="A59" s="100" t="str">
        <f>' Exemple avec SCHL'!A61</f>
        <v>Année 6</v>
      </c>
      <c r="B59" s="56">
        <f t="shared" si="0"/>
        <v>31720</v>
      </c>
      <c r="C59" s="103"/>
      <c r="D59" s="94">
        <f>' Exemple avec SCHL'!D61</f>
        <v>0</v>
      </c>
      <c r="E59" s="94">
        <f t="shared" si="1"/>
        <v>793000</v>
      </c>
      <c r="F59" s="96"/>
      <c r="G59" s="109" t="s">
        <v>163</v>
      </c>
      <c r="H59" s="109" t="s">
        <v>44</v>
      </c>
      <c r="I59" s="109" t="s">
        <v>48</v>
      </c>
      <c r="J59" s="110" t="s">
        <v>47</v>
      </c>
      <c r="K59" s="34"/>
    </row>
    <row r="60" spans="1:11" ht="14.1" customHeight="1" x14ac:dyDescent="0.25">
      <c r="A60" s="100" t="str">
        <f>' Exemple avec SCHL'!A62</f>
        <v>Année 7</v>
      </c>
      <c r="B60" s="56">
        <f t="shared" si="0"/>
        <v>31720</v>
      </c>
      <c r="C60" s="103"/>
      <c r="D60" s="94">
        <f>' Exemple avec SCHL'!D62</f>
        <v>0</v>
      </c>
      <c r="E60" s="94">
        <f t="shared" si="1"/>
        <v>793000</v>
      </c>
      <c r="F60" s="96"/>
      <c r="G60" s="259" t="s">
        <v>140</v>
      </c>
      <c r="H60" s="260"/>
      <c r="I60" s="260"/>
      <c r="J60" s="261"/>
      <c r="K60" s="34"/>
    </row>
    <row r="61" spans="1:11" ht="14.1" customHeight="1" x14ac:dyDescent="0.25">
      <c r="A61" s="100" t="str">
        <f>' Exemple avec SCHL'!A63</f>
        <v>Année 8</v>
      </c>
      <c r="B61" s="56">
        <f t="shared" si="0"/>
        <v>31720</v>
      </c>
      <c r="C61" s="103"/>
      <c r="D61" s="94">
        <f>' Exemple avec SCHL'!D63</f>
        <v>0</v>
      </c>
      <c r="E61" s="94">
        <f t="shared" si="1"/>
        <v>793000</v>
      </c>
      <c r="F61" s="96"/>
      <c r="G61" s="50" t="s">
        <v>141</v>
      </c>
      <c r="H61" s="48" t="s">
        <v>139</v>
      </c>
      <c r="I61" s="48">
        <v>0.05</v>
      </c>
      <c r="J61" s="49" t="s">
        <v>49</v>
      </c>
      <c r="K61" s="34"/>
    </row>
    <row r="62" spans="1:11" ht="14.1" customHeight="1" x14ac:dyDescent="0.25">
      <c r="A62" s="100" t="str">
        <f>' Exemple avec SCHL'!A64</f>
        <v>Année 9</v>
      </c>
      <c r="B62" s="56">
        <f t="shared" si="0"/>
        <v>31720</v>
      </c>
      <c r="C62" s="103"/>
      <c r="D62" s="94">
        <f>' Exemple avec SCHL'!D64</f>
        <v>0</v>
      </c>
      <c r="E62" s="94">
        <f t="shared" si="1"/>
        <v>793000</v>
      </c>
      <c r="F62" s="96"/>
      <c r="G62" s="50" t="s">
        <v>142</v>
      </c>
      <c r="H62" s="48" t="s">
        <v>139</v>
      </c>
      <c r="I62" s="48">
        <v>0.1</v>
      </c>
      <c r="J62" s="49" t="s">
        <v>49</v>
      </c>
      <c r="K62" s="34"/>
    </row>
    <row r="63" spans="1:11" ht="14.1" customHeight="1" x14ac:dyDescent="0.25">
      <c r="A63" s="100" t="str">
        <f>' Exemple avec SCHL'!A65</f>
        <v>Année 10</v>
      </c>
      <c r="B63" s="56">
        <f t="shared" si="0"/>
        <v>31720</v>
      </c>
      <c r="C63" s="103"/>
      <c r="D63" s="94">
        <f>' Exemple avec SCHL'!D65</f>
        <v>0</v>
      </c>
      <c r="E63" s="94">
        <f t="shared" si="1"/>
        <v>793000</v>
      </c>
      <c r="F63" s="96"/>
      <c r="G63" s="50" t="s">
        <v>143</v>
      </c>
      <c r="H63" s="48" t="s">
        <v>139</v>
      </c>
      <c r="I63" s="48">
        <v>0.1</v>
      </c>
      <c r="J63" s="49" t="s">
        <v>49</v>
      </c>
      <c r="K63" s="34"/>
    </row>
    <row r="64" spans="1:11" ht="14.1" customHeight="1" x14ac:dyDescent="0.25">
      <c r="A64" s="100" t="str">
        <f>' Exemple avec SCHL'!A66</f>
        <v>Année 11</v>
      </c>
      <c r="B64" s="56">
        <f t="shared" si="0"/>
        <v>31720</v>
      </c>
      <c r="C64" s="103"/>
      <c r="D64" s="94">
        <f>' Exemple avec SCHL'!D66</f>
        <v>0</v>
      </c>
      <c r="E64" s="94">
        <f t="shared" si="1"/>
        <v>793000</v>
      </c>
      <c r="F64" s="96"/>
      <c r="G64" s="265" t="s">
        <v>156</v>
      </c>
      <c r="H64" s="266"/>
      <c r="I64" s="266"/>
      <c r="J64" s="267"/>
      <c r="K64" s="34"/>
    </row>
    <row r="65" spans="1:11" ht="14.1" customHeight="1" x14ac:dyDescent="0.25">
      <c r="A65" s="100" t="str">
        <f>' Exemple avec SCHL'!A67</f>
        <v>Année 12</v>
      </c>
      <c r="B65" s="56">
        <f t="shared" si="0"/>
        <v>31720</v>
      </c>
      <c r="C65" s="103"/>
      <c r="D65" s="94">
        <f>' Exemple avec SCHL'!D67</f>
        <v>0</v>
      </c>
      <c r="E65" s="94">
        <f t="shared" si="1"/>
        <v>793000</v>
      </c>
      <c r="F65" s="96"/>
      <c r="G65" s="268" t="s">
        <v>257</v>
      </c>
      <c r="H65" s="269"/>
      <c r="I65" s="269"/>
      <c r="J65" s="270"/>
      <c r="K65" s="34"/>
    </row>
    <row r="66" spans="1:11" ht="14.1" customHeight="1" x14ac:dyDescent="0.25">
      <c r="A66" s="100" t="str">
        <f>' Exemple avec SCHL'!A68</f>
        <v>Année 13</v>
      </c>
      <c r="B66" s="56">
        <f t="shared" si="0"/>
        <v>31720</v>
      </c>
      <c r="C66" s="103"/>
      <c r="D66" s="94">
        <f>' Exemple avec SCHL'!D68</f>
        <v>0</v>
      </c>
      <c r="E66" s="94">
        <f t="shared" si="1"/>
        <v>793000</v>
      </c>
      <c r="F66" s="96"/>
      <c r="G66" s="271" t="s">
        <v>157</v>
      </c>
      <c r="H66" s="272"/>
      <c r="I66" s="272"/>
      <c r="J66" s="273"/>
      <c r="K66" s="34"/>
    </row>
    <row r="67" spans="1:11" ht="14.1" customHeight="1" x14ac:dyDescent="0.25">
      <c r="A67" s="100" t="str">
        <f>' Exemple avec SCHL'!A69</f>
        <v>Année 14</v>
      </c>
      <c r="B67" s="56">
        <f t="shared" si="0"/>
        <v>31720</v>
      </c>
      <c r="C67" s="103"/>
      <c r="D67" s="94">
        <f>' Exemple avec SCHL'!D69</f>
        <v>0</v>
      </c>
      <c r="E67" s="94">
        <f t="shared" si="1"/>
        <v>793000</v>
      </c>
      <c r="F67" s="96"/>
      <c r="G67" s="50" t="s">
        <v>45</v>
      </c>
      <c r="H67" s="106" t="s">
        <v>145</v>
      </c>
      <c r="I67" s="48">
        <v>0.15</v>
      </c>
      <c r="J67" s="49" t="s">
        <v>276</v>
      </c>
      <c r="K67" s="34"/>
    </row>
    <row r="68" spans="1:11" ht="14.1" customHeight="1" x14ac:dyDescent="0.25">
      <c r="A68" s="100" t="str">
        <f>' Exemple avec SCHL'!A70</f>
        <v>Année 15</v>
      </c>
      <c r="B68" s="56">
        <f t="shared" si="0"/>
        <v>31720</v>
      </c>
      <c r="C68" s="103"/>
      <c r="D68" s="94">
        <f>' Exemple avec SCHL'!D70</f>
        <v>0</v>
      </c>
      <c r="E68" s="94">
        <f t="shared" si="1"/>
        <v>793000</v>
      </c>
      <c r="F68" s="96"/>
      <c r="G68" s="262" t="s">
        <v>158</v>
      </c>
      <c r="H68" s="263"/>
      <c r="I68" s="263"/>
      <c r="J68" s="264"/>
      <c r="K68" s="34"/>
    </row>
    <row r="69" spans="1:11" ht="14.1" customHeight="1" x14ac:dyDescent="0.25">
      <c r="A69" s="100" t="str">
        <f>' Exemple avec SCHL'!A71</f>
        <v>Année 16</v>
      </c>
      <c r="B69" s="56">
        <f t="shared" si="0"/>
        <v>31720</v>
      </c>
      <c r="C69" s="103"/>
      <c r="D69" s="94">
        <f>' Exemple avec SCHL'!D71</f>
        <v>0</v>
      </c>
      <c r="E69" s="94">
        <f t="shared" si="1"/>
        <v>793000</v>
      </c>
      <c r="F69" s="96"/>
      <c r="G69" s="50" t="s">
        <v>46</v>
      </c>
      <c r="H69" s="106" t="s">
        <v>145</v>
      </c>
      <c r="I69" s="48">
        <v>0.15</v>
      </c>
      <c r="J69" s="49" t="s">
        <v>276</v>
      </c>
      <c r="K69" s="34"/>
    </row>
    <row r="70" spans="1:11" ht="14.1" customHeight="1" x14ac:dyDescent="0.25">
      <c r="A70" s="100" t="str">
        <f>' Exemple avec SCHL'!A72</f>
        <v>Année 17</v>
      </c>
      <c r="B70" s="56">
        <f t="shared" si="0"/>
        <v>31720</v>
      </c>
      <c r="C70" s="103"/>
      <c r="D70" s="94">
        <f>' Exemple avec SCHL'!D72</f>
        <v>0</v>
      </c>
      <c r="E70" s="94">
        <f t="shared" si="1"/>
        <v>793000</v>
      </c>
      <c r="F70" s="96"/>
      <c r="G70" s="274" t="s">
        <v>164</v>
      </c>
      <c r="H70" s="275"/>
      <c r="I70" s="275"/>
      <c r="J70" s="276"/>
      <c r="K70" s="34"/>
    </row>
    <row r="71" spans="1:11" ht="14.1" customHeight="1" x14ac:dyDescent="0.25">
      <c r="A71" s="100" t="str">
        <f>' Exemple avec SCHL'!A73</f>
        <v>Année 18</v>
      </c>
      <c r="B71" s="56">
        <f t="shared" si="0"/>
        <v>31720</v>
      </c>
      <c r="C71" s="103"/>
      <c r="D71" s="94">
        <f>' Exemple avec SCHL'!D73</f>
        <v>0</v>
      </c>
      <c r="E71" s="94">
        <f t="shared" si="1"/>
        <v>793000</v>
      </c>
      <c r="F71" s="96"/>
      <c r="G71" s="34"/>
      <c r="H71" s="34"/>
      <c r="I71" s="34"/>
      <c r="J71" s="34"/>
      <c r="K71" s="34"/>
    </row>
    <row r="72" spans="1:11" ht="14.1" customHeight="1" x14ac:dyDescent="0.25">
      <c r="A72" s="100" t="str">
        <f>' Exemple avec SCHL'!A74</f>
        <v>Année 19</v>
      </c>
      <c r="B72" s="56">
        <f t="shared" si="0"/>
        <v>31720</v>
      </c>
      <c r="C72" s="103"/>
      <c r="D72" s="94">
        <f>' Exemple avec SCHL'!D74</f>
        <v>0</v>
      </c>
      <c r="E72" s="94">
        <f t="shared" si="1"/>
        <v>793000</v>
      </c>
      <c r="F72" s="96"/>
      <c r="G72" s="109" t="s">
        <v>163</v>
      </c>
      <c r="H72" s="109" t="s">
        <v>44</v>
      </c>
      <c r="I72" s="109" t="s">
        <v>48</v>
      </c>
      <c r="J72" s="110" t="s">
        <v>47</v>
      </c>
      <c r="K72" s="34"/>
    </row>
    <row r="73" spans="1:11" ht="14.1" customHeight="1" x14ac:dyDescent="0.25">
      <c r="A73" s="100" t="str">
        <f>' Exemple avec SCHL'!A75</f>
        <v>Année 20</v>
      </c>
      <c r="B73" s="56">
        <f t="shared" si="0"/>
        <v>31720</v>
      </c>
      <c r="C73" s="103"/>
      <c r="D73" s="94">
        <f>' Exemple avec SCHL'!D75</f>
        <v>0</v>
      </c>
      <c r="E73" s="94">
        <f t="shared" si="1"/>
        <v>793000</v>
      </c>
      <c r="F73" s="96"/>
      <c r="G73" s="259" t="s">
        <v>144</v>
      </c>
      <c r="H73" s="260"/>
      <c r="I73" s="260"/>
      <c r="J73" s="261"/>
      <c r="K73" s="34"/>
    </row>
    <row r="74" spans="1:11" ht="14.1" customHeight="1" x14ac:dyDescent="0.25">
      <c r="A74" s="100" t="str">
        <f>' Exemple avec SCHL'!A76</f>
        <v>Année 21</v>
      </c>
      <c r="B74" s="56">
        <f t="shared" si="0"/>
        <v>31720</v>
      </c>
      <c r="C74" s="103"/>
      <c r="D74" s="94">
        <f>' Exemple avec SCHL'!D76</f>
        <v>0</v>
      </c>
      <c r="E74" s="94">
        <f t="shared" si="1"/>
        <v>793000</v>
      </c>
      <c r="F74" s="96"/>
      <c r="G74" s="50" t="s">
        <v>141</v>
      </c>
      <c r="H74" s="53" t="s">
        <v>139</v>
      </c>
      <c r="I74" s="221">
        <v>0.2</v>
      </c>
      <c r="J74" s="54" t="s">
        <v>49</v>
      </c>
      <c r="K74" s="34"/>
    </row>
    <row r="75" spans="1:11" ht="14.1" customHeight="1" x14ac:dyDescent="0.25">
      <c r="A75" s="100" t="str">
        <f>' Exemple avec SCHL'!A77</f>
        <v>Année 22</v>
      </c>
      <c r="B75" s="56">
        <f t="shared" si="0"/>
        <v>31720</v>
      </c>
      <c r="C75" s="103"/>
      <c r="D75" s="94">
        <f>' Exemple avec SCHL'!D77</f>
        <v>0</v>
      </c>
      <c r="E75" s="94">
        <f t="shared" si="1"/>
        <v>793000</v>
      </c>
      <c r="F75" s="96"/>
      <c r="G75" s="50" t="s">
        <v>142</v>
      </c>
      <c r="H75" s="53" t="s">
        <v>139</v>
      </c>
      <c r="I75" s="221">
        <v>0.2</v>
      </c>
      <c r="J75" s="54" t="s">
        <v>49</v>
      </c>
      <c r="K75" s="34"/>
    </row>
    <row r="76" spans="1:11" ht="14.1" customHeight="1" x14ac:dyDescent="0.25">
      <c r="A76" s="100" t="str">
        <f>' Exemple avec SCHL'!A78</f>
        <v>Année 23</v>
      </c>
      <c r="B76" s="56">
        <f t="shared" si="0"/>
        <v>31720</v>
      </c>
      <c r="C76" s="103"/>
      <c r="D76" s="94">
        <f>' Exemple avec SCHL'!D78</f>
        <v>0</v>
      </c>
      <c r="E76" s="94">
        <f t="shared" si="1"/>
        <v>793000</v>
      </c>
      <c r="F76" s="96"/>
      <c r="G76" s="50" t="s">
        <v>143</v>
      </c>
      <c r="H76" s="48" t="s">
        <v>139</v>
      </c>
      <c r="I76" s="221">
        <v>0.2</v>
      </c>
      <c r="J76" s="49" t="s">
        <v>49</v>
      </c>
      <c r="K76" s="34"/>
    </row>
    <row r="77" spans="1:11" ht="14.1" customHeight="1" x14ac:dyDescent="0.25">
      <c r="A77" s="100" t="str">
        <f>' Exemple avec SCHL'!A79</f>
        <v>Année 24</v>
      </c>
      <c r="B77" s="56">
        <f t="shared" si="0"/>
        <v>31720</v>
      </c>
      <c r="C77" s="103"/>
      <c r="D77" s="94">
        <f>' Exemple avec SCHL'!D79</f>
        <v>0</v>
      </c>
      <c r="E77" s="94">
        <f t="shared" si="1"/>
        <v>793000</v>
      </c>
      <c r="F77" s="96"/>
      <c r="G77" s="265" t="s">
        <v>156</v>
      </c>
      <c r="H77" s="266"/>
      <c r="I77" s="266"/>
      <c r="J77" s="267"/>
      <c r="K77" s="34"/>
    </row>
    <row r="78" spans="1:11" ht="14.1" customHeight="1" x14ac:dyDescent="0.25">
      <c r="A78" s="100" t="str">
        <f>' Exemple avec SCHL'!A80</f>
        <v>Année 25</v>
      </c>
      <c r="B78" s="56">
        <f t="shared" si="0"/>
        <v>31720</v>
      </c>
      <c r="C78" s="103"/>
      <c r="D78" s="94">
        <f>' Exemple avec SCHL'!D80</f>
        <v>0</v>
      </c>
      <c r="E78" s="94">
        <f t="shared" si="1"/>
        <v>793000</v>
      </c>
      <c r="F78" s="96"/>
      <c r="G78" s="268" t="s">
        <v>257</v>
      </c>
      <c r="H78" s="269"/>
      <c r="I78" s="269"/>
      <c r="J78" s="270"/>
      <c r="K78" s="34"/>
    </row>
    <row r="79" spans="1:11" ht="14.1" customHeight="1" x14ac:dyDescent="0.25">
      <c r="A79" s="100" t="str">
        <f>' Exemple avec SCHL'!A81</f>
        <v>Année 26</v>
      </c>
      <c r="B79" s="56">
        <f t="shared" si="0"/>
        <v>31720</v>
      </c>
      <c r="C79" s="103"/>
      <c r="D79" s="94">
        <f>' Exemple avec SCHL'!D81</f>
        <v>0</v>
      </c>
      <c r="E79" s="94">
        <f t="shared" si="1"/>
        <v>793000</v>
      </c>
      <c r="F79" s="95"/>
      <c r="G79" s="271" t="s">
        <v>157</v>
      </c>
      <c r="H79" s="272"/>
      <c r="I79" s="272"/>
      <c r="J79" s="273"/>
      <c r="K79" s="34"/>
    </row>
    <row r="80" spans="1:11" ht="14.1" customHeight="1" x14ac:dyDescent="0.25">
      <c r="A80" s="100" t="str">
        <f>' Exemple avec SCHL'!A82</f>
        <v>Année 27</v>
      </c>
      <c r="B80" s="56">
        <f t="shared" si="0"/>
        <v>31720</v>
      </c>
      <c r="C80" s="103"/>
      <c r="D80" s="94">
        <f>' Exemple avec SCHL'!D82</f>
        <v>0</v>
      </c>
      <c r="E80" s="94">
        <f t="shared" si="1"/>
        <v>793000</v>
      </c>
      <c r="F80" s="95"/>
      <c r="G80" s="50" t="s">
        <v>45</v>
      </c>
      <c r="H80" s="48" t="s">
        <v>145</v>
      </c>
      <c r="I80" s="221">
        <v>0.25</v>
      </c>
      <c r="J80" s="49" t="s">
        <v>49</v>
      </c>
      <c r="K80" s="34"/>
    </row>
    <row r="81" spans="1:11" ht="14.1" customHeight="1" x14ac:dyDescent="0.25">
      <c r="A81" s="100" t="str">
        <f>' Exemple avec SCHL'!A83</f>
        <v>Année 28</v>
      </c>
      <c r="B81" s="56">
        <f t="shared" si="0"/>
        <v>31720</v>
      </c>
      <c r="C81" s="103"/>
      <c r="D81" s="94">
        <f>' Exemple avec SCHL'!D83</f>
        <v>0</v>
      </c>
      <c r="E81" s="94">
        <f t="shared" si="1"/>
        <v>793000</v>
      </c>
      <c r="F81" s="95"/>
      <c r="G81" s="274" t="s">
        <v>164</v>
      </c>
      <c r="H81" s="275"/>
      <c r="I81" s="275"/>
      <c r="J81" s="276"/>
      <c r="K81" s="34"/>
    </row>
    <row r="82" spans="1:11" ht="14.1" customHeight="1" x14ac:dyDescent="0.25">
      <c r="A82" s="100" t="str">
        <f>' Exemple avec SCHL'!A84</f>
        <v>Année 29</v>
      </c>
      <c r="B82" s="56">
        <f t="shared" si="0"/>
        <v>31720</v>
      </c>
      <c r="C82" s="103"/>
      <c r="D82" s="94">
        <f>' Exemple avec SCHL'!D84</f>
        <v>0</v>
      </c>
      <c r="E82" s="94">
        <f t="shared" si="1"/>
        <v>793000</v>
      </c>
      <c r="F82" s="95"/>
      <c r="G82" s="50" t="s">
        <v>46</v>
      </c>
      <c r="H82" s="106" t="s">
        <v>145</v>
      </c>
      <c r="I82" s="48">
        <v>0.15</v>
      </c>
      <c r="J82" s="49" t="s">
        <v>276</v>
      </c>
      <c r="K82" s="34"/>
    </row>
    <row r="83" spans="1:11" ht="14.1" customHeight="1" x14ac:dyDescent="0.25">
      <c r="A83" s="100" t="str">
        <f>' Exemple avec SCHL'!A85</f>
        <v>Année 30</v>
      </c>
      <c r="B83" s="56">
        <f t="shared" si="0"/>
        <v>31720</v>
      </c>
      <c r="C83" s="103"/>
      <c r="D83" s="94">
        <f>' Exemple avec SCHL'!D85</f>
        <v>0</v>
      </c>
      <c r="E83" s="94">
        <f t="shared" si="1"/>
        <v>793000</v>
      </c>
      <c r="F83" s="95"/>
      <c r="G83" s="274" t="s">
        <v>164</v>
      </c>
      <c r="H83" s="275"/>
      <c r="I83" s="275"/>
      <c r="J83" s="276"/>
      <c r="K83" s="34"/>
    </row>
    <row r="84" spans="1:11" ht="14.1" customHeight="1" x14ac:dyDescent="0.25">
      <c r="A84" s="100" t="str">
        <f>' Exemple avec SCHL'!A86</f>
        <v>Année 31</v>
      </c>
      <c r="B84" s="56">
        <f t="shared" si="0"/>
        <v>31720</v>
      </c>
      <c r="C84" s="103"/>
      <c r="D84" s="94">
        <f>' Exemple avec SCHL'!D86</f>
        <v>0</v>
      </c>
      <c r="E84" s="94">
        <f t="shared" si="1"/>
        <v>793000</v>
      </c>
      <c r="F84" s="95"/>
      <c r="G84" s="34"/>
      <c r="H84" s="34"/>
      <c r="I84" s="34"/>
      <c r="J84" s="34"/>
      <c r="K84" s="34"/>
    </row>
    <row r="85" spans="1:11" ht="14.1" customHeight="1" x14ac:dyDescent="0.2">
      <c r="A85" s="67" t="s">
        <v>57</v>
      </c>
      <c r="B85" s="56">
        <f t="shared" si="0"/>
        <v>31720</v>
      </c>
      <c r="C85" s="105"/>
      <c r="D85" s="98">
        <f>SUM(D54:D77)</f>
        <v>0</v>
      </c>
      <c r="E85" s="95"/>
      <c r="F85" s="43"/>
      <c r="G85" s="111" t="s">
        <v>163</v>
      </c>
      <c r="H85" s="111" t="s">
        <v>44</v>
      </c>
      <c r="I85" s="111" t="s">
        <v>48</v>
      </c>
      <c r="J85" s="112" t="s">
        <v>47</v>
      </c>
      <c r="K85" s="34"/>
    </row>
    <row r="86" spans="1:11" ht="14.1" customHeight="1" x14ac:dyDescent="0.2">
      <c r="A86" s="34"/>
      <c r="B86" s="40"/>
      <c r="C86" s="41"/>
      <c r="D86" s="42"/>
      <c r="E86" s="34"/>
      <c r="F86" s="225"/>
      <c r="G86" s="259" t="s">
        <v>146</v>
      </c>
      <c r="H86" s="260"/>
      <c r="I86" s="260"/>
      <c r="J86" s="261"/>
      <c r="K86" s="34"/>
    </row>
    <row r="87" spans="1:11" ht="14.1" customHeight="1" x14ac:dyDescent="0.2">
      <c r="A87" s="34"/>
      <c r="B87" s="40"/>
      <c r="C87" s="41"/>
      <c r="D87" s="42"/>
      <c r="E87" s="34"/>
      <c r="F87" s="225"/>
      <c r="G87" s="50" t="s">
        <v>141</v>
      </c>
      <c r="H87" s="48" t="s">
        <v>139</v>
      </c>
      <c r="I87" s="48">
        <v>0.2</v>
      </c>
      <c r="J87" s="49" t="s">
        <v>277</v>
      </c>
      <c r="K87" s="34"/>
    </row>
    <row r="88" spans="1:11" ht="14.1" customHeight="1" x14ac:dyDescent="0.2">
      <c r="A88" s="34"/>
      <c r="B88" s="229" t="s">
        <v>51</v>
      </c>
      <c r="C88" s="229"/>
      <c r="D88" s="229"/>
      <c r="E88" s="34"/>
      <c r="F88" s="225"/>
      <c r="G88" s="50" t="s">
        <v>142</v>
      </c>
      <c r="H88" s="48" t="s">
        <v>139</v>
      </c>
      <c r="I88" s="48">
        <v>0.2</v>
      </c>
      <c r="J88" s="49" t="s">
        <v>277</v>
      </c>
      <c r="K88" s="34"/>
    </row>
    <row r="89" spans="1:11" ht="14.1" customHeight="1" x14ac:dyDescent="0.2">
      <c r="A89" s="433"/>
      <c r="B89" s="434"/>
      <c r="C89" s="435"/>
      <c r="D89" s="436"/>
      <c r="E89" s="34"/>
      <c r="F89" s="225"/>
      <c r="G89" s="50" t="s">
        <v>143</v>
      </c>
      <c r="H89" s="48" t="s">
        <v>139</v>
      </c>
      <c r="I89" s="48">
        <v>0.2</v>
      </c>
      <c r="J89" s="49" t="s">
        <v>277</v>
      </c>
      <c r="K89" s="34"/>
    </row>
    <row r="90" spans="1:11" ht="14.1" customHeight="1" x14ac:dyDescent="0.2">
      <c r="A90" s="34"/>
      <c r="B90" s="229" t="s">
        <v>263</v>
      </c>
      <c r="C90" s="435"/>
      <c r="D90" s="436"/>
      <c r="E90" s="34"/>
      <c r="F90" s="225"/>
      <c r="G90" s="265" t="s">
        <v>156</v>
      </c>
      <c r="H90" s="266"/>
      <c r="I90" s="266"/>
      <c r="J90" s="267"/>
      <c r="K90" s="34"/>
    </row>
    <row r="91" spans="1:11" ht="14.1" customHeight="1" x14ac:dyDescent="0.2">
      <c r="A91" s="34"/>
      <c r="B91" s="40"/>
      <c r="C91" s="41"/>
      <c r="D91" s="42"/>
      <c r="E91" s="34"/>
      <c r="F91" s="225"/>
      <c r="G91" s="268" t="s">
        <v>257</v>
      </c>
      <c r="H91" s="269"/>
      <c r="I91" s="269"/>
      <c r="J91" s="270"/>
      <c r="K91" s="34"/>
    </row>
    <row r="92" spans="1:11" ht="14.1" customHeight="1" x14ac:dyDescent="0.2">
      <c r="A92" s="34"/>
      <c r="B92" s="40"/>
      <c r="C92" s="41"/>
      <c r="D92" s="42"/>
      <c r="E92" s="34"/>
      <c r="F92" s="225"/>
      <c r="G92" s="271" t="s">
        <v>157</v>
      </c>
      <c r="H92" s="272"/>
      <c r="I92" s="272"/>
      <c r="J92" s="273"/>
      <c r="K92" s="34"/>
    </row>
    <row r="93" spans="1:11" ht="14.1" customHeight="1" x14ac:dyDescent="0.2">
      <c r="A93" s="34"/>
      <c r="B93" s="40"/>
      <c r="C93" s="41"/>
      <c r="D93" s="42"/>
      <c r="E93" s="34"/>
      <c r="F93" s="225"/>
      <c r="G93" s="50" t="s">
        <v>45</v>
      </c>
      <c r="H93" s="106" t="s">
        <v>145</v>
      </c>
      <c r="I93" s="48">
        <v>0.25</v>
      </c>
      <c r="J93" s="49" t="s">
        <v>49</v>
      </c>
      <c r="K93" s="34"/>
    </row>
    <row r="94" spans="1:11" ht="14.1" customHeight="1" x14ac:dyDescent="0.2">
      <c r="A94" s="34"/>
      <c r="B94" s="40"/>
      <c r="C94" s="41"/>
      <c r="D94" s="42"/>
      <c r="E94" s="34"/>
      <c r="F94" s="225"/>
      <c r="G94" s="262" t="s">
        <v>158</v>
      </c>
      <c r="H94" s="263"/>
      <c r="I94" s="263"/>
      <c r="J94" s="264"/>
      <c r="K94" s="34"/>
    </row>
    <row r="95" spans="1:11" ht="14.1" customHeight="1" x14ac:dyDescent="0.2">
      <c r="A95" s="34"/>
      <c r="B95" s="40"/>
      <c r="C95" s="41"/>
      <c r="D95" s="42"/>
      <c r="E95" s="34"/>
      <c r="F95" s="225"/>
      <c r="G95" s="50" t="s">
        <v>46</v>
      </c>
      <c r="H95" s="106" t="s">
        <v>145</v>
      </c>
      <c r="I95" s="48">
        <v>0.25</v>
      </c>
      <c r="J95" s="49" t="s">
        <v>49</v>
      </c>
      <c r="K95" s="34"/>
    </row>
    <row r="96" spans="1:11" ht="14.1" customHeight="1" x14ac:dyDescent="0.2">
      <c r="A96" s="34"/>
      <c r="B96" s="40"/>
      <c r="C96" s="41"/>
      <c r="D96" s="42"/>
      <c r="E96" s="34"/>
      <c r="F96" s="225"/>
      <c r="G96" s="274" t="s">
        <v>164</v>
      </c>
      <c r="H96" s="275"/>
      <c r="I96" s="275"/>
      <c r="J96" s="276"/>
      <c r="K96" s="34"/>
    </row>
    <row r="97" spans="1:11" ht="14.1" customHeight="1" x14ac:dyDescent="0.2">
      <c r="A97" s="34"/>
      <c r="B97" s="40"/>
      <c r="C97" s="41"/>
      <c r="D97" s="42"/>
      <c r="E97" s="34"/>
      <c r="F97" s="225"/>
      <c r="G97" s="34"/>
      <c r="H97" s="34"/>
      <c r="I97" s="34"/>
      <c r="J97" s="34"/>
      <c r="K97" s="34"/>
    </row>
    <row r="98" spans="1:11" ht="14.1" customHeight="1" x14ac:dyDescent="0.2">
      <c r="A98" s="34"/>
      <c r="B98" s="40"/>
      <c r="C98" s="41"/>
      <c r="D98" s="42"/>
      <c r="E98" s="34"/>
      <c r="F98" s="225"/>
      <c r="G98" s="111" t="s">
        <v>163</v>
      </c>
      <c r="H98" s="111" t="s">
        <v>44</v>
      </c>
      <c r="I98" s="111" t="s">
        <v>48</v>
      </c>
      <c r="J98" s="112" t="s">
        <v>47</v>
      </c>
      <c r="K98" s="34"/>
    </row>
    <row r="99" spans="1:11" ht="14.1" customHeight="1" x14ac:dyDescent="0.2">
      <c r="A99" s="34"/>
      <c r="B99" s="40"/>
      <c r="C99" s="41"/>
      <c r="D99" s="42"/>
      <c r="E99" s="34"/>
      <c r="F99" s="225"/>
      <c r="G99" s="259" t="s">
        <v>147</v>
      </c>
      <c r="H99" s="260"/>
      <c r="I99" s="260"/>
      <c r="J99" s="261"/>
      <c r="K99" s="34"/>
    </row>
    <row r="100" spans="1:11" ht="14.1" customHeight="1" x14ac:dyDescent="0.2">
      <c r="A100" s="34"/>
      <c r="B100" s="40"/>
      <c r="C100" s="41"/>
      <c r="D100" s="42"/>
      <c r="E100" s="34"/>
      <c r="F100" s="225"/>
      <c r="G100" s="50" t="s">
        <v>141</v>
      </c>
      <c r="H100" s="53" t="s">
        <v>139</v>
      </c>
      <c r="I100" s="53">
        <v>0.2</v>
      </c>
      <c r="J100" s="54" t="s">
        <v>49</v>
      </c>
      <c r="K100" s="34"/>
    </row>
    <row r="101" spans="1:11" ht="14.1" customHeight="1" x14ac:dyDescent="0.2">
      <c r="A101" s="34"/>
      <c r="B101" s="40"/>
      <c r="C101" s="41"/>
      <c r="D101" s="42"/>
      <c r="E101" s="34"/>
      <c r="F101" s="225"/>
      <c r="G101" s="50" t="s">
        <v>142</v>
      </c>
      <c r="H101" s="53" t="s">
        <v>139</v>
      </c>
      <c r="I101" s="53">
        <v>0.2</v>
      </c>
      <c r="J101" s="54" t="s">
        <v>49</v>
      </c>
      <c r="K101" s="34"/>
    </row>
    <row r="102" spans="1:11" ht="14.1" customHeight="1" x14ac:dyDescent="0.2">
      <c r="A102" s="34"/>
      <c r="B102" s="40"/>
      <c r="C102" s="41"/>
      <c r="D102" s="42"/>
      <c r="E102" s="34"/>
      <c r="F102" s="225"/>
      <c r="G102" s="50" t="s">
        <v>143</v>
      </c>
      <c r="H102" s="48" t="s">
        <v>139</v>
      </c>
      <c r="I102" s="48">
        <v>0.2</v>
      </c>
      <c r="J102" s="49" t="s">
        <v>49</v>
      </c>
      <c r="K102" s="34"/>
    </row>
    <row r="103" spans="1:11" ht="14.1" customHeight="1" x14ac:dyDescent="0.2">
      <c r="A103" s="34"/>
      <c r="B103" s="40"/>
      <c r="C103" s="41"/>
      <c r="D103" s="42"/>
      <c r="E103" s="34"/>
      <c r="F103" s="225"/>
      <c r="G103" s="265" t="s">
        <v>156</v>
      </c>
      <c r="H103" s="266"/>
      <c r="I103" s="266"/>
      <c r="J103" s="267"/>
      <c r="K103" s="34"/>
    </row>
    <row r="104" spans="1:11" ht="14.1" customHeight="1" x14ac:dyDescent="0.2">
      <c r="A104" s="34"/>
      <c r="B104" s="40"/>
      <c r="C104" s="41"/>
      <c r="D104" s="42"/>
      <c r="E104" s="34"/>
      <c r="F104" s="225"/>
      <c r="G104" s="268" t="s">
        <v>257</v>
      </c>
      <c r="H104" s="269"/>
      <c r="I104" s="269"/>
      <c r="J104" s="270"/>
      <c r="K104" s="34"/>
    </row>
    <row r="105" spans="1:11" x14ac:dyDescent="0.2">
      <c r="A105" s="34"/>
      <c r="B105" s="40"/>
      <c r="C105" s="41"/>
      <c r="D105" s="42"/>
      <c r="E105" s="34"/>
      <c r="F105" s="225"/>
      <c r="G105" s="271" t="s">
        <v>157</v>
      </c>
      <c r="H105" s="272"/>
      <c r="I105" s="272"/>
      <c r="J105" s="273"/>
      <c r="K105" s="34"/>
    </row>
    <row r="106" spans="1:11" x14ac:dyDescent="0.2">
      <c r="A106" s="34"/>
      <c r="B106" s="40"/>
      <c r="C106" s="41"/>
      <c r="D106" s="42"/>
      <c r="E106" s="34"/>
      <c r="F106" s="225"/>
      <c r="G106" s="50" t="s">
        <v>45</v>
      </c>
      <c r="H106" s="106" t="s">
        <v>145</v>
      </c>
      <c r="I106" s="48">
        <v>0.25</v>
      </c>
      <c r="J106" s="49" t="s">
        <v>49</v>
      </c>
      <c r="K106" s="34"/>
    </row>
    <row r="107" spans="1:11" x14ac:dyDescent="0.2">
      <c r="A107" s="34"/>
      <c r="B107" s="40"/>
      <c r="C107" s="41"/>
      <c r="D107" s="42"/>
      <c r="E107" s="34"/>
      <c r="F107" s="225"/>
      <c r="G107" s="262" t="s">
        <v>158</v>
      </c>
      <c r="H107" s="263"/>
      <c r="I107" s="263"/>
      <c r="J107" s="264"/>
      <c r="K107" s="34"/>
    </row>
    <row r="108" spans="1:11" x14ac:dyDescent="0.2">
      <c r="A108" s="34"/>
      <c r="B108" s="40"/>
      <c r="C108" s="41"/>
      <c r="D108" s="42"/>
      <c r="E108" s="34"/>
      <c r="F108" s="225"/>
      <c r="G108" s="50" t="s">
        <v>46</v>
      </c>
      <c r="H108" s="106" t="s">
        <v>145</v>
      </c>
      <c r="I108" s="48">
        <v>0.25</v>
      </c>
      <c r="J108" s="49" t="s">
        <v>49</v>
      </c>
      <c r="K108" s="34"/>
    </row>
    <row r="109" spans="1:11" x14ac:dyDescent="0.2">
      <c r="A109" s="34"/>
      <c r="B109" s="40"/>
      <c r="C109" s="41"/>
      <c r="D109" s="42"/>
      <c r="E109" s="34"/>
      <c r="F109" s="225"/>
      <c r="G109" s="274" t="s">
        <v>164</v>
      </c>
      <c r="H109" s="275"/>
      <c r="I109" s="275"/>
      <c r="J109" s="276"/>
      <c r="K109" s="34"/>
    </row>
    <row r="110" spans="1:11" x14ac:dyDescent="0.2">
      <c r="A110" s="34"/>
      <c r="B110" s="40"/>
      <c r="C110" s="41"/>
      <c r="D110" s="42"/>
      <c r="E110" s="34"/>
      <c r="F110" s="225"/>
      <c r="G110" s="34"/>
      <c r="H110" s="34"/>
      <c r="I110" s="34"/>
      <c r="J110" s="34"/>
      <c r="K110" s="34"/>
    </row>
    <row r="111" spans="1:11" x14ac:dyDescent="0.2">
      <c r="A111" s="34"/>
      <c r="B111" s="40"/>
      <c r="C111" s="41"/>
      <c r="D111" s="42"/>
      <c r="E111" s="34"/>
      <c r="F111" s="225"/>
      <c r="G111" s="34"/>
      <c r="H111" s="34"/>
      <c r="I111" s="34"/>
      <c r="J111" s="34"/>
      <c r="K111" s="34"/>
    </row>
    <row r="114" spans="7:10" x14ac:dyDescent="0.2">
      <c r="G114" s="45"/>
      <c r="H114" s="45"/>
      <c r="I114" s="45"/>
      <c r="J114" s="45"/>
    </row>
    <row r="115" spans="7:10" x14ac:dyDescent="0.2">
      <c r="G115" s="45"/>
      <c r="H115" s="45"/>
      <c r="I115" s="45"/>
      <c r="J115" s="45"/>
    </row>
    <row r="116" spans="7:10" x14ac:dyDescent="0.2">
      <c r="G116" s="45"/>
      <c r="H116" s="45"/>
      <c r="I116" s="45"/>
      <c r="J116" s="45"/>
    </row>
    <row r="117" spans="7:10" x14ac:dyDescent="0.2">
      <c r="G117" s="45"/>
      <c r="H117" s="45"/>
      <c r="I117" s="45"/>
      <c r="J117" s="45"/>
    </row>
    <row r="118" spans="7:10" x14ac:dyDescent="0.2">
      <c r="G118" s="45"/>
      <c r="H118" s="45"/>
      <c r="I118" s="45"/>
      <c r="J118" s="45"/>
    </row>
    <row r="119" spans="7:10" x14ac:dyDescent="0.2">
      <c r="G119" s="45"/>
      <c r="H119" s="45"/>
      <c r="I119" s="45"/>
      <c r="J119" s="45"/>
    </row>
    <row r="120" spans="7:10" x14ac:dyDescent="0.2">
      <c r="G120" s="45"/>
      <c r="H120" s="45"/>
      <c r="I120" s="45"/>
      <c r="J120" s="45"/>
    </row>
    <row r="121" spans="7:10" x14ac:dyDescent="0.2">
      <c r="G121" s="45"/>
      <c r="H121" s="45"/>
      <c r="I121" s="45"/>
      <c r="J121" s="45"/>
    </row>
    <row r="122" spans="7:10" x14ac:dyDescent="0.2">
      <c r="G122" s="45"/>
      <c r="H122" s="45"/>
      <c r="I122" s="45"/>
      <c r="J122" s="45"/>
    </row>
    <row r="123" spans="7:10" x14ac:dyDescent="0.2">
      <c r="G123" s="45"/>
      <c r="H123" s="45"/>
      <c r="I123" s="45"/>
      <c r="J123" s="45"/>
    </row>
    <row r="124" spans="7:10" x14ac:dyDescent="0.2">
      <c r="G124" s="45"/>
      <c r="H124" s="45"/>
      <c r="I124" s="45"/>
      <c r="J124" s="45"/>
    </row>
    <row r="125" spans="7:10" x14ac:dyDescent="0.2">
      <c r="G125" s="45"/>
      <c r="H125" s="45"/>
      <c r="I125" s="45"/>
      <c r="J125" s="45"/>
    </row>
    <row r="126" spans="7:10" x14ac:dyDescent="0.2">
      <c r="G126" s="45"/>
      <c r="H126" s="45"/>
      <c r="I126" s="45"/>
      <c r="J126" s="45"/>
    </row>
    <row r="127" spans="7:10" x14ac:dyDescent="0.2">
      <c r="G127" s="45"/>
      <c r="H127" s="45"/>
      <c r="I127" s="45"/>
      <c r="J127" s="45"/>
    </row>
    <row r="128" spans="7:10" x14ac:dyDescent="0.2">
      <c r="G128" s="45"/>
      <c r="H128" s="45"/>
      <c r="I128" s="45"/>
      <c r="J128" s="45"/>
    </row>
    <row r="129" spans="7:10" x14ac:dyDescent="0.2">
      <c r="G129" s="45"/>
      <c r="H129" s="45"/>
      <c r="I129" s="45"/>
      <c r="J129" s="45"/>
    </row>
    <row r="130" spans="7:10" x14ac:dyDescent="0.2">
      <c r="G130" s="45"/>
      <c r="H130" s="45"/>
      <c r="I130" s="45"/>
      <c r="J130" s="45"/>
    </row>
    <row r="131" spans="7:10" x14ac:dyDescent="0.2">
      <c r="G131" s="45"/>
      <c r="H131" s="45"/>
      <c r="I131" s="45"/>
      <c r="J131" s="45"/>
    </row>
    <row r="132" spans="7:10" x14ac:dyDescent="0.2">
      <c r="G132" s="45"/>
      <c r="H132" s="45"/>
      <c r="I132" s="45"/>
      <c r="J132" s="45"/>
    </row>
    <row r="133" spans="7:10" x14ac:dyDescent="0.2">
      <c r="G133" s="45"/>
      <c r="H133" s="45"/>
      <c r="I133" s="45"/>
      <c r="J133" s="45"/>
    </row>
    <row r="134" spans="7:10" x14ac:dyDescent="0.2">
      <c r="G134" s="45"/>
      <c r="H134" s="45"/>
      <c r="I134" s="45"/>
      <c r="J134" s="45"/>
    </row>
    <row r="135" spans="7:10" x14ac:dyDescent="0.2">
      <c r="G135" s="45"/>
      <c r="H135" s="45"/>
      <c r="I135" s="45"/>
      <c r="J135" s="45"/>
    </row>
    <row r="136" spans="7:10" x14ac:dyDescent="0.2">
      <c r="G136" s="45"/>
      <c r="H136" s="45"/>
      <c r="I136" s="45"/>
      <c r="J136" s="45"/>
    </row>
    <row r="137" spans="7:10" x14ac:dyDescent="0.2">
      <c r="G137" s="45"/>
      <c r="H137" s="45"/>
      <c r="I137" s="45"/>
      <c r="J137" s="45"/>
    </row>
    <row r="138" spans="7:10" x14ac:dyDescent="0.2">
      <c r="G138" s="45"/>
      <c r="H138" s="45"/>
      <c r="I138" s="45"/>
      <c r="J138" s="45"/>
    </row>
    <row r="139" spans="7:10" x14ac:dyDescent="0.2">
      <c r="G139" s="45"/>
      <c r="H139" s="45"/>
      <c r="I139" s="45"/>
      <c r="J139" s="45"/>
    </row>
    <row r="140" spans="7:10" x14ac:dyDescent="0.2">
      <c r="G140" s="45"/>
      <c r="H140" s="45"/>
      <c r="I140" s="45"/>
      <c r="J140" s="45"/>
    </row>
    <row r="141" spans="7:10" x14ac:dyDescent="0.2">
      <c r="G141" s="45"/>
      <c r="H141" s="45"/>
      <c r="I141" s="45"/>
      <c r="J141" s="45"/>
    </row>
    <row r="142" spans="7:10" x14ac:dyDescent="0.2">
      <c r="G142" s="45"/>
      <c r="H142" s="45"/>
      <c r="I142" s="45"/>
      <c r="J142" s="45"/>
    </row>
    <row r="143" spans="7:10" x14ac:dyDescent="0.2">
      <c r="G143" s="45"/>
      <c r="H143" s="45"/>
      <c r="I143" s="45"/>
      <c r="J143" s="45"/>
    </row>
    <row r="144" spans="7:10" x14ac:dyDescent="0.2">
      <c r="G144" s="45"/>
      <c r="H144" s="45"/>
      <c r="I144" s="45"/>
      <c r="J144" s="45"/>
    </row>
    <row r="145" spans="7:10" x14ac:dyDescent="0.2">
      <c r="G145" s="45"/>
      <c r="H145" s="45"/>
      <c r="I145" s="45"/>
      <c r="J145" s="45"/>
    </row>
    <row r="146" spans="7:10" x14ac:dyDescent="0.2">
      <c r="G146" s="45"/>
      <c r="H146" s="45"/>
      <c r="I146" s="45"/>
      <c r="J146" s="45"/>
    </row>
    <row r="147" spans="7:10" x14ac:dyDescent="0.2">
      <c r="G147" s="45"/>
      <c r="H147" s="45"/>
      <c r="I147" s="45"/>
      <c r="J147" s="45"/>
    </row>
    <row r="148" spans="7:10" x14ac:dyDescent="0.2">
      <c r="G148" s="45"/>
      <c r="H148" s="45"/>
      <c r="I148" s="45"/>
      <c r="J148" s="45"/>
    </row>
    <row r="149" spans="7:10" x14ac:dyDescent="0.2">
      <c r="G149" s="45"/>
      <c r="H149" s="45"/>
      <c r="I149" s="45"/>
      <c r="J149" s="45"/>
    </row>
    <row r="150" spans="7:10" x14ac:dyDescent="0.2">
      <c r="G150" s="45"/>
      <c r="H150" s="45"/>
      <c r="I150" s="45"/>
      <c r="J150" s="45"/>
    </row>
    <row r="151" spans="7:10" x14ac:dyDescent="0.2">
      <c r="G151" s="45"/>
      <c r="H151" s="45"/>
      <c r="I151" s="45"/>
      <c r="J151" s="45"/>
    </row>
    <row r="152" spans="7:10" x14ac:dyDescent="0.2">
      <c r="G152" s="45"/>
      <c r="H152" s="45"/>
      <c r="I152" s="45"/>
      <c r="J152" s="45"/>
    </row>
    <row r="153" spans="7:10" x14ac:dyDescent="0.2">
      <c r="G153" s="45"/>
      <c r="H153" s="45"/>
      <c r="I153" s="45"/>
      <c r="J153" s="45"/>
    </row>
    <row r="154" spans="7:10" x14ac:dyDescent="0.2">
      <c r="G154" s="45"/>
      <c r="H154" s="45"/>
      <c r="I154" s="45"/>
      <c r="J154" s="45"/>
    </row>
    <row r="155" spans="7:10" x14ac:dyDescent="0.2">
      <c r="G155" s="45"/>
      <c r="H155" s="45"/>
      <c r="I155" s="45"/>
      <c r="J155" s="45"/>
    </row>
    <row r="156" spans="7:10" x14ac:dyDescent="0.2">
      <c r="G156" s="45"/>
      <c r="H156" s="45"/>
      <c r="I156" s="45"/>
      <c r="J156" s="45"/>
    </row>
    <row r="157" spans="7:10" x14ac:dyDescent="0.2">
      <c r="G157" s="45"/>
      <c r="H157" s="45"/>
      <c r="I157" s="45"/>
      <c r="J157" s="45"/>
    </row>
    <row r="158" spans="7:10" x14ac:dyDescent="0.2">
      <c r="G158" s="45"/>
      <c r="H158" s="45"/>
      <c r="I158" s="45"/>
      <c r="J158" s="45"/>
    </row>
    <row r="159" spans="7:10" x14ac:dyDescent="0.2">
      <c r="G159" s="45"/>
      <c r="H159" s="45"/>
      <c r="I159" s="45"/>
      <c r="J159" s="45"/>
    </row>
    <row r="160" spans="7:10" x14ac:dyDescent="0.2">
      <c r="G160" s="45"/>
      <c r="H160" s="45"/>
      <c r="I160" s="45"/>
      <c r="J160" s="45"/>
    </row>
    <row r="161" spans="5:10" x14ac:dyDescent="0.2">
      <c r="G161" s="45"/>
      <c r="H161" s="45"/>
      <c r="I161" s="45"/>
      <c r="J161" s="45"/>
    </row>
    <row r="162" spans="5:10" x14ac:dyDescent="0.2">
      <c r="G162" s="45"/>
      <c r="H162" s="45"/>
      <c r="I162" s="45"/>
      <c r="J162" s="45"/>
    </row>
    <row r="163" spans="5:10" x14ac:dyDescent="0.2">
      <c r="G163" s="45"/>
      <c r="H163" s="45"/>
      <c r="I163" s="45"/>
      <c r="J163" s="45"/>
    </row>
    <row r="164" spans="5:10" x14ac:dyDescent="0.2">
      <c r="G164" s="45"/>
      <c r="H164" s="45"/>
      <c r="I164" s="45"/>
      <c r="J164" s="45"/>
    </row>
    <row r="165" spans="5:10" x14ac:dyDescent="0.2">
      <c r="G165" s="45"/>
      <c r="H165" s="45"/>
      <c r="I165" s="45"/>
      <c r="J165" s="45"/>
    </row>
    <row r="166" spans="5:10" x14ac:dyDescent="0.2">
      <c r="G166" s="45"/>
      <c r="H166" s="45"/>
      <c r="I166" s="45"/>
      <c r="J166" s="45"/>
    </row>
    <row r="167" spans="5:10" x14ac:dyDescent="0.2">
      <c r="G167" s="45"/>
      <c r="H167" s="45"/>
      <c r="I167" s="45"/>
      <c r="J167" s="45"/>
    </row>
    <row r="175" spans="5:10" x14ac:dyDescent="0.2">
      <c r="E175" s="1"/>
      <c r="F175" s="1"/>
    </row>
    <row r="176" spans="5:10" x14ac:dyDescent="0.2">
      <c r="E176" s="1"/>
      <c r="F176" s="1"/>
    </row>
    <row r="177" spans="5:7" x14ac:dyDescent="0.2">
      <c r="E177" s="1"/>
      <c r="F177" s="1"/>
    </row>
    <row r="178" spans="5:7" x14ac:dyDescent="0.2">
      <c r="E178" s="1"/>
      <c r="F178" s="1"/>
    </row>
    <row r="179" spans="5:7" x14ac:dyDescent="0.2">
      <c r="E179" s="1"/>
      <c r="F179" s="1"/>
    </row>
    <row r="180" spans="5:7" x14ac:dyDescent="0.2">
      <c r="E180" s="1"/>
      <c r="F180" s="1"/>
    </row>
    <row r="182" spans="5:7" x14ac:dyDescent="0.2">
      <c r="G182" s="1"/>
    </row>
    <row r="183" spans="5:7" x14ac:dyDescent="0.2">
      <c r="G183" s="1"/>
    </row>
    <row r="184" spans="5:7" x14ac:dyDescent="0.2">
      <c r="G184" s="1"/>
    </row>
    <row r="185" spans="5:7" x14ac:dyDescent="0.2">
      <c r="G185" s="1"/>
    </row>
    <row r="186" spans="5:7" x14ac:dyDescent="0.2">
      <c r="G186" s="1"/>
    </row>
    <row r="187" spans="5:7" x14ac:dyDescent="0.2">
      <c r="G187" s="1"/>
    </row>
  </sheetData>
  <mergeCells count="14">
    <mergeCell ref="G8:H8"/>
    <mergeCell ref="A52:B52"/>
    <mergeCell ref="B1:D1"/>
    <mergeCell ref="B2:D2"/>
    <mergeCell ref="B3:D3"/>
    <mergeCell ref="B4:D4"/>
    <mergeCell ref="B5:D5"/>
    <mergeCell ref="F5:H5"/>
    <mergeCell ref="F6:H6"/>
    <mergeCell ref="I2:I3"/>
    <mergeCell ref="F2:H2"/>
    <mergeCell ref="F1:I1"/>
    <mergeCell ref="F3:H3"/>
    <mergeCell ref="F4:H4"/>
  </mergeCells>
  <hyperlinks>
    <hyperlink ref="C27" r:id="rId1" display="Mapliv"/>
    <hyperlink ref="B88" r:id="rId2"/>
    <hyperlink ref="B90" r:id="rId3"/>
    <hyperlink ref="G8:H8" r:id="rId4" display="http://www.patricemenard.com/indice"/>
  </hyperlinks>
  <pageMargins left="0.78740157499999996" right="0.78740157499999996" top="0.984251969" bottom="0.984251969" header="0.5" footer="0.5"/>
  <pageSetup scale="24" orientation="portrait" r:id="rId5"/>
  <headerFooter alignWithMargins="0"/>
  <drawing r:id="rId6"/>
  <legacyDrawing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5"/>
  <sheetViews>
    <sheetView zoomScaleNormal="100" workbookViewId="0">
      <selection activeCell="F22" sqref="F22"/>
    </sheetView>
  </sheetViews>
  <sheetFormatPr baseColWidth="10" defaultRowHeight="12.75" x14ac:dyDescent="0.2"/>
  <cols>
    <col min="2" max="2" width="33.7109375" customWidth="1"/>
    <col min="3" max="3" width="23.85546875" customWidth="1"/>
    <col min="4" max="4" width="13.28515625" bestFit="1" customWidth="1"/>
    <col min="5" max="5" width="14" customWidth="1"/>
    <col min="7" max="7" width="55.7109375" customWidth="1"/>
    <col min="8" max="8" width="13" customWidth="1"/>
    <col min="9" max="9" width="18.7109375" customWidth="1"/>
    <col min="10" max="10" width="20.85546875" customWidth="1"/>
  </cols>
  <sheetData>
    <row r="1" spans="1:11" x14ac:dyDescent="0.2">
      <c r="B1" s="423" t="str">
        <f>'Financement avec SCHL'!B1</f>
        <v>Montant de l'hypothèque à financer</v>
      </c>
      <c r="C1" s="424"/>
      <c r="D1" s="411">
        <f>' Exemple sans SCHL'!B19</f>
        <v>513750</v>
      </c>
      <c r="E1" s="412"/>
      <c r="F1" s="286"/>
      <c r="G1" s="109" t="s">
        <v>163</v>
      </c>
      <c r="H1" s="109" t="s">
        <v>44</v>
      </c>
      <c r="I1" s="109" t="s">
        <v>48</v>
      </c>
      <c r="J1" s="110" t="s">
        <v>47</v>
      </c>
      <c r="K1" s="286"/>
    </row>
    <row r="2" spans="1:11" x14ac:dyDescent="0.2">
      <c r="B2" s="423" t="str">
        <f>'Financement avec SCHL'!B2</f>
        <v>Taux d'intérêt annuel</v>
      </c>
      <c r="C2" s="424"/>
      <c r="D2" s="104">
        <f>'Financement avec SCHL'!D2</f>
        <v>3.5000000000000003E-2</v>
      </c>
      <c r="E2" s="69"/>
      <c r="F2" s="286"/>
      <c r="G2" s="259" t="s">
        <v>140</v>
      </c>
      <c r="H2" s="260"/>
      <c r="I2" s="260"/>
      <c r="J2" s="261"/>
      <c r="K2" s="286"/>
    </row>
    <row r="3" spans="1:11" x14ac:dyDescent="0.2">
      <c r="B3" s="423" t="str">
        <f>'Financement avec SCHL'!B3</f>
        <v>Période d'amortissement</v>
      </c>
      <c r="C3" s="424"/>
      <c r="D3" s="301">
        <v>25</v>
      </c>
      <c r="E3" s="73" t="str">
        <f>'Financement avec SCHL'!E3</f>
        <v>ans</v>
      </c>
      <c r="F3" s="286"/>
      <c r="G3" s="50" t="s">
        <v>141</v>
      </c>
      <c r="H3" s="48" t="s">
        <v>139</v>
      </c>
      <c r="I3" s="48">
        <v>0.05</v>
      </c>
      <c r="J3" s="49" t="s">
        <v>49</v>
      </c>
      <c r="K3" s="286"/>
    </row>
    <row r="4" spans="1:11" x14ac:dyDescent="0.2">
      <c r="A4" s="70"/>
      <c r="B4" s="423" t="str">
        <f>'Financement avec SCHL'!B4</f>
        <v>Versement mensuel</v>
      </c>
      <c r="C4" s="424"/>
      <c r="D4" s="409">
        <f>SUM(D16:E16)</f>
        <v>2565.0013325334226</v>
      </c>
      <c r="E4" s="410"/>
      <c r="F4" s="286"/>
      <c r="G4" s="50" t="s">
        <v>142</v>
      </c>
      <c r="H4" s="48" t="s">
        <v>139</v>
      </c>
      <c r="I4" s="48">
        <v>0.1</v>
      </c>
      <c r="J4" s="49" t="s">
        <v>49</v>
      </c>
      <c r="K4" s="286"/>
    </row>
    <row r="5" spans="1:11" x14ac:dyDescent="0.2">
      <c r="A5" s="70"/>
      <c r="B5" s="423" t="str">
        <f>'Financement avec SCHL'!B5</f>
        <v>Total des intérêts payé (10 ans)</v>
      </c>
      <c r="C5" s="424"/>
      <c r="D5" s="413">
        <f>IF(D3=10,D28+D41+D54+D67+D80+D93+D106+D119+D132+D145,0)</f>
        <v>0</v>
      </c>
      <c r="E5" s="414"/>
      <c r="F5" s="286"/>
      <c r="G5" s="50" t="s">
        <v>143</v>
      </c>
      <c r="H5" s="48" t="s">
        <v>139</v>
      </c>
      <c r="I5" s="48">
        <v>0.1</v>
      </c>
      <c r="J5" s="49" t="s">
        <v>49</v>
      </c>
      <c r="K5" s="286"/>
    </row>
    <row r="6" spans="1:11" x14ac:dyDescent="0.2">
      <c r="A6" s="70"/>
      <c r="B6" s="423" t="str">
        <f>'Financement avec SCHL'!B6</f>
        <v>Total des intérêts payé (15 ans)</v>
      </c>
      <c r="C6" s="424"/>
      <c r="D6" s="413">
        <f>IF(D3=15,D28+D41+D54+D67+D80+D93+D106+D119+D132+D145+D158+D171+D184+D197+D210,0)</f>
        <v>0</v>
      </c>
      <c r="E6" s="414"/>
      <c r="F6" s="286"/>
      <c r="G6" s="265" t="s">
        <v>156</v>
      </c>
      <c r="H6" s="266"/>
      <c r="I6" s="266"/>
      <c r="J6" s="267"/>
      <c r="K6" s="286"/>
    </row>
    <row r="7" spans="1:11" x14ac:dyDescent="0.2">
      <c r="A7" s="70"/>
      <c r="B7" s="423" t="str">
        <f>'Financement avec SCHL'!B7</f>
        <v>Total des intérêts payé (20 ans)</v>
      </c>
      <c r="C7" s="424"/>
      <c r="D7" s="409">
        <f>IF(D3=20,D28+D41+D54+D67+D80+D93+D106+D119+D132+D145+D158+D171+D184+D197+D210+D223+D236+D249+D262+D275,0)</f>
        <v>0</v>
      </c>
      <c r="E7" s="410"/>
      <c r="F7" s="286"/>
      <c r="G7" s="268" t="s">
        <v>257</v>
      </c>
      <c r="H7" s="269"/>
      <c r="I7" s="269"/>
      <c r="J7" s="270"/>
      <c r="K7" s="286"/>
    </row>
    <row r="8" spans="1:11" x14ac:dyDescent="0.2">
      <c r="A8" s="70"/>
      <c r="B8" s="423" t="str">
        <f>'Financement avec SCHL'!B8</f>
        <v>Total des intérêts payé (25 ans)</v>
      </c>
      <c r="C8" s="424"/>
      <c r="D8" s="409">
        <f>IF(D3=25,D28+D41+D54+D67+D80+D93+D106+D119+D132+D145+D158+D171+D184+D197+D210+D223+D236+D249+D262+D275+D288+D301+D314+D327+D340,0)</f>
        <v>255750.39976002672</v>
      </c>
      <c r="E8" s="410"/>
      <c r="F8" s="286"/>
      <c r="G8" s="271" t="s">
        <v>157</v>
      </c>
      <c r="H8" s="272"/>
      <c r="I8" s="272"/>
      <c r="J8" s="273"/>
      <c r="K8" s="286"/>
    </row>
    <row r="9" spans="1:11" x14ac:dyDescent="0.2">
      <c r="A9" s="70"/>
      <c r="B9" s="423" t="str">
        <f>'Financement avec SCHL'!B9</f>
        <v>Total des intérêts payé (30 ans)</v>
      </c>
      <c r="C9" s="424"/>
      <c r="D9" s="409">
        <f>IF(D3=30,D28+D41+D54+D67+D80+D93+D106+D119+D132+D145+D158+D171+D184+D197+D210+D223+D236+D249+D262+D275+D288+D301+D314+D327+D340+D353+D366+D379+D392+D405,0)</f>
        <v>0</v>
      </c>
      <c r="E9" s="410"/>
      <c r="F9" s="286"/>
      <c r="G9" s="50" t="s">
        <v>45</v>
      </c>
      <c r="H9" s="106" t="s">
        <v>145</v>
      </c>
      <c r="I9" s="48">
        <v>0.15</v>
      </c>
      <c r="J9" s="49" t="s">
        <v>276</v>
      </c>
      <c r="K9" s="286"/>
    </row>
    <row r="10" spans="1:11" x14ac:dyDescent="0.2">
      <c r="A10" s="70"/>
      <c r="B10" s="423" t="str">
        <f>'Financement avec SCHL'!B10</f>
        <v>Total des intérêts payé (35 ans)</v>
      </c>
      <c r="C10" s="424"/>
      <c r="D10" s="409">
        <f>IF(D3=35,D28+D41+D54+D67+D80+D93+D106+D119+D132+D145+D158+D171+D184+D197+D210+D223+D236+D249+D262+D275+D288+D301+D314+D327+D340+D353+D366+D379+D392+D405+D418+D431+D444+D457+D470,0)</f>
        <v>0</v>
      </c>
      <c r="E10" s="410"/>
      <c r="F10" s="286"/>
      <c r="G10" s="262" t="s">
        <v>158</v>
      </c>
      <c r="H10" s="263"/>
      <c r="I10" s="263"/>
      <c r="J10" s="264"/>
      <c r="K10" s="286"/>
    </row>
    <row r="11" spans="1:11" x14ac:dyDescent="0.2">
      <c r="A11" s="70"/>
      <c r="B11" s="423" t="str">
        <f>'Financement avec SCHL'!B11</f>
        <v>Total des intérêts payé (40 ans)</v>
      </c>
      <c r="C11" s="424"/>
      <c r="D11" s="409">
        <f>IF(D3=40,D28+D41+D54+D67+D80+D93+D106+D119+D132+D145+D158+D171+D184+D197+D210+D223+D236+D249+D262+D275+D288+D301+D314+D327+D340+D353+D366+D379+D392+D405+D418+D431+D444+D457+D470+D483+D496+D509+D522+D535,0)</f>
        <v>0</v>
      </c>
      <c r="E11" s="410"/>
      <c r="F11" s="286"/>
      <c r="G11" s="50" t="s">
        <v>46</v>
      </c>
      <c r="H11" s="106" t="s">
        <v>145</v>
      </c>
      <c r="I11" s="48">
        <v>0.15</v>
      </c>
      <c r="J11" s="49" t="s">
        <v>276</v>
      </c>
      <c r="K11" s="286"/>
    </row>
    <row r="12" spans="1:11" x14ac:dyDescent="0.2">
      <c r="A12" s="133"/>
      <c r="B12" s="423" t="str">
        <f>'Financement avec SCHL'!B12</f>
        <v>Total payé sur la période d'amortissement (capital et intérêts)</v>
      </c>
      <c r="C12" s="424"/>
      <c r="D12" s="409">
        <f>D1+D28+D41+D54+D67+D80+D93+D106+D119+D132+D145+D158+D171+D184+D197+D210+D223+D236+D249+D262+D275+D288+D301+D314+D327+D340+D353+D366+D379+D392+D405+D418+D431+D444+D457+D470+D483+D496+D509+D522+D535</f>
        <v>769500.39976002648</v>
      </c>
      <c r="E12" s="410"/>
      <c r="F12" s="286"/>
      <c r="G12" s="274" t="s">
        <v>164</v>
      </c>
      <c r="H12" s="275"/>
      <c r="I12" s="275"/>
      <c r="J12" s="276"/>
      <c r="K12" s="286"/>
    </row>
    <row r="13" spans="1:11" x14ac:dyDescent="0.2">
      <c r="B13" s="302"/>
      <c r="C13" s="302"/>
      <c r="D13" s="302"/>
      <c r="E13" s="302"/>
      <c r="F13" s="286"/>
      <c r="G13" s="34"/>
      <c r="H13" s="34"/>
      <c r="I13" s="34"/>
      <c r="J13" s="34"/>
      <c r="K13" s="286"/>
    </row>
    <row r="14" spans="1:11" ht="13.5" thickBot="1" x14ac:dyDescent="0.25">
      <c r="B14" s="302"/>
      <c r="C14" s="302"/>
      <c r="D14" s="302"/>
      <c r="E14" s="302"/>
      <c r="F14" s="286"/>
      <c r="G14" s="259" t="s">
        <v>144</v>
      </c>
      <c r="H14" s="260"/>
      <c r="I14" s="260"/>
      <c r="J14" s="261"/>
      <c r="K14" s="286"/>
    </row>
    <row r="15" spans="1:11" ht="13.5" thickBot="1" x14ac:dyDescent="0.25">
      <c r="B15" s="134" t="str">
        <f>'Financement avec SCHL'!B15</f>
        <v>Période (versements)</v>
      </c>
      <c r="C15" s="134" t="str">
        <f>'Financement avec SCHL'!C15</f>
        <v>Balance due fin période</v>
      </c>
      <c r="D15" s="134" t="str">
        <f>'Financement avec SCHL'!D15</f>
        <v>Intérêts</v>
      </c>
      <c r="E15" s="134" t="str">
        <f>'Financement avec SCHL'!E15</f>
        <v>Capital</v>
      </c>
      <c r="F15" s="286"/>
      <c r="G15" s="50" t="s">
        <v>141</v>
      </c>
      <c r="H15" s="53" t="s">
        <v>139</v>
      </c>
      <c r="I15" s="221">
        <v>0.2</v>
      </c>
      <c r="J15" s="54" t="s">
        <v>49</v>
      </c>
      <c r="K15" s="286"/>
    </row>
    <row r="16" spans="1:11" x14ac:dyDescent="0.2">
      <c r="B16" s="136">
        <f>'Financement avec SCHL'!B16</f>
        <v>1</v>
      </c>
      <c r="C16" s="137">
        <f>IF(B16&gt;$D$3*12,0,D1-E16)</f>
        <v>512672.62548006448</v>
      </c>
      <c r="D16" s="138">
        <f>IF($D$1&lt;0.001,0,-IPMT(((1+$D$2/2)^(1/6)-1),B16,$D$3*12,$D$1))</f>
        <v>1487.626812597902</v>
      </c>
      <c r="E16" s="138">
        <f>IF($D$3*12&lt;=B16,D1,-PPMT(((1+$D$2/2)^(1/6)-1),B16,$D$3*12,$D$1))</f>
        <v>1077.3745199355205</v>
      </c>
      <c r="F16" s="286"/>
      <c r="G16" s="50" t="s">
        <v>142</v>
      </c>
      <c r="H16" s="53" t="s">
        <v>139</v>
      </c>
      <c r="I16" s="221">
        <v>0.2</v>
      </c>
      <c r="J16" s="54" t="s">
        <v>49</v>
      </c>
      <c r="K16" s="286"/>
    </row>
    <row r="17" spans="2:11" x14ac:dyDescent="0.2">
      <c r="B17" s="136">
        <f>'Financement avec SCHL'!B17</f>
        <v>2</v>
      </c>
      <c r="C17" s="137">
        <f>IF(B17&gt;$D$3*12,0,C16-E17)</f>
        <v>511592.13128864852</v>
      </c>
      <c r="D17" s="138">
        <f t="shared" ref="D17:D27" si="0">IF($D$1&lt;0.001,0,-IPMT(((1+$D$2/2)^(1/6)-1),B17,$D$3*12,$D$1))</f>
        <v>1484.5071411174818</v>
      </c>
      <c r="E17" s="138">
        <f t="shared" ref="E17:E26" si="1">IF($D$3*12&lt;=B17,C16,-PPMT(((1+$D$2/2)^(1/6)-1),B17,$D$3*12,$D$1))</f>
        <v>1080.4941914159406</v>
      </c>
      <c r="F17" s="286"/>
      <c r="G17" s="50" t="s">
        <v>143</v>
      </c>
      <c r="H17" s="48" t="s">
        <v>139</v>
      </c>
      <c r="I17" s="221">
        <v>0.2</v>
      </c>
      <c r="J17" s="49" t="s">
        <v>49</v>
      </c>
      <c r="K17" s="286"/>
    </row>
    <row r="18" spans="2:11" x14ac:dyDescent="0.2">
      <c r="B18" s="136">
        <f>'Financement avec SCHL'!B18</f>
        <v>3</v>
      </c>
      <c r="C18" s="137">
        <f>IF(B18&gt;$D$3*12,0,C17-E18)</f>
        <v>510508.50839235669</v>
      </c>
      <c r="D18" s="138">
        <f t="shared" si="0"/>
        <v>1481.3784362415563</v>
      </c>
      <c r="E18" s="138">
        <f t="shared" si="1"/>
        <v>1083.6228962918658</v>
      </c>
      <c r="F18" s="286"/>
      <c r="G18" s="265" t="s">
        <v>156</v>
      </c>
      <c r="H18" s="266"/>
      <c r="I18" s="266"/>
      <c r="J18" s="267"/>
      <c r="K18" s="286"/>
    </row>
    <row r="19" spans="2:11" x14ac:dyDescent="0.2">
      <c r="B19" s="136">
        <f>'Financement avec SCHL'!B19</f>
        <v>4</v>
      </c>
      <c r="C19" s="137">
        <f>IF(B19&gt;$D$3*12,0,C18-E19)</f>
        <v>509421.74773163605</v>
      </c>
      <c r="D19" s="138">
        <f t="shared" si="0"/>
        <v>1478.2406718128093</v>
      </c>
      <c r="E19" s="138">
        <f t="shared" si="1"/>
        <v>1086.7606607206128</v>
      </c>
      <c r="F19" s="286"/>
      <c r="G19" s="268" t="s">
        <v>257</v>
      </c>
      <c r="H19" s="269"/>
      <c r="I19" s="269"/>
      <c r="J19" s="270"/>
      <c r="K19" s="286"/>
    </row>
    <row r="20" spans="2:11" x14ac:dyDescent="0.2">
      <c r="B20" s="136">
        <f>'Financement avec SCHL'!B20</f>
        <v>5</v>
      </c>
      <c r="C20" s="137">
        <f>IF(B20&gt;$D$3*12,0,C19-E20)</f>
        <v>508331.84022070083</v>
      </c>
      <c r="D20" s="138">
        <f t="shared" si="0"/>
        <v>1475.0938215981823</v>
      </c>
      <c r="E20" s="138">
        <f t="shared" si="1"/>
        <v>1089.9075109352398</v>
      </c>
      <c r="F20" s="286"/>
      <c r="G20" s="271" t="s">
        <v>157</v>
      </c>
      <c r="H20" s="272"/>
      <c r="I20" s="272"/>
      <c r="J20" s="273"/>
      <c r="K20" s="286"/>
    </row>
    <row r="21" spans="2:11" x14ac:dyDescent="0.2">
      <c r="B21" s="136">
        <f>'Financement avec SCHL'!B21</f>
        <v>6</v>
      </c>
      <c r="C21" s="137">
        <f t="shared" ref="C21:C27" si="2">IF(B21&gt;$D$3*12,0,C20-E21)</f>
        <v>507238.77674745605</v>
      </c>
      <c r="D21" s="138">
        <f t="shared" si="0"/>
        <v>1471.9378592886562</v>
      </c>
      <c r="E21" s="138">
        <f t="shared" si="1"/>
        <v>1093.0634732447661</v>
      </c>
      <c r="F21" s="286"/>
      <c r="G21" s="50" t="s">
        <v>45</v>
      </c>
      <c r="H21" s="48" t="s">
        <v>145</v>
      </c>
      <c r="I21" s="221">
        <v>0.25</v>
      </c>
      <c r="J21" s="49" t="s">
        <v>49</v>
      </c>
      <c r="K21" s="286"/>
    </row>
    <row r="22" spans="2:11" x14ac:dyDescent="0.2">
      <c r="B22" s="136">
        <f>'Financement avec SCHL'!B22</f>
        <v>7</v>
      </c>
      <c r="C22" s="137">
        <f t="shared" si="2"/>
        <v>506142.54817342164</v>
      </c>
      <c r="D22" s="138">
        <f t="shared" si="0"/>
        <v>1468.7727584990303</v>
      </c>
      <c r="E22" s="138">
        <f t="shared" si="1"/>
        <v>1096.2285740343921</v>
      </c>
      <c r="F22" s="286"/>
      <c r="G22" s="274" t="s">
        <v>164</v>
      </c>
      <c r="H22" s="275"/>
      <c r="I22" s="275"/>
      <c r="J22" s="276"/>
      <c r="K22" s="286"/>
    </row>
    <row r="23" spans="2:11" x14ac:dyDescent="0.2">
      <c r="B23" s="136">
        <f>'Financement avec SCHL'!B23</f>
        <v>8</v>
      </c>
      <c r="C23" s="137">
        <f t="shared" si="2"/>
        <v>505043.14533365594</v>
      </c>
      <c r="D23" s="138">
        <f t="shared" si="0"/>
        <v>1465.5984927677032</v>
      </c>
      <c r="E23" s="138">
        <f t="shared" si="1"/>
        <v>1099.4028397657196</v>
      </c>
      <c r="F23" s="286"/>
      <c r="G23" s="50" t="s">
        <v>46</v>
      </c>
      <c r="H23" s="106" t="s">
        <v>145</v>
      </c>
      <c r="I23" s="48">
        <v>0.15</v>
      </c>
      <c r="J23" s="49" t="s">
        <v>276</v>
      </c>
      <c r="K23" s="286"/>
    </row>
    <row r="24" spans="2:11" x14ac:dyDescent="0.2">
      <c r="B24" s="136">
        <f>'Financement avec SCHL'!B24</f>
        <v>9</v>
      </c>
      <c r="C24" s="137">
        <f t="shared" si="2"/>
        <v>503940.55903667898</v>
      </c>
      <c r="D24" s="138">
        <f t="shared" si="0"/>
        <v>1462.4150355564489</v>
      </c>
      <c r="E24" s="138">
        <f t="shared" si="1"/>
        <v>1102.5862969769735</v>
      </c>
      <c r="F24" s="286"/>
      <c r="G24" s="274" t="s">
        <v>164</v>
      </c>
      <c r="H24" s="275"/>
      <c r="I24" s="275"/>
      <c r="J24" s="276"/>
      <c r="K24" s="286"/>
    </row>
    <row r="25" spans="2:11" x14ac:dyDescent="0.2">
      <c r="B25" s="136">
        <f>'Financement avec SCHL'!B25</f>
        <v>10</v>
      </c>
      <c r="C25" s="137">
        <f t="shared" si="2"/>
        <v>502834.78006439575</v>
      </c>
      <c r="D25" s="138">
        <f t="shared" si="0"/>
        <v>1459.2223602501986</v>
      </c>
      <c r="E25" s="138">
        <f t="shared" si="1"/>
        <v>1105.7789722832238</v>
      </c>
      <c r="F25" s="286"/>
      <c r="G25" s="34"/>
      <c r="H25" s="34"/>
      <c r="I25" s="34"/>
      <c r="J25" s="34"/>
      <c r="K25" s="286"/>
    </row>
    <row r="26" spans="2:11" x14ac:dyDescent="0.2">
      <c r="B26" s="136">
        <f>'Financement avec SCHL'!B26</f>
        <v>11</v>
      </c>
      <c r="C26" s="137">
        <f t="shared" si="2"/>
        <v>501725.79917201912</v>
      </c>
      <c r="D26" s="138">
        <f t="shared" si="0"/>
        <v>1456.0204401568158</v>
      </c>
      <c r="E26" s="138">
        <f t="shared" si="1"/>
        <v>1108.9808923766068</v>
      </c>
      <c r="F26" s="286"/>
      <c r="G26" s="111" t="s">
        <v>163</v>
      </c>
      <c r="H26" s="111" t="s">
        <v>44</v>
      </c>
      <c r="I26" s="111" t="s">
        <v>48</v>
      </c>
      <c r="J26" s="112" t="s">
        <v>47</v>
      </c>
      <c r="K26" s="286"/>
    </row>
    <row r="27" spans="2:11" x14ac:dyDescent="0.2">
      <c r="B27" s="136">
        <f>'Financement avec SCHL'!B27</f>
        <v>12</v>
      </c>
      <c r="C27" s="137">
        <f t="shared" si="2"/>
        <v>500613.6070879926</v>
      </c>
      <c r="D27" s="138">
        <f t="shared" si="0"/>
        <v>1452.8092485068728</v>
      </c>
      <c r="E27" s="138">
        <f>IF($D$3*12&lt;=B27,C26,-PPMT(((1+$D$2/2)^(1/6)-1),B27,$D$3*12,$D$1))</f>
        <v>1112.1920840265495</v>
      </c>
      <c r="F27" s="286"/>
      <c r="G27" s="259" t="s">
        <v>146</v>
      </c>
      <c r="H27" s="260"/>
      <c r="I27" s="260"/>
      <c r="J27" s="261"/>
      <c r="K27" s="286"/>
    </row>
    <row r="28" spans="2:11" ht="13.5" thickBot="1" x14ac:dyDescent="0.25">
      <c r="B28" s="139" t="str">
        <f>'Financement avec SCHL'!B28</f>
        <v>Total après 1 an</v>
      </c>
      <c r="C28" s="141"/>
      <c r="D28" s="140">
        <f>SUM(D16:D27)</f>
        <v>17643.623078393655</v>
      </c>
      <c r="E28" s="140">
        <f>SUM(E16:E27)</f>
        <v>13136.392912007412</v>
      </c>
      <c r="F28" s="286"/>
      <c r="G28" s="50" t="s">
        <v>141</v>
      </c>
      <c r="H28" s="48" t="s">
        <v>139</v>
      </c>
      <c r="I28" s="48">
        <v>0.2</v>
      </c>
      <c r="J28" s="49" t="s">
        <v>277</v>
      </c>
      <c r="K28" s="286"/>
    </row>
    <row r="29" spans="2:11" x14ac:dyDescent="0.2">
      <c r="B29" s="136">
        <f>'Financement avec SCHL'!B29</f>
        <v>13</v>
      </c>
      <c r="C29" s="137">
        <f>IF(B29&gt;$D$3*12,0,C27-E29)</f>
        <v>499498.1945139126</v>
      </c>
      <c r="D29" s="138">
        <f>IF(C27&lt;0.001,0,-IPMT(((1+$D$2/2)^(1/6)-1),B29,$D$3*12,$D$1))</f>
        <v>1449.5887584534285</v>
      </c>
      <c r="E29" s="138">
        <f>IF($D$3*12&lt;=B29,C27,-PPMT(((1+$D$2/2)^(1/6)-1),B29,$D$3*12,$D$1))</f>
        <v>1115.4125740799939</v>
      </c>
      <c r="F29" s="286"/>
      <c r="G29" s="50" t="s">
        <v>142</v>
      </c>
      <c r="H29" s="48" t="s">
        <v>139</v>
      </c>
      <c r="I29" s="48">
        <v>0.2</v>
      </c>
      <c r="J29" s="49" t="s">
        <v>277</v>
      </c>
      <c r="K29" s="286"/>
    </row>
    <row r="30" spans="2:11" x14ac:dyDescent="0.2">
      <c r="B30" s="136">
        <f>'Financement avec SCHL'!B30</f>
        <v>14</v>
      </c>
      <c r="C30" s="137">
        <f>IF(B30&gt;$D$3*12,0,C29-E30)</f>
        <v>498379.55212445097</v>
      </c>
      <c r="D30" s="138">
        <f>IF(C29&lt;0.001,0,-IPMT(((1+$D$2/2)^(1/6)-1),B30,$D$3*12,$D$1))</f>
        <v>1446.3589430718025</v>
      </c>
      <c r="E30" s="138">
        <f t="shared" ref="E30:E39" si="3">IF($D$3*12&lt;=B30,C29,-PPMT(((1+$D$2/2)^(1/6)-1),B30,$D$3*12,$D$1))</f>
        <v>1118.6423894616198</v>
      </c>
      <c r="F30" s="286"/>
      <c r="G30" s="50" t="s">
        <v>143</v>
      </c>
      <c r="H30" s="48" t="s">
        <v>139</v>
      </c>
      <c r="I30" s="48">
        <v>0.2</v>
      </c>
      <c r="J30" s="49" t="s">
        <v>277</v>
      </c>
      <c r="K30" s="286"/>
    </row>
    <row r="31" spans="2:11" x14ac:dyDescent="0.2">
      <c r="B31" s="136">
        <f>'Financement avec SCHL'!B31</f>
        <v>15</v>
      </c>
      <c r="C31" s="137">
        <f t="shared" ref="C31:C40" si="4">IF(B31&gt;$D$3*12,0,C30-E31)</f>
        <v>497257.67056727689</v>
      </c>
      <c r="D31" s="138">
        <f>IF(C30&lt;0.001,0,-IPMT(((1+$D$2/2)^(1/6)-1),B31,$D$3*12,$D$1))</f>
        <v>1443.1197753593517</v>
      </c>
      <c r="E31" s="138">
        <f t="shared" si="3"/>
        <v>1121.8815571740706</v>
      </c>
      <c r="F31" s="286"/>
      <c r="G31" s="265" t="s">
        <v>156</v>
      </c>
      <c r="H31" s="266"/>
      <c r="I31" s="266"/>
      <c r="J31" s="267"/>
      <c r="K31" s="286"/>
    </row>
    <row r="32" spans="2:11" x14ac:dyDescent="0.2">
      <c r="B32" s="136">
        <f>'Financement avec SCHL'!B32</f>
        <v>16</v>
      </c>
      <c r="C32" s="137">
        <f t="shared" si="4"/>
        <v>496132.54046297871</v>
      </c>
      <c r="D32" s="138">
        <f t="shared" ref="D32:D40" si="5">IF(C31&lt;0.001,0,-IPMT(((1+$D$2/2)^(1/6)-1),B32,$D$3*12,$D$1))</f>
        <v>1439.8712282352421</v>
      </c>
      <c r="E32" s="138">
        <f t="shared" si="3"/>
        <v>1125.13010429818</v>
      </c>
      <c r="F32" s="286"/>
      <c r="G32" s="268" t="s">
        <v>257</v>
      </c>
      <c r="H32" s="269"/>
      <c r="I32" s="269"/>
      <c r="J32" s="270"/>
      <c r="K32" s="286"/>
    </row>
    <row r="33" spans="2:11" x14ac:dyDescent="0.2">
      <c r="B33" s="136">
        <f>'Financement avec SCHL'!B33</f>
        <v>17</v>
      </c>
      <c r="C33" s="137">
        <f t="shared" si="4"/>
        <v>495004.15240498551</v>
      </c>
      <c r="D33" s="138">
        <f t="shared" si="5"/>
        <v>1436.6132745402249</v>
      </c>
      <c r="E33" s="138">
        <f t="shared" si="3"/>
        <v>1128.3880579931972</v>
      </c>
      <c r="F33" s="286"/>
      <c r="G33" s="271" t="s">
        <v>157</v>
      </c>
      <c r="H33" s="272"/>
      <c r="I33" s="272"/>
      <c r="J33" s="273"/>
      <c r="K33" s="286"/>
    </row>
    <row r="34" spans="2:11" x14ac:dyDescent="0.2">
      <c r="B34" s="136">
        <f>'Financement avec SCHL'!B34</f>
        <v>18</v>
      </c>
      <c r="C34" s="137">
        <f t="shared" si="4"/>
        <v>493872.49695948849</v>
      </c>
      <c r="D34" s="138">
        <f t="shared" si="5"/>
        <v>1433.3458870364079</v>
      </c>
      <c r="E34" s="138">
        <f t="shared" si="3"/>
        <v>1131.6554454970142</v>
      </c>
      <c r="F34" s="286"/>
      <c r="G34" s="50" t="s">
        <v>45</v>
      </c>
      <c r="H34" s="106" t="s">
        <v>145</v>
      </c>
      <c r="I34" s="48">
        <v>0.25</v>
      </c>
      <c r="J34" s="49" t="s">
        <v>49</v>
      </c>
      <c r="K34" s="286"/>
    </row>
    <row r="35" spans="2:11" x14ac:dyDescent="0.2">
      <c r="B35" s="136">
        <f>'Financement avec SCHL'!B35</f>
        <v>19</v>
      </c>
      <c r="C35" s="137">
        <f t="shared" si="4"/>
        <v>492737.56466536212</v>
      </c>
      <c r="D35" s="138">
        <f t="shared" si="5"/>
        <v>1430.0690384070285</v>
      </c>
      <c r="E35" s="138">
        <f t="shared" si="3"/>
        <v>1134.932294126394</v>
      </c>
      <c r="F35" s="286"/>
      <c r="G35" s="262" t="s">
        <v>158</v>
      </c>
      <c r="H35" s="263"/>
      <c r="I35" s="263"/>
      <c r="J35" s="264"/>
      <c r="K35" s="286"/>
    </row>
    <row r="36" spans="2:11" x14ac:dyDescent="0.2">
      <c r="B36" s="136">
        <f>'Financement avec SCHL'!B36</f>
        <v>20</v>
      </c>
      <c r="C36" s="137">
        <f t="shared" si="4"/>
        <v>491599.34603408491</v>
      </c>
      <c r="D36" s="138">
        <f t="shared" si="5"/>
        <v>1426.7827012562243</v>
      </c>
      <c r="E36" s="138">
        <f t="shared" si="3"/>
        <v>1138.218631277198</v>
      </c>
      <c r="F36" s="286"/>
      <c r="G36" s="50" t="s">
        <v>46</v>
      </c>
      <c r="H36" s="106" t="s">
        <v>145</v>
      </c>
      <c r="I36" s="48">
        <v>0.25</v>
      </c>
      <c r="J36" s="49" t="s">
        <v>49</v>
      </c>
      <c r="K36" s="286"/>
    </row>
    <row r="37" spans="2:11" x14ac:dyDescent="0.2">
      <c r="B37" s="136">
        <f>'Financement avec SCHL'!B37</f>
        <v>21</v>
      </c>
      <c r="C37" s="137">
        <f t="shared" si="4"/>
        <v>490457.8315496603</v>
      </c>
      <c r="D37" s="138">
        <f t="shared" si="5"/>
        <v>1423.4868481088054</v>
      </c>
      <c r="E37" s="138">
        <f t="shared" si="3"/>
        <v>1141.514484424617</v>
      </c>
      <c r="F37" s="286"/>
      <c r="G37" s="274" t="s">
        <v>164</v>
      </c>
      <c r="H37" s="275"/>
      <c r="I37" s="275"/>
      <c r="J37" s="276"/>
      <c r="K37" s="286"/>
    </row>
    <row r="38" spans="2:11" x14ac:dyDescent="0.2">
      <c r="B38" s="136">
        <f>'Financement avec SCHL'!B38</f>
        <v>22</v>
      </c>
      <c r="C38" s="137">
        <f t="shared" si="4"/>
        <v>489313.01166853693</v>
      </c>
      <c r="D38" s="138">
        <f t="shared" si="5"/>
        <v>1420.1814514100242</v>
      </c>
      <c r="E38" s="138">
        <f t="shared" si="3"/>
        <v>1144.8198811233983</v>
      </c>
      <c r="F38" s="286"/>
      <c r="G38" s="34"/>
      <c r="H38" s="34"/>
      <c r="I38" s="34"/>
      <c r="J38" s="34"/>
      <c r="K38" s="286"/>
    </row>
    <row r="39" spans="2:11" x14ac:dyDescent="0.2">
      <c r="B39" s="136">
        <f>'Financement avec SCHL'!B39</f>
        <v>23</v>
      </c>
      <c r="C39" s="137">
        <f t="shared" si="4"/>
        <v>488164.87681952887</v>
      </c>
      <c r="D39" s="138">
        <f t="shared" si="5"/>
        <v>1416.8664835253439</v>
      </c>
      <c r="E39" s="138">
        <f t="shared" si="3"/>
        <v>1148.1348490080782</v>
      </c>
      <c r="F39" s="286"/>
      <c r="G39" s="259" t="s">
        <v>147</v>
      </c>
      <c r="H39" s="260"/>
      <c r="I39" s="260"/>
      <c r="J39" s="261"/>
      <c r="K39" s="286"/>
    </row>
    <row r="40" spans="2:11" x14ac:dyDescent="0.2">
      <c r="B40" s="136">
        <f>'Financement avec SCHL'!B40</f>
        <v>24</v>
      </c>
      <c r="C40" s="137">
        <f t="shared" si="4"/>
        <v>487013.41740373569</v>
      </c>
      <c r="D40" s="138">
        <f t="shared" si="5"/>
        <v>1413.5419167402104</v>
      </c>
      <c r="E40" s="138">
        <f>IF($D$3*12&lt;=B40,C39,-PPMT(((1+$D$2/2)^(1/6)-1),B40,$D$3*12,$D$1))</f>
        <v>1151.459415793212</v>
      </c>
      <c r="F40" s="286"/>
      <c r="G40" s="50" t="s">
        <v>141</v>
      </c>
      <c r="H40" s="53" t="s">
        <v>139</v>
      </c>
      <c r="I40" s="53">
        <v>0.2</v>
      </c>
      <c r="J40" s="54" t="s">
        <v>49</v>
      </c>
      <c r="K40" s="286"/>
    </row>
    <row r="41" spans="2:11" ht="13.5" thickBot="1" x14ac:dyDescent="0.25">
      <c r="B41" s="139" t="str">
        <f>'Financement avec SCHL'!B41</f>
        <v>Total après 2 ans</v>
      </c>
      <c r="C41" s="141"/>
      <c r="D41" s="140">
        <f>SUM(D29:D40)</f>
        <v>17179.826306144096</v>
      </c>
      <c r="E41" s="140">
        <f>SUM(E29:E40)</f>
        <v>13600.189684256971</v>
      </c>
      <c r="F41" s="286"/>
      <c r="G41" s="50" t="s">
        <v>142</v>
      </c>
      <c r="H41" s="53" t="s">
        <v>139</v>
      </c>
      <c r="I41" s="53">
        <v>0.2</v>
      </c>
      <c r="J41" s="54" t="s">
        <v>49</v>
      </c>
      <c r="K41" s="286"/>
    </row>
    <row r="42" spans="2:11" x14ac:dyDescent="0.2">
      <c r="B42" s="136">
        <f>'Financement avec SCHL'!B42</f>
        <v>25</v>
      </c>
      <c r="C42" s="137">
        <f>IF(B42&gt;$D$3*12,0,C40-E42)</f>
        <v>485858.62379446207</v>
      </c>
      <c r="D42" s="138">
        <f>IF(C40&lt;0.001,0,-IPMT(((1+$D$2/2)^(1/6)-1),B42,$D$3*12,$D$1))</f>
        <v>1410.2077232598165</v>
      </c>
      <c r="E42" s="138">
        <f>IF($D$3*12&lt;=B42,C40,-PPMT(((1+$D$2/2)^(1/6)-1),B42,$D$3*12,$D$1))</f>
        <v>1154.7936092736059</v>
      </c>
      <c r="F42" s="286"/>
      <c r="G42" s="50" t="s">
        <v>143</v>
      </c>
      <c r="H42" s="48" t="s">
        <v>139</v>
      </c>
      <c r="I42" s="48">
        <v>0.2</v>
      </c>
      <c r="J42" s="49" t="s">
        <v>49</v>
      </c>
      <c r="K42" s="286"/>
    </row>
    <row r="43" spans="2:11" x14ac:dyDescent="0.2">
      <c r="B43" s="136">
        <f>'Financement avec SCHL'!B43</f>
        <v>26</v>
      </c>
      <c r="C43" s="137">
        <f>IF(B43&gt;$D$3*12,0,C42-E43)</f>
        <v>484700.48633713752</v>
      </c>
      <c r="D43" s="138">
        <f>IF(C42&lt;0.001,0,-IPMT(((1+$D$2/2)^(1/6)-1),B43,$D$3*12,$D$1))</f>
        <v>1406.8638752088732</v>
      </c>
      <c r="E43" s="138">
        <f t="shared" ref="E43:E52" si="6">IF($D$3*12&lt;=B43,C42,-PPMT(((1+$D$2/2)^(1/6)-1),B43,$D$3*12,$D$1))</f>
        <v>1158.1374573245489</v>
      </c>
      <c r="F43" s="286"/>
      <c r="G43" s="265" t="s">
        <v>156</v>
      </c>
      <c r="H43" s="266"/>
      <c r="I43" s="266"/>
      <c r="J43" s="267"/>
      <c r="K43" s="286"/>
    </row>
    <row r="44" spans="2:11" x14ac:dyDescent="0.2">
      <c r="B44" s="136">
        <f>'Financement avec SCHL'!B44</f>
        <v>27</v>
      </c>
      <c r="C44" s="137">
        <f t="shared" ref="C44:C53" si="7">IF(B44&gt;$D$3*12,0,C43-E44)</f>
        <v>483538.99534923548</v>
      </c>
      <c r="D44" s="138">
        <f>IF(C43&lt;0.001,0,-IPMT(((1+$D$2/2)^(1/6)-1),B44,$D$3*12,$D$1))</f>
        <v>1403.5103446313744</v>
      </c>
      <c r="E44" s="138">
        <f t="shared" si="6"/>
        <v>1161.4909879020477</v>
      </c>
      <c r="F44" s="286"/>
      <c r="G44" s="268" t="s">
        <v>257</v>
      </c>
      <c r="H44" s="269"/>
      <c r="I44" s="269"/>
      <c r="J44" s="270"/>
      <c r="K44" s="286"/>
    </row>
    <row r="45" spans="2:11" x14ac:dyDescent="0.2">
      <c r="B45" s="136">
        <f>'Financement avec SCHL'!B45</f>
        <v>28</v>
      </c>
      <c r="C45" s="137">
        <f t="shared" si="7"/>
        <v>482374.14112019242</v>
      </c>
      <c r="D45" s="138">
        <f t="shared" ref="D45:D53" si="8">IF(C44&lt;0.001,0,-IPMT(((1+$D$2/2)^(1/6)-1),B45,$D$3*12,$D$1))</f>
        <v>1400.1471034903645</v>
      </c>
      <c r="E45" s="138">
        <f t="shared" si="6"/>
        <v>1164.8542290430578</v>
      </c>
      <c r="F45" s="286"/>
      <c r="G45" s="271" t="s">
        <v>157</v>
      </c>
      <c r="H45" s="272"/>
      <c r="I45" s="272"/>
      <c r="J45" s="273"/>
      <c r="K45" s="286"/>
    </row>
    <row r="46" spans="2:11" x14ac:dyDescent="0.2">
      <c r="B46" s="136">
        <f>'Financement avec SCHL'!B46</f>
        <v>29</v>
      </c>
      <c r="C46" s="137">
        <f t="shared" si="7"/>
        <v>481205.91391132667</v>
      </c>
      <c r="D46" s="138">
        <f t="shared" si="8"/>
        <v>1396.7741236677027</v>
      </c>
      <c r="E46" s="138">
        <f t="shared" si="6"/>
        <v>1168.2272088657194</v>
      </c>
      <c r="F46" s="286"/>
      <c r="G46" s="50" t="s">
        <v>45</v>
      </c>
      <c r="H46" s="106" t="s">
        <v>145</v>
      </c>
      <c r="I46" s="48">
        <v>0.25</v>
      </c>
      <c r="J46" s="49" t="s">
        <v>49</v>
      </c>
      <c r="K46" s="286"/>
    </row>
    <row r="47" spans="2:11" x14ac:dyDescent="0.2">
      <c r="B47" s="136">
        <f>'Financement avec SCHL'!B47</f>
        <v>30</v>
      </c>
      <c r="C47" s="137">
        <f t="shared" si="7"/>
        <v>480034.30395575706</v>
      </c>
      <c r="D47" s="138">
        <f t="shared" si="8"/>
        <v>1393.3913769638291</v>
      </c>
      <c r="E47" s="138">
        <f t="shared" si="6"/>
        <v>1171.6099555695932</v>
      </c>
      <c r="F47" s="286"/>
      <c r="G47" s="262" t="s">
        <v>158</v>
      </c>
      <c r="H47" s="263"/>
      <c r="I47" s="263"/>
      <c r="J47" s="264"/>
      <c r="K47" s="286"/>
    </row>
    <row r="48" spans="2:11" x14ac:dyDescent="0.2">
      <c r="B48" s="136">
        <f>'Financement avec SCHL'!B48</f>
        <v>31</v>
      </c>
      <c r="C48" s="137">
        <f t="shared" si="7"/>
        <v>478859.30145832116</v>
      </c>
      <c r="D48" s="138">
        <f t="shared" si="8"/>
        <v>1389.9988350975284</v>
      </c>
      <c r="E48" s="138">
        <f t="shared" si="6"/>
        <v>1175.0024974358939</v>
      </c>
      <c r="F48" s="286"/>
      <c r="G48" s="50" t="s">
        <v>46</v>
      </c>
      <c r="H48" s="106" t="s">
        <v>145</v>
      </c>
      <c r="I48" s="48">
        <v>0.25</v>
      </c>
      <c r="J48" s="49" t="s">
        <v>49</v>
      </c>
      <c r="K48" s="286"/>
    </row>
    <row r="49" spans="2:11" x14ac:dyDescent="0.2">
      <c r="B49" s="136">
        <f>'Financement avec SCHL'!B49</f>
        <v>32</v>
      </c>
      <c r="C49" s="137">
        <f t="shared" si="7"/>
        <v>477680.89659549342</v>
      </c>
      <c r="D49" s="138">
        <f t="shared" si="8"/>
        <v>1386.5964697056936</v>
      </c>
      <c r="E49" s="138">
        <f t="shared" si="6"/>
        <v>1178.4048628277285</v>
      </c>
      <c r="F49" s="286"/>
      <c r="G49" s="274" t="s">
        <v>164</v>
      </c>
      <c r="H49" s="275"/>
      <c r="I49" s="275"/>
      <c r="J49" s="276"/>
      <c r="K49" s="286"/>
    </row>
    <row r="50" spans="2:11" x14ac:dyDescent="0.2">
      <c r="B50" s="136">
        <f>'Financement avec SCHL'!B50</f>
        <v>33</v>
      </c>
      <c r="C50" s="137">
        <f t="shared" si="7"/>
        <v>476499.07951530308</v>
      </c>
      <c r="D50" s="138">
        <f t="shared" si="8"/>
        <v>1383.1842523430892</v>
      </c>
      <c r="E50" s="138">
        <f t="shared" si="6"/>
        <v>1181.8170801903336</v>
      </c>
      <c r="F50" s="286"/>
      <c r="G50" s="286"/>
      <c r="H50" s="286"/>
      <c r="I50" s="286"/>
      <c r="J50" s="286"/>
      <c r="K50" s="286"/>
    </row>
    <row r="51" spans="2:11" x14ac:dyDescent="0.2">
      <c r="B51" s="136">
        <f>'Financement avec SCHL'!B51</f>
        <v>34</v>
      </c>
      <c r="C51" s="137">
        <f t="shared" si="7"/>
        <v>475313.84033725178</v>
      </c>
      <c r="D51" s="138">
        <f t="shared" si="8"/>
        <v>1379.7621544821111</v>
      </c>
      <c r="E51" s="138">
        <f t="shared" si="6"/>
        <v>1185.2391780513112</v>
      </c>
    </row>
    <row r="52" spans="2:11" x14ac:dyDescent="0.2">
      <c r="B52" s="136">
        <f>'Financement avec SCHL'!B52</f>
        <v>35</v>
      </c>
      <c r="C52" s="137">
        <f t="shared" si="7"/>
        <v>474125.1691522309</v>
      </c>
      <c r="D52" s="138">
        <f t="shared" si="8"/>
        <v>1376.3301475125527</v>
      </c>
      <c r="E52" s="138">
        <f t="shared" si="6"/>
        <v>1188.6711850208696</v>
      </c>
    </row>
    <row r="53" spans="2:11" x14ac:dyDescent="0.2">
      <c r="B53" s="136">
        <f>'Financement avec SCHL'!B53</f>
        <v>36</v>
      </c>
      <c r="C53" s="137">
        <f t="shared" si="7"/>
        <v>472933.05602243886</v>
      </c>
      <c r="D53" s="138">
        <f t="shared" si="8"/>
        <v>1372.8882027413615</v>
      </c>
      <c r="E53" s="138">
        <f>IF($D$3*12&lt;=B53,C52,-PPMT(((1+$D$2/2)^(1/6)-1),B53,$D$3*12,$D$1))</f>
        <v>1192.113129792061</v>
      </c>
    </row>
    <row r="54" spans="2:11" ht="13.5" thickBot="1" x14ac:dyDescent="0.25">
      <c r="B54" s="139" t="str">
        <f>'Financement avec SCHL'!B54</f>
        <v>Total après 3 ans</v>
      </c>
      <c r="C54" s="141"/>
      <c r="D54" s="140">
        <f>SUM(D42:D53)</f>
        <v>16699.654609104295</v>
      </c>
      <c r="E54" s="140">
        <f>SUM(E42:E53)</f>
        <v>14080.361381296771</v>
      </c>
    </row>
    <row r="55" spans="2:11" x14ac:dyDescent="0.2">
      <c r="B55" s="136">
        <f>'Financement avec SCHL'!B55</f>
        <v>37</v>
      </c>
      <c r="C55" s="137">
        <f>IF(B55&gt;$D$3*12,0,C53-E55)</f>
        <v>471737.49098129786</v>
      </c>
      <c r="D55" s="138">
        <f>IF(C53&lt;0.001,0,-IPMT(((1+$D$2/2)^(1/6)-1),B55,$D$3*12,$D$1))</f>
        <v>1369.4362913924003</v>
      </c>
      <c r="E55" s="138">
        <f>IF($D$3*12&lt;=B55,C53,-PPMT(((1+$D$2/2)^(1/6)-1),B55,$D$3*12,$D$1))</f>
        <v>1195.565041141022</v>
      </c>
    </row>
    <row r="56" spans="2:11" x14ac:dyDescent="0.2">
      <c r="B56" s="136">
        <f>'Financement avec SCHL'!B56</f>
        <v>38</v>
      </c>
      <c r="C56" s="137">
        <f>IF(B56&gt;$D$3*12,0,C55-E56)</f>
        <v>470538.46403337066</v>
      </c>
      <c r="D56" s="138">
        <f>IF(C55&lt;0.001,0,-IPMT(((1+$D$2/2)^(1/6)-1),B56,$D$3*12,$D$1))</f>
        <v>1365.9743846062083</v>
      </c>
      <c r="E56" s="138">
        <f t="shared" ref="E56:E65" si="9">IF($D$3*12&lt;=B56,C55,-PPMT(((1+$D$2/2)^(1/6)-1),B56,$D$3*12,$D$1))</f>
        <v>1199.0269479272138</v>
      </c>
    </row>
    <row r="57" spans="2:11" x14ac:dyDescent="0.2">
      <c r="B57" s="136">
        <f>'Financement avec SCHL'!B57</f>
        <v>39</v>
      </c>
      <c r="C57" s="137">
        <f t="shared" ref="C57:C66" si="10">IF(B57&gt;$D$3*12,0,C56-E57)</f>
        <v>469335.96515427699</v>
      </c>
      <c r="D57" s="138">
        <f>IF(C56&lt;0.001,0,-IPMT(((1+$D$2/2)^(1/6)-1),B57,$D$3*12,$D$1))</f>
        <v>1362.502453439758</v>
      </c>
      <c r="E57" s="138">
        <f t="shared" si="9"/>
        <v>1202.4988790936645</v>
      </c>
    </row>
    <row r="58" spans="2:11" x14ac:dyDescent="0.2">
      <c r="B58" s="136">
        <f>'Financement avec SCHL'!B58</f>
        <v>40</v>
      </c>
      <c r="C58" s="137">
        <f t="shared" si="10"/>
        <v>468129.98429060978</v>
      </c>
      <c r="D58" s="138">
        <f t="shared" ref="D58:D66" si="11">IF(C57&lt;0.001,0,-IPMT(((1+$D$2/2)^(1/6)-1),B58,$D$3*12,$D$1))</f>
        <v>1359.0204688662132</v>
      </c>
      <c r="E58" s="138">
        <f t="shared" si="9"/>
        <v>1205.9808636672092</v>
      </c>
    </row>
    <row r="59" spans="2:11" x14ac:dyDescent="0.2">
      <c r="B59" s="136">
        <f>'Financement avec SCHL'!B59</f>
        <v>41</v>
      </c>
      <c r="C59" s="137">
        <f t="shared" si="10"/>
        <v>466920.51135985105</v>
      </c>
      <c r="D59" s="138">
        <f t="shared" si="11"/>
        <v>1355.5284017746874</v>
      </c>
      <c r="E59" s="138">
        <f t="shared" si="9"/>
        <v>1209.4729307587349</v>
      </c>
    </row>
    <row r="60" spans="2:11" x14ac:dyDescent="0.2">
      <c r="B60" s="136">
        <f>'Financement avec SCHL'!B60</f>
        <v>42</v>
      </c>
      <c r="C60" s="137">
        <f t="shared" si="10"/>
        <v>465707.53625028761</v>
      </c>
      <c r="D60" s="138">
        <f t="shared" si="11"/>
        <v>1352.0262229700002</v>
      </c>
      <c r="E60" s="138">
        <f t="shared" si="9"/>
        <v>1212.9751095634222</v>
      </c>
    </row>
    <row r="61" spans="2:11" x14ac:dyDescent="0.2">
      <c r="B61" s="136">
        <f>'Financement avec SCHL'!B61</f>
        <v>43</v>
      </c>
      <c r="C61" s="137">
        <f t="shared" si="10"/>
        <v>464491.04882092663</v>
      </c>
      <c r="D61" s="138">
        <f t="shared" si="11"/>
        <v>1348.5139031724323</v>
      </c>
      <c r="E61" s="138">
        <f t="shared" si="9"/>
        <v>1216.4874293609898</v>
      </c>
    </row>
    <row r="62" spans="2:11" x14ac:dyDescent="0.2">
      <c r="B62" s="136">
        <f>'Financement avec SCHL'!B62</f>
        <v>44</v>
      </c>
      <c r="C62" s="137">
        <f t="shared" si="10"/>
        <v>463271.03890141071</v>
      </c>
      <c r="D62" s="138">
        <f t="shared" si="11"/>
        <v>1344.9914130174823</v>
      </c>
      <c r="E62" s="138">
        <f t="shared" si="9"/>
        <v>1220.0099195159401</v>
      </c>
    </row>
    <row r="63" spans="2:11" x14ac:dyDescent="0.2">
      <c r="B63" s="136">
        <f>'Financement avec SCHL'!B63</f>
        <v>45</v>
      </c>
      <c r="C63" s="137">
        <f t="shared" si="10"/>
        <v>462047.49629193288</v>
      </c>
      <c r="D63" s="138">
        <f t="shared" si="11"/>
        <v>1341.4587230556187</v>
      </c>
      <c r="E63" s="138">
        <f t="shared" si="9"/>
        <v>1223.5426094778034</v>
      </c>
    </row>
    <row r="64" spans="2:11" x14ac:dyDescent="0.2">
      <c r="B64" s="136">
        <f>'Financement avec SCHL'!B64</f>
        <v>46</v>
      </c>
      <c r="C64" s="137">
        <f t="shared" si="10"/>
        <v>460820.41076315148</v>
      </c>
      <c r="D64" s="138">
        <f t="shared" si="11"/>
        <v>1337.9158037520367</v>
      </c>
      <c r="E64" s="138">
        <f t="shared" si="9"/>
        <v>1227.0855287813854</v>
      </c>
    </row>
    <row r="65" spans="2:5" x14ac:dyDescent="0.2">
      <c r="B65" s="136">
        <f>'Financement avec SCHL'!B65</f>
        <v>47</v>
      </c>
      <c r="C65" s="137">
        <f t="shared" si="10"/>
        <v>459589.77205610444</v>
      </c>
      <c r="D65" s="138">
        <f t="shared" si="11"/>
        <v>1334.3626254864096</v>
      </c>
      <c r="E65" s="138">
        <f t="shared" si="9"/>
        <v>1230.6387070470128</v>
      </c>
    </row>
    <row r="66" spans="2:5" x14ac:dyDescent="0.2">
      <c r="B66" s="136">
        <f>'Financement avec SCHL'!B66</f>
        <v>48</v>
      </c>
      <c r="C66" s="137">
        <f t="shared" si="10"/>
        <v>458355.56988212367</v>
      </c>
      <c r="D66" s="138">
        <f t="shared" si="11"/>
        <v>1330.7991585526402</v>
      </c>
      <c r="E66" s="138">
        <f>IF($D$3*12&lt;=B66,C65,-PPMT(((1+$D$2/2)^(1/6)-1),B66,$D$3*12,$D$1))</f>
        <v>1234.2021739807822</v>
      </c>
    </row>
    <row r="67" spans="2:5" ht="13.5" thickBot="1" x14ac:dyDescent="0.25">
      <c r="B67" s="139" t="str">
        <f>'Financement avec SCHL'!B67</f>
        <v>Total après 4 ans</v>
      </c>
      <c r="C67" s="141"/>
      <c r="D67" s="140">
        <f>SUM(D55:D66)</f>
        <v>16202.529850085888</v>
      </c>
      <c r="E67" s="140">
        <f>SUM(E55:E66)</f>
        <v>14577.486140315181</v>
      </c>
    </row>
    <row r="68" spans="2:5" x14ac:dyDescent="0.2">
      <c r="B68" s="136">
        <f>'Financement avec SCHL'!B68</f>
        <v>49</v>
      </c>
      <c r="C68" s="137">
        <f>IF(B68&gt;$D$3*12,0,C66-E68)</f>
        <v>457117.79392274888</v>
      </c>
      <c r="D68" s="138">
        <f>IF(C66&lt;0.001,0,-IPMT(((1+$D$2/2)^(1/6)-1),B68,$D$3*12,$D$1))</f>
        <v>1327.225373158615</v>
      </c>
      <c r="E68" s="138">
        <f>IF($D$3*12&lt;=B68,C66,-PPMT(((1+$D$2/2)^(1/6)-1),B68,$D$3*12,$D$1))</f>
        <v>1237.7759593748074</v>
      </c>
    </row>
    <row r="69" spans="2:5" x14ac:dyDescent="0.2">
      <c r="B69" s="136">
        <f>'Financement avec SCHL'!B69</f>
        <v>50</v>
      </c>
      <c r="C69" s="137">
        <f>IF(B69&gt;$D$3*12,0,C68-E69)</f>
        <v>455876.43382964144</v>
      </c>
      <c r="D69" s="138">
        <f>IF(C68&lt;0.001,0,-IPMT(((1+$D$2/2)^(1/6)-1),B69,$D$3*12,$D$1))</f>
        <v>1323.6412394259532</v>
      </c>
      <c r="E69" s="138">
        <f t="shared" ref="E69:E78" si="12">IF($D$3*12&lt;=B69,C68,-PPMT(((1+$D$2/2)^(1/6)-1),B69,$D$3*12,$D$1))</f>
        <v>1241.3600931074691</v>
      </c>
    </row>
    <row r="70" spans="2:5" x14ac:dyDescent="0.2">
      <c r="B70" s="136">
        <f>'Financement avec SCHL'!B70</f>
        <v>51</v>
      </c>
      <c r="C70" s="137">
        <f t="shared" ref="C70:C79" si="13">IF(B70&gt;$D$3*12,0,C69-E70)</f>
        <v>454631.47922449774</v>
      </c>
      <c r="D70" s="138">
        <f>IF(C69&lt;0.001,0,-IPMT(((1+$D$2/2)^(1/6)-1),B70,$D$3*12,$D$1))</f>
        <v>1320.0467273897573</v>
      </c>
      <c r="E70" s="138">
        <f t="shared" si="12"/>
        <v>1244.954605143665</v>
      </c>
    </row>
    <row r="71" spans="2:5" x14ac:dyDescent="0.2">
      <c r="B71" s="136">
        <f>'Financement avec SCHL'!B71</f>
        <v>52</v>
      </c>
      <c r="C71" s="137">
        <f t="shared" si="13"/>
        <v>453382.91969896271</v>
      </c>
      <c r="D71" s="138">
        <f t="shared" ref="D71:D79" si="14">IF(C70&lt;0.001,0,-IPMT(((1+$D$2/2)^(1/6)-1),B71,$D$3*12,$D$1))</f>
        <v>1316.4418069983626</v>
      </c>
      <c r="E71" s="138">
        <f t="shared" si="12"/>
        <v>1248.5595255350597</v>
      </c>
    </row>
    <row r="72" spans="2:5" x14ac:dyDescent="0.2">
      <c r="B72" s="136">
        <f>'Financement avec SCHL'!B72</f>
        <v>53</v>
      </c>
      <c r="C72" s="137">
        <f t="shared" si="13"/>
        <v>452130.74481454236</v>
      </c>
      <c r="D72" s="138">
        <f t="shared" si="14"/>
        <v>1312.8264481130868</v>
      </c>
      <c r="E72" s="138">
        <f t="shared" si="12"/>
        <v>1252.1748844203355</v>
      </c>
    </row>
    <row r="73" spans="2:5" x14ac:dyDescent="0.2">
      <c r="B73" s="136">
        <f>'Financement avec SCHL'!B73</f>
        <v>54</v>
      </c>
      <c r="C73" s="137">
        <f t="shared" si="13"/>
        <v>450874.94410251692</v>
      </c>
      <c r="D73" s="138">
        <f t="shared" si="14"/>
        <v>1309.2006205079763</v>
      </c>
      <c r="E73" s="138">
        <f t="shared" si="12"/>
        <v>1255.8007120254458</v>
      </c>
    </row>
    <row r="74" spans="2:5" x14ac:dyDescent="0.2">
      <c r="B74" s="136">
        <f>'Financement avec SCHL'!B74</f>
        <v>55</v>
      </c>
      <c r="C74" s="137">
        <f t="shared" si="13"/>
        <v>449615.50706385303</v>
      </c>
      <c r="D74" s="138">
        <f t="shared" si="14"/>
        <v>1305.5642938695562</v>
      </c>
      <c r="E74" s="138">
        <f t="shared" si="12"/>
        <v>1259.4370386638664</v>
      </c>
    </row>
    <row r="75" spans="2:5" x14ac:dyDescent="0.2">
      <c r="B75" s="136">
        <f>'Financement avec SCHL'!B75</f>
        <v>56</v>
      </c>
      <c r="C75" s="137">
        <f t="shared" si="13"/>
        <v>448352.4231691162</v>
      </c>
      <c r="D75" s="138">
        <f t="shared" si="14"/>
        <v>1301.9174377965724</v>
      </c>
      <c r="E75" s="138">
        <f t="shared" si="12"/>
        <v>1263.08389473685</v>
      </c>
    </row>
    <row r="76" spans="2:5" x14ac:dyDescent="0.2">
      <c r="B76" s="136">
        <f>'Financement avec SCHL'!B76</f>
        <v>57</v>
      </c>
      <c r="C76" s="137">
        <f t="shared" si="13"/>
        <v>447085.68185838254</v>
      </c>
      <c r="D76" s="138">
        <f t="shared" si="14"/>
        <v>1298.2600217997433</v>
      </c>
      <c r="E76" s="138">
        <f t="shared" si="12"/>
        <v>1266.7413107336793</v>
      </c>
    </row>
    <row r="77" spans="2:5" x14ac:dyDescent="0.2">
      <c r="B77" s="136">
        <f>'Financement avec SCHL'!B77</f>
        <v>58</v>
      </c>
      <c r="C77" s="137">
        <f t="shared" si="13"/>
        <v>445815.27254115063</v>
      </c>
      <c r="D77" s="138">
        <f t="shared" si="14"/>
        <v>1294.5920153014993</v>
      </c>
      <c r="E77" s="138">
        <f t="shared" si="12"/>
        <v>1270.4093172319231</v>
      </c>
    </row>
    <row r="78" spans="2:5" x14ac:dyDescent="0.2">
      <c r="B78" s="136">
        <f>'Financement avec SCHL'!B78</f>
        <v>59</v>
      </c>
      <c r="C78" s="137">
        <f t="shared" si="13"/>
        <v>444541.18459625292</v>
      </c>
      <c r="D78" s="138">
        <f t="shared" si="14"/>
        <v>1290.9133876357307</v>
      </c>
      <c r="E78" s="138">
        <f t="shared" si="12"/>
        <v>1274.0879448976914</v>
      </c>
    </row>
    <row r="79" spans="2:5" x14ac:dyDescent="0.2">
      <c r="B79" s="136">
        <f>'Financement avec SCHL'!B79</f>
        <v>60</v>
      </c>
      <c r="C79" s="137">
        <f t="shared" si="13"/>
        <v>443263.40737176704</v>
      </c>
      <c r="D79" s="138">
        <f t="shared" si="14"/>
        <v>1287.2241080475312</v>
      </c>
      <c r="E79" s="138">
        <f>IF($D$3*12&lt;=B79,C78,-PPMT(((1+$D$2/2)^(1/6)-1),B79,$D$3*12,$D$1))</f>
        <v>1277.7772244858911</v>
      </c>
    </row>
    <row r="80" spans="2:5" ht="13.5" thickBot="1" x14ac:dyDescent="0.25">
      <c r="B80" s="139" t="str">
        <f>'Financement avec SCHL'!B80</f>
        <v>Total après 5 ans</v>
      </c>
      <c r="C80" s="141"/>
      <c r="D80" s="140">
        <f>SUM(D68:D79)</f>
        <v>15687.853480044383</v>
      </c>
      <c r="E80" s="140">
        <f>SUM(E68:E79)</f>
        <v>15092.162510356686</v>
      </c>
    </row>
    <row r="81" spans="2:5" x14ac:dyDescent="0.2">
      <c r="B81" s="136">
        <f>'Financement avec SCHL'!B81</f>
        <v>61</v>
      </c>
      <c r="C81" s="137">
        <f>IF(B81&gt;$D$3*12,0,C79-E81)</f>
        <v>441981.93018492655</v>
      </c>
      <c r="D81" s="138">
        <f>IF(C79&lt;0.001,0,-IPMT(((1+$D$2/2)^(1/6)-1),B81,$D$3*12,$D$1))</f>
        <v>1283.5241456929384</v>
      </c>
      <c r="E81" s="138">
        <f>IF($D$3*12&lt;=B81,C79,-PPMT(((1+$D$2/2)^(1/6)-1),B81,$D$3*12,$D$1))</f>
        <v>1281.4771868404839</v>
      </c>
    </row>
    <row r="82" spans="2:5" x14ac:dyDescent="0.2">
      <c r="B82" s="136">
        <f>'Financement avec SCHL'!B82</f>
        <v>62</v>
      </c>
      <c r="C82" s="137">
        <f>IF(B82&gt;$D$3*12,0,C81-E82)</f>
        <v>440696.74232203182</v>
      </c>
      <c r="D82" s="138">
        <f>IF(C81&lt;0.001,0,-IPMT(((1+$D$2/2)^(1/6)-1),B82,$D$3*12,$D$1))</f>
        <v>1279.8134696386776</v>
      </c>
      <c r="E82" s="138">
        <f t="shared" ref="E82:E91" si="15">IF($D$3*12&lt;=B82,C81,-PPMT(((1+$D$2/2)^(1/6)-1),B82,$D$3*12,$D$1))</f>
        <v>1285.1878628947447</v>
      </c>
    </row>
    <row r="83" spans="2:5" x14ac:dyDescent="0.2">
      <c r="B83" s="136">
        <f>'Financement avec SCHL'!B83</f>
        <v>63</v>
      </c>
      <c r="C83" s="137">
        <f t="shared" ref="C83:C92" si="16">IF(B83&gt;$D$3*12,0,C82-E83)</f>
        <v>439407.83303836029</v>
      </c>
      <c r="D83" s="138">
        <f>IF(C82&lt;0.001,0,-IPMT(((1+$D$2/2)^(1/6)-1),B83,$D$3*12,$D$1))</f>
        <v>1276.0920488619038</v>
      </c>
      <c r="E83" s="138">
        <f t="shared" si="15"/>
        <v>1288.9092836715188</v>
      </c>
    </row>
    <row r="84" spans="2:5" x14ac:dyDescent="0.2">
      <c r="B84" s="136">
        <f>'Financement avec SCHL'!B84</f>
        <v>64</v>
      </c>
      <c r="C84" s="137">
        <f t="shared" si="16"/>
        <v>438115.19155807683</v>
      </c>
      <c r="D84" s="138">
        <f t="shared" ref="D84:D92" si="17">IF(C83&lt;0.001,0,-IPMT(((1+$D$2/2)^(1/6)-1),B84,$D$3*12,$D$1))</f>
        <v>1272.3598522499406</v>
      </c>
      <c r="E84" s="138">
        <f t="shared" si="15"/>
        <v>1292.641480283482</v>
      </c>
    </row>
    <row r="85" spans="2:5" x14ac:dyDescent="0.2">
      <c r="B85" s="136">
        <f>'Financement avec SCHL'!B85</f>
        <v>65</v>
      </c>
      <c r="C85" s="137">
        <f t="shared" si="16"/>
        <v>436818.80707414343</v>
      </c>
      <c r="D85" s="138">
        <f t="shared" si="17"/>
        <v>1268.6168486000213</v>
      </c>
      <c r="E85" s="138">
        <f t="shared" si="15"/>
        <v>1296.3844839334008</v>
      </c>
    </row>
    <row r="86" spans="2:5" x14ac:dyDescent="0.2">
      <c r="B86" s="136">
        <f>'Financement avec SCHL'!B86</f>
        <v>66</v>
      </c>
      <c r="C86" s="137">
        <f t="shared" si="16"/>
        <v>435518.66874822904</v>
      </c>
      <c r="D86" s="138">
        <f t="shared" si="17"/>
        <v>1264.8630066190281</v>
      </c>
      <c r="E86" s="138">
        <f t="shared" si="15"/>
        <v>1300.1383259143943</v>
      </c>
    </row>
    <row r="87" spans="2:5" x14ac:dyDescent="0.2">
      <c r="B87" s="136">
        <f>'Financement avec SCHL'!B87</f>
        <v>67</v>
      </c>
      <c r="C87" s="137">
        <f t="shared" si="16"/>
        <v>434214.76571061887</v>
      </c>
      <c r="D87" s="138">
        <f t="shared" si="17"/>
        <v>1261.0982949232298</v>
      </c>
      <c r="E87" s="138">
        <f t="shared" si="15"/>
        <v>1303.9030376101925</v>
      </c>
    </row>
    <row r="88" spans="2:5" x14ac:dyDescent="0.2">
      <c r="B88" s="136">
        <f>'Financement avec SCHL'!B88</f>
        <v>68</v>
      </c>
      <c r="C88" s="137">
        <f t="shared" si="16"/>
        <v>432907.08706012345</v>
      </c>
      <c r="D88" s="138">
        <f t="shared" si="17"/>
        <v>1257.3226820380194</v>
      </c>
      <c r="E88" s="138">
        <f t="shared" si="15"/>
        <v>1307.6786504954027</v>
      </c>
    </row>
    <row r="89" spans="2:5" x14ac:dyDescent="0.2">
      <c r="B89" s="136">
        <f>'Financement avec SCHL'!B89</f>
        <v>69</v>
      </c>
      <c r="C89" s="137">
        <f t="shared" si="16"/>
        <v>431595.6218639877</v>
      </c>
      <c r="D89" s="138">
        <f t="shared" si="17"/>
        <v>1253.5361363976519</v>
      </c>
      <c r="E89" s="138">
        <f t="shared" si="15"/>
        <v>1311.4651961357702</v>
      </c>
    </row>
    <row r="90" spans="2:5" x14ac:dyDescent="0.2">
      <c r="B90" s="136">
        <f>'Financement avec SCHL'!B90</f>
        <v>70</v>
      </c>
      <c r="C90" s="137">
        <f t="shared" si="16"/>
        <v>430280.35915779928</v>
      </c>
      <c r="D90" s="138">
        <f t="shared" si="17"/>
        <v>1249.7386263449794</v>
      </c>
      <c r="E90" s="138">
        <f t="shared" si="15"/>
        <v>1315.262706188443</v>
      </c>
    </row>
    <row r="91" spans="2:5" x14ac:dyDescent="0.2">
      <c r="B91" s="136">
        <f>'Financement avec SCHL'!B91</f>
        <v>71</v>
      </c>
      <c r="C91" s="137">
        <f t="shared" si="16"/>
        <v>428961.28794539702</v>
      </c>
      <c r="D91" s="138">
        <f t="shared" si="17"/>
        <v>1245.9301201311866</v>
      </c>
      <c r="E91" s="138">
        <f t="shared" si="15"/>
        <v>1319.0712124022352</v>
      </c>
    </row>
    <row r="92" spans="2:5" x14ac:dyDescent="0.2">
      <c r="B92" s="136">
        <f>'Financement avec SCHL'!B92</f>
        <v>72</v>
      </c>
      <c r="C92" s="137">
        <f t="shared" si="16"/>
        <v>427638.3971987791</v>
      </c>
      <c r="D92" s="138">
        <f t="shared" si="17"/>
        <v>1242.1105859155261</v>
      </c>
      <c r="E92" s="138">
        <f>IF($D$3*12&lt;=B92,C91,-PPMT(((1+$D$2/2)^(1/6)-1),B92,$D$3*12,$D$1))</f>
        <v>1322.8907466178962</v>
      </c>
    </row>
    <row r="93" spans="2:5" ht="13.5" thickBot="1" x14ac:dyDescent="0.25">
      <c r="B93" s="139" t="str">
        <f>'Financement avec SCHL'!B93</f>
        <v>Total après 6 ans</v>
      </c>
      <c r="C93" s="141"/>
      <c r="D93" s="140">
        <f>SUM(D81:D92)</f>
        <v>15155.005817413103</v>
      </c>
      <c r="E93" s="140">
        <f>SUM(E81:E92)</f>
        <v>15625.010172987964</v>
      </c>
    </row>
    <row r="94" spans="2:5" x14ac:dyDescent="0.2">
      <c r="B94" s="136">
        <f>'Financement avec SCHL'!B94</f>
        <v>73</v>
      </c>
      <c r="C94" s="137">
        <f>IF(B94&gt;$D$3*12,0,C92-E94)</f>
        <v>426311.67585801071</v>
      </c>
      <c r="D94" s="138">
        <f>IF(C92&lt;0.001,0,-IPMT(((1+$D$2/2)^(1/6)-1),B94,$D$3*12,$D$1))</f>
        <v>1238.2799917650514</v>
      </c>
      <c r="E94" s="138">
        <f>IF($D$3*12&lt;=B94,C92,-PPMT(((1+$D$2/2)^(1/6)-1),B94,$D$3*12,$D$1))</f>
        <v>1326.721340768371</v>
      </c>
    </row>
    <row r="95" spans="2:5" x14ac:dyDescent="0.2">
      <c r="B95" s="136">
        <f>'Financement avec SCHL'!B95</f>
        <v>74</v>
      </c>
      <c r="C95" s="137">
        <f>IF(B95&gt;$D$3*12,0,C94-E95)</f>
        <v>424981.11283113161</v>
      </c>
      <c r="D95" s="138">
        <f>IF(C94&lt;0.001,0,-IPMT(((1+$D$2/2)^(1/6)-1),B95,$D$3*12,$D$1))</f>
        <v>1234.4383056543502</v>
      </c>
      <c r="E95" s="138">
        <f t="shared" ref="E95:E104" si="18">IF($D$3*12&lt;=B95,C94,-PPMT(((1+$D$2/2)^(1/6)-1),B95,$D$3*12,$D$1))</f>
        <v>1330.5630268790724</v>
      </c>
    </row>
    <row r="96" spans="2:5" x14ac:dyDescent="0.2">
      <c r="B96" s="136">
        <f>'Financement avec SCHL'!B96</f>
        <v>75</v>
      </c>
      <c r="C96" s="137">
        <f t="shared" ref="C96:C105" si="19">IF(B96&gt;$D$3*12,0,C95-E96)</f>
        <v>423646.69699406344</v>
      </c>
      <c r="D96" s="138">
        <f>IF(C95&lt;0.001,0,-IPMT(((1+$D$2/2)^(1/6)-1),B96,$D$3*12,$D$1))</f>
        <v>1230.5854954652759</v>
      </c>
      <c r="E96" s="138">
        <f t="shared" si="18"/>
        <v>1334.4158370681462</v>
      </c>
    </row>
    <row r="97" spans="2:5" x14ac:dyDescent="0.2">
      <c r="B97" s="136">
        <f>'Financement avec SCHL'!B97</f>
        <v>76</v>
      </c>
      <c r="C97" s="137">
        <f t="shared" si="19"/>
        <v>422308.41719051672</v>
      </c>
      <c r="D97" s="138">
        <f t="shared" ref="D97:D105" si="20">IF(C96&lt;0.001,0,-IPMT(((1+$D$2/2)^(1/6)-1),B97,$D$3*12,$D$1))</f>
        <v>1226.7215289866817</v>
      </c>
      <c r="E97" s="138">
        <f t="shared" si="18"/>
        <v>1338.2798035467406</v>
      </c>
    </row>
    <row r="98" spans="2:5" x14ac:dyDescent="0.2">
      <c r="B98" s="136">
        <f>'Financement avec SCHL'!B98</f>
        <v>77</v>
      </c>
      <c r="C98" s="137">
        <f t="shared" si="19"/>
        <v>420966.26223189745</v>
      </c>
      <c r="D98" s="138">
        <f t="shared" si="20"/>
        <v>1222.8463739141475</v>
      </c>
      <c r="E98" s="138">
        <f t="shared" si="18"/>
        <v>1342.1549586192748</v>
      </c>
    </row>
    <row r="99" spans="2:5" x14ac:dyDescent="0.2">
      <c r="B99" s="136">
        <f>'Financement avec SCHL'!B99</f>
        <v>78</v>
      </c>
      <c r="C99" s="137">
        <f t="shared" si="19"/>
        <v>419620.22089721373</v>
      </c>
      <c r="D99" s="138">
        <f t="shared" si="20"/>
        <v>1218.9599978497131</v>
      </c>
      <c r="E99" s="138">
        <f t="shared" si="18"/>
        <v>1346.041334683709</v>
      </c>
    </row>
    <row r="100" spans="2:5" x14ac:dyDescent="0.2">
      <c r="B100" s="136">
        <f>'Financement avec SCHL'!B100</f>
        <v>79</v>
      </c>
      <c r="C100" s="137">
        <f t="shared" si="19"/>
        <v>418270.28193298192</v>
      </c>
      <c r="D100" s="138">
        <f t="shared" si="20"/>
        <v>1215.0623683016051</v>
      </c>
      <c r="E100" s="138">
        <f t="shared" si="18"/>
        <v>1349.9389642318174</v>
      </c>
    </row>
    <row r="101" spans="2:5" x14ac:dyDescent="0.2">
      <c r="B101" s="136">
        <f>'Financement avec SCHL'!B101</f>
        <v>80</v>
      </c>
      <c r="C101" s="137">
        <f t="shared" si="19"/>
        <v>416916.43405313249</v>
      </c>
      <c r="D101" s="138">
        <f t="shared" si="20"/>
        <v>1211.1534526839664</v>
      </c>
      <c r="E101" s="138">
        <f t="shared" si="18"/>
        <v>1353.8478798494561</v>
      </c>
    </row>
    <row r="102" spans="2:5" x14ac:dyDescent="0.2">
      <c r="B102" s="136">
        <f>'Financement avec SCHL'!B102</f>
        <v>81</v>
      </c>
      <c r="C102" s="137">
        <f t="shared" si="19"/>
        <v>415558.66593891563</v>
      </c>
      <c r="D102" s="138">
        <f t="shared" si="20"/>
        <v>1207.2332183165834</v>
      </c>
      <c r="E102" s="138">
        <f t="shared" si="18"/>
        <v>1357.7681142168387</v>
      </c>
    </row>
    <row r="103" spans="2:5" x14ac:dyDescent="0.2">
      <c r="B103" s="136">
        <f>'Financement avec SCHL'!B103</f>
        <v>82</v>
      </c>
      <c r="C103" s="137">
        <f t="shared" si="19"/>
        <v>414196.96623880684</v>
      </c>
      <c r="D103" s="138">
        <f t="shared" si="20"/>
        <v>1203.3016324246134</v>
      </c>
      <c r="E103" s="138">
        <f t="shared" si="18"/>
        <v>1361.6997001088087</v>
      </c>
    </row>
    <row r="104" spans="2:5" x14ac:dyDescent="0.2">
      <c r="B104" s="136">
        <f>'Financement avec SCHL'!B104</f>
        <v>83</v>
      </c>
      <c r="C104" s="137">
        <f t="shared" si="19"/>
        <v>412831.32356841175</v>
      </c>
      <c r="D104" s="138">
        <f t="shared" si="20"/>
        <v>1199.3586621383104</v>
      </c>
      <c r="E104" s="138">
        <f t="shared" si="18"/>
        <v>1365.6426703951122</v>
      </c>
    </row>
    <row r="105" spans="2:5" x14ac:dyDescent="0.2">
      <c r="B105" s="136">
        <f>'Financement avec SCHL'!B105</f>
        <v>84</v>
      </c>
      <c r="C105" s="137">
        <f t="shared" si="19"/>
        <v>411461.72651037108</v>
      </c>
      <c r="D105" s="138">
        <f t="shared" si="20"/>
        <v>1195.4042744927478</v>
      </c>
      <c r="E105" s="138">
        <f>IF($D$3*12&lt;=B105,C104,-PPMT(((1+$D$2/2)^(1/6)-1),B105,$D$3*12,$D$1))</f>
        <v>1369.597058040674</v>
      </c>
    </row>
    <row r="106" spans="2:5" ht="13.5" thickBot="1" x14ac:dyDescent="0.25">
      <c r="B106" s="139" t="str">
        <f>'Financement avec SCHL'!B106</f>
        <v>Total après 7 ans</v>
      </c>
      <c r="C106" s="141"/>
      <c r="D106" s="140">
        <f>SUM(D94:D105)</f>
        <v>14603.345301993048</v>
      </c>
      <c r="E106" s="140">
        <f>SUM(E94:E105)</f>
        <v>16176.670688408023</v>
      </c>
    </row>
    <row r="107" spans="2:5" x14ac:dyDescent="0.2">
      <c r="B107" s="136">
        <f>'Financement avec SCHL'!B107</f>
        <v>85</v>
      </c>
      <c r="C107" s="137">
        <f>IF(B107&gt;$D$3*12,0,C105-E107)</f>
        <v>410088.16361426521</v>
      </c>
      <c r="D107" s="138">
        <f>IF(C105&lt;0.001,0,-IPMT(((1+$D$2/2)^(1/6)-1),B107,$D$3*12,$D$1))</f>
        <v>1191.4384364275481</v>
      </c>
      <c r="E107" s="138">
        <f>IF($D$3*12&lt;=B107,C105,-PPMT(((1+$D$2/2)^(1/6)-1),B107,$D$3*12,$D$1))</f>
        <v>1373.5628961058742</v>
      </c>
    </row>
    <row r="108" spans="2:5" x14ac:dyDescent="0.2">
      <c r="B108" s="136">
        <f>'Financement avec SCHL'!B108</f>
        <v>86</v>
      </c>
      <c r="C108" s="137">
        <f>IF(B108&gt;$D$3*12,0,C107-E108)</f>
        <v>408710.62339651841</v>
      </c>
      <c r="D108" s="138">
        <f>IF(C107&lt;0.001,0,-IPMT(((1+$D$2/2)^(1/6)-1),B108,$D$3*12,$D$1))</f>
        <v>1187.4611147866005</v>
      </c>
      <c r="E108" s="138">
        <f t="shared" ref="E108:E117" si="21">IF($D$3*12&lt;=B108,C107,-PPMT(((1+$D$2/2)^(1/6)-1),B108,$D$3*12,$D$1))</f>
        <v>1377.5402177468213</v>
      </c>
    </row>
    <row r="109" spans="2:5" x14ac:dyDescent="0.2">
      <c r="B109" s="136">
        <f>'Financement avec SCHL'!B109</f>
        <v>87</v>
      </c>
      <c r="C109" s="137">
        <f t="shared" ref="C109:C118" si="22">IF(B109&gt;$D$3*12,0,C108-E109)</f>
        <v>407329.09434030275</v>
      </c>
      <c r="D109" s="138">
        <f>IF(C108&lt;0.001,0,-IPMT(((1+$D$2/2)^(1/6)-1),B109,$D$3*12,$D$1))</f>
        <v>1183.4722763177886</v>
      </c>
      <c r="E109" s="138">
        <f t="shared" si="21"/>
        <v>1381.5290562156335</v>
      </c>
    </row>
    <row r="110" spans="2:5" x14ac:dyDescent="0.2">
      <c r="B110" s="136">
        <f>'Financement avec SCHL'!B110</f>
        <v>88</v>
      </c>
      <c r="C110" s="137">
        <f t="shared" si="22"/>
        <v>405943.56489544205</v>
      </c>
      <c r="D110" s="138">
        <f t="shared" ref="D110:D118" si="23">IF(C109&lt;0.001,0,-IPMT(((1+$D$2/2)^(1/6)-1),B110,$D$3*12,$D$1))</f>
        <v>1179.4718876727093</v>
      </c>
      <c r="E110" s="138">
        <f t="shared" si="21"/>
        <v>1385.5294448607128</v>
      </c>
    </row>
    <row r="111" spans="2:5" x14ac:dyDescent="0.2">
      <c r="B111" s="136">
        <f>'Financement avec SCHL'!B111</f>
        <v>89</v>
      </c>
      <c r="C111" s="137">
        <f t="shared" si="22"/>
        <v>404554.02347831504</v>
      </c>
      <c r="D111" s="138">
        <f t="shared" si="23"/>
        <v>1175.459915406396</v>
      </c>
      <c r="E111" s="138">
        <f t="shared" si="21"/>
        <v>1389.5414171270265</v>
      </c>
    </row>
    <row r="112" spans="2:5" x14ac:dyDescent="0.2">
      <c r="B112" s="136">
        <f>'Financement avec SCHL'!B112</f>
        <v>90</v>
      </c>
      <c r="C112" s="137">
        <f t="shared" si="22"/>
        <v>403160.45847175864</v>
      </c>
      <c r="D112" s="138">
        <f t="shared" si="23"/>
        <v>1171.4363259770364</v>
      </c>
      <c r="E112" s="138">
        <f t="shared" si="21"/>
        <v>1393.5650065563859</v>
      </c>
    </row>
    <row r="113" spans="2:5" x14ac:dyDescent="0.2">
      <c r="B113" s="136">
        <f>'Financement avec SCHL'!B113</f>
        <v>91</v>
      </c>
      <c r="C113" s="137">
        <f t="shared" si="22"/>
        <v>401762.85822497093</v>
      </c>
      <c r="D113" s="138">
        <f t="shared" si="23"/>
        <v>1167.4010857456954</v>
      </c>
      <c r="E113" s="138">
        <f t="shared" si="21"/>
        <v>1397.6002467877272</v>
      </c>
    </row>
    <row r="114" spans="2:5" x14ac:dyDescent="0.2">
      <c r="B114" s="136">
        <f>'Financement avec SCHL'!B114</f>
        <v>92</v>
      </c>
      <c r="C114" s="137">
        <f t="shared" si="22"/>
        <v>400361.21105341351</v>
      </c>
      <c r="D114" s="138">
        <f t="shared" si="23"/>
        <v>1163.3541609760314</v>
      </c>
      <c r="E114" s="138">
        <f t="shared" si="21"/>
        <v>1401.6471715573909</v>
      </c>
    </row>
    <row r="115" spans="2:5" x14ac:dyDescent="0.2">
      <c r="B115" s="136">
        <f>'Financement avec SCHL'!B115</f>
        <v>93</v>
      </c>
      <c r="C115" s="137">
        <f t="shared" si="22"/>
        <v>398955.5052387141</v>
      </c>
      <c r="D115" s="138">
        <f t="shared" si="23"/>
        <v>1159.2955178340151</v>
      </c>
      <c r="E115" s="138">
        <f t="shared" si="21"/>
        <v>1405.7058146994073</v>
      </c>
    </row>
    <row r="116" spans="2:5" x14ac:dyDescent="0.2">
      <c r="B116" s="136">
        <f>'Financement avec SCHL'!B116</f>
        <v>94</v>
      </c>
      <c r="C116" s="137">
        <f t="shared" si="22"/>
        <v>397545.72902856831</v>
      </c>
      <c r="D116" s="138">
        <f t="shared" si="23"/>
        <v>1155.2251223876472</v>
      </c>
      <c r="E116" s="138">
        <f t="shared" si="21"/>
        <v>1409.7762101457752</v>
      </c>
    </row>
    <row r="117" spans="2:5" x14ac:dyDescent="0.2">
      <c r="B117" s="136">
        <f>'Financement avec SCHL'!B117</f>
        <v>95</v>
      </c>
      <c r="C117" s="137">
        <f t="shared" si="22"/>
        <v>396131.87063664157</v>
      </c>
      <c r="D117" s="138">
        <f t="shared" si="23"/>
        <v>1151.1429406066729</v>
      </c>
      <c r="E117" s="138">
        <f t="shared" si="21"/>
        <v>1413.8583919267494</v>
      </c>
    </row>
    <row r="118" spans="2:5" x14ac:dyDescent="0.2">
      <c r="B118" s="136">
        <f>'Financement avec SCHL'!B118</f>
        <v>96</v>
      </c>
      <c r="C118" s="137">
        <f t="shared" si="22"/>
        <v>394713.91824247048</v>
      </c>
      <c r="D118" s="138">
        <f t="shared" si="23"/>
        <v>1147.0489383622996</v>
      </c>
      <c r="E118" s="138">
        <f>IF($D$3*12&lt;=B118,C117,-PPMT(((1+$D$2/2)^(1/6)-1),B118,$D$3*12,$D$1))</f>
        <v>1417.9523941711227</v>
      </c>
    </row>
    <row r="119" spans="2:5" ht="13.5" thickBot="1" x14ac:dyDescent="0.25">
      <c r="B119" s="139" t="str">
        <f>'Financement avec SCHL'!B119</f>
        <v>Total après 8 ans</v>
      </c>
      <c r="C119" s="141"/>
      <c r="D119" s="140">
        <f>SUM(D107:D118)</f>
        <v>14032.207722500438</v>
      </c>
      <c r="E119" s="140">
        <f>SUM(E107:E118)</f>
        <v>16747.808267900629</v>
      </c>
    </row>
    <row r="120" spans="2:5" x14ac:dyDescent="0.2">
      <c r="B120" s="136">
        <f>'Financement avec SCHL'!B120</f>
        <v>97</v>
      </c>
      <c r="C120" s="137">
        <f>IF(B120&gt;$D$3*12,0,C118-E120)</f>
        <v>393291.85999136395</v>
      </c>
      <c r="D120" s="138">
        <f>IF(C118&lt;0.001,0,-IPMT(((1+$D$2/2)^(1/6)-1),B120,$D$3*12,$D$1))</f>
        <v>1142.9430814269099</v>
      </c>
      <c r="E120" s="138">
        <f>IF($D$3*12&lt;=B120,C118,-PPMT(((1+$D$2/2)^(1/6)-1),B120,$D$3*12,$D$1))</f>
        <v>1422.0582511065122</v>
      </c>
    </row>
    <row r="121" spans="2:5" x14ac:dyDescent="0.2">
      <c r="B121" s="136">
        <f>'Financement avec SCHL'!B121</f>
        <v>98</v>
      </c>
      <c r="C121" s="137">
        <f>IF(B121&gt;$D$3*12,0,C120-E121)</f>
        <v>391865.68399430433</v>
      </c>
      <c r="D121" s="138">
        <f>IF(C120&lt;0.001,0,-IPMT(((1+$D$2/2)^(1/6)-1),B121,$D$3*12,$D$1))</f>
        <v>1138.8253354737769</v>
      </c>
      <c r="E121" s="138">
        <f t="shared" ref="E121:E130" si="24">IF($D$3*12&lt;=B121,C120,-PPMT(((1+$D$2/2)^(1/6)-1),B121,$D$3*12,$D$1))</f>
        <v>1426.1759970596452</v>
      </c>
    </row>
    <row r="122" spans="2:5" x14ac:dyDescent="0.2">
      <c r="B122" s="136">
        <f>'Financement avec SCHL'!B122</f>
        <v>99</v>
      </c>
      <c r="C122" s="137">
        <f t="shared" ref="C122:C131" si="25">IF(B122&gt;$D$3*12,0,C121-E122)</f>
        <v>390435.37832784769</v>
      </c>
      <c r="D122" s="138">
        <f>IF(C121&lt;0.001,0,-IPMT(((1+$D$2/2)^(1/6)-1),B122,$D$3*12,$D$1))</f>
        <v>1134.6956660767755</v>
      </c>
      <c r="E122" s="138">
        <f t="shared" si="24"/>
        <v>1430.3056664566468</v>
      </c>
    </row>
    <row r="123" spans="2:5" x14ac:dyDescent="0.2">
      <c r="B123" s="136">
        <f>'Financement avec SCHL'!B123</f>
        <v>100</v>
      </c>
      <c r="C123" s="137">
        <f t="shared" si="25"/>
        <v>389000.93103402434</v>
      </c>
      <c r="D123" s="138">
        <f t="shared" ref="D123:D131" si="26">IF(C122&lt;0.001,0,-IPMT(((1+$D$2/2)^(1/6)-1),B123,$D$3*12,$D$1))</f>
        <v>1130.5540387100959</v>
      </c>
      <c r="E123" s="138">
        <f t="shared" si="24"/>
        <v>1434.4472938233264</v>
      </c>
    </row>
    <row r="124" spans="2:5" x14ac:dyDescent="0.2">
      <c r="B124" s="136">
        <f>'Financement avec SCHL'!B124</f>
        <v>101</v>
      </c>
      <c r="C124" s="137">
        <f t="shared" si="25"/>
        <v>387562.33012023888</v>
      </c>
      <c r="D124" s="138">
        <f t="shared" si="26"/>
        <v>1126.4004187479545</v>
      </c>
      <c r="E124" s="138">
        <f t="shared" si="24"/>
        <v>1438.6009137854674</v>
      </c>
    </row>
    <row r="125" spans="2:5" x14ac:dyDescent="0.2">
      <c r="B125" s="136">
        <f>'Financement avec SCHL'!B125</f>
        <v>102</v>
      </c>
      <c r="C125" s="137">
        <f t="shared" si="25"/>
        <v>386119.56355916976</v>
      </c>
      <c r="D125" s="138">
        <f t="shared" si="26"/>
        <v>1122.2347714643047</v>
      </c>
      <c r="E125" s="138">
        <f t="shared" si="24"/>
        <v>1442.7665610691176</v>
      </c>
    </row>
    <row r="126" spans="2:5" x14ac:dyDescent="0.2">
      <c r="B126" s="136">
        <f>'Financement avec SCHL'!B126</f>
        <v>103</v>
      </c>
      <c r="C126" s="137">
        <f t="shared" si="25"/>
        <v>384672.61928866891</v>
      </c>
      <c r="D126" s="138">
        <f t="shared" si="26"/>
        <v>1118.0570620325461</v>
      </c>
      <c r="E126" s="138">
        <f t="shared" si="24"/>
        <v>1446.9442705008762</v>
      </c>
    </row>
    <row r="127" spans="2:5" x14ac:dyDescent="0.2">
      <c r="B127" s="136">
        <f>'Financement avec SCHL'!B127</f>
        <v>104</v>
      </c>
      <c r="C127" s="137">
        <f t="shared" si="25"/>
        <v>383221.48521166074</v>
      </c>
      <c r="D127" s="138">
        <f t="shared" si="26"/>
        <v>1113.8672555252331</v>
      </c>
      <c r="E127" s="138">
        <f t="shared" si="24"/>
        <v>1451.1340770081893</v>
      </c>
    </row>
    <row r="128" spans="2:5" x14ac:dyDescent="0.2">
      <c r="B128" s="136">
        <f>'Financement avec SCHL'!B128</f>
        <v>105</v>
      </c>
      <c r="C128" s="137">
        <f t="shared" si="25"/>
        <v>381766.14919604111</v>
      </c>
      <c r="D128" s="138">
        <f t="shared" si="26"/>
        <v>1109.6653169137844</v>
      </c>
      <c r="E128" s="138">
        <f t="shared" si="24"/>
        <v>1455.3360156196379</v>
      </c>
    </row>
    <row r="129" spans="2:5" x14ac:dyDescent="0.2">
      <c r="B129" s="136">
        <f>'Financement avec SCHL'!B129</f>
        <v>106</v>
      </c>
      <c r="C129" s="137">
        <f t="shared" si="25"/>
        <v>380306.59907457588</v>
      </c>
      <c r="D129" s="138">
        <f t="shared" si="26"/>
        <v>1105.4512110681876</v>
      </c>
      <c r="E129" s="138">
        <f t="shared" si="24"/>
        <v>1459.5501214652343</v>
      </c>
    </row>
    <row r="130" spans="2:5" x14ac:dyDescent="0.2">
      <c r="B130" s="136">
        <f>'Financement avec SCHL'!B130</f>
        <v>107</v>
      </c>
      <c r="C130" s="137">
        <f t="shared" si="25"/>
        <v>378842.82264479919</v>
      </c>
      <c r="D130" s="138">
        <f t="shared" si="26"/>
        <v>1101.2249027567093</v>
      </c>
      <c r="E130" s="138">
        <f t="shared" si="24"/>
        <v>1463.776429776713</v>
      </c>
    </row>
    <row r="131" spans="2:5" x14ac:dyDescent="0.2">
      <c r="B131" s="136">
        <f>'Financement avec SCHL'!B131</f>
        <v>108</v>
      </c>
      <c r="C131" s="137">
        <f t="shared" si="25"/>
        <v>377374.80766891135</v>
      </c>
      <c r="D131" s="138">
        <f t="shared" si="26"/>
        <v>1096.9863566455952</v>
      </c>
      <c r="E131" s="138">
        <f>IF($D$3*12&lt;=B131,C130,-PPMT(((1+$D$2/2)^(1/6)-1),B131,$D$3*12,$D$1))</f>
        <v>1468.0149758878269</v>
      </c>
    </row>
    <row r="132" spans="2:5" ht="13.5" thickBot="1" x14ac:dyDescent="0.25">
      <c r="B132" s="139" t="str">
        <f>'Financement avec SCHL'!B132</f>
        <v>Total après 9 ans</v>
      </c>
      <c r="C132" s="141"/>
      <c r="D132" s="140">
        <f>SUM(D120:D131)</f>
        <v>13440.905416841873</v>
      </c>
      <c r="E132" s="140">
        <f>SUM(E120:E131)</f>
        <v>17339.110573559192</v>
      </c>
    </row>
    <row r="133" spans="2:5" x14ac:dyDescent="0.2">
      <c r="B133" s="136">
        <f>'Financement avec SCHL'!B133</f>
        <v>109</v>
      </c>
      <c r="C133" s="137">
        <f>IF(B133&gt;$D$3*12,0,C131-E133)</f>
        <v>375902.5418736767</v>
      </c>
      <c r="D133" s="138">
        <f>IF(C131&lt;0.001,0,-IPMT(((1+$D$2/2)^(1/6)-1),B133,$D$3*12,$D$1))</f>
        <v>1092.7355372987806</v>
      </c>
      <c r="E133" s="138">
        <f>IF($D$3*12&lt;=B133,C131,-PPMT(((1+$D$2/2)^(1/6)-1),B133,$D$3*12,$D$1))</f>
        <v>1472.2657952346417</v>
      </c>
    </row>
    <row r="134" spans="2:5" x14ac:dyDescent="0.2">
      <c r="B134" s="136">
        <f>'Financement avec SCHL'!B134</f>
        <v>110</v>
      </c>
      <c r="C134" s="137">
        <f>IF(B134&gt;$D$3*12,0,C133-E134)</f>
        <v>374426.01295032084</v>
      </c>
      <c r="D134" s="138">
        <f>IF(C133&lt;0.001,0,-IPMT(((1+$D$2/2)^(1/6)-1),B134,$D$3*12,$D$1))</f>
        <v>1088.47240917759</v>
      </c>
      <c r="E134" s="138">
        <f t="shared" ref="E134:E143" si="27">IF($D$3*12&lt;=B134,C133,-PPMT(((1+$D$2/2)^(1/6)-1),B134,$D$3*12,$D$1))</f>
        <v>1476.5289233558324</v>
      </c>
    </row>
    <row r="135" spans="2:5" x14ac:dyDescent="0.2">
      <c r="B135" s="136">
        <f>'Financement avec SCHL'!B135</f>
        <v>111</v>
      </c>
      <c r="C135" s="137">
        <f t="shared" ref="C135:C144" si="28">IF(B135&gt;$D$3*12,0,C134-E135)</f>
        <v>372945.20855442784</v>
      </c>
      <c r="D135" s="138">
        <f>IF(C134&lt;0.001,0,-IPMT(((1+$D$2/2)^(1/6)-1),B135,$D$3*12,$D$1))</f>
        <v>1084.1969366404403</v>
      </c>
      <c r="E135" s="138">
        <f t="shared" si="27"/>
        <v>1480.8043958929818</v>
      </c>
    </row>
    <row r="136" spans="2:5" x14ac:dyDescent="0.2">
      <c r="B136" s="136">
        <f>'Financement avec SCHL'!B136</f>
        <v>112</v>
      </c>
      <c r="C136" s="137">
        <f t="shared" si="28"/>
        <v>371460.11630583694</v>
      </c>
      <c r="D136" s="138">
        <f t="shared" ref="D136:D144" si="29">IF(C135&lt;0.001,0,-IPMT(((1+$D$2/2)^(1/6)-1),B136,$D$3*12,$D$1))</f>
        <v>1079.9090839425464</v>
      </c>
      <c r="E136" s="138">
        <f t="shared" si="27"/>
        <v>1485.0922485908764</v>
      </c>
    </row>
    <row r="137" spans="2:5" x14ac:dyDescent="0.2">
      <c r="B137" s="136">
        <f>'Financement avec SCHL'!B137</f>
        <v>113</v>
      </c>
      <c r="C137" s="137">
        <f t="shared" si="28"/>
        <v>369970.72378853912</v>
      </c>
      <c r="D137" s="138">
        <f t="shared" si="29"/>
        <v>1075.6088152356165</v>
      </c>
      <c r="E137" s="138">
        <f t="shared" si="27"/>
        <v>1489.3925172978059</v>
      </c>
    </row>
    <row r="138" spans="2:5" x14ac:dyDescent="0.2">
      <c r="B138" s="136">
        <f>'Financement avec SCHL'!B138</f>
        <v>114</v>
      </c>
      <c r="C138" s="137">
        <f t="shared" si="28"/>
        <v>368477.01855057327</v>
      </c>
      <c r="D138" s="138">
        <f t="shared" si="29"/>
        <v>1071.2960945675584</v>
      </c>
      <c r="E138" s="138">
        <f t="shared" si="27"/>
        <v>1493.7052379658639</v>
      </c>
    </row>
    <row r="139" spans="2:5" x14ac:dyDescent="0.2">
      <c r="B139" s="136">
        <f>'Financement avec SCHL'!B139</f>
        <v>115</v>
      </c>
      <c r="C139" s="137">
        <f t="shared" si="28"/>
        <v>366978.98810392199</v>
      </c>
      <c r="D139" s="138">
        <f t="shared" si="29"/>
        <v>1066.9708858821746</v>
      </c>
      <c r="E139" s="138">
        <f t="shared" si="27"/>
        <v>1498.0304466512478</v>
      </c>
    </row>
    <row r="140" spans="2:5" x14ac:dyDescent="0.2">
      <c r="B140" s="136">
        <f>'Financement avec SCHL'!B140</f>
        <v>116</v>
      </c>
      <c r="C140" s="137">
        <f t="shared" si="28"/>
        <v>365476.61992440745</v>
      </c>
      <c r="D140" s="138">
        <f t="shared" si="29"/>
        <v>1062.6331530188629</v>
      </c>
      <c r="E140" s="138">
        <f t="shared" si="27"/>
        <v>1502.3681795145594</v>
      </c>
    </row>
    <row r="141" spans="2:5" x14ac:dyDescent="0.2">
      <c r="B141" s="136">
        <f>'Financement avec SCHL'!B141</f>
        <v>117</v>
      </c>
      <c r="C141" s="137">
        <f t="shared" si="28"/>
        <v>363969.90145158634</v>
      </c>
      <c r="D141" s="138">
        <f t="shared" si="29"/>
        <v>1058.2828597123132</v>
      </c>
      <c r="E141" s="138">
        <f t="shared" si="27"/>
        <v>1506.7184728211089</v>
      </c>
    </row>
    <row r="142" spans="2:5" x14ac:dyDescent="0.2">
      <c r="B142" s="136">
        <f>'Financement avec SCHL'!B142</f>
        <v>118</v>
      </c>
      <c r="C142" s="137">
        <f t="shared" si="28"/>
        <v>362458.82008864509</v>
      </c>
      <c r="D142" s="138">
        <f t="shared" si="29"/>
        <v>1053.9199695922059</v>
      </c>
      <c r="E142" s="138">
        <f t="shared" si="27"/>
        <v>1511.0813629412164</v>
      </c>
    </row>
    <row r="143" spans="2:5" x14ac:dyDescent="0.2">
      <c r="B143" s="136">
        <f>'Financement avec SCHL'!B143</f>
        <v>119</v>
      </c>
      <c r="C143" s="137">
        <f t="shared" si="28"/>
        <v>360943.36320229457</v>
      </c>
      <c r="D143" s="138">
        <f t="shared" si="29"/>
        <v>1049.5444461829047</v>
      </c>
      <c r="E143" s="138">
        <f t="shared" si="27"/>
        <v>1515.4568863505176</v>
      </c>
    </row>
    <row r="144" spans="2:5" x14ac:dyDescent="0.2">
      <c r="B144" s="136">
        <f>'Financement avec SCHL'!B144</f>
        <v>120</v>
      </c>
      <c r="C144" s="137">
        <f t="shared" si="28"/>
        <v>359423.5181226643</v>
      </c>
      <c r="D144" s="138">
        <f t="shared" si="29"/>
        <v>1045.1562529031555</v>
      </c>
      <c r="E144" s="138">
        <f>IF($D$3*12&lt;=B144,C143,-PPMT(((1+$D$2/2)^(1/6)-1),B144,$D$3*12,$D$1))</f>
        <v>1519.8450796302668</v>
      </c>
    </row>
    <row r="145" spans="2:5" ht="13.5" thickBot="1" x14ac:dyDescent="0.25">
      <c r="B145" s="139" t="str">
        <f>'Financement avec SCHL'!B145</f>
        <v>Total après 10 ans</v>
      </c>
      <c r="C145" s="141"/>
      <c r="D145" s="140">
        <f>SUM(D133:D144)</f>
        <v>12828.72644415415</v>
      </c>
      <c r="E145" s="140">
        <f>SUM(E133:E144)</f>
        <v>17951.289546246924</v>
      </c>
    </row>
    <row r="146" spans="2:5" x14ac:dyDescent="0.2">
      <c r="B146" s="136">
        <f>'Financement avec SCHL'!B146</f>
        <v>121</v>
      </c>
      <c r="C146" s="137">
        <f>IF(B146&gt;$D$3*12,0,C144-E146)</f>
        <v>357899.27214319666</v>
      </c>
      <c r="D146" s="138">
        <f>IF(C144&lt;0.001,0,-IPMT(((1+$D$2/2)^(1/6)-1),B146,$D$3*12,$D$1))</f>
        <v>1040.7553530657774</v>
      </c>
      <c r="E146" s="138">
        <f>IF($D$3*12&lt;=B146,C144,-PPMT(((1+$D$2/2)^(1/6)-1),B146,$D$3*12,$D$1))</f>
        <v>1524.2459794676445</v>
      </c>
    </row>
    <row r="147" spans="2:5" x14ac:dyDescent="0.2">
      <c r="B147" s="136">
        <f>'Financement avec SCHL'!B147</f>
        <v>122</v>
      </c>
      <c r="C147" s="137">
        <f>IF(B147&gt;$D$3*12,0,C146-E147)</f>
        <v>356370.6125205406</v>
      </c>
      <c r="D147" s="138">
        <f>IF(C146&lt;0.001,0,-IPMT(((1+$D$2/2)^(1/6)-1),B147,$D$3*12,$D$1))</f>
        <v>1036.3417098773577</v>
      </c>
      <c r="E147" s="138">
        <f t="shared" ref="E147:E156" si="30">IF($D$3*12&lt;=B147,C146,-PPMT(((1+$D$2/2)^(1/6)-1),B147,$D$3*12,$D$1))</f>
        <v>1528.6596226560646</v>
      </c>
    </row>
    <row r="148" spans="2:5" x14ac:dyDescent="0.2">
      <c r="B148" s="136">
        <f>'Financement avec SCHL'!B148</f>
        <v>123</v>
      </c>
      <c r="C148" s="137">
        <f t="shared" ref="C148:C157" si="31">IF(B148&gt;$D$3*12,0,C147-E148)</f>
        <v>354837.52647444513</v>
      </c>
      <c r="D148" s="138">
        <f>IF(C147&lt;0.001,0,-IPMT(((1+$D$2/2)^(1/6)-1),B148,$D$3*12,$D$1))</f>
        <v>1031.9152864379439</v>
      </c>
      <c r="E148" s="138">
        <f t="shared" si="30"/>
        <v>1533.0860460954782</v>
      </c>
    </row>
    <row r="149" spans="2:5" x14ac:dyDescent="0.2">
      <c r="B149" s="136">
        <f>'Financement avec SCHL'!B149</f>
        <v>124</v>
      </c>
      <c r="C149" s="137">
        <f t="shared" si="31"/>
        <v>353300.00118765247</v>
      </c>
      <c r="D149" s="138">
        <f t="shared" ref="D149:D157" si="32">IF(C148&lt;0.001,0,-IPMT(((1+$D$2/2)^(1/6)-1),B149,$D$3*12,$D$1))</f>
        <v>1027.4760457407344</v>
      </c>
      <c r="E149" s="138">
        <f t="shared" si="30"/>
        <v>1537.5252867926879</v>
      </c>
    </row>
    <row r="150" spans="2:5" x14ac:dyDescent="0.2">
      <c r="B150" s="136">
        <f>'Financement avec SCHL'!B150</f>
        <v>125</v>
      </c>
      <c r="C150" s="137">
        <f t="shared" si="31"/>
        <v>351758.02380579081</v>
      </c>
      <c r="D150" s="138">
        <f t="shared" si="32"/>
        <v>1023.023950671771</v>
      </c>
      <c r="E150" s="138">
        <f t="shared" si="30"/>
        <v>1541.9773818616516</v>
      </c>
    </row>
    <row r="151" spans="2:5" x14ac:dyDescent="0.2">
      <c r="B151" s="136">
        <f>'Financement avec SCHL'!B151</f>
        <v>126</v>
      </c>
      <c r="C151" s="137">
        <f t="shared" si="31"/>
        <v>350211.58143726701</v>
      </c>
      <c r="D151" s="138">
        <f t="shared" si="32"/>
        <v>1018.5589640096259</v>
      </c>
      <c r="E151" s="138">
        <f t="shared" si="30"/>
        <v>1546.4423685237964</v>
      </c>
    </row>
    <row r="152" spans="2:5" x14ac:dyDescent="0.2">
      <c r="B152" s="136">
        <f>'Financement avec SCHL'!B152</f>
        <v>127</v>
      </c>
      <c r="C152" s="137">
        <f t="shared" si="31"/>
        <v>348660.6611531587</v>
      </c>
      <c r="D152" s="138">
        <f t="shared" si="32"/>
        <v>1014.081048425094</v>
      </c>
      <c r="E152" s="138">
        <f t="shared" si="30"/>
        <v>1550.9202841083281</v>
      </c>
    </row>
    <row r="153" spans="2:5" x14ac:dyDescent="0.2">
      <c r="B153" s="136">
        <f>'Financement avec SCHL'!B153</f>
        <v>128</v>
      </c>
      <c r="C153" s="137">
        <f t="shared" si="31"/>
        <v>347105.24998710613</v>
      </c>
      <c r="D153" s="138">
        <f t="shared" si="32"/>
        <v>1009.5901664808767</v>
      </c>
      <c r="E153" s="138">
        <f t="shared" si="30"/>
        <v>1555.4111660525457</v>
      </c>
    </row>
    <row r="154" spans="2:5" x14ac:dyDescent="0.2">
      <c r="B154" s="136">
        <f>'Financement avec SCHL'!B154</f>
        <v>129</v>
      </c>
      <c r="C154" s="137">
        <f t="shared" si="31"/>
        <v>345545.33493520401</v>
      </c>
      <c r="D154" s="138">
        <f t="shared" si="32"/>
        <v>1005.0862806312731</v>
      </c>
      <c r="E154" s="138">
        <f t="shared" si="30"/>
        <v>1559.9150519021491</v>
      </c>
    </row>
    <row r="155" spans="2:5" x14ac:dyDescent="0.2">
      <c r="B155" s="136">
        <f>'Financement avec SCHL'!B155</f>
        <v>130</v>
      </c>
      <c r="C155" s="137">
        <f t="shared" si="31"/>
        <v>343980.90295589244</v>
      </c>
      <c r="D155" s="138">
        <f t="shared" si="32"/>
        <v>1000.5693532218625</v>
      </c>
      <c r="E155" s="138">
        <f t="shared" si="30"/>
        <v>1564.4319793115599</v>
      </c>
    </row>
    <row r="156" spans="2:5" x14ac:dyDescent="0.2">
      <c r="B156" s="136">
        <f>'Financement avec SCHL'!B156</f>
        <v>131</v>
      </c>
      <c r="C156" s="137">
        <f t="shared" si="31"/>
        <v>342411.94096984819</v>
      </c>
      <c r="D156" s="138">
        <f t="shared" si="32"/>
        <v>996.0393464891921</v>
      </c>
      <c r="E156" s="138">
        <f t="shared" si="30"/>
        <v>1568.9619860442303</v>
      </c>
    </row>
    <row r="157" spans="2:5" x14ac:dyDescent="0.2">
      <c r="B157" s="136">
        <f>'Financement avec SCHL'!B157</f>
        <v>132</v>
      </c>
      <c r="C157" s="137">
        <f t="shared" si="31"/>
        <v>340838.43585987523</v>
      </c>
      <c r="D157" s="138">
        <f t="shared" si="32"/>
        <v>991.49622256045961</v>
      </c>
      <c r="E157" s="138">
        <f>IF($D$3*12&lt;=B157,C156,-PPMT(((1+$D$2/2)^(1/6)-1),B157,$D$3*12,$D$1))</f>
        <v>1573.5051099729628</v>
      </c>
    </row>
    <row r="158" spans="2:5" ht="13.5" thickBot="1" x14ac:dyDescent="0.25">
      <c r="B158" s="139" t="str">
        <f>'Financement avec SCHL'!B158</f>
        <v>Total après 11 ans</v>
      </c>
      <c r="C158" s="141"/>
      <c r="D158" s="140">
        <f>SUM(D146:D157)</f>
        <v>12194.933727611968</v>
      </c>
      <c r="E158" s="140">
        <f>SUM(E146:E157)</f>
        <v>18585.082262789099</v>
      </c>
    </row>
    <row r="159" spans="2:5" x14ac:dyDescent="0.2">
      <c r="B159" s="136">
        <f>'Financement avec SCHL'!B159</f>
        <v>133</v>
      </c>
      <c r="C159" s="137">
        <f>IF(B159&gt;$D$3*12,0,C157-E159)</f>
        <v>339260.37447079498</v>
      </c>
      <c r="D159" s="138">
        <f>IF(C157&lt;0.001,0,-IPMT(((1+$D$2/2)^(1/6)-1),B159,$D$3*12,$D$1))</f>
        <v>986.939943453198</v>
      </c>
      <c r="E159" s="138">
        <f>IF($D$3*12&lt;=B159,C157,-PPMT(((1+$D$2/2)^(1/6)-1),B159,$D$3*12,$D$1))</f>
        <v>1578.0613890802242</v>
      </c>
    </row>
    <row r="160" spans="2:5" x14ac:dyDescent="0.2">
      <c r="B160" s="136">
        <f>'Financement avec SCHL'!B160</f>
        <v>134</v>
      </c>
      <c r="C160" s="137">
        <f>IF(B160&gt;$D$3*12,0,C159-E160)</f>
        <v>337677.7436093365</v>
      </c>
      <c r="D160" s="138">
        <f>IF(C159&lt;0.001,0,-IPMT(((1+$D$2/2)^(1/6)-1),B160,$D$3*12,$D$1))</f>
        <v>982.37047107495721</v>
      </c>
      <c r="E160" s="138">
        <f t="shared" ref="E160:E169" si="33">IF($D$3*12&lt;=B160,C159,-PPMT(((1+$D$2/2)^(1/6)-1),B160,$D$3*12,$D$1))</f>
        <v>1582.630861458465</v>
      </c>
    </row>
    <row r="161" spans="1:5" x14ac:dyDescent="0.2">
      <c r="B161" s="136">
        <f>'Financement avec SCHL'!B161</f>
        <v>135</v>
      </c>
      <c r="C161" s="137">
        <f t="shared" ref="C161:C170" si="34">IF(B161&gt;$D$3*12,0,C160-E161)</f>
        <v>336090.53004402603</v>
      </c>
      <c r="D161" s="138">
        <f>IF(C160&lt;0.001,0,-IPMT(((1+$D$2/2)^(1/6)-1),B161,$D$3*12,$D$1))</f>
        <v>977.78776722298539</v>
      </c>
      <c r="E161" s="138">
        <f t="shared" si="33"/>
        <v>1587.2135653104369</v>
      </c>
    </row>
    <row r="162" spans="1:5" x14ac:dyDescent="0.2">
      <c r="B162" s="136">
        <f>'Financement avec SCHL'!B162</f>
        <v>136</v>
      </c>
      <c r="C162" s="137">
        <f t="shared" si="34"/>
        <v>334498.72050507652</v>
      </c>
      <c r="D162" s="138">
        <f t="shared" ref="D162:D170" si="35">IF(C161&lt;0.001,0,-IPMT(((1+$D$2/2)^(1/6)-1),B162,$D$3*12,$D$1))</f>
        <v>973.19179358391</v>
      </c>
      <c r="E162" s="138">
        <f t="shared" si="33"/>
        <v>1591.8095389495122</v>
      </c>
    </row>
    <row r="163" spans="1:5" x14ac:dyDescent="0.2">
      <c r="B163" s="136">
        <f>'Financement avec SCHL'!B163</f>
        <v>137</v>
      </c>
      <c r="C163" s="137">
        <f t="shared" si="34"/>
        <v>332902.30168427649</v>
      </c>
      <c r="D163" s="138">
        <f t="shared" si="35"/>
        <v>968.58251173341796</v>
      </c>
      <c r="E163" s="138">
        <f t="shared" si="33"/>
        <v>1596.4188208000046</v>
      </c>
    </row>
    <row r="164" spans="1:5" x14ac:dyDescent="0.2">
      <c r="B164" s="136">
        <f>'Financement avec SCHL'!B164</f>
        <v>138</v>
      </c>
      <c r="C164" s="137">
        <f t="shared" si="34"/>
        <v>331301.26023487898</v>
      </c>
      <c r="D164" s="138">
        <f t="shared" si="35"/>
        <v>963.95988313593273</v>
      </c>
      <c r="E164" s="138">
        <f t="shared" si="33"/>
        <v>1601.0414493974895</v>
      </c>
    </row>
    <row r="165" spans="1:5" x14ac:dyDescent="0.2">
      <c r="B165" s="136">
        <f>'Financement avec SCHL'!B165</f>
        <v>139</v>
      </c>
      <c r="C165" s="137">
        <f t="shared" si="34"/>
        <v>329695.58277148986</v>
      </c>
      <c r="D165" s="138">
        <f t="shared" si="35"/>
        <v>959.32386914429401</v>
      </c>
      <c r="E165" s="138">
        <f t="shared" si="33"/>
        <v>1605.677463389128</v>
      </c>
    </row>
    <row r="166" spans="1:5" x14ac:dyDescent="0.2">
      <c r="B166" s="136">
        <f>'Financement avec SCHL'!B166</f>
        <v>140</v>
      </c>
      <c r="C166" s="137">
        <f t="shared" si="34"/>
        <v>328085.25586995587</v>
      </c>
      <c r="D166" s="138">
        <f t="shared" si="35"/>
        <v>954.67443099943398</v>
      </c>
      <c r="E166" s="138">
        <f t="shared" si="33"/>
        <v>1610.3269015339883</v>
      </c>
    </row>
    <row r="167" spans="1:5" x14ac:dyDescent="0.2">
      <c r="B167" s="136">
        <f>'Financement avec SCHL'!B167</f>
        <v>141</v>
      </c>
      <c r="C167" s="137">
        <f t="shared" si="34"/>
        <v>326470.26606725249</v>
      </c>
      <c r="D167" s="138">
        <f t="shared" si="35"/>
        <v>950.01152983005284</v>
      </c>
      <c r="E167" s="138">
        <f t="shared" si="33"/>
        <v>1614.9898027033696</v>
      </c>
    </row>
    <row r="168" spans="1:5" x14ac:dyDescent="0.2">
      <c r="B168" s="136">
        <f>'Financement avec SCHL'!B168</f>
        <v>142</v>
      </c>
      <c r="C168" s="137">
        <f t="shared" si="34"/>
        <v>324850.59986137139</v>
      </c>
      <c r="D168" s="138">
        <f t="shared" si="35"/>
        <v>945.33512665229352</v>
      </c>
      <c r="E168" s="138">
        <f t="shared" si="33"/>
        <v>1619.6662058811287</v>
      </c>
    </row>
    <row r="169" spans="1:5" x14ac:dyDescent="0.2">
      <c r="A169" s="72"/>
      <c r="B169" s="136">
        <f>'Financement avec SCHL'!B169</f>
        <v>143</v>
      </c>
      <c r="C169" s="137">
        <f t="shared" si="34"/>
        <v>323226.24371120741</v>
      </c>
      <c r="D169" s="138">
        <f t="shared" si="35"/>
        <v>940.64518236941774</v>
      </c>
      <c r="E169" s="138">
        <f t="shared" si="33"/>
        <v>1624.3561501640047</v>
      </c>
    </row>
    <row r="170" spans="1:5" x14ac:dyDescent="0.2">
      <c r="B170" s="136">
        <f>'Financement avec SCHL'!B170</f>
        <v>144</v>
      </c>
      <c r="C170" s="137">
        <f t="shared" si="34"/>
        <v>321597.18403644545</v>
      </c>
      <c r="D170" s="138">
        <f t="shared" si="35"/>
        <v>935.94165777147646</v>
      </c>
      <c r="E170" s="138">
        <f>IF($D$3*12&lt;=B170,C169,-PPMT(((1+$D$2/2)^(1/6)-1),B170,$D$3*12,$D$1))</f>
        <v>1629.0596747619456</v>
      </c>
    </row>
    <row r="171" spans="1:5" ht="13.5" thickBot="1" x14ac:dyDescent="0.25">
      <c r="B171" s="139" t="str">
        <f>'Financement avec SCHL'!B171</f>
        <v>Total après 12 ans</v>
      </c>
      <c r="C171" s="141"/>
      <c r="D171" s="140">
        <f>SUM(D159:D170)</f>
        <v>11538.764166971368</v>
      </c>
      <c r="E171" s="140">
        <f>SUM(E159:E170)</f>
        <v>19241.251823429699</v>
      </c>
    </row>
    <row r="172" spans="1:5" x14ac:dyDescent="0.2">
      <c r="B172" s="136">
        <f>'Financement avec SCHL'!B172</f>
        <v>145</v>
      </c>
      <c r="C172" s="137">
        <f>IF(B172&gt;$D$3*12,0,C170-E172)</f>
        <v>319963.40721744701</v>
      </c>
      <c r="D172" s="138">
        <f>IF(C170&lt;0.001,0,-IPMT(((1+$D$2/2)^(1/6)-1),B172,$D$3*12,$D$1))</f>
        <v>931.22451353498445</v>
      </c>
      <c r="E172" s="138">
        <f>IF($D$3*12&lt;=B172,C170,-PPMT(((1+$D$2/2)^(1/6)-1),B172,$D$3*12,$D$1))</f>
        <v>1633.7768189984379</v>
      </c>
    </row>
    <row r="173" spans="1:5" x14ac:dyDescent="0.2">
      <c r="B173" s="136">
        <f>'Financement avec SCHL'!B173</f>
        <v>146</v>
      </c>
      <c r="C173" s="137">
        <f>IF(B173&gt;$D$3*12,0,C172-E173)</f>
        <v>318324.89959513617</v>
      </c>
      <c r="D173" s="138">
        <f>IF(C172&lt;0.001,0,-IPMT(((1+$D$2/2)^(1/6)-1),B173,$D$3*12,$D$1))</f>
        <v>926.49371022258924</v>
      </c>
      <c r="E173" s="138">
        <f t="shared" ref="E173:E182" si="36">IF($D$3*12&lt;=B173,C172,-PPMT(((1+$D$2/2)^(1/6)-1),B173,$D$3*12,$D$1))</f>
        <v>1638.5076223108329</v>
      </c>
    </row>
    <row r="174" spans="1:5" x14ac:dyDescent="0.2">
      <c r="B174" s="136">
        <f>'Financement avec SCHL'!B174</f>
        <v>147</v>
      </c>
      <c r="C174" s="137">
        <f t="shared" ref="C174:C183" si="37">IF(B174&gt;$D$3*12,0,C173-E174)</f>
        <v>316681.64747088548</v>
      </c>
      <c r="D174" s="138">
        <f>IF(C173&lt;0.001,0,-IPMT(((1+$D$2/2)^(1/6)-1),B174,$D$3*12,$D$1))</f>
        <v>921.74920828274378</v>
      </c>
      <c r="E174" s="138">
        <f t="shared" si="36"/>
        <v>1643.2521242506784</v>
      </c>
    </row>
    <row r="175" spans="1:5" x14ac:dyDescent="0.2">
      <c r="B175" s="136">
        <f>'Financement avec SCHL'!B175</f>
        <v>148</v>
      </c>
      <c r="C175" s="137">
        <f t="shared" si="37"/>
        <v>315033.63710640144</v>
      </c>
      <c r="D175" s="138">
        <f t="shared" ref="D175:D183" si="38">IF(C174&lt;0.001,0,-IPMT(((1+$D$2/2)^(1/6)-1),B175,$D$3*12,$D$1))</f>
        <v>916.99096804937403</v>
      </c>
      <c r="E175" s="138">
        <f t="shared" si="36"/>
        <v>1648.0103644840483</v>
      </c>
    </row>
    <row r="176" spans="1:5" x14ac:dyDescent="0.2">
      <c r="B176" s="136">
        <f>'Financement avec SCHL'!B176</f>
        <v>149</v>
      </c>
      <c r="C176" s="137">
        <f t="shared" si="37"/>
        <v>313380.85472360958</v>
      </c>
      <c r="D176" s="138">
        <f t="shared" si="38"/>
        <v>912.2189497415477</v>
      </c>
      <c r="E176" s="138">
        <f t="shared" si="36"/>
        <v>1652.7823827918749</v>
      </c>
    </row>
    <row r="177" spans="2:5" x14ac:dyDescent="0.2">
      <c r="B177" s="136">
        <f>'Financement avec SCHL'!B177</f>
        <v>150</v>
      </c>
      <c r="C177" s="137">
        <f t="shared" si="37"/>
        <v>311723.28650453931</v>
      </c>
      <c r="D177" s="138">
        <f t="shared" si="38"/>
        <v>907.4331134631426</v>
      </c>
      <c r="E177" s="138">
        <f t="shared" si="36"/>
        <v>1657.5682190702798</v>
      </c>
    </row>
    <row r="178" spans="2:5" x14ac:dyDescent="0.2">
      <c r="B178" s="136">
        <f>'Financement avec SCHL'!B178</f>
        <v>151</v>
      </c>
      <c r="C178" s="137">
        <f t="shared" si="37"/>
        <v>310060.91859120841</v>
      </c>
      <c r="D178" s="138">
        <f t="shared" si="38"/>
        <v>902.63341920251162</v>
      </c>
      <c r="E178" s="138">
        <f t="shared" si="36"/>
        <v>1662.3679133309106</v>
      </c>
    </row>
    <row r="179" spans="2:5" x14ac:dyDescent="0.2">
      <c r="B179" s="136">
        <f>'Financement avec SCHL'!B179</f>
        <v>152</v>
      </c>
      <c r="C179" s="137">
        <f t="shared" si="37"/>
        <v>308393.73708550713</v>
      </c>
      <c r="D179" s="138">
        <f t="shared" si="38"/>
        <v>897.81982683214937</v>
      </c>
      <c r="E179" s="138">
        <f t="shared" si="36"/>
        <v>1667.1815057012725</v>
      </c>
    </row>
    <row r="180" spans="2:5" x14ac:dyDescent="0.2">
      <c r="B180" s="136">
        <f>'Financement avec SCHL'!B180</f>
        <v>153</v>
      </c>
      <c r="C180" s="137">
        <f t="shared" si="37"/>
        <v>306721.72804908204</v>
      </c>
      <c r="D180" s="138">
        <f t="shared" si="38"/>
        <v>892.99229610835698</v>
      </c>
      <c r="E180" s="138">
        <f t="shared" si="36"/>
        <v>1672.0090364250657</v>
      </c>
    </row>
    <row r="181" spans="2:5" x14ac:dyDescent="0.2">
      <c r="B181" s="136">
        <f>'Financement avec SCHL'!B181</f>
        <v>154</v>
      </c>
      <c r="C181" s="137">
        <f t="shared" si="37"/>
        <v>305044.87750321953</v>
      </c>
      <c r="D181" s="138">
        <f t="shared" si="38"/>
        <v>888.15078667090302</v>
      </c>
      <c r="E181" s="138">
        <f t="shared" si="36"/>
        <v>1676.8505458625191</v>
      </c>
    </row>
    <row r="182" spans="2:5" x14ac:dyDescent="0.2">
      <c r="B182" s="136">
        <f>'Financement avec SCHL'!B182</f>
        <v>155</v>
      </c>
      <c r="C182" s="137">
        <f t="shared" si="37"/>
        <v>303363.17142872879</v>
      </c>
      <c r="D182" s="138">
        <f t="shared" si="38"/>
        <v>883.29525804268985</v>
      </c>
      <c r="E182" s="138">
        <f t="shared" si="36"/>
        <v>1681.7060744907324</v>
      </c>
    </row>
    <row r="183" spans="2:5" x14ac:dyDescent="0.2">
      <c r="B183" s="136">
        <f>'Financement avec SCHL'!B183</f>
        <v>156</v>
      </c>
      <c r="C183" s="137">
        <f t="shared" si="37"/>
        <v>301676.59576582478</v>
      </c>
      <c r="D183" s="138">
        <f t="shared" si="38"/>
        <v>878.42566962941282</v>
      </c>
      <c r="E183" s="138">
        <f>IF($D$3*12&lt;=B183,C182,-PPMT(((1+$D$2/2)^(1/6)-1),B183,$D$3*12,$D$1))</f>
        <v>1686.5756629040097</v>
      </c>
    </row>
    <row r="184" spans="2:5" ht="13.5" thickBot="1" x14ac:dyDescent="0.25">
      <c r="B184" s="139" t="str">
        <f>'Financement avec SCHL'!B184</f>
        <v>Total après 13 ans</v>
      </c>
      <c r="C184" s="141"/>
      <c r="D184" s="140">
        <f>SUM(D172:D183)</f>
        <v>10859.427719780406</v>
      </c>
      <c r="E184" s="140">
        <f>SUM(E172:E183)</f>
        <v>19920.588270620661</v>
      </c>
    </row>
    <row r="185" spans="2:5" x14ac:dyDescent="0.2">
      <c r="B185" s="136">
        <f>'Financement avec SCHL'!B185</f>
        <v>157</v>
      </c>
      <c r="C185" s="137">
        <f>IF(B185&gt;$D$3*12,0,C183-E185)</f>
        <v>299985.1364140106</v>
      </c>
      <c r="D185" s="138">
        <f>IF(C183&lt;0.001,0,-IPMT(((1+$D$2/2)^(1/6)-1),B185,$D$3*12,$D$1))</f>
        <v>873.54198071922087</v>
      </c>
      <c r="E185" s="138">
        <f>IF($D$3*12&lt;=B185,C183,-PPMT(((1+$D$2/2)^(1/6)-1),B185,$D$3*12,$D$1))</f>
        <v>1691.4593518142015</v>
      </c>
    </row>
    <row r="186" spans="2:5" x14ac:dyDescent="0.2">
      <c r="B186" s="136">
        <f>'Financement avec SCHL'!B186</f>
        <v>158</v>
      </c>
      <c r="C186" s="137">
        <f>IF(B186&gt;$D$3*12,0,C185-E186)</f>
        <v>298288.77923195955</v>
      </c>
      <c r="D186" s="138">
        <f>IF(C185&lt;0.001,0,-IPMT(((1+$D$2/2)^(1/6)-1),B186,$D$3*12,$D$1))</f>
        <v>868.64415048237743</v>
      </c>
      <c r="E186" s="138">
        <f t="shared" ref="E186:E195" si="39">IF($D$3*12&lt;=B186,C185,-PPMT(((1+$D$2/2)^(1/6)-1),B186,$D$3*12,$D$1))</f>
        <v>1696.3571820510451</v>
      </c>
    </row>
    <row r="187" spans="2:5" x14ac:dyDescent="0.2">
      <c r="B187" s="136">
        <f>'Financement avec SCHL'!B187</f>
        <v>159</v>
      </c>
      <c r="C187" s="137">
        <f t="shared" ref="C187:C196" si="40">IF(B187&gt;$D$3*12,0,C186-E187)</f>
        <v>296587.51003739703</v>
      </c>
      <c r="D187" s="138">
        <f>IF(C186&lt;0.001,0,-IPMT(((1+$D$2/2)^(1/6)-1),B187,$D$3*12,$D$1))</f>
        <v>863.73213797091819</v>
      </c>
      <c r="E187" s="138">
        <f t="shared" si="39"/>
        <v>1701.2691945625038</v>
      </c>
    </row>
    <row r="188" spans="2:5" x14ac:dyDescent="0.2">
      <c r="B188" s="136">
        <f>'Financement avec SCHL'!B188</f>
        <v>160</v>
      </c>
      <c r="C188" s="137">
        <f t="shared" si="40"/>
        <v>294881.31460698193</v>
      </c>
      <c r="D188" s="138">
        <f t="shared" ref="D188:D196" si="41">IF(C187&lt;0.001,0,-IPMT(((1+$D$2/2)^(1/6)-1),B188,$D$3*12,$D$1))</f>
        <v>858.80590211830872</v>
      </c>
      <c r="E188" s="138">
        <f t="shared" si="39"/>
        <v>1706.1954304151134</v>
      </c>
    </row>
    <row r="189" spans="2:5" x14ac:dyDescent="0.2">
      <c r="B189" s="136">
        <f>'Financement avec SCHL'!B189</f>
        <v>161</v>
      </c>
      <c r="C189" s="137">
        <f t="shared" si="40"/>
        <v>293170.17867618764</v>
      </c>
      <c r="D189" s="138">
        <f t="shared" si="41"/>
        <v>853.86540173910191</v>
      </c>
      <c r="E189" s="138">
        <f t="shared" si="39"/>
        <v>1711.1359307943203</v>
      </c>
    </row>
    <row r="190" spans="2:5" x14ac:dyDescent="0.2">
      <c r="B190" s="136">
        <f>'Financement avec SCHL'!B190</f>
        <v>162</v>
      </c>
      <c r="C190" s="137">
        <f t="shared" si="40"/>
        <v>291454.08793918282</v>
      </c>
      <c r="D190" s="138">
        <f t="shared" si="41"/>
        <v>848.91059552859235</v>
      </c>
      <c r="E190" s="138">
        <f t="shared" si="39"/>
        <v>1716.0907370048296</v>
      </c>
    </row>
    <row r="191" spans="2:5" x14ac:dyDescent="0.2">
      <c r="B191" s="136">
        <f>'Financement avec SCHL'!B191</f>
        <v>163</v>
      </c>
      <c r="C191" s="137">
        <f t="shared" si="40"/>
        <v>289733.02804871189</v>
      </c>
      <c r="D191" s="138">
        <f t="shared" si="41"/>
        <v>843.94144206247222</v>
      </c>
      <c r="E191" s="138">
        <f t="shared" si="39"/>
        <v>1721.0598904709502</v>
      </c>
    </row>
    <row r="192" spans="2:5" x14ac:dyDescent="0.2">
      <c r="B192" s="136">
        <f>'Financement avec SCHL'!B192</f>
        <v>164</v>
      </c>
      <c r="C192" s="137">
        <f t="shared" si="40"/>
        <v>288006.98461597494</v>
      </c>
      <c r="D192" s="138">
        <f t="shared" si="41"/>
        <v>838.95789979648396</v>
      </c>
      <c r="E192" s="138">
        <f t="shared" si="39"/>
        <v>1726.0434327369383</v>
      </c>
    </row>
    <row r="193" spans="1:5" x14ac:dyDescent="0.2">
      <c r="B193" s="136">
        <f>'Financement avec SCHL'!B193</f>
        <v>165</v>
      </c>
      <c r="C193" s="137">
        <f t="shared" si="40"/>
        <v>286275.94321050757</v>
      </c>
      <c r="D193" s="138">
        <f t="shared" si="41"/>
        <v>833.95992706607421</v>
      </c>
      <c r="E193" s="138">
        <f t="shared" si="39"/>
        <v>1731.0414054673477</v>
      </c>
    </row>
    <row r="194" spans="1:5" x14ac:dyDescent="0.2">
      <c r="B194" s="136">
        <f>'Financement avec SCHL'!B194</f>
        <v>166</v>
      </c>
      <c r="C194" s="137">
        <f t="shared" si="40"/>
        <v>284539.88936006022</v>
      </c>
      <c r="D194" s="138">
        <f t="shared" si="41"/>
        <v>828.94748208604437</v>
      </c>
      <c r="E194" s="138">
        <f t="shared" si="39"/>
        <v>1736.0538504473775</v>
      </c>
    </row>
    <row r="195" spans="1:5" x14ac:dyDescent="0.2">
      <c r="A195" s="72"/>
      <c r="B195" s="136">
        <f>'Financement avec SCHL'!B195</f>
        <v>167</v>
      </c>
      <c r="C195" s="137">
        <f t="shared" si="40"/>
        <v>282798.80855047697</v>
      </c>
      <c r="D195" s="138">
        <f t="shared" si="41"/>
        <v>823.92052295020142</v>
      </c>
      <c r="E195" s="138">
        <f t="shared" si="39"/>
        <v>1741.0808095832208</v>
      </c>
    </row>
    <row r="196" spans="1:5" x14ac:dyDescent="0.2">
      <c r="B196" s="136">
        <f>'Financement avec SCHL'!B196</f>
        <v>168</v>
      </c>
      <c r="C196" s="137">
        <f t="shared" si="40"/>
        <v>281052.68622557458</v>
      </c>
      <c r="D196" s="138">
        <f t="shared" si="41"/>
        <v>818.87900763100788</v>
      </c>
      <c r="E196" s="138">
        <f>IF($D$3*12&lt;=B196,C195,-PPMT(((1+$D$2/2)^(1/6)-1),B196,$D$3*12,$D$1))</f>
        <v>1746.1223249024144</v>
      </c>
    </row>
    <row r="197" spans="1:5" ht="13.5" thickBot="1" x14ac:dyDescent="0.25">
      <c r="B197" s="139" t="str">
        <f>'Financement avec SCHL'!B197</f>
        <v>Total après 14 ans</v>
      </c>
      <c r="C197" s="141"/>
      <c r="D197" s="140">
        <f>SUM(D185:D196)</f>
        <v>10156.106450150804</v>
      </c>
      <c r="E197" s="140">
        <f>SUM(E185:E196)</f>
        <v>20623.909540250264</v>
      </c>
    </row>
    <row r="198" spans="1:5" x14ac:dyDescent="0.2">
      <c r="B198" s="136">
        <f>'Financement avec SCHL'!B198</f>
        <v>169</v>
      </c>
      <c r="C198" s="137">
        <f>IF(B198&gt;$D$3*12,0,C196-E198)</f>
        <v>279301.50778702041</v>
      </c>
      <c r="D198" s="138">
        <f>IF(C196&lt;0.001,0,-IPMT(((1+$D$2/2)^(1/6)-1),B198,$D$3*12,$D$1))</f>
        <v>813.82289397923057</v>
      </c>
      <c r="E198" s="138">
        <f>IF($D$3*12&lt;=B198,C196,-PPMT(((1+$D$2/2)^(1/6)-1),B198,$D$3*12,$D$1))</f>
        <v>1751.1784385541916</v>
      </c>
    </row>
    <row r="199" spans="1:5" x14ac:dyDescent="0.2">
      <c r="B199" s="136">
        <f>'Financement avec SCHL'!B199</f>
        <v>170</v>
      </c>
      <c r="C199" s="137">
        <f>IF(B199&gt;$D$3*12,0,C198-E199)</f>
        <v>277545.25859421055</v>
      </c>
      <c r="D199" s="138">
        <f>IF(C198&lt;0.001,0,-IPMT(((1+$D$2/2)^(1/6)-1),B199,$D$3*12,$D$1))</f>
        <v>808.75213972358767</v>
      </c>
      <c r="E199" s="138">
        <f t="shared" ref="E199:E208" si="42">IF($D$3*12&lt;=B199,C198,-PPMT(((1+$D$2/2)^(1/6)-1),B199,$D$3*12,$D$1))</f>
        <v>1756.2491928098348</v>
      </c>
    </row>
    <row r="200" spans="1:5" x14ac:dyDescent="0.2">
      <c r="B200" s="136">
        <f>'Financement avec SCHL'!B200</f>
        <v>171</v>
      </c>
      <c r="C200" s="137">
        <f t="shared" ref="C200:C209" si="43">IF(B200&gt;$D$3*12,0,C199-E200)</f>
        <v>275783.92396414751</v>
      </c>
      <c r="D200" s="138">
        <f>IF(C199&lt;0.001,0,-IPMT(((1+$D$2/2)^(1/6)-1),B200,$D$3*12,$D$1))</f>
        <v>803.66670247039576</v>
      </c>
      <c r="E200" s="138">
        <f t="shared" si="42"/>
        <v>1761.3346300630265</v>
      </c>
    </row>
    <row r="201" spans="1:5" x14ac:dyDescent="0.2">
      <c r="B201" s="136">
        <f>'Financement avec SCHL'!B201</f>
        <v>172</v>
      </c>
      <c r="C201" s="137">
        <f t="shared" si="43"/>
        <v>274017.48917131731</v>
      </c>
      <c r="D201" s="138">
        <f t="shared" ref="D201:D209" si="44">IF(C200&lt;0.001,0,-IPMT(((1+$D$2/2)^(1/6)-1),B201,$D$3*12,$D$1))</f>
        <v>798.5665397032152</v>
      </c>
      <c r="E201" s="138">
        <f t="shared" si="42"/>
        <v>1766.434792830207</v>
      </c>
    </row>
    <row r="202" spans="1:5" x14ac:dyDescent="0.2">
      <c r="B202" s="136">
        <f>'Financement avec SCHL'!B202</f>
        <v>173</v>
      </c>
      <c r="C202" s="137">
        <f t="shared" si="43"/>
        <v>272245.9394475664</v>
      </c>
      <c r="D202" s="138">
        <f t="shared" si="44"/>
        <v>793.45160878249499</v>
      </c>
      <c r="E202" s="138">
        <f t="shared" si="42"/>
        <v>1771.5497237509271</v>
      </c>
    </row>
    <row r="203" spans="1:5" x14ac:dyDescent="0.2">
      <c r="B203" s="136">
        <f>'Financement avec SCHL'!B203</f>
        <v>174</v>
      </c>
      <c r="C203" s="137">
        <f t="shared" si="43"/>
        <v>270469.25998197822</v>
      </c>
      <c r="D203" s="138">
        <f t="shared" si="44"/>
        <v>788.32186694521545</v>
      </c>
      <c r="E203" s="138">
        <f t="shared" si="42"/>
        <v>1776.6794655882065</v>
      </c>
    </row>
    <row r="204" spans="1:5" x14ac:dyDescent="0.2">
      <c r="B204" s="136">
        <f>'Financement avec SCHL'!B204</f>
        <v>175</v>
      </c>
      <c r="C204" s="137">
        <f t="shared" si="43"/>
        <v>268687.43592074933</v>
      </c>
      <c r="D204" s="138">
        <f t="shared" si="44"/>
        <v>783.17727130453216</v>
      </c>
      <c r="E204" s="138">
        <f t="shared" si="42"/>
        <v>1781.8240612288903</v>
      </c>
    </row>
    <row r="205" spans="1:5" x14ac:dyDescent="0.2">
      <c r="B205" s="136">
        <f>'Financement avec SCHL'!B205</f>
        <v>176</v>
      </c>
      <c r="C205" s="137">
        <f t="shared" si="43"/>
        <v>266900.4523670653</v>
      </c>
      <c r="D205" s="138">
        <f t="shared" si="44"/>
        <v>778.01777884941544</v>
      </c>
      <c r="E205" s="138">
        <f t="shared" si="42"/>
        <v>1786.9835536840064</v>
      </c>
    </row>
    <row r="206" spans="1:5" x14ac:dyDescent="0.2">
      <c r="B206" s="136">
        <f>'Financement avec SCHL'!B206</f>
        <v>177</v>
      </c>
      <c r="C206" s="137">
        <f t="shared" si="43"/>
        <v>265108.29438097618</v>
      </c>
      <c r="D206" s="138">
        <f t="shared" si="44"/>
        <v>772.84334644429282</v>
      </c>
      <c r="E206" s="138">
        <f t="shared" si="42"/>
        <v>1792.1579860891295</v>
      </c>
    </row>
    <row r="207" spans="1:5" x14ac:dyDescent="0.2">
      <c r="B207" s="136">
        <f>'Financement avec SCHL'!B207</f>
        <v>178</v>
      </c>
      <c r="C207" s="137">
        <f t="shared" si="43"/>
        <v>263310.94697927142</v>
      </c>
      <c r="D207" s="138">
        <f t="shared" si="44"/>
        <v>767.6539308286865</v>
      </c>
      <c r="E207" s="138">
        <f t="shared" si="42"/>
        <v>1797.3474017047358</v>
      </c>
    </row>
    <row r="208" spans="1:5" x14ac:dyDescent="0.2">
      <c r="B208" s="136">
        <f>'Financement avec SCHL'!B208</f>
        <v>179</v>
      </c>
      <c r="C208" s="137">
        <f t="shared" si="43"/>
        <v>261508.39513535486</v>
      </c>
      <c r="D208" s="138">
        <f t="shared" si="44"/>
        <v>762.44948861685361</v>
      </c>
      <c r="E208" s="138">
        <f t="shared" si="42"/>
        <v>1802.5518439165685</v>
      </c>
    </row>
    <row r="209" spans="2:5" x14ac:dyDescent="0.2">
      <c r="B209" s="136">
        <f>'Financement avec SCHL'!B209</f>
        <v>180</v>
      </c>
      <c r="C209" s="137">
        <f t="shared" si="43"/>
        <v>259700.62377911888</v>
      </c>
      <c r="D209" s="138">
        <f t="shared" si="44"/>
        <v>757.2299762974219</v>
      </c>
      <c r="E209" s="138">
        <f>IF($D$3*12&lt;=B209,C208,-PPMT(((1+$D$2/2)^(1/6)-1),B209,$D$3*12,$D$1))</f>
        <v>1807.7713562360002</v>
      </c>
    </row>
    <row r="210" spans="2:5" ht="13.5" thickBot="1" x14ac:dyDescent="0.25">
      <c r="B210" s="139" t="str">
        <f>'Financement avec SCHL'!B210</f>
        <v>Total après 15 ans</v>
      </c>
      <c r="C210" s="141"/>
      <c r="D210" s="140">
        <f>SUM(D198:D209)</f>
        <v>9427.953543945343</v>
      </c>
      <c r="E210" s="140">
        <f>SUM(E198:E209)</f>
        <v>21352.062446455722</v>
      </c>
    </row>
    <row r="211" spans="2:5" x14ac:dyDescent="0.2">
      <c r="B211" s="136">
        <f>'Financement avec SCHL'!B211</f>
        <v>181</v>
      </c>
      <c r="C211" s="137">
        <f>IF(B211&gt;$D$3*12,0,C209-E211)</f>
        <v>257887.61779681849</v>
      </c>
      <c r="D211" s="138">
        <f>IF(C209&lt;0.001,0,-IPMT(((1+$D$2/2)^(1/6)-1),B211,$D$3*12,$D$1))</f>
        <v>751.99535023302644</v>
      </c>
      <c r="E211" s="138">
        <f>IF($D$3*12&lt;=B211,C209,-PPMT(((1+$D$2/2)^(1/6)-1),B211,$D$3*12,$D$1))</f>
        <v>1813.0059823003958</v>
      </c>
    </row>
    <row r="212" spans="2:5" x14ac:dyDescent="0.2">
      <c r="B212" s="136">
        <f>'Financement avec SCHL'!B212</f>
        <v>182</v>
      </c>
      <c r="C212" s="137">
        <f>IF(B212&gt;$D$3*12,0,C211-E212)</f>
        <v>256069.36203094502</v>
      </c>
      <c r="D212" s="138">
        <f>IF(C211&lt;0.001,0,-IPMT(((1+$D$2/2)^(1/6)-1),B212,$D$3*12,$D$1))</f>
        <v>746.74556665994544</v>
      </c>
      <c r="E212" s="138">
        <f t="shared" ref="E212:E221" si="45">IF($D$3*12&lt;=B212,C211,-PPMT(((1+$D$2/2)^(1/6)-1),B212,$D$3*12,$D$1))</f>
        <v>1818.255765873477</v>
      </c>
    </row>
    <row r="213" spans="2:5" x14ac:dyDescent="0.2">
      <c r="B213" s="136">
        <f>'Financement avec SCHL'!B213</f>
        <v>183</v>
      </c>
      <c r="C213" s="137">
        <f t="shared" ref="C213:C222" si="46">IF(B213&gt;$D$3*12,0,C212-E213)</f>
        <v>254245.84128009932</v>
      </c>
      <c r="D213" s="138">
        <f>IF(C212&lt;0.001,0,-IPMT(((1+$D$2/2)^(1/6)-1),B213,$D$3*12,$D$1))</f>
        <v>741.48058168773287</v>
      </c>
      <c r="E213" s="138">
        <f t="shared" si="45"/>
        <v>1823.5207508456895</v>
      </c>
    </row>
    <row r="214" spans="2:5" x14ac:dyDescent="0.2">
      <c r="B214" s="136">
        <f>'Financement avec SCHL'!B214</f>
        <v>184</v>
      </c>
      <c r="C214" s="137">
        <f t="shared" si="46"/>
        <v>252417.04029886477</v>
      </c>
      <c r="D214" s="138">
        <f t="shared" ref="D214:D222" si="47">IF(C213&lt;0.001,0,-IPMT(((1+$D$2/2)^(1/6)-1),B214,$D$3*12,$D$1))</f>
        <v>736.20035129885378</v>
      </c>
      <c r="E214" s="138">
        <f t="shared" si="45"/>
        <v>1828.8009812345686</v>
      </c>
    </row>
    <row r="215" spans="2:5" x14ac:dyDescent="0.2">
      <c r="B215" s="136">
        <f>'Financement avec SCHL'!B215</f>
        <v>185</v>
      </c>
      <c r="C215" s="137">
        <f t="shared" si="46"/>
        <v>250582.94379767965</v>
      </c>
      <c r="D215" s="138">
        <f t="shared" si="47"/>
        <v>730.90483134831391</v>
      </c>
      <c r="E215" s="138">
        <f t="shared" si="45"/>
        <v>1834.0965011851083</v>
      </c>
    </row>
    <row r="216" spans="2:5" x14ac:dyDescent="0.2">
      <c r="B216" s="136">
        <f>'Financement avec SCHL'!B216</f>
        <v>186</v>
      </c>
      <c r="C216" s="137">
        <f t="shared" si="46"/>
        <v>248743.5364427095</v>
      </c>
      <c r="D216" s="138">
        <f t="shared" si="47"/>
        <v>725.59397756329201</v>
      </c>
      <c r="E216" s="138">
        <f t="shared" si="45"/>
        <v>1839.4073549701304</v>
      </c>
    </row>
    <row r="217" spans="2:5" x14ac:dyDescent="0.2">
      <c r="B217" s="136">
        <f>'Financement avec SCHL'!B217</f>
        <v>187</v>
      </c>
      <c r="C217" s="137">
        <f t="shared" si="46"/>
        <v>246898.80285571885</v>
      </c>
      <c r="D217" s="138">
        <f t="shared" si="47"/>
        <v>720.26774554276949</v>
      </c>
      <c r="E217" s="138">
        <f t="shared" si="45"/>
        <v>1844.7335869906528</v>
      </c>
    </row>
    <row r="218" spans="2:5" x14ac:dyDescent="0.2">
      <c r="B218" s="136">
        <f>'Financement avec SCHL'!B218</f>
        <v>188</v>
      </c>
      <c r="C218" s="137">
        <f t="shared" si="46"/>
        <v>245048.72761394258</v>
      </c>
      <c r="D218" s="138">
        <f t="shared" si="47"/>
        <v>714.9260907571595</v>
      </c>
      <c r="E218" s="138">
        <f t="shared" si="45"/>
        <v>1850.0752417762628</v>
      </c>
    </row>
    <row r="219" spans="2:5" x14ac:dyDescent="0.2">
      <c r="B219" s="136">
        <f>'Financement avec SCHL'!B219</f>
        <v>189</v>
      </c>
      <c r="C219" s="137">
        <f t="shared" si="46"/>
        <v>243193.2952499571</v>
      </c>
      <c r="D219" s="138">
        <f t="shared" si="47"/>
        <v>709.56896854793342</v>
      </c>
      <c r="E219" s="138">
        <f t="shared" si="45"/>
        <v>1855.432363985489</v>
      </c>
    </row>
    <row r="220" spans="2:5" x14ac:dyDescent="0.2">
      <c r="B220" s="136">
        <f>'Financement avec SCHL'!B220</f>
        <v>190</v>
      </c>
      <c r="C220" s="137">
        <f t="shared" si="46"/>
        <v>241332.49025155092</v>
      </c>
      <c r="D220" s="138">
        <f t="shared" si="47"/>
        <v>704.19633412724875</v>
      </c>
      <c r="E220" s="138">
        <f t="shared" si="45"/>
        <v>1860.8049984061736</v>
      </c>
    </row>
    <row r="221" spans="2:5" x14ac:dyDescent="0.2">
      <c r="B221" s="136">
        <f>'Financement avec SCHL'!B221</f>
        <v>191</v>
      </c>
      <c r="C221" s="137">
        <f t="shared" si="46"/>
        <v>239466.29706159508</v>
      </c>
      <c r="D221" s="138">
        <f t="shared" si="47"/>
        <v>698.80814257757436</v>
      </c>
      <c r="E221" s="138">
        <f t="shared" si="45"/>
        <v>1866.1931899558476</v>
      </c>
    </row>
    <row r="222" spans="2:5" x14ac:dyDescent="0.2">
      <c r="B222" s="136">
        <f>'Financement avec SCHL'!B222</f>
        <v>192</v>
      </c>
      <c r="C222" s="137">
        <f t="shared" si="46"/>
        <v>237594.70007791297</v>
      </c>
      <c r="D222" s="138">
        <f t="shared" si="47"/>
        <v>693.40434885131469</v>
      </c>
      <c r="E222" s="138">
        <f>IF($D$3*12&lt;=B222,C221,-PPMT(((1+$D$2/2)^(1/6)-1),B222,$D$3*12,$D$1))</f>
        <v>1871.5969836821075</v>
      </c>
    </row>
    <row r="223" spans="2:5" ht="13.5" thickBot="1" x14ac:dyDescent="0.25">
      <c r="B223" s="139" t="str">
        <f>'Financement avec SCHL'!B223</f>
        <v>Total après 16 ans</v>
      </c>
      <c r="C223" s="141"/>
      <c r="D223" s="140">
        <f>SUM(D211:D222)</f>
        <v>8674.092289195165</v>
      </c>
      <c r="E223" s="140">
        <f>SUM(E211:E222)</f>
        <v>22105.923701205898</v>
      </c>
    </row>
    <row r="224" spans="2:5" x14ac:dyDescent="0.2">
      <c r="B224" s="136">
        <f>'Financement avec SCHL'!B224</f>
        <v>193</v>
      </c>
      <c r="C224" s="137">
        <f>IF(B224&gt;$D$3*12,0,C222-E224)</f>
        <v>235717.68365314999</v>
      </c>
      <c r="D224" s="138">
        <f>IF(C222&lt;0.001,0,-IPMT(((1+$D$2/2)^(1/6)-1),B224,$D$3*12,$D$1))</f>
        <v>687.98490777043321</v>
      </c>
      <c r="E224" s="138">
        <f>IF($D$3*12&lt;=B224,C222,-PPMT(((1+$D$2/2)^(1/6)-1),B224,$D$3*12,$D$1))</f>
        <v>1877.0164247629891</v>
      </c>
    </row>
    <row r="225" spans="2:5" x14ac:dyDescent="0.2">
      <c r="B225" s="136">
        <f>'Financement avec SCHL'!B225</f>
        <v>194</v>
      </c>
      <c r="C225" s="137">
        <f>IF(B225&gt;$D$3*12,0,C224-E225)</f>
        <v>233835.23209464265</v>
      </c>
      <c r="D225" s="138">
        <f>IF(C224&lt;0.001,0,-IPMT(((1+$D$2/2)^(1/6)-1),B225,$D$3*12,$D$1))</f>
        <v>682.54977402607494</v>
      </c>
      <c r="E225" s="138">
        <f t="shared" ref="E225:E234" si="48">IF($D$3*12&lt;=B225,C224,-PPMT(((1+$D$2/2)^(1/6)-1),B225,$D$3*12,$D$1))</f>
        <v>1882.4515585073475</v>
      </c>
    </row>
    <row r="226" spans="2:5" x14ac:dyDescent="0.2">
      <c r="B226" s="136">
        <f>'Financement avec SCHL'!B226</f>
        <v>195</v>
      </c>
      <c r="C226" s="137">
        <f t="shared" ref="C226:C235" si="49">IF(B226&gt;$D$3*12,0,C225-E226)</f>
        <v>231947.32966428742</v>
      </c>
      <c r="D226" s="138">
        <f>IF(C225&lt;0.001,0,-IPMT(((1+$D$2/2)^(1/6)-1),B226,$D$3*12,$D$1))</f>
        <v>677.09890217818736</v>
      </c>
      <c r="E226" s="138">
        <f t="shared" si="48"/>
        <v>1887.9024303552349</v>
      </c>
    </row>
    <row r="227" spans="2:5" x14ac:dyDescent="0.2">
      <c r="B227" s="136">
        <f>'Financement avec SCHL'!B227</f>
        <v>196</v>
      </c>
      <c r="C227" s="137">
        <f t="shared" si="49"/>
        <v>230053.96057840914</v>
      </c>
      <c r="D227" s="138">
        <f t="shared" ref="D227:D235" si="50">IF(C226&lt;0.001,0,-IPMT(((1+$D$2/2)^(1/6)-1),B227,$D$3*12,$D$1))</f>
        <v>671.63224665514053</v>
      </c>
      <c r="E227" s="138">
        <f t="shared" si="48"/>
        <v>1893.3690858782818</v>
      </c>
    </row>
    <row r="228" spans="2:5" x14ac:dyDescent="0.2">
      <c r="B228" s="136">
        <f>'Financement avec SCHL'!B228</f>
        <v>197</v>
      </c>
      <c r="C228" s="137">
        <f t="shared" si="49"/>
        <v>228155.10900762907</v>
      </c>
      <c r="D228" s="138">
        <f t="shared" si="50"/>
        <v>666.14976175334698</v>
      </c>
      <c r="E228" s="138">
        <f t="shared" si="48"/>
        <v>1898.8515707800752</v>
      </c>
    </row>
    <row r="229" spans="2:5" x14ac:dyDescent="0.2">
      <c r="B229" s="136">
        <f>'Financement avec SCHL'!B229</f>
        <v>198</v>
      </c>
      <c r="C229" s="137">
        <f t="shared" si="49"/>
        <v>226250.75907673253</v>
      </c>
      <c r="D229" s="138">
        <f t="shared" si="50"/>
        <v>660.65140163687761</v>
      </c>
      <c r="E229" s="138">
        <f t="shared" si="48"/>
        <v>1904.3499308965445</v>
      </c>
    </row>
    <row r="230" spans="2:5" x14ac:dyDescent="0.2">
      <c r="B230" s="136">
        <f>'Financement avec SCHL'!B230</f>
        <v>199</v>
      </c>
      <c r="C230" s="137">
        <f t="shared" si="49"/>
        <v>224340.89486453618</v>
      </c>
      <c r="D230" s="138">
        <f t="shared" si="50"/>
        <v>655.13712033708089</v>
      </c>
      <c r="E230" s="138">
        <f t="shared" si="48"/>
        <v>1909.8642121963414</v>
      </c>
    </row>
    <row r="231" spans="2:5" x14ac:dyDescent="0.2">
      <c r="B231" s="136">
        <f>'Financement avec SCHL'!B231</f>
        <v>200</v>
      </c>
      <c r="C231" s="137">
        <f t="shared" si="49"/>
        <v>222425.50040375497</v>
      </c>
      <c r="D231" s="138">
        <f t="shared" si="50"/>
        <v>649.6068717521963</v>
      </c>
      <c r="E231" s="138">
        <f t="shared" si="48"/>
        <v>1915.3944607812261</v>
      </c>
    </row>
    <row r="232" spans="2:5" x14ac:dyDescent="0.2">
      <c r="B232" s="136">
        <f>'Financement avec SCHL'!B232</f>
        <v>201</v>
      </c>
      <c r="C232" s="137">
        <f t="shared" si="49"/>
        <v>220504.55968086852</v>
      </c>
      <c r="D232" s="138">
        <f t="shared" si="50"/>
        <v>644.06060964697076</v>
      </c>
      <c r="E232" s="138">
        <f t="shared" si="48"/>
        <v>1920.9407228864516</v>
      </c>
    </row>
    <row r="233" spans="2:5" x14ac:dyDescent="0.2">
      <c r="B233" s="136">
        <f>'Financement avec SCHL'!B233</f>
        <v>202</v>
      </c>
      <c r="C233" s="137">
        <f t="shared" si="49"/>
        <v>218578.05663598736</v>
      </c>
      <c r="D233" s="138">
        <f t="shared" si="50"/>
        <v>638.49828765227073</v>
      </c>
      <c r="E233" s="138">
        <f t="shared" si="48"/>
        <v>1926.5030448811515</v>
      </c>
    </row>
    <row r="234" spans="2:5" x14ac:dyDescent="0.2">
      <c r="B234" s="136">
        <f>'Financement avec SCHL'!B234</f>
        <v>203</v>
      </c>
      <c r="C234" s="137">
        <f t="shared" si="49"/>
        <v>216645.97516271865</v>
      </c>
      <c r="D234" s="138">
        <f t="shared" si="50"/>
        <v>632.91985926469567</v>
      </c>
      <c r="E234" s="138">
        <f t="shared" si="48"/>
        <v>1932.0814732687265</v>
      </c>
    </row>
    <row r="235" spans="2:5" x14ac:dyDescent="0.2">
      <c r="B235" s="136">
        <f>'Financement avec SCHL'!B235</f>
        <v>204</v>
      </c>
      <c r="C235" s="137">
        <f t="shared" si="49"/>
        <v>214708.29910803141</v>
      </c>
      <c r="D235" s="138">
        <f t="shared" si="50"/>
        <v>627.32527784618821</v>
      </c>
      <c r="E235" s="138">
        <f>IF($D$3*12&lt;=B235,C234,-PPMT(((1+$D$2/2)^(1/6)-1),B235,$D$3*12,$D$1))</f>
        <v>1937.676054687234</v>
      </c>
    </row>
    <row r="236" spans="2:5" ht="13.5" thickBot="1" x14ac:dyDescent="0.25">
      <c r="B236" s="139" t="str">
        <f>'Financement avec SCHL'!B236</f>
        <v>Total après 17 ans</v>
      </c>
      <c r="C236" s="141"/>
      <c r="D236" s="140">
        <f>SUM(D224:D235)</f>
        <v>7893.6150205194635</v>
      </c>
      <c r="E236" s="140">
        <f>SUM(E224:E235)</f>
        <v>22886.400969881604</v>
      </c>
    </row>
    <row r="237" spans="2:5" x14ac:dyDescent="0.2">
      <c r="B237" s="136">
        <f>'Financement avec SCHL'!B237</f>
        <v>205</v>
      </c>
      <c r="C237" s="137">
        <f>IF(B237&gt;$D$3*12,0,C235-E237)</f>
        <v>212765.01227212162</v>
      </c>
      <c r="D237" s="138">
        <f>IF(C235&lt;0.001,0,-IPMT(((1+$D$2/2)^(1/6)-1),B237,$D$3*12,$D$1))</f>
        <v>621.71449662364478</v>
      </c>
      <c r="E237" s="138">
        <f>IF($D$3*12&lt;=B237,C235,-PPMT(((1+$D$2/2)^(1/6)-1),B237,$D$3*12,$D$1))</f>
        <v>1943.2868359097774</v>
      </c>
    </row>
    <row r="238" spans="2:5" x14ac:dyDescent="0.2">
      <c r="B238" s="136">
        <f>'Financement avec SCHL'!B238</f>
        <v>206</v>
      </c>
      <c r="C238" s="137">
        <f>IF(B238&gt;$D$3*12,0,C237-E238)</f>
        <v>210816.09840827671</v>
      </c>
      <c r="D238" s="138">
        <f>IF(C237&lt;0.001,0,-IPMT(((1+$D$2/2)^(1/6)-1),B238,$D$3*12,$D$1))</f>
        <v>616.08746868852472</v>
      </c>
      <c r="E238" s="138">
        <f t="shared" ref="E238:E247" si="51">IF($D$3*12&lt;=B238,C237,-PPMT(((1+$D$2/2)^(1/6)-1),B238,$D$3*12,$D$1))</f>
        <v>1948.9138638448976</v>
      </c>
    </row>
    <row r="239" spans="2:5" x14ac:dyDescent="0.2">
      <c r="B239" s="136">
        <f>'Financement avec SCHL'!B239</f>
        <v>207</v>
      </c>
      <c r="C239" s="137">
        <f t="shared" ref="C239:C248" si="52">IF(B239&gt;$D$3*12,0,C238-E239)</f>
        <v>208861.54122273973</v>
      </c>
      <c r="D239" s="138">
        <f>IF(C238&lt;0.001,0,-IPMT(((1+$D$2/2)^(1/6)-1),B239,$D$3*12,$D$1))</f>
        <v>610.44414699645756</v>
      </c>
      <c r="E239" s="138">
        <f t="shared" si="51"/>
        <v>1954.5571855369647</v>
      </c>
    </row>
    <row r="240" spans="2:5" x14ac:dyDescent="0.2">
      <c r="B240" s="136">
        <f>'Financement avec SCHL'!B240</f>
        <v>208</v>
      </c>
      <c r="C240" s="137">
        <f t="shared" si="52"/>
        <v>206901.32437457316</v>
      </c>
      <c r="D240" s="138">
        <f t="shared" ref="D240:D248" si="53">IF(C239&lt;0.001,0,-IPMT(((1+$D$2/2)^(1/6)-1),B240,$D$3*12,$D$1))</f>
        <v>604.78448436685062</v>
      </c>
      <c r="E240" s="138">
        <f t="shared" si="51"/>
        <v>1960.2168481665717</v>
      </c>
    </row>
    <row r="241" spans="2:5" x14ac:dyDescent="0.2">
      <c r="B241" s="136">
        <f>'Financement avec SCHL'!B241</f>
        <v>209</v>
      </c>
      <c r="C241" s="137">
        <f t="shared" si="52"/>
        <v>204935.43147552223</v>
      </c>
      <c r="D241" s="138">
        <f t="shared" si="53"/>
        <v>599.10843348249284</v>
      </c>
      <c r="E241" s="138">
        <f t="shared" si="51"/>
        <v>1965.8928990509294</v>
      </c>
    </row>
    <row r="242" spans="2:5" x14ac:dyDescent="0.2">
      <c r="B242" s="136">
        <f>'Financement avec SCHL'!B242</f>
        <v>210</v>
      </c>
      <c r="C242" s="137">
        <f t="shared" si="52"/>
        <v>202963.84608987797</v>
      </c>
      <c r="D242" s="138">
        <f t="shared" si="53"/>
        <v>593.41594688916155</v>
      </c>
      <c r="E242" s="138">
        <f t="shared" si="51"/>
        <v>1971.5853856442604</v>
      </c>
    </row>
    <row r="243" spans="2:5" x14ac:dyDescent="0.2">
      <c r="B243" s="136">
        <f>'Financement avec SCHL'!B243</f>
        <v>211</v>
      </c>
      <c r="C243" s="137">
        <f t="shared" si="52"/>
        <v>200986.55173433977</v>
      </c>
      <c r="D243" s="138">
        <f t="shared" si="53"/>
        <v>587.70697699522384</v>
      </c>
      <c r="E243" s="138">
        <f t="shared" si="51"/>
        <v>1977.2943555381985</v>
      </c>
    </row>
    <row r="244" spans="2:5" x14ac:dyDescent="0.2">
      <c r="B244" s="136">
        <f>'Financement avec SCHL'!B244</f>
        <v>212</v>
      </c>
      <c r="C244" s="137">
        <f t="shared" si="52"/>
        <v>199003.53187787757</v>
      </c>
      <c r="D244" s="138">
        <f t="shared" si="53"/>
        <v>581.98147607123906</v>
      </c>
      <c r="E244" s="138">
        <f t="shared" si="51"/>
        <v>1983.0198564621833</v>
      </c>
    </row>
    <row r="245" spans="2:5" x14ac:dyDescent="0.2">
      <c r="B245" s="136">
        <f>'Financement avec SCHL'!B245</f>
        <v>213</v>
      </c>
      <c r="C245" s="137">
        <f t="shared" si="52"/>
        <v>197014.76994159369</v>
      </c>
      <c r="D245" s="138">
        <f t="shared" si="53"/>
        <v>576.23939624956085</v>
      </c>
      <c r="E245" s="138">
        <f t="shared" si="51"/>
        <v>1988.7619362838614</v>
      </c>
    </row>
    <row r="246" spans="2:5" x14ac:dyDescent="0.2">
      <c r="B246" s="136">
        <f>'Financement avec SCHL'!B246</f>
        <v>214</v>
      </c>
      <c r="C246" s="137">
        <f t="shared" si="52"/>
        <v>195020.24929858421</v>
      </c>
      <c r="D246" s="138">
        <f t="shared" si="53"/>
        <v>570.48068952393567</v>
      </c>
      <c r="E246" s="138">
        <f t="shared" si="51"/>
        <v>1994.5206430094868</v>
      </c>
    </row>
    <row r="247" spans="2:5" x14ac:dyDescent="0.2">
      <c r="B247" s="136">
        <f>'Financement avec SCHL'!B247</f>
        <v>215</v>
      </c>
      <c r="C247" s="137">
        <f t="shared" si="52"/>
        <v>193019.95327379988</v>
      </c>
      <c r="D247" s="138">
        <f t="shared" si="53"/>
        <v>564.70530774910162</v>
      </c>
      <c r="E247" s="138">
        <f t="shared" si="51"/>
        <v>2000.2960247843205</v>
      </c>
    </row>
    <row r="248" spans="2:5" x14ac:dyDescent="0.2">
      <c r="B248" s="136">
        <f>'Financement avec SCHL'!B248</f>
        <v>216</v>
      </c>
      <c r="C248" s="137">
        <f t="shared" si="52"/>
        <v>191013.86514390685</v>
      </c>
      <c r="D248" s="138">
        <f t="shared" si="53"/>
        <v>558.913202640387</v>
      </c>
      <c r="E248" s="138">
        <f>IF($D$3*12&lt;=B248,C247,-PPMT(((1+$D$2/2)^(1/6)-1),B248,$D$3*12,$D$1))</f>
        <v>2006.0881298930353</v>
      </c>
    </row>
    <row r="249" spans="2:5" ht="13.5" thickBot="1" x14ac:dyDescent="0.25">
      <c r="B249" s="139" t="str">
        <f>'Financement avec SCHL'!B249</f>
        <v>Total après 18 ans</v>
      </c>
      <c r="C249" s="141"/>
      <c r="D249" s="140">
        <f>SUM(D237:D248)</f>
        <v>7085.5820262765792</v>
      </c>
      <c r="E249" s="140">
        <f>SUM(E237:E248)</f>
        <v>23694.433964124488</v>
      </c>
    </row>
    <row r="250" spans="2:5" x14ac:dyDescent="0.2">
      <c r="B250" s="136">
        <f>'Financement avec SCHL'!B250</f>
        <v>217</v>
      </c>
      <c r="C250" s="137">
        <f>IF(B250&gt;$D$3*12,0,C248-E250)</f>
        <v>189001.96813714673</v>
      </c>
      <c r="D250" s="138">
        <f>IF(C248&lt;0.001,0,-IPMT(((1+$D$2/2)^(1/6)-1),B250,$D$3*12,$D$1))</f>
        <v>553.10432577330528</v>
      </c>
      <c r="E250" s="138">
        <f>IF($D$3*12&lt;=B250,C248,-PPMT(((1+$D$2/2)^(1/6)-1),B250,$D$3*12,$D$1))</f>
        <v>2011.8970067601172</v>
      </c>
    </row>
    <row r="251" spans="2:5" x14ac:dyDescent="0.2">
      <c r="B251" s="136">
        <f>'Financement avec SCHL'!B251</f>
        <v>218</v>
      </c>
      <c r="C251" s="137">
        <f>IF(B251&gt;$D$3*12,0,C250-E251)</f>
        <v>186984.24543319645</v>
      </c>
      <c r="D251" s="138">
        <f>IF(C250&lt;0.001,0,-IPMT(((1+$D$2/2)^(1/6)-1),B251,$D$3*12,$D$1))</f>
        <v>547.27862858315086</v>
      </c>
      <c r="E251" s="138">
        <f t="shared" ref="E251:E260" si="54">IF($D$3*12&lt;=B251,C250,-PPMT(((1+$D$2/2)^(1/6)-1),B251,$D$3*12,$D$1))</f>
        <v>2017.7227039502716</v>
      </c>
    </row>
    <row r="252" spans="2:5" x14ac:dyDescent="0.2">
      <c r="B252" s="136">
        <f>'Financement avec SCHL'!B252</f>
        <v>219</v>
      </c>
      <c r="C252" s="137">
        <f t="shared" ref="C252:C261" si="55">IF(B252&gt;$D$3*12,0,C251-E252)</f>
        <v>184960.68016302763</v>
      </c>
      <c r="D252" s="138">
        <f>IF(C251&lt;0.001,0,-IPMT(((1+$D$2/2)^(1/6)-1),B252,$D$3*12,$D$1))</f>
        <v>541.43606236459334</v>
      </c>
      <c r="E252" s="138">
        <f t="shared" si="54"/>
        <v>2023.5652701688291</v>
      </c>
    </row>
    <row r="253" spans="2:5" x14ac:dyDescent="0.2">
      <c r="B253" s="136">
        <f>'Financement avec SCHL'!B253</f>
        <v>220</v>
      </c>
      <c r="C253" s="137">
        <f t="shared" si="55"/>
        <v>182931.25540876549</v>
      </c>
      <c r="D253" s="138">
        <f t="shared" ref="D253:D261" si="56">IF(C252&lt;0.001,0,-IPMT(((1+$D$2/2)^(1/6)-1),B253,$D$3*12,$D$1))</f>
        <v>535.57657827126945</v>
      </c>
      <c r="E253" s="138">
        <f t="shared" si="54"/>
        <v>2029.4247542621526</v>
      </c>
    </row>
    <row r="254" spans="2:5" x14ac:dyDescent="0.2">
      <c r="B254" s="136">
        <f>'Financement avec SCHL'!B254</f>
        <v>221</v>
      </c>
      <c r="C254" s="137">
        <f t="shared" si="55"/>
        <v>180895.95420354744</v>
      </c>
      <c r="D254" s="138">
        <f t="shared" si="56"/>
        <v>529.70012731537611</v>
      </c>
      <c r="E254" s="138">
        <f t="shared" si="54"/>
        <v>2035.3012052180463</v>
      </c>
    </row>
    <row r="255" spans="2:5" x14ac:dyDescent="0.2">
      <c r="B255" s="136">
        <f>'Financement avec SCHL'!B255</f>
        <v>222</v>
      </c>
      <c r="C255" s="137">
        <f t="shared" si="55"/>
        <v>178854.75953138128</v>
      </c>
      <c r="D255" s="138">
        <f t="shared" si="56"/>
        <v>523.80666036725881</v>
      </c>
      <c r="E255" s="138">
        <f t="shared" si="54"/>
        <v>2041.1946721661632</v>
      </c>
    </row>
    <row r="256" spans="2:5" x14ac:dyDescent="0.2">
      <c r="B256" s="136">
        <f>'Financement avec SCHL'!B256</f>
        <v>223</v>
      </c>
      <c r="C256" s="137">
        <f t="shared" si="55"/>
        <v>176807.65432700285</v>
      </c>
      <c r="D256" s="138">
        <f t="shared" si="56"/>
        <v>517.89612815500311</v>
      </c>
      <c r="E256" s="138">
        <f t="shared" si="54"/>
        <v>2047.1052043784191</v>
      </c>
    </row>
    <row r="257" spans="2:5" x14ac:dyDescent="0.2">
      <c r="B257" s="136">
        <f>'Financement avec SCHL'!B257</f>
        <v>224</v>
      </c>
      <c r="C257" s="137">
        <f t="shared" si="55"/>
        <v>174754.62147573344</v>
      </c>
      <c r="D257" s="138">
        <f t="shared" si="56"/>
        <v>511.96848126402114</v>
      </c>
      <c r="E257" s="138">
        <f t="shared" si="54"/>
        <v>2053.0328512694014</v>
      </c>
    </row>
    <row r="258" spans="2:5" x14ac:dyDescent="0.2">
      <c r="B258" s="136">
        <f>'Financement avec SCHL'!B258</f>
        <v>225</v>
      </c>
      <c r="C258" s="137">
        <f t="shared" si="55"/>
        <v>172695.64381333665</v>
      </c>
      <c r="D258" s="138">
        <f t="shared" si="56"/>
        <v>506.02367013663877</v>
      </c>
      <c r="E258" s="138">
        <f t="shared" si="54"/>
        <v>2058.9776623967837</v>
      </c>
    </row>
    <row r="259" spans="2:5" x14ac:dyDescent="0.2">
      <c r="B259" s="136">
        <f>'Financement avec SCHL'!B259</f>
        <v>226</v>
      </c>
      <c r="C259" s="137">
        <f t="shared" si="55"/>
        <v>170630.70412587491</v>
      </c>
      <c r="D259" s="138">
        <f t="shared" si="56"/>
        <v>500.06164507168182</v>
      </c>
      <c r="E259" s="138">
        <f t="shared" si="54"/>
        <v>2064.9396874617405</v>
      </c>
    </row>
    <row r="260" spans="2:5" x14ac:dyDescent="0.2">
      <c r="B260" s="136">
        <f>'Financement avec SCHL'!B260</f>
        <v>227</v>
      </c>
      <c r="C260" s="137">
        <f t="shared" si="55"/>
        <v>168559.78514956555</v>
      </c>
      <c r="D260" s="138">
        <f t="shared" si="56"/>
        <v>494.08235622406022</v>
      </c>
      <c r="E260" s="138">
        <f t="shared" si="54"/>
        <v>2070.9189763093618</v>
      </c>
    </row>
    <row r="261" spans="2:5" x14ac:dyDescent="0.2">
      <c r="B261" s="136">
        <f>'Financement avec SCHL'!B261</f>
        <v>228</v>
      </c>
      <c r="C261" s="137">
        <f t="shared" si="55"/>
        <v>166482.86957063648</v>
      </c>
      <c r="D261" s="138">
        <f t="shared" si="56"/>
        <v>488.085753604351</v>
      </c>
      <c r="E261" s="138">
        <f>IF($D$3*12&lt;=B261,C260,-PPMT(((1+$D$2/2)^(1/6)-1),B261,$D$3*12,$D$1))</f>
        <v>2076.9155789290712</v>
      </c>
    </row>
    <row r="262" spans="2:5" ht="13.5" thickBot="1" x14ac:dyDescent="0.25">
      <c r="B262" s="139" t="str">
        <f>'Financement avec SCHL'!B262</f>
        <v>Total après 19 ans</v>
      </c>
      <c r="C262" s="141"/>
      <c r="D262" s="140">
        <f>SUM(D250:D261)</f>
        <v>6249.0204171307096</v>
      </c>
      <c r="E262" s="140">
        <f>SUM(E250:E261)</f>
        <v>24530.995573270357</v>
      </c>
    </row>
    <row r="263" spans="2:5" x14ac:dyDescent="0.2">
      <c r="B263" s="136">
        <f>'Financement avec SCHL'!B263</f>
        <v>229</v>
      </c>
      <c r="C263" s="137">
        <f>IF(B263&gt;$D$3*12,0,C261-E263)</f>
        <v>164399.94002518145</v>
      </c>
      <c r="D263" s="138">
        <f>IF(C261&lt;0.001,0,-IPMT(((1+$D$2/2)^(1/6)-1),B263,$D$3*12,$D$1))</f>
        <v>482.07178707838085</v>
      </c>
      <c r="E263" s="138">
        <f>IF($D$3*12&lt;=B263,C261,-PPMT(((1+$D$2/2)^(1/6)-1),B263,$D$3*12,$D$1))</f>
        <v>2082.9295454550411</v>
      </c>
    </row>
    <row r="264" spans="2:5" x14ac:dyDescent="0.2">
      <c r="B264" s="136">
        <f>'Financement avec SCHL'!B264</f>
        <v>230</v>
      </c>
      <c r="C264" s="137">
        <f>IF(B264&gt;$D$3*12,0,C263-E264)</f>
        <v>162310.97909901483</v>
      </c>
      <c r="D264" s="138">
        <f>IF(C263&lt;0.001,0,-IPMT(((1+$D$2/2)^(1/6)-1),B264,$D$3*12,$D$1))</f>
        <v>476.04040636680651</v>
      </c>
      <c r="E264" s="138">
        <f t="shared" ref="E264:E273" si="57">IF($D$3*12&lt;=B264,C263,-PPMT(((1+$D$2/2)^(1/6)-1),B264,$D$3*12,$D$1))</f>
        <v>2088.960926166616</v>
      </c>
    </row>
    <row r="265" spans="2:5" x14ac:dyDescent="0.2">
      <c r="B265" s="136">
        <f>'Financement avec SCHL'!B265</f>
        <v>231</v>
      </c>
      <c r="C265" s="137">
        <f t="shared" ref="C265:C274" si="58">IF(B265&gt;$D$3*12,0,C264-E265)</f>
        <v>160215.96932752611</v>
      </c>
      <c r="D265" s="138">
        <f>IF(C264&lt;0.001,0,-IPMT(((1+$D$2/2)^(1/6)-1),B265,$D$3*12,$D$1))</f>
        <v>469.99156104469495</v>
      </c>
      <c r="E265" s="138">
        <f t="shared" si="57"/>
        <v>2095.0097714887274</v>
      </c>
    </row>
    <row r="266" spans="2:5" x14ac:dyDescent="0.2">
      <c r="B266" s="136">
        <f>'Financement avec SCHL'!B266</f>
        <v>232</v>
      </c>
      <c r="C266" s="137">
        <f t="shared" si="58"/>
        <v>158114.89319553378</v>
      </c>
      <c r="D266" s="138">
        <f t="shared" ref="D266:D274" si="59">IF(C265&lt;0.001,0,-IPMT(((1+$D$2/2)^(1/6)-1),B266,$D$3*12,$D$1))</f>
        <v>463.92520054110122</v>
      </c>
      <c r="E266" s="138">
        <f t="shared" si="57"/>
        <v>2101.0761319923208</v>
      </c>
    </row>
    <row r="267" spans="2:5" x14ac:dyDescent="0.2">
      <c r="B267" s="136">
        <f>'Financement avec SCHL'!B267</f>
        <v>233</v>
      </c>
      <c r="C267" s="137">
        <f t="shared" si="58"/>
        <v>156007.733137139</v>
      </c>
      <c r="D267" s="138">
        <f t="shared" si="59"/>
        <v>457.84127413864627</v>
      </c>
      <c r="E267" s="138">
        <f t="shared" si="57"/>
        <v>2107.1600583947757</v>
      </c>
    </row>
    <row r="268" spans="2:5" x14ac:dyDescent="0.2">
      <c r="B268" s="136">
        <f>'Financement avec SCHL'!B268</f>
        <v>234</v>
      </c>
      <c r="C268" s="137">
        <f t="shared" si="58"/>
        <v>153894.47153557866</v>
      </c>
      <c r="D268" s="138">
        <f t="shared" si="59"/>
        <v>451.73973097309215</v>
      </c>
      <c r="E268" s="138">
        <f t="shared" si="57"/>
        <v>2113.2616015603298</v>
      </c>
    </row>
    <row r="269" spans="2:5" x14ac:dyDescent="0.2">
      <c r="B269" s="136">
        <f>'Financement avec SCHL'!B269</f>
        <v>235</v>
      </c>
      <c r="C269" s="137">
        <f t="shared" si="58"/>
        <v>151775.09072307814</v>
      </c>
      <c r="D269" s="138">
        <f t="shared" si="59"/>
        <v>445.62052003291757</v>
      </c>
      <c r="E269" s="138">
        <f t="shared" si="57"/>
        <v>2119.3808125005048</v>
      </c>
    </row>
    <row r="270" spans="2:5" x14ac:dyDescent="0.2">
      <c r="B270" s="136">
        <f>'Financement avec SCHL'!B270</f>
        <v>236</v>
      </c>
      <c r="C270" s="137">
        <f t="shared" si="58"/>
        <v>149649.57298070361</v>
      </c>
      <c r="D270" s="138">
        <f t="shared" si="59"/>
        <v>439.48359015889071</v>
      </c>
      <c r="E270" s="138">
        <f t="shared" si="57"/>
        <v>2125.5177423745317</v>
      </c>
    </row>
    <row r="271" spans="2:5" x14ac:dyDescent="0.2">
      <c r="B271" s="136">
        <f>'Financement avec SCHL'!B271</f>
        <v>237</v>
      </c>
      <c r="C271" s="137">
        <f t="shared" si="58"/>
        <v>147517.90053821384</v>
      </c>
      <c r="D271" s="138">
        <f t="shared" si="59"/>
        <v>433.32889004364222</v>
      </c>
      <c r="E271" s="138">
        <f t="shared" si="57"/>
        <v>2131.6724424897802</v>
      </c>
    </row>
    <row r="272" spans="2:5" x14ac:dyDescent="0.2">
      <c r="B272" s="136">
        <f>'Financement avec SCHL'!B272</f>
        <v>238</v>
      </c>
      <c r="C272" s="137">
        <f t="shared" si="58"/>
        <v>145380.05557391167</v>
      </c>
      <c r="D272" s="138">
        <f t="shared" si="59"/>
        <v>427.15636823123572</v>
      </c>
      <c r="E272" s="138">
        <f t="shared" si="57"/>
        <v>2137.8449643021868</v>
      </c>
    </row>
    <row r="273" spans="2:5" x14ac:dyDescent="0.2">
      <c r="B273" s="136">
        <f>'Financement avec SCHL'!B273</f>
        <v>239</v>
      </c>
      <c r="C273" s="137">
        <f t="shared" si="58"/>
        <v>143236.02021449499</v>
      </c>
      <c r="D273" s="138">
        <f t="shared" si="59"/>
        <v>420.96597311673776</v>
      </c>
      <c r="E273" s="138">
        <f t="shared" si="57"/>
        <v>2144.0353594166845</v>
      </c>
    </row>
    <row r="274" spans="2:5" x14ac:dyDescent="0.2">
      <c r="B274" s="136">
        <f>'Financement avec SCHL'!B274</f>
        <v>240</v>
      </c>
      <c r="C274" s="137">
        <f t="shared" si="58"/>
        <v>141085.77653490735</v>
      </c>
      <c r="D274" s="138">
        <f t="shared" si="59"/>
        <v>414.75765294578645</v>
      </c>
      <c r="E274" s="138">
        <f>IF($D$3*12&lt;=B274,C273,-PPMT(((1+$D$2/2)^(1/6)-1),B274,$D$3*12,$D$1))</f>
        <v>2150.2436795876361</v>
      </c>
    </row>
    <row r="275" spans="2:5" ht="13.5" thickBot="1" x14ac:dyDescent="0.25">
      <c r="B275" s="139" t="str">
        <f>'Financement avec SCHL'!B275</f>
        <v>Total après 20 ans</v>
      </c>
      <c r="C275" s="141"/>
      <c r="D275" s="140">
        <f>SUM(D263:D274)</f>
        <v>5382.9229546719325</v>
      </c>
      <c r="E275" s="140">
        <f>SUM(E263:E274)</f>
        <v>25397.093035729133</v>
      </c>
    </row>
    <row r="276" spans="2:5" x14ac:dyDescent="0.2">
      <c r="B276" s="136">
        <f>'Financement avec SCHL'!B276</f>
        <v>241</v>
      </c>
      <c r="C276" s="137">
        <f>IF(B276&gt;$D$3*12,0,C274-E276)</f>
        <v>138929.30655818808</v>
      </c>
      <c r="D276" s="138">
        <f>IF(C274&lt;0.001,0,-IPMT(((1+$D$2/2)^(1/6)-1),B276,$D$3*12,$D$1))</f>
        <v>408.5313558141587</v>
      </c>
      <c r="E276" s="138">
        <f>IF($D$3*12&lt;=B276,C274,-PPMT(((1+$D$2/2)^(1/6)-1),B276,$D$3*12,$D$1))</f>
        <v>2156.4699767192633</v>
      </c>
    </row>
    <row r="277" spans="2:5" x14ac:dyDescent="0.2">
      <c r="B277" s="136">
        <f>'Financement avec SCHL'!B277</f>
        <v>242</v>
      </c>
      <c r="C277" s="137">
        <f>IF(B277&gt;$D$3*12,0,C276-E277)</f>
        <v>136766.592255322</v>
      </c>
      <c r="D277" s="138">
        <f>IF(C276&lt;0.001,0,-IPMT(((1+$D$2/2)^(1/6)-1),B277,$D$3*12,$D$1))</f>
        <v>402.28702966733641</v>
      </c>
      <c r="E277" s="138">
        <f t="shared" ref="E277:E286" si="60">IF($D$3*12&lt;=B277,C276,-PPMT(((1+$D$2/2)^(1/6)-1),B277,$D$3*12,$D$1))</f>
        <v>2162.7143028660857</v>
      </c>
    </row>
    <row r="278" spans="2:5" x14ac:dyDescent="0.2">
      <c r="B278" s="136">
        <f>'Financement avec SCHL'!B278</f>
        <v>243</v>
      </c>
      <c r="C278" s="137">
        <f t="shared" ref="C278:C287" si="61">IF(B278&gt;$D$3*12,0,C277-E278)</f>
        <v>134597.61554508866</v>
      </c>
      <c r="D278" s="138">
        <f>IF(C277&lt;0.001,0,-IPMT(((1+$D$2/2)^(1/6)-1),B278,$D$3*12,$D$1))</f>
        <v>396.02462230007109</v>
      </c>
      <c r="E278" s="138">
        <f t="shared" si="60"/>
        <v>2168.9767102333512</v>
      </c>
    </row>
    <row r="279" spans="2:5" x14ac:dyDescent="0.2">
      <c r="B279" s="136">
        <f>'Financement avec SCHL'!B279</f>
        <v>244</v>
      </c>
      <c r="C279" s="137">
        <f t="shared" si="61"/>
        <v>132422.35829391118</v>
      </c>
      <c r="D279" s="138">
        <f t="shared" ref="D279:D287" si="62">IF(C278&lt;0.001,0,-IPMT(((1+$D$2/2)^(1/6)-1),B279,$D$3*12,$D$1))</f>
        <v>389.7440813559474</v>
      </c>
      <c r="E279" s="138">
        <f t="shared" si="60"/>
        <v>2175.2572511774752</v>
      </c>
    </row>
    <row r="280" spans="2:5" x14ac:dyDescent="0.2">
      <c r="B280" s="136">
        <f>'Financement avec SCHL'!B280</f>
        <v>245</v>
      </c>
      <c r="C280" s="137">
        <f t="shared" si="61"/>
        <v>130240.8023157047</v>
      </c>
      <c r="D280" s="138">
        <f t="shared" si="62"/>
        <v>383.44535432694579</v>
      </c>
      <c r="E280" s="138">
        <f t="shared" si="60"/>
        <v>2181.5559782064765</v>
      </c>
    </row>
    <row r="281" spans="2:5" x14ac:dyDescent="0.2">
      <c r="B281" s="136">
        <f>'Financement avec SCHL'!B281</f>
        <v>246</v>
      </c>
      <c r="C281" s="137">
        <f t="shared" si="61"/>
        <v>128052.92937172428</v>
      </c>
      <c r="D281" s="138">
        <f t="shared" si="62"/>
        <v>377.12838855300276</v>
      </c>
      <c r="E281" s="138">
        <f t="shared" si="60"/>
        <v>2187.8729439804197</v>
      </c>
    </row>
    <row r="282" spans="2:5" x14ac:dyDescent="0.2">
      <c r="B282" s="136">
        <f>'Financement avec SCHL'!B282</f>
        <v>247</v>
      </c>
      <c r="C282" s="137">
        <f t="shared" si="61"/>
        <v>125858.72117041243</v>
      </c>
      <c r="D282" s="138">
        <f t="shared" si="62"/>
        <v>370.79313122157157</v>
      </c>
      <c r="E282" s="138">
        <f t="shared" si="60"/>
        <v>2194.2082013118506</v>
      </c>
    </row>
    <row r="283" spans="2:5" x14ac:dyDescent="0.2">
      <c r="B283" s="136">
        <f>'Financement avec SCHL'!B283</f>
        <v>248</v>
      </c>
      <c r="C283" s="137">
        <f t="shared" si="61"/>
        <v>123658.15936724619</v>
      </c>
      <c r="D283" s="138">
        <f t="shared" si="62"/>
        <v>364.43952936717989</v>
      </c>
      <c r="E283" s="138">
        <f t="shared" si="60"/>
        <v>2200.5618031662425</v>
      </c>
    </row>
    <row r="284" spans="2:5" x14ac:dyDescent="0.2">
      <c r="B284" s="136">
        <f>'Financement avec SCHL'!B284</f>
        <v>249</v>
      </c>
      <c r="C284" s="137">
        <f t="shared" si="61"/>
        <v>121451.22556458376</v>
      </c>
      <c r="D284" s="138">
        <f t="shared" si="62"/>
        <v>358.06752987098741</v>
      </c>
      <c r="E284" s="138">
        <f t="shared" si="60"/>
        <v>2206.933802662435</v>
      </c>
    </row>
    <row r="285" spans="2:5" x14ac:dyDescent="0.2">
      <c r="B285" s="136">
        <f>'Financement avec SCHL'!B285</f>
        <v>250</v>
      </c>
      <c r="C285" s="137">
        <f t="shared" si="61"/>
        <v>119237.90131151068</v>
      </c>
      <c r="D285" s="138">
        <f t="shared" si="62"/>
        <v>351.67707946034153</v>
      </c>
      <c r="E285" s="138">
        <f t="shared" si="60"/>
        <v>2213.3242530730809</v>
      </c>
    </row>
    <row r="286" spans="2:5" x14ac:dyDescent="0.2">
      <c r="B286" s="136">
        <f>'Financement avec SCHL'!B286</f>
        <v>251</v>
      </c>
      <c r="C286" s="137">
        <f t="shared" si="61"/>
        <v>117018.16810368559</v>
      </c>
      <c r="D286" s="138">
        <f t="shared" si="62"/>
        <v>345.26812470833232</v>
      </c>
      <c r="E286" s="138">
        <f t="shared" si="60"/>
        <v>2219.7332078250902</v>
      </c>
    </row>
    <row r="287" spans="2:5" x14ac:dyDescent="0.2">
      <c r="B287" s="136">
        <f>'Financement avec SCHL'!B287</f>
        <v>252</v>
      </c>
      <c r="C287" s="137">
        <f t="shared" si="61"/>
        <v>114792.00738318551</v>
      </c>
      <c r="D287" s="138">
        <f t="shared" si="62"/>
        <v>338.84061203334539</v>
      </c>
      <c r="E287" s="138">
        <f>IF($D$3*12&lt;=B287,C286,-PPMT(((1+$D$2/2)^(1/6)-1),B287,$D$3*12,$D$1))</f>
        <v>2226.1607205000769</v>
      </c>
    </row>
    <row r="288" spans="2:5" ht="13.5" thickBot="1" x14ac:dyDescent="0.25">
      <c r="B288" s="139" t="str">
        <f>'Financement avec SCHL'!B288</f>
        <v>Total après 21 ans</v>
      </c>
      <c r="C288" s="141"/>
      <c r="D288" s="140">
        <f>SUM(D276:D287)</f>
        <v>4486.2468386792207</v>
      </c>
      <c r="E288" s="140">
        <f>SUM(E276:E287)</f>
        <v>26293.769151721852</v>
      </c>
    </row>
    <row r="289" spans="2:5" x14ac:dyDescent="0.2">
      <c r="B289" s="136">
        <f>'Financement avec SCHL'!B289</f>
        <v>253</v>
      </c>
      <c r="C289" s="137">
        <f>IF(B289&gt;$D$3*12,0,C287-E289)</f>
        <v>112559.4005383507</v>
      </c>
      <c r="D289" s="138">
        <f>IF(C287&lt;0.001,0,-IPMT(((1+$D$2/2)^(1/6)-1),B289,$D$3*12,$D$1))</f>
        <v>332.39448769861406</v>
      </c>
      <c r="E289" s="138">
        <f>IF($D$3*12&lt;=B289,C287,-PPMT(((1+$D$2/2)^(1/6)-1),B289,$D$3*12,$D$1))</f>
        <v>2232.6068448348083</v>
      </c>
    </row>
    <row r="290" spans="2:5" x14ac:dyDescent="0.2">
      <c r="B290" s="136">
        <f>'Financement avec SCHL'!B290</f>
        <v>254</v>
      </c>
      <c r="C290" s="137">
        <f>IF(B290&gt;$D$3*12,0,C289-E290)</f>
        <v>110320.32890362905</v>
      </c>
      <c r="D290" s="138">
        <f>IF(C289&lt;0.001,0,-IPMT(((1+$D$2/2)^(1/6)-1),B290,$D$3*12,$D$1))</f>
        <v>325.92969781177061</v>
      </c>
      <c r="E290" s="138">
        <f t="shared" ref="E290:E299" si="63">IF($D$3*12&lt;=B290,C289,-PPMT(((1+$D$2/2)^(1/6)-1),B290,$D$3*12,$D$1))</f>
        <v>2239.0716347216517</v>
      </c>
    </row>
    <row r="291" spans="2:5" x14ac:dyDescent="0.2">
      <c r="B291" s="136">
        <f>'Financement avec SCHL'!B291</f>
        <v>255</v>
      </c>
      <c r="C291" s="137">
        <f t="shared" ref="C291:C300" si="64">IF(B291&gt;$D$3*12,0,C290-E291)</f>
        <v>108074.77375942003</v>
      </c>
      <c r="D291" s="138">
        <f>IF(C290&lt;0.001,0,-IPMT(((1+$D$2/2)^(1/6)-1),B291,$D$3*12,$D$1))</f>
        <v>319.44618832439471</v>
      </c>
      <c r="E291" s="138">
        <f t="shared" si="63"/>
        <v>2245.5551442090277</v>
      </c>
    </row>
    <row r="292" spans="2:5" x14ac:dyDescent="0.2">
      <c r="B292" s="136">
        <f>'Financement avec SCHL'!B292</f>
        <v>256</v>
      </c>
      <c r="C292" s="137">
        <f t="shared" si="64"/>
        <v>105822.71633191817</v>
      </c>
      <c r="D292" s="138">
        <f t="shared" ref="D292:D300" si="65">IF(C291&lt;0.001,0,-IPMT(((1+$D$2/2)^(1/6)-1),B292,$D$3*12,$D$1))</f>
        <v>312.94390503156262</v>
      </c>
      <c r="E292" s="138">
        <f t="shared" si="63"/>
        <v>2252.0574275018594</v>
      </c>
    </row>
    <row r="293" spans="2:5" x14ac:dyDescent="0.2">
      <c r="B293" s="136">
        <f>'Financement avec SCHL'!B293</f>
        <v>257</v>
      </c>
      <c r="C293" s="137">
        <f t="shared" si="64"/>
        <v>103564.13779295614</v>
      </c>
      <c r="D293" s="138">
        <f t="shared" si="65"/>
        <v>306.4227935713933</v>
      </c>
      <c r="E293" s="138">
        <f t="shared" si="63"/>
        <v>2258.5785389620291</v>
      </c>
    </row>
    <row r="294" spans="2:5" x14ac:dyDescent="0.2">
      <c r="B294" s="136">
        <f>'Financement avec SCHL'!B294</f>
        <v>258</v>
      </c>
      <c r="C294" s="137">
        <f t="shared" si="64"/>
        <v>101299.01925984731</v>
      </c>
      <c r="D294" s="138">
        <f t="shared" si="65"/>
        <v>299.882799424594</v>
      </c>
      <c r="E294" s="138">
        <f t="shared" si="63"/>
        <v>2265.1185331088282</v>
      </c>
    </row>
    <row r="295" spans="2:5" x14ac:dyDescent="0.2">
      <c r="B295" s="136">
        <f>'Financement avec SCHL'!B295</f>
        <v>259</v>
      </c>
      <c r="C295" s="137">
        <f t="shared" si="64"/>
        <v>99027.341795227898</v>
      </c>
      <c r="D295" s="138">
        <f t="shared" si="65"/>
        <v>293.32386791400495</v>
      </c>
      <c r="E295" s="138">
        <f t="shared" si="63"/>
        <v>2271.6774646194172</v>
      </c>
    </row>
    <row r="296" spans="2:5" x14ac:dyDescent="0.2">
      <c r="B296" s="136">
        <f>'Financement avec SCHL'!B296</f>
        <v>260</v>
      </c>
      <c r="C296" s="137">
        <f t="shared" si="64"/>
        <v>96749.086406898612</v>
      </c>
      <c r="D296" s="138">
        <f t="shared" si="65"/>
        <v>286.74594420414172</v>
      </c>
      <c r="E296" s="138">
        <f t="shared" si="63"/>
        <v>2278.2553883292808</v>
      </c>
    </row>
    <row r="297" spans="2:5" x14ac:dyDescent="0.2">
      <c r="B297" s="136">
        <f>'Financement avec SCHL'!B297</f>
        <v>261</v>
      </c>
      <c r="C297" s="137">
        <f t="shared" si="64"/>
        <v>94464.23404766593</v>
      </c>
      <c r="D297" s="138">
        <f t="shared" si="65"/>
        <v>280.14897330073677</v>
      </c>
      <c r="E297" s="138">
        <f t="shared" si="63"/>
        <v>2284.8523592326856</v>
      </c>
    </row>
    <row r="298" spans="2:5" x14ac:dyDescent="0.2">
      <c r="B298" s="136">
        <f>'Financement avec SCHL'!B298</f>
        <v>262</v>
      </c>
      <c r="C298" s="137">
        <f t="shared" si="64"/>
        <v>92172.765615182783</v>
      </c>
      <c r="D298" s="138">
        <f t="shared" si="65"/>
        <v>273.53290005028009</v>
      </c>
      <c r="E298" s="138">
        <f t="shared" si="63"/>
        <v>2291.4684324831424</v>
      </c>
    </row>
    <row r="299" spans="2:5" x14ac:dyDescent="0.2">
      <c r="B299" s="136">
        <f>'Financement avec SCHL'!B299</f>
        <v>263</v>
      </c>
      <c r="C299" s="137">
        <f t="shared" si="64"/>
        <v>89874.661951788919</v>
      </c>
      <c r="D299" s="138">
        <f t="shared" si="65"/>
        <v>266.89766913955776</v>
      </c>
      <c r="E299" s="138">
        <f t="shared" si="63"/>
        <v>2298.1036633938643</v>
      </c>
    </row>
    <row r="300" spans="2:5" x14ac:dyDescent="0.2">
      <c r="B300" s="136">
        <f>'Financement avec SCHL'!B300</f>
        <v>264</v>
      </c>
      <c r="C300" s="137">
        <f t="shared" si="64"/>
        <v>87569.903844350687</v>
      </c>
      <c r="D300" s="138">
        <f t="shared" si="65"/>
        <v>260.24322509518947</v>
      </c>
      <c r="E300" s="138">
        <f>IF($D$3*12&lt;=B300,C299,-PPMT(((1+$D$2/2)^(1/6)-1),B300,$D$3*12,$D$1))</f>
        <v>2304.7581074382324</v>
      </c>
    </row>
    <row r="301" spans="2:5" ht="13.5" thickBot="1" x14ac:dyDescent="0.25">
      <c r="B301" s="139" t="str">
        <f>'Financement avec SCHL'!B301</f>
        <v>Total après 22 ans</v>
      </c>
      <c r="C301" s="141"/>
      <c r="D301" s="140">
        <f>SUM(D289:D300)</f>
        <v>3557.9124515662406</v>
      </c>
      <c r="E301" s="140">
        <f>SUM(E289:E300)</f>
        <v>27222.103538834828</v>
      </c>
    </row>
    <row r="302" spans="2:5" x14ac:dyDescent="0.2">
      <c r="B302" s="136">
        <f>'Financement avec SCHL'!B302</f>
        <v>265</v>
      </c>
      <c r="C302" s="137">
        <f>IF(B302&gt;$D$3*12,0,C300-E302)</f>
        <v>85258.472024100425</v>
      </c>
      <c r="D302" s="138">
        <f>IF(C300&lt;0.001,0,-IPMT(((1+$D$2/2)^(1/6)-1),B302,$D$3*12,$D$1))</f>
        <v>253.56951228316518</v>
      </c>
      <c r="E302" s="138">
        <f>IF($D$3*12&lt;=B302,C300,-PPMT(((1+$D$2/2)^(1/6)-1),B302,$D$3*12,$D$1))</f>
        <v>2311.4318202502568</v>
      </c>
    </row>
    <row r="303" spans="2:5" x14ac:dyDescent="0.2">
      <c r="B303" s="136">
        <f>'Financement avec SCHL'!B303</f>
        <v>266</v>
      </c>
      <c r="C303" s="137">
        <f>IF(B303&gt;$D$3*12,0,C302-E303)</f>
        <v>82940.347166475389</v>
      </c>
      <c r="D303" s="138">
        <f>IF(C302&lt;0.001,0,-IPMT(((1+$D$2/2)^(1/6)-1),B303,$D$3*12,$D$1))</f>
        <v>246.87647490837929</v>
      </c>
      <c r="E303" s="138">
        <f t="shared" ref="E303:E312" si="66">IF($D$3*12&lt;=B303,C302,-PPMT(((1+$D$2/2)^(1/6)-1),B303,$D$3*12,$D$1))</f>
        <v>2318.1248576250432</v>
      </c>
    </row>
    <row r="304" spans="2:5" x14ac:dyDescent="0.2">
      <c r="B304" s="136">
        <f>'Financement avec SCHL'!B304</f>
        <v>267</v>
      </c>
      <c r="C304" s="137">
        <f t="shared" ref="C304:C313" si="67">IF(B304&gt;$D$3*12,0,C303-E304)</f>
        <v>80615.509890956135</v>
      </c>
      <c r="D304" s="138">
        <f>IF(C303&lt;0.001,0,-IPMT(((1+$D$2/2)^(1/6)-1),B304,$D$3*12,$D$1))</f>
        <v>240.16405701416477</v>
      </c>
      <c r="E304" s="138">
        <f t="shared" si="66"/>
        <v>2324.8372755192577</v>
      </c>
    </row>
    <row r="305" spans="2:5" x14ac:dyDescent="0.2">
      <c r="B305" s="136">
        <f>'Financement avec SCHL'!B305</f>
        <v>268</v>
      </c>
      <c r="C305" s="137">
        <f t="shared" si="67"/>
        <v>78283.940760904545</v>
      </c>
      <c r="D305" s="138">
        <f t="shared" ref="D305:D313" si="68">IF(C304&lt;0.001,0,-IPMT(((1+$D$2/2)^(1/6)-1),B305,$D$3*12,$D$1))</f>
        <v>233.43220248182502</v>
      </c>
      <c r="E305" s="138">
        <f t="shared" si="66"/>
        <v>2331.5691300515973</v>
      </c>
    </row>
    <row r="306" spans="2:5" x14ac:dyDescent="0.2">
      <c r="B306" s="136">
        <f>'Financement avec SCHL'!B306</f>
        <v>269</v>
      </c>
      <c r="C306" s="137">
        <f t="shared" si="67"/>
        <v>75945.62028340128</v>
      </c>
      <c r="D306" s="138">
        <f t="shared" si="68"/>
        <v>226.68085503016511</v>
      </c>
      <c r="E306" s="138">
        <f t="shared" si="66"/>
        <v>2338.3204775032573</v>
      </c>
    </row>
    <row r="307" spans="2:5" x14ac:dyDescent="0.2">
      <c r="B307" s="136">
        <f>'Financement avec SCHL'!B307</f>
        <v>270</v>
      </c>
      <c r="C307" s="137">
        <f t="shared" si="67"/>
        <v>73600.528909082874</v>
      </c>
      <c r="D307" s="138">
        <f t="shared" si="68"/>
        <v>219.9099582150204</v>
      </c>
      <c r="E307" s="138">
        <f t="shared" si="66"/>
        <v>2345.0913743184019</v>
      </c>
    </row>
    <row r="308" spans="2:5" x14ac:dyDescent="0.2">
      <c r="B308" s="136">
        <f>'Financement avec SCHL'!B308</f>
        <v>271</v>
      </c>
      <c r="C308" s="137">
        <f t="shared" si="67"/>
        <v>71248.647031978238</v>
      </c>
      <c r="D308" s="138">
        <f t="shared" si="68"/>
        <v>213.11945542878564</v>
      </c>
      <c r="E308" s="138">
        <f t="shared" si="66"/>
        <v>2351.8818771046367</v>
      </c>
    </row>
    <row r="309" spans="2:5" x14ac:dyDescent="0.2">
      <c r="B309" s="136">
        <f>'Financement avec SCHL'!B309</f>
        <v>272</v>
      </c>
      <c r="C309" s="137">
        <f t="shared" si="67"/>
        <v>68889.954989344755</v>
      </c>
      <c r="D309" s="138">
        <f t="shared" si="68"/>
        <v>206.30928989994095</v>
      </c>
      <c r="E309" s="138">
        <f t="shared" si="66"/>
        <v>2358.6920426334814</v>
      </c>
    </row>
    <row r="310" spans="2:5" x14ac:dyDescent="0.2">
      <c r="B310" s="136">
        <f>'Financement avec SCHL'!B310</f>
        <v>273</v>
      </c>
      <c r="C310" s="137">
        <f t="shared" si="67"/>
        <v>66524.433061503907</v>
      </c>
      <c r="D310" s="138">
        <f t="shared" si="68"/>
        <v>199.47940469257767</v>
      </c>
      <c r="E310" s="138">
        <f t="shared" si="66"/>
        <v>2365.5219278408445</v>
      </c>
    </row>
    <row r="311" spans="2:5" x14ac:dyDescent="0.2">
      <c r="B311" s="136">
        <f>'Financement avec SCHL'!B311</f>
        <v>274</v>
      </c>
      <c r="C311" s="137">
        <f t="shared" si="67"/>
        <v>64152.06147167641</v>
      </c>
      <c r="D311" s="138">
        <f t="shared" si="68"/>
        <v>192.6297427059221</v>
      </c>
      <c r="E311" s="138">
        <f t="shared" si="66"/>
        <v>2372.3715898275004</v>
      </c>
    </row>
    <row r="312" spans="2:5" x14ac:dyDescent="0.2">
      <c r="B312" s="136">
        <f>'Financement avec SCHL'!B312</f>
        <v>275</v>
      </c>
      <c r="C312" s="137">
        <f t="shared" si="67"/>
        <v>61772.820385816849</v>
      </c>
      <c r="D312" s="138">
        <f t="shared" si="68"/>
        <v>185.76024667385801</v>
      </c>
      <c r="E312" s="138">
        <f t="shared" si="66"/>
        <v>2379.2410858595645</v>
      </c>
    </row>
    <row r="313" spans="2:5" x14ac:dyDescent="0.2">
      <c r="B313" s="136">
        <f>'Financement avec SCHL'!B313</f>
        <v>276</v>
      </c>
      <c r="C313" s="137">
        <f t="shared" si="67"/>
        <v>59386.689912447873</v>
      </c>
      <c r="D313" s="138">
        <f t="shared" si="68"/>
        <v>178.87085916444835</v>
      </c>
      <c r="E313" s="138">
        <f>IF($D$3*12&lt;=B313,C312,-PPMT(((1+$D$2/2)^(1/6)-1),B313,$D$3*12,$D$1))</f>
        <v>2386.130473368974</v>
      </c>
    </row>
    <row r="314" spans="2:5" ht="13.5" thickBot="1" x14ac:dyDescent="0.25">
      <c r="B314" s="139" t="str">
        <f>'Financement avec SCHL'!B314</f>
        <v>Total après 23 ans</v>
      </c>
      <c r="C314" s="141"/>
      <c r="D314" s="140">
        <f>SUM(D302:D313)</f>
        <v>2596.8020584982523</v>
      </c>
      <c r="E314" s="140">
        <f>SUM(E302:E313)</f>
        <v>28183.213931902814</v>
      </c>
    </row>
    <row r="315" spans="2:5" x14ac:dyDescent="0.2">
      <c r="B315" s="136">
        <f>'Financement avec SCHL'!B315</f>
        <v>277</v>
      </c>
      <c r="C315" s="137">
        <f>IF(B315&gt;$D$3*12,0,C313-E315)</f>
        <v>56993.650102493906</v>
      </c>
      <c r="D315" s="138">
        <f>IF(C313&lt;0.001,0,-IPMT(((1+$D$2/2)^(1/6)-1),B315,$D$3*12,$D$1))</f>
        <v>171.96152257945445</v>
      </c>
      <c r="E315" s="138">
        <f>IF($D$3*12&lt;=B315,C313,-PPMT(((1+$D$2/2)^(1/6)-1),B315,$D$3*12,$D$1))</f>
        <v>2393.039809953968</v>
      </c>
    </row>
    <row r="316" spans="2:5" x14ac:dyDescent="0.2">
      <c r="B316" s="136">
        <f>'Financement avec SCHL'!B316</f>
        <v>278</v>
      </c>
      <c r="C316" s="137">
        <f>IF(B316&gt;$D$3*12,0,C315-E316)</f>
        <v>54593.680949114336</v>
      </c>
      <c r="D316" s="138">
        <f>IF(C315&lt;0.001,0,-IPMT(((1+$D$2/2)^(1/6)-1),B316,$D$3*12,$D$1))</f>
        <v>165.032179153855</v>
      </c>
      <c r="E316" s="138">
        <f t="shared" ref="E316:E325" si="69">IF($D$3*12&lt;=B316,C315,-PPMT(((1+$D$2/2)^(1/6)-1),B316,$D$3*12,$D$1))</f>
        <v>2399.9691533795672</v>
      </c>
    </row>
    <row r="317" spans="2:5" x14ac:dyDescent="0.2">
      <c r="B317" s="136">
        <f>'Financement avec SCHL'!B317</f>
        <v>279</v>
      </c>
      <c r="C317" s="137">
        <f t="shared" ref="C317:C326" si="70">IF(B317&gt;$D$3*12,0,C316-E317)</f>
        <v>52186.762387536277</v>
      </c>
      <c r="D317" s="138">
        <f>IF(C316&lt;0.001,0,-IPMT(((1+$D$2/2)^(1/6)-1),B317,$D$3*12,$D$1))</f>
        <v>158.08277095536292</v>
      </c>
      <c r="E317" s="138">
        <f t="shared" si="69"/>
        <v>2406.9185615780593</v>
      </c>
    </row>
    <row r="318" spans="2:5" x14ac:dyDescent="0.2">
      <c r="B318" s="136">
        <f>'Financement avec SCHL'!B318</f>
        <v>280</v>
      </c>
      <c r="C318" s="137">
        <f t="shared" si="70"/>
        <v>49772.874294886795</v>
      </c>
      <c r="D318" s="138">
        <f t="shared" ref="D318:D326" si="71">IF(C317&lt;0.001,0,-IPMT(((1+$D$2/2)^(1/6)-1),B318,$D$3*12,$D$1))</f>
        <v>151.11323988394082</v>
      </c>
      <c r="E318" s="138">
        <f t="shared" si="69"/>
        <v>2413.8880926494817</v>
      </c>
    </row>
    <row r="319" spans="2:5" x14ac:dyDescent="0.2">
      <c r="B319" s="136">
        <f>'Financement avec SCHL'!B319</f>
        <v>281</v>
      </c>
      <c r="C319" s="137">
        <f t="shared" si="70"/>
        <v>47351.996490024685</v>
      </c>
      <c r="D319" s="138">
        <f t="shared" si="71"/>
        <v>144.12352767131566</v>
      </c>
      <c r="E319" s="138">
        <f t="shared" si="69"/>
        <v>2420.8778048621066</v>
      </c>
    </row>
    <row r="320" spans="2:5" x14ac:dyDescent="0.2">
      <c r="B320" s="136">
        <f>'Financement avec SCHL'!B320</f>
        <v>282</v>
      </c>
      <c r="C320" s="137">
        <f t="shared" si="70"/>
        <v>44924.108733371751</v>
      </c>
      <c r="D320" s="138">
        <f t="shared" si="71"/>
        <v>137.11357588049128</v>
      </c>
      <c r="E320" s="138">
        <f t="shared" si="69"/>
        <v>2427.8877566529309</v>
      </c>
    </row>
    <row r="321" spans="2:5" x14ac:dyDescent="0.2">
      <c r="B321" s="136">
        <f>'Financement avec SCHL'!B321</f>
        <v>283</v>
      </c>
      <c r="C321" s="137">
        <f t="shared" si="70"/>
        <v>42489.190726743589</v>
      </c>
      <c r="D321" s="138">
        <f t="shared" si="71"/>
        <v>130.08332590526001</v>
      </c>
      <c r="E321" s="138">
        <f t="shared" si="69"/>
        <v>2434.9180066281624</v>
      </c>
    </row>
    <row r="322" spans="2:5" x14ac:dyDescent="0.2">
      <c r="B322" s="136">
        <f>'Financement avec SCHL'!B322</f>
        <v>284</v>
      </c>
      <c r="C322" s="137">
        <f t="shared" si="70"/>
        <v>40047.22211317988</v>
      </c>
      <c r="D322" s="138">
        <f t="shared" si="71"/>
        <v>123.03271896971258</v>
      </c>
      <c r="E322" s="138">
        <f t="shared" si="69"/>
        <v>2441.9686135637098</v>
      </c>
    </row>
    <row r="323" spans="2:5" x14ac:dyDescent="0.2">
      <c r="B323" s="136">
        <f>'Financement avec SCHL'!B323</f>
        <v>285</v>
      </c>
      <c r="C323" s="137">
        <f t="shared" si="70"/>
        <v>37598.182476774207</v>
      </c>
      <c r="D323" s="138">
        <f t="shared" si="71"/>
        <v>115.96169612774683</v>
      </c>
      <c r="E323" s="138">
        <f t="shared" si="69"/>
        <v>2449.0396364056755</v>
      </c>
    </row>
    <row r="324" spans="2:5" x14ac:dyDescent="0.2">
      <c r="B324" s="136">
        <f>'Financement avec SCHL'!B324</f>
        <v>286</v>
      </c>
      <c r="C324" s="137">
        <f t="shared" si="70"/>
        <v>35142.051342503357</v>
      </c>
      <c r="D324" s="138">
        <f t="shared" si="71"/>
        <v>108.87019826257485</v>
      </c>
      <c r="E324" s="138">
        <f t="shared" si="69"/>
        <v>2456.1311342708477</v>
      </c>
    </row>
    <row r="325" spans="2:5" x14ac:dyDescent="0.2">
      <c r="B325" s="136">
        <f>'Financement avec SCHL'!B325</f>
        <v>287</v>
      </c>
      <c r="C325" s="137">
        <f t="shared" si="70"/>
        <v>32678.808176056162</v>
      </c>
      <c r="D325" s="138">
        <f t="shared" si="71"/>
        <v>101.75816608622875</v>
      </c>
      <c r="E325" s="138">
        <f t="shared" si="69"/>
        <v>2463.2431664471937</v>
      </c>
    </row>
    <row r="326" spans="2:5" x14ac:dyDescent="0.2">
      <c r="B326" s="136">
        <f>'Financement avec SCHL'!B326</f>
        <v>288</v>
      </c>
      <c r="C326" s="137">
        <f t="shared" si="70"/>
        <v>30208.432383661806</v>
      </c>
      <c r="D326" s="138">
        <f t="shared" si="71"/>
        <v>94.625540139064952</v>
      </c>
      <c r="E326" s="138">
        <f>IF($D$3*12&lt;=B326,C325,-PPMT(((1+$D$2/2)^(1/6)-1),B326,$D$3*12,$D$1))</f>
        <v>2470.3757923943572</v>
      </c>
    </row>
    <row r="327" spans="2:5" ht="13.5" thickBot="1" x14ac:dyDescent="0.25">
      <c r="B327" s="139" t="str">
        <f>'Financement avec SCHL'!B327</f>
        <v>Total après 24 ans</v>
      </c>
      <c r="C327" s="141"/>
      <c r="D327" s="140">
        <f>SUM(D315:D326)</f>
        <v>1601.7584616150079</v>
      </c>
      <c r="E327" s="140">
        <f>SUM(E315:E326)</f>
        <v>29178.25752878606</v>
      </c>
    </row>
    <row r="328" spans="2:5" x14ac:dyDescent="0.2">
      <c r="B328" s="136">
        <f>'Financement avec SCHL'!B328</f>
        <v>289</v>
      </c>
      <c r="C328" s="137">
        <f>IF(B328&gt;$D$3*12,0,C326-E328)</f>
        <v>27730.903311917649</v>
      </c>
      <c r="D328" s="138">
        <f>IF(C326&lt;0.001,0,-IPMT(((1+$D$2/2)^(1/6)-1),B328,$D$3*12,$D$1))</f>
        <v>87.472260789267125</v>
      </c>
      <c r="E328" s="138">
        <f>IF($D$3*12&lt;=B328,C326,-PPMT(((1+$D$2/2)^(1/6)-1),B328,$D$3*12,$D$1))</f>
        <v>2477.5290717441553</v>
      </c>
    </row>
    <row r="329" spans="2:5" x14ac:dyDescent="0.2">
      <c r="B329" s="136">
        <f>'Financement avec SCHL'!B329</f>
        <v>290</v>
      </c>
      <c r="C329" s="137">
        <f>IF(B329&gt;$D$3*12,0,C328-E329)</f>
        <v>25246.200247616576</v>
      </c>
      <c r="D329" s="138">
        <f>IF(C328&lt;0.001,0,-IPMT(((1+$D$2/2)^(1/6)-1),B329,$D$3*12,$D$1))</f>
        <v>80.298268232347652</v>
      </c>
      <c r="E329" s="138">
        <f t="shared" ref="E329:E338" si="72">IF($D$3*12&lt;=B329,C328,-PPMT(((1+$D$2/2)^(1/6)-1),B329,$D$3*12,$D$1))</f>
        <v>2484.7030643010744</v>
      </c>
    </row>
    <row r="330" spans="2:5" x14ac:dyDescent="0.2">
      <c r="B330" s="136">
        <f>'Financement avec SCHL'!B330</f>
        <v>291</v>
      </c>
      <c r="C330" s="137">
        <f t="shared" ref="C330:C339" si="73">IF(B330&gt;$D$3*12,0,C329-E330)</f>
        <v>22754.302417573803</v>
      </c>
      <c r="D330" s="138">
        <f>IF(C329&lt;0.001,0,-IPMT(((1+$D$2/2)^(1/6)-1),B330,$D$3*12,$D$1))</f>
        <v>73.1035024906475</v>
      </c>
      <c r="E330" s="138">
        <f t="shared" si="72"/>
        <v>2491.8978300427748</v>
      </c>
    </row>
    <row r="331" spans="2:5" x14ac:dyDescent="0.2">
      <c r="B331" s="136">
        <f>'Financement avec SCHL'!B331</f>
        <v>292</v>
      </c>
      <c r="C331" s="137">
        <f t="shared" si="73"/>
        <v>20255.188988453214</v>
      </c>
      <c r="D331" s="138">
        <f t="shared" ref="D331:D339" si="74">IF(C330&lt;0.001,0,-IPMT(((1+$D$2/2)^(1/6)-1),B331,$D$3*12,$D$1))</f>
        <v>65.887903412835016</v>
      </c>
      <c r="E331" s="138">
        <f t="shared" si="72"/>
        <v>2499.1134291205872</v>
      </c>
    </row>
    <row r="332" spans="2:5" x14ac:dyDescent="0.2">
      <c r="B332" s="136">
        <f>'Financement avec SCHL'!B332</f>
        <v>293</v>
      </c>
      <c r="C332" s="137">
        <f t="shared" si="73"/>
        <v>17748.839066593195</v>
      </c>
      <c r="D332" s="138">
        <f t="shared" si="74"/>
        <v>58.651410673402843</v>
      </c>
      <c r="E332" s="138">
        <f t="shared" si="72"/>
        <v>2506.3499218600195</v>
      </c>
    </row>
    <row r="333" spans="2:5" x14ac:dyDescent="0.2">
      <c r="B333" s="136">
        <f>'Financement avec SCHL'!B333</f>
        <v>294</v>
      </c>
      <c r="C333" s="137">
        <f t="shared" si="73"/>
        <v>15235.231697831936</v>
      </c>
      <c r="D333" s="138">
        <f t="shared" si="74"/>
        <v>51.39396377216368</v>
      </c>
      <c r="E333" s="138">
        <f t="shared" si="72"/>
        <v>2513.6073687612588</v>
      </c>
    </row>
    <row r="334" spans="2:5" x14ac:dyDescent="0.2">
      <c r="B334" s="136">
        <f>'Financement avec SCHL'!B334</f>
        <v>295</v>
      </c>
      <c r="C334" s="137">
        <f t="shared" si="73"/>
        <v>12714.345867332258</v>
      </c>
      <c r="D334" s="138">
        <f t="shared" si="74"/>
        <v>44.115502033744391</v>
      </c>
      <c r="E334" s="138">
        <f t="shared" si="72"/>
        <v>2520.8858304996779</v>
      </c>
    </row>
    <row r="335" spans="2:5" x14ac:dyDescent="0.2">
      <c r="B335" s="136">
        <f>'Financement avec SCHL'!B335</f>
        <v>296</v>
      </c>
      <c r="C335" s="137">
        <f t="shared" si="73"/>
        <v>10186.160499405914</v>
      </c>
      <c r="D335" s="138">
        <f t="shared" si="74"/>
        <v>36.81596460707879</v>
      </c>
      <c r="E335" s="138">
        <f t="shared" si="72"/>
        <v>2528.1853679263436</v>
      </c>
    </row>
    <row r="336" spans="2:5" x14ac:dyDescent="0.2">
      <c r="B336" s="136">
        <f>'Financement avec SCHL'!B336</f>
        <v>297</v>
      </c>
      <c r="C336" s="137">
        <f t="shared" si="73"/>
        <v>7650.6544573373912</v>
      </c>
      <c r="D336" s="138">
        <f t="shared" si="74"/>
        <v>29.495290464898897</v>
      </c>
      <c r="E336" s="138">
        <f t="shared" si="72"/>
        <v>2535.5060420685231</v>
      </c>
    </row>
    <row r="337" spans="2:5" x14ac:dyDescent="0.2">
      <c r="B337" s="136">
        <f>'Financement avec SCHL'!B337</f>
        <v>298</v>
      </c>
      <c r="C337" s="137">
        <f t="shared" si="73"/>
        <v>5107.8065432071935</v>
      </c>
      <c r="D337" s="138">
        <f t="shared" si="74"/>
        <v>22.153418403224702</v>
      </c>
      <c r="E337" s="138">
        <f t="shared" si="72"/>
        <v>2542.8479141301978</v>
      </c>
    </row>
    <row r="338" spans="2:5" x14ac:dyDescent="0.2">
      <c r="B338" s="136">
        <f>'Financement avec SCHL'!B338</f>
        <v>299</v>
      </c>
      <c r="C338" s="137">
        <f t="shared" si="73"/>
        <v>2557.5954977146239</v>
      </c>
      <c r="D338" s="138">
        <f t="shared" si="74"/>
        <v>14.79028704085248</v>
      </c>
      <c r="E338" s="138">
        <f t="shared" si="72"/>
        <v>2550.2110454925696</v>
      </c>
    </row>
    <row r="339" spans="2:5" x14ac:dyDescent="0.2">
      <c r="B339" s="136">
        <f>'Financement avec SCHL'!B339</f>
        <v>300</v>
      </c>
      <c r="C339" s="137">
        <f t="shared" si="73"/>
        <v>0</v>
      </c>
      <c r="D339" s="138">
        <f t="shared" si="74"/>
        <v>7.4058348188416279</v>
      </c>
      <c r="E339" s="138">
        <f>IF($D$3*12&lt;=B339,C338,-PPMT(((1+$D$2/2)^(1/6)-1),B339,$D$3*12,$D$1))</f>
        <v>2557.5954977146239</v>
      </c>
    </row>
    <row r="340" spans="2:5" ht="13.5" thickBot="1" x14ac:dyDescent="0.25">
      <c r="B340" s="139" t="str">
        <f>'Financement avec SCHL'!B340</f>
        <v>Total après 25 ans</v>
      </c>
      <c r="C340" s="141"/>
      <c r="D340" s="140">
        <f>SUM(D328:D339)</f>
        <v>571.58360673930474</v>
      </c>
      <c r="E340" s="140">
        <f>SUM(E328:E339)</f>
        <v>30208.432383661806</v>
      </c>
    </row>
    <row r="341" spans="2:5" x14ac:dyDescent="0.2">
      <c r="B341" s="136">
        <f>'Financement avec SCHL'!B341</f>
        <v>301</v>
      </c>
      <c r="C341" s="137">
        <f>IF(B341&gt;$D$3*12,0,C339-E341)</f>
        <v>0</v>
      </c>
      <c r="D341" s="138">
        <f>IF(C339&lt;0.001,0,-IPMT(((1+$D$2/2)^(1/6)-1),B341,$D$3*12,$D$1))</f>
        <v>0</v>
      </c>
      <c r="E341" s="138">
        <f>IF($D$3*12&lt;=B341,C339,-PPMT(((1+$D$2/2)^(1/6)-1),B341,$D$3*12,$D$1))</f>
        <v>0</v>
      </c>
    </row>
    <row r="342" spans="2:5" x14ac:dyDescent="0.2">
      <c r="B342" s="136">
        <f>'Financement avec SCHL'!B342</f>
        <v>302</v>
      </c>
      <c r="C342" s="137">
        <f>IF(B342&gt;$D$3*12,0,C341-E342)</f>
        <v>0</v>
      </c>
      <c r="D342" s="138">
        <f>IF(C341&lt;0.001,0,-IPMT(((1+$D$2/2)^(1/6)-1),B342,$D$3*12,$D$1))</f>
        <v>0</v>
      </c>
      <c r="E342" s="138">
        <f t="shared" ref="E342:E351" si="75">IF($D$3*12&lt;=B342,C341,-PPMT(((1+$D$2/2)^(1/6)-1),B342,$D$3*12,$D$1))</f>
        <v>0</v>
      </c>
    </row>
    <row r="343" spans="2:5" x14ac:dyDescent="0.2">
      <c r="B343" s="136">
        <f>'Financement avec SCHL'!B343</f>
        <v>303</v>
      </c>
      <c r="C343" s="137">
        <f t="shared" ref="C343:C352" si="76">IF(B343&gt;$D$3*12,0,C342-E343)</f>
        <v>0</v>
      </c>
      <c r="D343" s="138">
        <f>IF(C342&lt;0.001,0,-IPMT(((1+$D$2/2)^(1/6)-1),B343,$D$3*12,$D$1))</f>
        <v>0</v>
      </c>
      <c r="E343" s="138">
        <f t="shared" si="75"/>
        <v>0</v>
      </c>
    </row>
    <row r="344" spans="2:5" x14ac:dyDescent="0.2">
      <c r="B344" s="136">
        <f>'Financement avec SCHL'!B344</f>
        <v>304</v>
      </c>
      <c r="C344" s="137">
        <f t="shared" si="76"/>
        <v>0</v>
      </c>
      <c r="D344" s="138">
        <f t="shared" ref="D344:D352" si="77">IF(C343&lt;0.001,0,-IPMT(((1+$D$2/2)^(1/6)-1),B344,$D$3*12,$D$1))</f>
        <v>0</v>
      </c>
      <c r="E344" s="138">
        <f t="shared" si="75"/>
        <v>0</v>
      </c>
    </row>
    <row r="345" spans="2:5" x14ac:dyDescent="0.2">
      <c r="B345" s="136">
        <f>'Financement avec SCHL'!B345</f>
        <v>305</v>
      </c>
      <c r="C345" s="137">
        <f t="shared" si="76"/>
        <v>0</v>
      </c>
      <c r="D345" s="138">
        <f t="shared" si="77"/>
        <v>0</v>
      </c>
      <c r="E345" s="138">
        <f t="shared" si="75"/>
        <v>0</v>
      </c>
    </row>
    <row r="346" spans="2:5" x14ac:dyDescent="0.2">
      <c r="B346" s="136">
        <f>'Financement avec SCHL'!B346</f>
        <v>306</v>
      </c>
      <c r="C346" s="137">
        <f t="shared" si="76"/>
        <v>0</v>
      </c>
      <c r="D346" s="138">
        <f t="shared" si="77"/>
        <v>0</v>
      </c>
      <c r="E346" s="138">
        <f t="shared" si="75"/>
        <v>0</v>
      </c>
    </row>
    <row r="347" spans="2:5" x14ac:dyDescent="0.2">
      <c r="B347" s="136">
        <f>'Financement avec SCHL'!B347</f>
        <v>307</v>
      </c>
      <c r="C347" s="137">
        <f t="shared" si="76"/>
        <v>0</v>
      </c>
      <c r="D347" s="138">
        <f t="shared" si="77"/>
        <v>0</v>
      </c>
      <c r="E347" s="138">
        <f t="shared" si="75"/>
        <v>0</v>
      </c>
    </row>
    <row r="348" spans="2:5" x14ac:dyDescent="0.2">
      <c r="B348" s="136">
        <f>'Financement avec SCHL'!B348</f>
        <v>308</v>
      </c>
      <c r="C348" s="137">
        <f t="shared" si="76"/>
        <v>0</v>
      </c>
      <c r="D348" s="138">
        <f t="shared" si="77"/>
        <v>0</v>
      </c>
      <c r="E348" s="138">
        <f t="shared" si="75"/>
        <v>0</v>
      </c>
    </row>
    <row r="349" spans="2:5" x14ac:dyDescent="0.2">
      <c r="B349" s="136">
        <f>'Financement avec SCHL'!B349</f>
        <v>309</v>
      </c>
      <c r="C349" s="137">
        <f t="shared" si="76"/>
        <v>0</v>
      </c>
      <c r="D349" s="138">
        <f t="shared" si="77"/>
        <v>0</v>
      </c>
      <c r="E349" s="138">
        <f t="shared" si="75"/>
        <v>0</v>
      </c>
    </row>
    <row r="350" spans="2:5" x14ac:dyDescent="0.2">
      <c r="B350" s="136">
        <f>'Financement avec SCHL'!B350</f>
        <v>310</v>
      </c>
      <c r="C350" s="137">
        <f t="shared" si="76"/>
        <v>0</v>
      </c>
      <c r="D350" s="138">
        <f t="shared" si="77"/>
        <v>0</v>
      </c>
      <c r="E350" s="138">
        <f t="shared" si="75"/>
        <v>0</v>
      </c>
    </row>
    <row r="351" spans="2:5" x14ac:dyDescent="0.2">
      <c r="B351" s="136">
        <f>'Financement avec SCHL'!B351</f>
        <v>311</v>
      </c>
      <c r="C351" s="137">
        <f t="shared" si="76"/>
        <v>0</v>
      </c>
      <c r="D351" s="138">
        <f t="shared" si="77"/>
        <v>0</v>
      </c>
      <c r="E351" s="138">
        <f t="shared" si="75"/>
        <v>0</v>
      </c>
    </row>
    <row r="352" spans="2:5" x14ac:dyDescent="0.2">
      <c r="B352" s="136">
        <f>'Financement avec SCHL'!B352</f>
        <v>312</v>
      </c>
      <c r="C352" s="137">
        <f t="shared" si="76"/>
        <v>0</v>
      </c>
      <c r="D352" s="138">
        <f t="shared" si="77"/>
        <v>0</v>
      </c>
      <c r="E352" s="138">
        <f>IF($D$3*12&lt;=B352,C351,-PPMT(((1+$D$2/2)^(1/6)-1),B352,$D$3*12,$D$1))</f>
        <v>0</v>
      </c>
    </row>
    <row r="353" spans="2:5" ht="13.5" thickBot="1" x14ac:dyDescent="0.25">
      <c r="B353" s="139" t="str">
        <f>'Financement avec SCHL'!B353</f>
        <v>Total après 26 ans</v>
      </c>
      <c r="C353" s="141"/>
      <c r="D353" s="140">
        <f>SUM(D341:D352)</f>
        <v>0</v>
      </c>
      <c r="E353" s="140">
        <f>SUM(E341:E352)</f>
        <v>0</v>
      </c>
    </row>
    <row r="354" spans="2:5" x14ac:dyDescent="0.2">
      <c r="B354" s="136">
        <f>'Financement avec SCHL'!B354</f>
        <v>313</v>
      </c>
      <c r="C354" s="137">
        <f>IF(B354&gt;$D$3*12,0,C352-E354)</f>
        <v>0</v>
      </c>
      <c r="D354" s="138">
        <f>IF(C352&lt;0.001,0,-IPMT(((1+$D$2/2)^(1/6)-1),B354,$D$3*12,$D$1))</f>
        <v>0</v>
      </c>
      <c r="E354" s="138">
        <f>IF($D$3*12&lt;=B354,C352,-PPMT(((1+$D$2/2)^(1/6)-1),B354,$D$3*12,$D$1))</f>
        <v>0</v>
      </c>
    </row>
    <row r="355" spans="2:5" x14ac:dyDescent="0.2">
      <c r="B355" s="136">
        <f>'Financement avec SCHL'!B355</f>
        <v>314</v>
      </c>
      <c r="C355" s="137">
        <f>IF(B355&gt;$D$3*12,0,C354-E355)</f>
        <v>0</v>
      </c>
      <c r="D355" s="138">
        <f>IF(C354&lt;0.001,0,-IPMT(((1+$D$2/2)^(1/6)-1),B355,$D$3*12,$D$1))</f>
        <v>0</v>
      </c>
      <c r="E355" s="138">
        <f t="shared" ref="E355:E364" si="78">IF($D$3*12&lt;=B355,C354,-PPMT(((1+$D$2/2)^(1/6)-1),B355,$D$3*12,$D$1))</f>
        <v>0</v>
      </c>
    </row>
    <row r="356" spans="2:5" x14ac:dyDescent="0.2">
      <c r="B356" s="136">
        <f>'Financement avec SCHL'!B356</f>
        <v>315</v>
      </c>
      <c r="C356" s="137">
        <f t="shared" ref="C356:C365" si="79">IF(B356&gt;$D$3*12,0,C355-E356)</f>
        <v>0</v>
      </c>
      <c r="D356" s="138">
        <f>IF(C355&lt;0.001,0,-IPMT(((1+$D$2/2)^(1/6)-1),B356,$D$3*12,$D$1))</f>
        <v>0</v>
      </c>
      <c r="E356" s="138">
        <f t="shared" si="78"/>
        <v>0</v>
      </c>
    </row>
    <row r="357" spans="2:5" x14ac:dyDescent="0.2">
      <c r="B357" s="136">
        <f>'Financement avec SCHL'!B357</f>
        <v>316</v>
      </c>
      <c r="C357" s="137">
        <f t="shared" si="79"/>
        <v>0</v>
      </c>
      <c r="D357" s="138">
        <f t="shared" ref="D357:D365" si="80">IF(C356&lt;0.001,0,-IPMT(((1+$D$2/2)^(1/6)-1),B357,$D$3*12,$D$1))</f>
        <v>0</v>
      </c>
      <c r="E357" s="138">
        <f t="shared" si="78"/>
        <v>0</v>
      </c>
    </row>
    <row r="358" spans="2:5" x14ac:dyDescent="0.2">
      <c r="B358" s="136">
        <f>'Financement avec SCHL'!B358</f>
        <v>317</v>
      </c>
      <c r="C358" s="137">
        <f t="shared" si="79"/>
        <v>0</v>
      </c>
      <c r="D358" s="138">
        <f t="shared" si="80"/>
        <v>0</v>
      </c>
      <c r="E358" s="138">
        <f t="shared" si="78"/>
        <v>0</v>
      </c>
    </row>
    <row r="359" spans="2:5" x14ac:dyDescent="0.2">
      <c r="B359" s="136">
        <f>'Financement avec SCHL'!B359</f>
        <v>318</v>
      </c>
      <c r="C359" s="137">
        <f t="shared" si="79"/>
        <v>0</v>
      </c>
      <c r="D359" s="138">
        <f t="shared" si="80"/>
        <v>0</v>
      </c>
      <c r="E359" s="138">
        <f t="shared" si="78"/>
        <v>0</v>
      </c>
    </row>
    <row r="360" spans="2:5" x14ac:dyDescent="0.2">
      <c r="B360" s="136">
        <f>'Financement avec SCHL'!B360</f>
        <v>319</v>
      </c>
      <c r="C360" s="137">
        <f t="shared" si="79"/>
        <v>0</v>
      </c>
      <c r="D360" s="138">
        <f t="shared" si="80"/>
        <v>0</v>
      </c>
      <c r="E360" s="138">
        <f t="shared" si="78"/>
        <v>0</v>
      </c>
    </row>
    <row r="361" spans="2:5" x14ac:dyDescent="0.2">
      <c r="B361" s="136">
        <f>'Financement avec SCHL'!B361</f>
        <v>320</v>
      </c>
      <c r="C361" s="137">
        <f t="shared" si="79"/>
        <v>0</v>
      </c>
      <c r="D361" s="138">
        <f t="shared" si="80"/>
        <v>0</v>
      </c>
      <c r="E361" s="138">
        <f t="shared" si="78"/>
        <v>0</v>
      </c>
    </row>
    <row r="362" spans="2:5" x14ac:dyDescent="0.2">
      <c r="B362" s="136">
        <f>'Financement avec SCHL'!B362</f>
        <v>321</v>
      </c>
      <c r="C362" s="137">
        <f t="shared" si="79"/>
        <v>0</v>
      </c>
      <c r="D362" s="138">
        <f t="shared" si="80"/>
        <v>0</v>
      </c>
      <c r="E362" s="138">
        <f t="shared" si="78"/>
        <v>0</v>
      </c>
    </row>
    <row r="363" spans="2:5" x14ac:dyDescent="0.2">
      <c r="B363" s="136">
        <f>'Financement avec SCHL'!B363</f>
        <v>322</v>
      </c>
      <c r="C363" s="137">
        <f t="shared" si="79"/>
        <v>0</v>
      </c>
      <c r="D363" s="138">
        <f t="shared" si="80"/>
        <v>0</v>
      </c>
      <c r="E363" s="138">
        <f t="shared" si="78"/>
        <v>0</v>
      </c>
    </row>
    <row r="364" spans="2:5" x14ac:dyDescent="0.2">
      <c r="B364" s="136">
        <f>'Financement avec SCHL'!B364</f>
        <v>323</v>
      </c>
      <c r="C364" s="137">
        <f t="shared" si="79"/>
        <v>0</v>
      </c>
      <c r="D364" s="138">
        <f t="shared" si="80"/>
        <v>0</v>
      </c>
      <c r="E364" s="138">
        <f t="shared" si="78"/>
        <v>0</v>
      </c>
    </row>
    <row r="365" spans="2:5" x14ac:dyDescent="0.2">
      <c r="B365" s="136">
        <f>'Financement avec SCHL'!B365</f>
        <v>324</v>
      </c>
      <c r="C365" s="137">
        <f t="shared" si="79"/>
        <v>0</v>
      </c>
      <c r="D365" s="138">
        <f t="shared" si="80"/>
        <v>0</v>
      </c>
      <c r="E365" s="138">
        <f>IF($D$3*12&lt;=B365,C364,-PPMT(((1+$D$2/2)^(1/6)-1),B365,$D$3*12,$D$1))</f>
        <v>0</v>
      </c>
    </row>
    <row r="366" spans="2:5" ht="13.5" thickBot="1" x14ac:dyDescent="0.25">
      <c r="B366" s="139" t="str">
        <f>'Financement avec SCHL'!B366</f>
        <v>Total après 27 ans</v>
      </c>
      <c r="C366" s="141"/>
      <c r="D366" s="140">
        <f>SUM(D354:D365)</f>
        <v>0</v>
      </c>
      <c r="E366" s="140">
        <f>SUM(E354:E365)</f>
        <v>0</v>
      </c>
    </row>
    <row r="367" spans="2:5" x14ac:dyDescent="0.2">
      <c r="B367" s="136">
        <f>'Financement avec SCHL'!B367</f>
        <v>325</v>
      </c>
      <c r="C367" s="137">
        <f>IF(B367&gt;$D$3*12,0,C365-E367)</f>
        <v>0</v>
      </c>
      <c r="D367" s="138">
        <f>IF(C365&lt;0.001,0,-IPMT(((1+$D$2/2)^(1/6)-1),B367,$D$3*12,$D$1))</f>
        <v>0</v>
      </c>
      <c r="E367" s="138">
        <f>IF($D$3*12&lt;=B367,C365,-PPMT(((1+$D$2/2)^(1/6)-1),B367,$D$3*12,$D$1))</f>
        <v>0</v>
      </c>
    </row>
    <row r="368" spans="2:5" x14ac:dyDescent="0.2">
      <c r="B368" s="136">
        <f>'Financement avec SCHL'!B368</f>
        <v>326</v>
      </c>
      <c r="C368" s="137">
        <f>IF(B368&gt;$D$3*12,0,C367-E368)</f>
        <v>0</v>
      </c>
      <c r="D368" s="138">
        <f>IF(C367&lt;0.001,0,-IPMT(((1+$D$2/2)^(1/6)-1),B368,$D$3*12,$D$1))</f>
        <v>0</v>
      </c>
      <c r="E368" s="138">
        <f t="shared" ref="E368:E377" si="81">IF($D$3*12&lt;=B368,C367,-PPMT(((1+$D$2/2)^(1/6)-1),B368,$D$3*12,$D$1))</f>
        <v>0</v>
      </c>
    </row>
    <row r="369" spans="2:5" x14ac:dyDescent="0.2">
      <c r="B369" s="136">
        <f>'Financement avec SCHL'!B369</f>
        <v>327</v>
      </c>
      <c r="C369" s="137">
        <f t="shared" ref="C369:C378" si="82">IF(B369&gt;$D$3*12,0,C368-E369)</f>
        <v>0</v>
      </c>
      <c r="D369" s="138">
        <f>IF(C368&lt;0.001,0,-IPMT(((1+$D$2/2)^(1/6)-1),B369,$D$3*12,$D$1))</f>
        <v>0</v>
      </c>
      <c r="E369" s="138">
        <f t="shared" si="81"/>
        <v>0</v>
      </c>
    </row>
    <row r="370" spans="2:5" x14ac:dyDescent="0.2">
      <c r="B370" s="136">
        <f>'Financement avec SCHL'!B370</f>
        <v>328</v>
      </c>
      <c r="C370" s="137">
        <f t="shared" si="82"/>
        <v>0</v>
      </c>
      <c r="D370" s="138">
        <f t="shared" ref="D370:D378" si="83">IF(C369&lt;0.001,0,-IPMT(((1+$D$2/2)^(1/6)-1),B370,$D$3*12,$D$1))</f>
        <v>0</v>
      </c>
      <c r="E370" s="138">
        <f t="shared" si="81"/>
        <v>0</v>
      </c>
    </row>
    <row r="371" spans="2:5" x14ac:dyDescent="0.2">
      <c r="B371" s="136">
        <f>'Financement avec SCHL'!B371</f>
        <v>329</v>
      </c>
      <c r="C371" s="137">
        <f t="shared" si="82"/>
        <v>0</v>
      </c>
      <c r="D371" s="138">
        <f t="shared" si="83"/>
        <v>0</v>
      </c>
      <c r="E371" s="138">
        <f t="shared" si="81"/>
        <v>0</v>
      </c>
    </row>
    <row r="372" spans="2:5" x14ac:dyDescent="0.2">
      <c r="B372" s="136">
        <f>'Financement avec SCHL'!B372</f>
        <v>330</v>
      </c>
      <c r="C372" s="137">
        <f t="shared" si="82"/>
        <v>0</v>
      </c>
      <c r="D372" s="138">
        <f t="shared" si="83"/>
        <v>0</v>
      </c>
      <c r="E372" s="138">
        <f t="shared" si="81"/>
        <v>0</v>
      </c>
    </row>
    <row r="373" spans="2:5" x14ac:dyDescent="0.2">
      <c r="B373" s="136">
        <f>'Financement avec SCHL'!B373</f>
        <v>331</v>
      </c>
      <c r="C373" s="137">
        <f t="shared" si="82"/>
        <v>0</v>
      </c>
      <c r="D373" s="138">
        <f t="shared" si="83"/>
        <v>0</v>
      </c>
      <c r="E373" s="138">
        <f t="shared" si="81"/>
        <v>0</v>
      </c>
    </row>
    <row r="374" spans="2:5" x14ac:dyDescent="0.2">
      <c r="B374" s="136">
        <f>'Financement avec SCHL'!B374</f>
        <v>332</v>
      </c>
      <c r="C374" s="137">
        <f t="shared" si="82"/>
        <v>0</v>
      </c>
      <c r="D374" s="138">
        <f t="shared" si="83"/>
        <v>0</v>
      </c>
      <c r="E374" s="138">
        <f t="shared" si="81"/>
        <v>0</v>
      </c>
    </row>
    <row r="375" spans="2:5" x14ac:dyDescent="0.2">
      <c r="B375" s="136">
        <f>'Financement avec SCHL'!B375</f>
        <v>333</v>
      </c>
      <c r="C375" s="137">
        <f t="shared" si="82"/>
        <v>0</v>
      </c>
      <c r="D375" s="138">
        <f t="shared" si="83"/>
        <v>0</v>
      </c>
      <c r="E375" s="138">
        <f t="shared" si="81"/>
        <v>0</v>
      </c>
    </row>
    <row r="376" spans="2:5" x14ac:dyDescent="0.2">
      <c r="B376" s="136">
        <f>'Financement avec SCHL'!B376</f>
        <v>334</v>
      </c>
      <c r="C376" s="137">
        <f t="shared" si="82"/>
        <v>0</v>
      </c>
      <c r="D376" s="138">
        <f t="shared" si="83"/>
        <v>0</v>
      </c>
      <c r="E376" s="138">
        <f t="shared" si="81"/>
        <v>0</v>
      </c>
    </row>
    <row r="377" spans="2:5" x14ac:dyDescent="0.2">
      <c r="B377" s="136">
        <f>'Financement avec SCHL'!B377</f>
        <v>335</v>
      </c>
      <c r="C377" s="137">
        <f t="shared" si="82"/>
        <v>0</v>
      </c>
      <c r="D377" s="138">
        <f t="shared" si="83"/>
        <v>0</v>
      </c>
      <c r="E377" s="138">
        <f t="shared" si="81"/>
        <v>0</v>
      </c>
    </row>
    <row r="378" spans="2:5" x14ac:dyDescent="0.2">
      <c r="B378" s="136">
        <f>'Financement avec SCHL'!B378</f>
        <v>336</v>
      </c>
      <c r="C378" s="137">
        <f t="shared" si="82"/>
        <v>0</v>
      </c>
      <c r="D378" s="138">
        <f t="shared" si="83"/>
        <v>0</v>
      </c>
      <c r="E378" s="138">
        <f>IF($D$3*12&lt;=B378,C377,-PPMT(((1+$D$2/2)^(1/6)-1),B378,$D$3*12,$D$1))</f>
        <v>0</v>
      </c>
    </row>
    <row r="379" spans="2:5" ht="13.5" thickBot="1" x14ac:dyDescent="0.25">
      <c r="B379" s="139" t="str">
        <f>'Financement avec SCHL'!B379</f>
        <v>Total après 28 ans</v>
      </c>
      <c r="C379" s="141"/>
      <c r="D379" s="140">
        <f>SUM(D367:D378)</f>
        <v>0</v>
      </c>
      <c r="E379" s="140">
        <f>SUM(E367:E378)</f>
        <v>0</v>
      </c>
    </row>
    <row r="380" spans="2:5" x14ac:dyDescent="0.2">
      <c r="B380" s="136">
        <f>'Financement avec SCHL'!B380</f>
        <v>337</v>
      </c>
      <c r="C380" s="137">
        <f>IF(B380&gt;$D$3*12,0,C378-E380)</f>
        <v>0</v>
      </c>
      <c r="D380" s="138">
        <f>IF(C378&lt;0.001,0,-IPMT(((1+$D$2/2)^(1/6)-1),B380,$D$3*12,$D$1))</f>
        <v>0</v>
      </c>
      <c r="E380" s="138">
        <f>IF($D$3*12&lt;=B380,C378,-PPMT(((1+$D$2/2)^(1/6)-1),B380,$D$3*12,$D$1))</f>
        <v>0</v>
      </c>
    </row>
    <row r="381" spans="2:5" x14ac:dyDescent="0.2">
      <c r="B381" s="136">
        <f>'Financement avec SCHL'!B381</f>
        <v>338</v>
      </c>
      <c r="C381" s="137">
        <f>IF(B381&gt;$D$3*12,0,C380-E381)</f>
        <v>0</v>
      </c>
      <c r="D381" s="138">
        <f>IF(C380&lt;0.001,0,-IPMT(((1+$D$2/2)^(1/6)-1),B381,$D$3*12,$D$1))</f>
        <v>0</v>
      </c>
      <c r="E381" s="138">
        <f t="shared" ref="E381:E390" si="84">IF($D$3*12&lt;=B381,C380,-PPMT(((1+$D$2/2)^(1/6)-1),B381,$D$3*12,$D$1))</f>
        <v>0</v>
      </c>
    </row>
    <row r="382" spans="2:5" x14ac:dyDescent="0.2">
      <c r="B382" s="136">
        <f>'Financement avec SCHL'!B382</f>
        <v>339</v>
      </c>
      <c r="C382" s="137">
        <f t="shared" ref="C382:C391" si="85">IF(B382&gt;$D$3*12,0,C381-E382)</f>
        <v>0</v>
      </c>
      <c r="D382" s="138">
        <f>IF(C381&lt;0.001,0,-IPMT(((1+$D$2/2)^(1/6)-1),B382,$D$3*12,$D$1))</f>
        <v>0</v>
      </c>
      <c r="E382" s="138">
        <f t="shared" si="84"/>
        <v>0</v>
      </c>
    </row>
    <row r="383" spans="2:5" x14ac:dyDescent="0.2">
      <c r="B383" s="136">
        <f>'Financement avec SCHL'!B383</f>
        <v>340</v>
      </c>
      <c r="C383" s="137">
        <f t="shared" si="85"/>
        <v>0</v>
      </c>
      <c r="D383" s="138">
        <f t="shared" ref="D383:D391" si="86">IF(C382&lt;0.001,0,-IPMT(((1+$D$2/2)^(1/6)-1),B383,$D$3*12,$D$1))</f>
        <v>0</v>
      </c>
      <c r="E383" s="138">
        <f t="shared" si="84"/>
        <v>0</v>
      </c>
    </row>
    <row r="384" spans="2:5" x14ac:dyDescent="0.2">
      <c r="B384" s="136">
        <f>'Financement avec SCHL'!B384</f>
        <v>341</v>
      </c>
      <c r="C384" s="137">
        <f t="shared" si="85"/>
        <v>0</v>
      </c>
      <c r="D384" s="138">
        <f t="shared" si="86"/>
        <v>0</v>
      </c>
      <c r="E384" s="138">
        <f t="shared" si="84"/>
        <v>0</v>
      </c>
    </row>
    <row r="385" spans="2:5" x14ac:dyDescent="0.2">
      <c r="B385" s="136">
        <f>'Financement avec SCHL'!B385</f>
        <v>342</v>
      </c>
      <c r="C385" s="137">
        <f t="shared" si="85"/>
        <v>0</v>
      </c>
      <c r="D385" s="138">
        <f t="shared" si="86"/>
        <v>0</v>
      </c>
      <c r="E385" s="138">
        <f t="shared" si="84"/>
        <v>0</v>
      </c>
    </row>
    <row r="386" spans="2:5" x14ac:dyDescent="0.2">
      <c r="B386" s="136">
        <f>'Financement avec SCHL'!B386</f>
        <v>343</v>
      </c>
      <c r="C386" s="137">
        <f t="shared" si="85"/>
        <v>0</v>
      </c>
      <c r="D386" s="138">
        <f t="shared" si="86"/>
        <v>0</v>
      </c>
      <c r="E386" s="138">
        <f t="shared" si="84"/>
        <v>0</v>
      </c>
    </row>
    <row r="387" spans="2:5" x14ac:dyDescent="0.2">
      <c r="B387" s="136">
        <f>'Financement avec SCHL'!B387</f>
        <v>344</v>
      </c>
      <c r="C387" s="137">
        <f t="shared" si="85"/>
        <v>0</v>
      </c>
      <c r="D387" s="138">
        <f t="shared" si="86"/>
        <v>0</v>
      </c>
      <c r="E387" s="138">
        <f t="shared" si="84"/>
        <v>0</v>
      </c>
    </row>
    <row r="388" spans="2:5" x14ac:dyDescent="0.2">
      <c r="B388" s="136">
        <f>'Financement avec SCHL'!B388</f>
        <v>345</v>
      </c>
      <c r="C388" s="137">
        <f t="shared" si="85"/>
        <v>0</v>
      </c>
      <c r="D388" s="138">
        <f t="shared" si="86"/>
        <v>0</v>
      </c>
      <c r="E388" s="138">
        <f t="shared" si="84"/>
        <v>0</v>
      </c>
    </row>
    <row r="389" spans="2:5" x14ac:dyDescent="0.2">
      <c r="B389" s="136">
        <f>'Financement avec SCHL'!B389</f>
        <v>346</v>
      </c>
      <c r="C389" s="137">
        <f t="shared" si="85"/>
        <v>0</v>
      </c>
      <c r="D389" s="138">
        <f t="shared" si="86"/>
        <v>0</v>
      </c>
      <c r="E389" s="138">
        <f t="shared" si="84"/>
        <v>0</v>
      </c>
    </row>
    <row r="390" spans="2:5" x14ac:dyDescent="0.2">
      <c r="B390" s="136">
        <f>'Financement avec SCHL'!B390</f>
        <v>347</v>
      </c>
      <c r="C390" s="137">
        <f t="shared" si="85"/>
        <v>0</v>
      </c>
      <c r="D390" s="138">
        <f t="shared" si="86"/>
        <v>0</v>
      </c>
      <c r="E390" s="138">
        <f t="shared" si="84"/>
        <v>0</v>
      </c>
    </row>
    <row r="391" spans="2:5" x14ac:dyDescent="0.2">
      <c r="B391" s="136">
        <f>'Financement avec SCHL'!B391</f>
        <v>348</v>
      </c>
      <c r="C391" s="137">
        <f t="shared" si="85"/>
        <v>0</v>
      </c>
      <c r="D391" s="138">
        <f t="shared" si="86"/>
        <v>0</v>
      </c>
      <c r="E391" s="138">
        <f>IF($D$3*12&lt;=B391,C390,-PPMT(((1+$D$2/2)^(1/6)-1),B391,$D$3*12,$D$1))</f>
        <v>0</v>
      </c>
    </row>
    <row r="392" spans="2:5" ht="13.5" thickBot="1" x14ac:dyDescent="0.25">
      <c r="B392" s="139" t="str">
        <f>'Financement avec SCHL'!B392</f>
        <v>Total après 29 ans</v>
      </c>
      <c r="C392" s="141"/>
      <c r="D392" s="140">
        <f>SUM(D380:D391)</f>
        <v>0</v>
      </c>
      <c r="E392" s="140">
        <f>SUM(E380:E391)</f>
        <v>0</v>
      </c>
    </row>
    <row r="393" spans="2:5" x14ac:dyDescent="0.2">
      <c r="B393" s="136">
        <f>'Financement avec SCHL'!B393</f>
        <v>349</v>
      </c>
      <c r="C393" s="137">
        <f>IF(B393&gt;$D$3*12,0,C391-E393)</f>
        <v>0</v>
      </c>
      <c r="D393" s="138">
        <f>IF(C391&lt;0.001,0,-IPMT(((1+$D$2/2)^(1/6)-1),B393,$D$3*12,$D$1))</f>
        <v>0</v>
      </c>
      <c r="E393" s="138">
        <f>IF($D$3*12&lt;=B393,C391,-PPMT(((1+$D$2/2)^(1/6)-1),B393,$D$3*12,$D$1))</f>
        <v>0</v>
      </c>
    </row>
    <row r="394" spans="2:5" x14ac:dyDescent="0.2">
      <c r="B394" s="136">
        <f>'Financement avec SCHL'!B394</f>
        <v>350</v>
      </c>
      <c r="C394" s="137">
        <f>IF(B394&gt;$D$3*12,0,C393-E394)</f>
        <v>0</v>
      </c>
      <c r="D394" s="138">
        <f>IF(C393&lt;0.001,0,-IPMT(((1+$D$2/2)^(1/6)-1),B394,$D$3*12,$D$1))</f>
        <v>0</v>
      </c>
      <c r="E394" s="138">
        <f t="shared" ref="E394:E403" si="87">IF($D$3*12&lt;=B394,C393,-PPMT(((1+$D$2/2)^(1/6)-1),B394,$D$3*12,$D$1))</f>
        <v>0</v>
      </c>
    </row>
    <row r="395" spans="2:5" x14ac:dyDescent="0.2">
      <c r="B395" s="136">
        <f>'Financement avec SCHL'!B395</f>
        <v>351</v>
      </c>
      <c r="C395" s="137">
        <f t="shared" ref="C395:C404" si="88">IF(B395&gt;$D$3*12,0,C394-E395)</f>
        <v>0</v>
      </c>
      <c r="D395" s="138">
        <f>IF(C394&lt;0.001,0,-IPMT(((1+$D$2/2)^(1/6)-1),B395,$D$3*12,$D$1))</f>
        <v>0</v>
      </c>
      <c r="E395" s="138">
        <f t="shared" si="87"/>
        <v>0</v>
      </c>
    </row>
    <row r="396" spans="2:5" x14ac:dyDescent="0.2">
      <c r="B396" s="136">
        <f>'Financement avec SCHL'!B396</f>
        <v>352</v>
      </c>
      <c r="C396" s="137">
        <f t="shared" si="88"/>
        <v>0</v>
      </c>
      <c r="D396" s="138">
        <f t="shared" ref="D396:D404" si="89">IF(C395&lt;0.001,0,-IPMT(((1+$D$2/2)^(1/6)-1),B396,$D$3*12,$D$1))</f>
        <v>0</v>
      </c>
      <c r="E396" s="138">
        <f t="shared" si="87"/>
        <v>0</v>
      </c>
    </row>
    <row r="397" spans="2:5" x14ac:dyDescent="0.2">
      <c r="B397" s="136">
        <f>'Financement avec SCHL'!B397</f>
        <v>353</v>
      </c>
      <c r="C397" s="137">
        <f t="shared" si="88"/>
        <v>0</v>
      </c>
      <c r="D397" s="138">
        <f t="shared" si="89"/>
        <v>0</v>
      </c>
      <c r="E397" s="138">
        <f t="shared" si="87"/>
        <v>0</v>
      </c>
    </row>
    <row r="398" spans="2:5" x14ac:dyDescent="0.2">
      <c r="B398" s="136">
        <f>'Financement avec SCHL'!B398</f>
        <v>354</v>
      </c>
      <c r="C398" s="137">
        <f t="shared" si="88"/>
        <v>0</v>
      </c>
      <c r="D398" s="138">
        <f t="shared" si="89"/>
        <v>0</v>
      </c>
      <c r="E398" s="138">
        <f t="shared" si="87"/>
        <v>0</v>
      </c>
    </row>
    <row r="399" spans="2:5" x14ac:dyDescent="0.2">
      <c r="B399" s="136">
        <f>'Financement avec SCHL'!B399</f>
        <v>355</v>
      </c>
      <c r="C399" s="137">
        <f t="shared" si="88"/>
        <v>0</v>
      </c>
      <c r="D399" s="138">
        <f t="shared" si="89"/>
        <v>0</v>
      </c>
      <c r="E399" s="138">
        <f t="shared" si="87"/>
        <v>0</v>
      </c>
    </row>
    <row r="400" spans="2:5" x14ac:dyDescent="0.2">
      <c r="B400" s="136">
        <f>'Financement avec SCHL'!B400</f>
        <v>356</v>
      </c>
      <c r="C400" s="137">
        <f t="shared" si="88"/>
        <v>0</v>
      </c>
      <c r="D400" s="138">
        <f t="shared" si="89"/>
        <v>0</v>
      </c>
      <c r="E400" s="138">
        <f t="shared" si="87"/>
        <v>0</v>
      </c>
    </row>
    <row r="401" spans="2:5" x14ac:dyDescent="0.2">
      <c r="B401" s="136">
        <f>'Financement avec SCHL'!B401</f>
        <v>357</v>
      </c>
      <c r="C401" s="137">
        <f t="shared" si="88"/>
        <v>0</v>
      </c>
      <c r="D401" s="138">
        <f t="shared" si="89"/>
        <v>0</v>
      </c>
      <c r="E401" s="138">
        <f t="shared" si="87"/>
        <v>0</v>
      </c>
    </row>
    <row r="402" spans="2:5" x14ac:dyDescent="0.2">
      <c r="B402" s="136">
        <f>'Financement avec SCHL'!B402</f>
        <v>358</v>
      </c>
      <c r="C402" s="137">
        <f t="shared" si="88"/>
        <v>0</v>
      </c>
      <c r="D402" s="138">
        <f t="shared" si="89"/>
        <v>0</v>
      </c>
      <c r="E402" s="138">
        <f t="shared" si="87"/>
        <v>0</v>
      </c>
    </row>
    <row r="403" spans="2:5" x14ac:dyDescent="0.2">
      <c r="B403" s="136">
        <f>'Financement avec SCHL'!B403</f>
        <v>359</v>
      </c>
      <c r="C403" s="137">
        <f t="shared" si="88"/>
        <v>0</v>
      </c>
      <c r="D403" s="138">
        <f t="shared" si="89"/>
        <v>0</v>
      </c>
      <c r="E403" s="138">
        <f t="shared" si="87"/>
        <v>0</v>
      </c>
    </row>
    <row r="404" spans="2:5" x14ac:dyDescent="0.2">
      <c r="B404" s="136">
        <f>'Financement avec SCHL'!B404</f>
        <v>360</v>
      </c>
      <c r="C404" s="137">
        <f t="shared" si="88"/>
        <v>0</v>
      </c>
      <c r="D404" s="138">
        <f t="shared" si="89"/>
        <v>0</v>
      </c>
      <c r="E404" s="138">
        <f>IF($D$3*12&lt;=B404,C403,-PPMT(((1+$D$2/2)^(1/6)-1),B404,$D$3*12,$D$1))</f>
        <v>0</v>
      </c>
    </row>
    <row r="405" spans="2:5" ht="13.5" thickBot="1" x14ac:dyDescent="0.25">
      <c r="B405" s="139" t="str">
        <f>'Financement avec SCHL'!B405</f>
        <v>Total après 30 ans</v>
      </c>
      <c r="C405" s="142"/>
      <c r="D405" s="140">
        <f>SUM(D393:D404)</f>
        <v>0</v>
      </c>
      <c r="E405" s="140">
        <f>SUM(E393:E404)</f>
        <v>0</v>
      </c>
    </row>
    <row r="406" spans="2:5" x14ac:dyDescent="0.2">
      <c r="B406" s="136">
        <f>'Financement avec SCHL'!B406</f>
        <v>361</v>
      </c>
      <c r="C406" s="137">
        <f>IF(B406&gt;$D$3*12,0,C404-E406)</f>
        <v>0</v>
      </c>
      <c r="D406" s="138">
        <f>IF(C404&lt;0.001,0,-IPMT(((1+$D$2/2)^(1/6)-1),B406,$D$3*12,$D$1))</f>
        <v>0</v>
      </c>
      <c r="E406" s="138">
        <f>IF($D$3*12&lt;=B406,C404,-PPMT(((1+$D$2/2)^(1/6)-1),B406,$D$3*12,$D$1))</f>
        <v>0</v>
      </c>
    </row>
    <row r="407" spans="2:5" x14ac:dyDescent="0.2">
      <c r="B407" s="136">
        <f>'Financement avec SCHL'!B407</f>
        <v>362</v>
      </c>
      <c r="C407" s="137">
        <f>IF(B407&gt;$D$3*12,0,C406-E407)</f>
        <v>0</v>
      </c>
      <c r="D407" s="138">
        <f>IF(C406&lt;0.001,0,-IPMT(((1+$D$2/2)^(1/6)-1),B407,$D$3*12,$D$1))</f>
        <v>0</v>
      </c>
      <c r="E407" s="138">
        <f t="shared" ref="E407:E416" si="90">IF($D$3*12&lt;=B407,C406,-PPMT(((1+$D$2/2)^(1/6)-1),B407,$D$3*12,$D$1))</f>
        <v>0</v>
      </c>
    </row>
    <row r="408" spans="2:5" x14ac:dyDescent="0.2">
      <c r="B408" s="136">
        <f>'Financement avec SCHL'!B408</f>
        <v>363</v>
      </c>
      <c r="C408" s="137">
        <f t="shared" ref="C408:C417" si="91">IF(B408&gt;$D$3*12,0,C407-E408)</f>
        <v>0</v>
      </c>
      <c r="D408" s="138">
        <f>IF(C407&lt;0.001,0,-IPMT(((1+$D$2/2)^(1/6)-1),B408,$D$3*12,$D$1))</f>
        <v>0</v>
      </c>
      <c r="E408" s="138">
        <f t="shared" si="90"/>
        <v>0</v>
      </c>
    </row>
    <row r="409" spans="2:5" x14ac:dyDescent="0.2">
      <c r="B409" s="136">
        <f>'Financement avec SCHL'!B409</f>
        <v>364</v>
      </c>
      <c r="C409" s="137">
        <f t="shared" si="91"/>
        <v>0</v>
      </c>
      <c r="D409" s="138">
        <f t="shared" ref="D409:D417" si="92">IF(C408&lt;0.001,0,-IPMT(((1+$D$2/2)^(1/6)-1),B409,$D$3*12,$D$1))</f>
        <v>0</v>
      </c>
      <c r="E409" s="138">
        <f t="shared" si="90"/>
        <v>0</v>
      </c>
    </row>
    <row r="410" spans="2:5" x14ac:dyDescent="0.2">
      <c r="B410" s="136">
        <f>'Financement avec SCHL'!B410</f>
        <v>365</v>
      </c>
      <c r="C410" s="137">
        <f t="shared" si="91"/>
        <v>0</v>
      </c>
      <c r="D410" s="138">
        <f t="shared" si="92"/>
        <v>0</v>
      </c>
      <c r="E410" s="138">
        <f t="shared" si="90"/>
        <v>0</v>
      </c>
    </row>
    <row r="411" spans="2:5" x14ac:dyDescent="0.2">
      <c r="B411" s="136">
        <f>'Financement avec SCHL'!B411</f>
        <v>366</v>
      </c>
      <c r="C411" s="137">
        <f t="shared" si="91"/>
        <v>0</v>
      </c>
      <c r="D411" s="138">
        <f t="shared" si="92"/>
        <v>0</v>
      </c>
      <c r="E411" s="138">
        <f t="shared" si="90"/>
        <v>0</v>
      </c>
    </row>
    <row r="412" spans="2:5" x14ac:dyDescent="0.2">
      <c r="B412" s="136">
        <f>'Financement avec SCHL'!B412</f>
        <v>367</v>
      </c>
      <c r="C412" s="137">
        <f t="shared" si="91"/>
        <v>0</v>
      </c>
      <c r="D412" s="138">
        <f t="shared" si="92"/>
        <v>0</v>
      </c>
      <c r="E412" s="138">
        <f t="shared" si="90"/>
        <v>0</v>
      </c>
    </row>
    <row r="413" spans="2:5" x14ac:dyDescent="0.2">
      <c r="B413" s="136">
        <f>'Financement avec SCHL'!B413</f>
        <v>368</v>
      </c>
      <c r="C413" s="137">
        <f t="shared" si="91"/>
        <v>0</v>
      </c>
      <c r="D413" s="138">
        <f t="shared" si="92"/>
        <v>0</v>
      </c>
      <c r="E413" s="138">
        <f t="shared" si="90"/>
        <v>0</v>
      </c>
    </row>
    <row r="414" spans="2:5" x14ac:dyDescent="0.2">
      <c r="B414" s="136">
        <f>'Financement avec SCHL'!B414</f>
        <v>369</v>
      </c>
      <c r="C414" s="137">
        <f t="shared" si="91"/>
        <v>0</v>
      </c>
      <c r="D414" s="138">
        <f t="shared" si="92"/>
        <v>0</v>
      </c>
      <c r="E414" s="138">
        <f t="shared" si="90"/>
        <v>0</v>
      </c>
    </row>
    <row r="415" spans="2:5" x14ac:dyDescent="0.2">
      <c r="B415" s="136">
        <f>'Financement avec SCHL'!B415</f>
        <v>370</v>
      </c>
      <c r="C415" s="137">
        <f t="shared" si="91"/>
        <v>0</v>
      </c>
      <c r="D415" s="138">
        <f t="shared" si="92"/>
        <v>0</v>
      </c>
      <c r="E415" s="138">
        <f t="shared" si="90"/>
        <v>0</v>
      </c>
    </row>
    <row r="416" spans="2:5" x14ac:dyDescent="0.2">
      <c r="B416" s="136">
        <f>'Financement avec SCHL'!B416</f>
        <v>371</v>
      </c>
      <c r="C416" s="137">
        <f t="shared" si="91"/>
        <v>0</v>
      </c>
      <c r="D416" s="138">
        <f t="shared" si="92"/>
        <v>0</v>
      </c>
      <c r="E416" s="138">
        <f t="shared" si="90"/>
        <v>0</v>
      </c>
    </row>
    <row r="417" spans="2:5" x14ac:dyDescent="0.2">
      <c r="B417" s="136">
        <f>'Financement avec SCHL'!B417</f>
        <v>372</v>
      </c>
      <c r="C417" s="137">
        <f t="shared" si="91"/>
        <v>0</v>
      </c>
      <c r="D417" s="138">
        <f t="shared" si="92"/>
        <v>0</v>
      </c>
      <c r="E417" s="138">
        <f>IF($D$3*12&lt;=B417,C416,-PPMT(((1+$D$2/2)^(1/6)-1),B417,$D$3*12,$D$1))</f>
        <v>0</v>
      </c>
    </row>
    <row r="418" spans="2:5" ht="13.5" thickBot="1" x14ac:dyDescent="0.25">
      <c r="B418" s="139" t="str">
        <f>'Financement avec SCHL'!B418</f>
        <v>Total après 31 ans</v>
      </c>
      <c r="C418" s="142"/>
      <c r="D418" s="140">
        <f>SUM(D406:D417)</f>
        <v>0</v>
      </c>
      <c r="E418" s="140">
        <f>SUM(E406:E417)</f>
        <v>0</v>
      </c>
    </row>
    <row r="419" spans="2:5" x14ac:dyDescent="0.2">
      <c r="B419" s="136">
        <f>'Financement avec SCHL'!B419</f>
        <v>373</v>
      </c>
      <c r="C419" s="137">
        <f>IF(B419&gt;$D$3*12,0,C417-E419)</f>
        <v>0</v>
      </c>
      <c r="D419" s="138">
        <f>IF(C417&lt;0.001,0,-IPMT(((1+$D$2/2)^(1/6)-1),B419,$D$3*12,$D$1))</f>
        <v>0</v>
      </c>
      <c r="E419" s="138">
        <f>IF($D$3*12&lt;=B419,C417,-PPMT(((1+$D$2/2)^(1/6)-1),B419,$D$3*12,$D$1))</f>
        <v>0</v>
      </c>
    </row>
    <row r="420" spans="2:5" x14ac:dyDescent="0.2">
      <c r="B420" s="136">
        <f>'Financement avec SCHL'!B420</f>
        <v>374</v>
      </c>
      <c r="C420" s="137">
        <f>IF(B420&gt;$D$3*12,0,C419-E420)</f>
        <v>0</v>
      </c>
      <c r="D420" s="138">
        <f>IF(C419&lt;0.001,0,-IPMT(((1+$D$2/2)^(1/6)-1),B420,$D$3*12,$D$1))</f>
        <v>0</v>
      </c>
      <c r="E420" s="138">
        <f t="shared" ref="E420:E429" si="93">IF($D$3*12&lt;=B420,C419,-PPMT(((1+$D$2/2)^(1/6)-1),B420,$D$3*12,$D$1))</f>
        <v>0</v>
      </c>
    </row>
    <row r="421" spans="2:5" x14ac:dyDescent="0.2">
      <c r="B421" s="136">
        <f>'Financement avec SCHL'!B421</f>
        <v>375</v>
      </c>
      <c r="C421" s="137">
        <f t="shared" ref="C421:C430" si="94">IF(B421&gt;$D$3*12,0,C420-E421)</f>
        <v>0</v>
      </c>
      <c r="D421" s="138">
        <f>IF(C420&lt;0.001,0,-IPMT(((1+$D$2/2)^(1/6)-1),B421,$D$3*12,$D$1))</f>
        <v>0</v>
      </c>
      <c r="E421" s="138">
        <f t="shared" si="93"/>
        <v>0</v>
      </c>
    </row>
    <row r="422" spans="2:5" x14ac:dyDescent="0.2">
      <c r="B422" s="136">
        <f>'Financement avec SCHL'!B422</f>
        <v>376</v>
      </c>
      <c r="C422" s="137">
        <f t="shared" si="94"/>
        <v>0</v>
      </c>
      <c r="D422" s="138">
        <f t="shared" ref="D422:D430" si="95">IF(C421&lt;0.001,0,-IPMT(((1+$D$2/2)^(1/6)-1),B422,$D$3*12,$D$1))</f>
        <v>0</v>
      </c>
      <c r="E422" s="138">
        <f t="shared" si="93"/>
        <v>0</v>
      </c>
    </row>
    <row r="423" spans="2:5" x14ac:dyDescent="0.2">
      <c r="B423" s="136">
        <f>'Financement avec SCHL'!B423</f>
        <v>377</v>
      </c>
      <c r="C423" s="137">
        <f t="shared" si="94"/>
        <v>0</v>
      </c>
      <c r="D423" s="138">
        <f t="shared" si="95"/>
        <v>0</v>
      </c>
      <c r="E423" s="138">
        <f t="shared" si="93"/>
        <v>0</v>
      </c>
    </row>
    <row r="424" spans="2:5" x14ac:dyDescent="0.2">
      <c r="B424" s="136">
        <f>'Financement avec SCHL'!B424</f>
        <v>378</v>
      </c>
      <c r="C424" s="137">
        <f t="shared" si="94"/>
        <v>0</v>
      </c>
      <c r="D424" s="138">
        <f t="shared" si="95"/>
        <v>0</v>
      </c>
      <c r="E424" s="138">
        <f t="shared" si="93"/>
        <v>0</v>
      </c>
    </row>
    <row r="425" spans="2:5" x14ac:dyDescent="0.2">
      <c r="B425" s="136">
        <f>'Financement avec SCHL'!B425</f>
        <v>379</v>
      </c>
      <c r="C425" s="137">
        <f t="shared" si="94"/>
        <v>0</v>
      </c>
      <c r="D425" s="138">
        <f t="shared" si="95"/>
        <v>0</v>
      </c>
      <c r="E425" s="138">
        <f t="shared" si="93"/>
        <v>0</v>
      </c>
    </row>
    <row r="426" spans="2:5" x14ac:dyDescent="0.2">
      <c r="B426" s="136">
        <f>'Financement avec SCHL'!B426</f>
        <v>380</v>
      </c>
      <c r="C426" s="137">
        <f t="shared" si="94"/>
        <v>0</v>
      </c>
      <c r="D426" s="138">
        <f t="shared" si="95"/>
        <v>0</v>
      </c>
      <c r="E426" s="138">
        <f t="shared" si="93"/>
        <v>0</v>
      </c>
    </row>
    <row r="427" spans="2:5" x14ac:dyDescent="0.2">
      <c r="B427" s="136">
        <f>'Financement avec SCHL'!B427</f>
        <v>381</v>
      </c>
      <c r="C427" s="137">
        <f t="shared" si="94"/>
        <v>0</v>
      </c>
      <c r="D427" s="138">
        <f t="shared" si="95"/>
        <v>0</v>
      </c>
      <c r="E427" s="138">
        <f t="shared" si="93"/>
        <v>0</v>
      </c>
    </row>
    <row r="428" spans="2:5" x14ac:dyDescent="0.2">
      <c r="B428" s="136">
        <f>'Financement avec SCHL'!B428</f>
        <v>382</v>
      </c>
      <c r="C428" s="137">
        <f t="shared" si="94"/>
        <v>0</v>
      </c>
      <c r="D428" s="138">
        <f t="shared" si="95"/>
        <v>0</v>
      </c>
      <c r="E428" s="138">
        <f t="shared" si="93"/>
        <v>0</v>
      </c>
    </row>
    <row r="429" spans="2:5" x14ac:dyDescent="0.2">
      <c r="B429" s="136">
        <f>'Financement avec SCHL'!B429</f>
        <v>383</v>
      </c>
      <c r="C429" s="137">
        <f t="shared" si="94"/>
        <v>0</v>
      </c>
      <c r="D429" s="138">
        <f t="shared" si="95"/>
        <v>0</v>
      </c>
      <c r="E429" s="138">
        <f t="shared" si="93"/>
        <v>0</v>
      </c>
    </row>
    <row r="430" spans="2:5" x14ac:dyDescent="0.2">
      <c r="B430" s="136">
        <f>'Financement avec SCHL'!B430</f>
        <v>384</v>
      </c>
      <c r="C430" s="137">
        <f t="shared" si="94"/>
        <v>0</v>
      </c>
      <c r="D430" s="138">
        <f t="shared" si="95"/>
        <v>0</v>
      </c>
      <c r="E430" s="138">
        <f>IF($D$3*12&lt;=B430,C429,-PPMT(((1+$D$2/2)^(1/6)-1),B430,$D$3*12,$D$1))</f>
        <v>0</v>
      </c>
    </row>
    <row r="431" spans="2:5" ht="13.5" thickBot="1" x14ac:dyDescent="0.25">
      <c r="B431" s="139" t="str">
        <f>'Financement avec SCHL'!B431</f>
        <v>Total après 32 ans</v>
      </c>
      <c r="C431" s="142"/>
      <c r="D431" s="140">
        <f>SUM(D419:D430)</f>
        <v>0</v>
      </c>
      <c r="E431" s="140">
        <f>SUM(E419:E430)</f>
        <v>0</v>
      </c>
    </row>
    <row r="432" spans="2:5" x14ac:dyDescent="0.2">
      <c r="B432" s="136">
        <f>'Financement avec SCHL'!B432</f>
        <v>385</v>
      </c>
      <c r="C432" s="137">
        <f>IF(B432&gt;$D$3*12,0,C430-E432)</f>
        <v>0</v>
      </c>
      <c r="D432" s="138">
        <f>IF(C430&lt;0.001,0,-IPMT(((1+$D$2/2)^(1/6)-1),B432,$D$3*12,$D$1))</f>
        <v>0</v>
      </c>
      <c r="E432" s="138">
        <f>IF($D$3*12&lt;=B432,C430,-PPMT(((1+$D$2/2)^(1/6)-1),B432,$D$3*12,$D$1))</f>
        <v>0</v>
      </c>
    </row>
    <row r="433" spans="2:5" x14ac:dyDescent="0.2">
      <c r="B433" s="136">
        <f>'Financement avec SCHL'!B433</f>
        <v>386</v>
      </c>
      <c r="C433" s="137">
        <f>IF(B433&gt;$D$3*12,0,C432-E433)</f>
        <v>0</v>
      </c>
      <c r="D433" s="138">
        <f>IF(C432&lt;0.001,0,-IPMT(((1+$D$2/2)^(1/6)-1),B433,$D$3*12,$D$1))</f>
        <v>0</v>
      </c>
      <c r="E433" s="138">
        <f t="shared" ref="E433:E442" si="96">IF($D$3*12&lt;=B433,C432,-PPMT(((1+$D$2/2)^(1/6)-1),B433,$D$3*12,$D$1))</f>
        <v>0</v>
      </c>
    </row>
    <row r="434" spans="2:5" x14ac:dyDescent="0.2">
      <c r="B434" s="136">
        <f>'Financement avec SCHL'!B434</f>
        <v>387</v>
      </c>
      <c r="C434" s="137">
        <f t="shared" ref="C434:C443" si="97">IF(B434&gt;$D$3*12,0,C433-E434)</f>
        <v>0</v>
      </c>
      <c r="D434" s="138">
        <f>IF(C433&lt;0.001,0,-IPMT(((1+$D$2/2)^(1/6)-1),B434,$D$3*12,$D$1))</f>
        <v>0</v>
      </c>
      <c r="E434" s="138">
        <f t="shared" si="96"/>
        <v>0</v>
      </c>
    </row>
    <row r="435" spans="2:5" x14ac:dyDescent="0.2">
      <c r="B435" s="136">
        <f>'Financement avec SCHL'!B435</f>
        <v>388</v>
      </c>
      <c r="C435" s="137">
        <f t="shared" si="97"/>
        <v>0</v>
      </c>
      <c r="D435" s="138">
        <f t="shared" ref="D435:D443" si="98">IF(C434&lt;0.001,0,-IPMT(((1+$D$2/2)^(1/6)-1),B435,$D$3*12,$D$1))</f>
        <v>0</v>
      </c>
      <c r="E435" s="138">
        <f t="shared" si="96"/>
        <v>0</v>
      </c>
    </row>
    <row r="436" spans="2:5" x14ac:dyDescent="0.2">
      <c r="B436" s="136">
        <f>'Financement avec SCHL'!B436</f>
        <v>389</v>
      </c>
      <c r="C436" s="137">
        <f t="shared" si="97"/>
        <v>0</v>
      </c>
      <c r="D436" s="138">
        <f t="shared" si="98"/>
        <v>0</v>
      </c>
      <c r="E436" s="138">
        <f t="shared" si="96"/>
        <v>0</v>
      </c>
    </row>
    <row r="437" spans="2:5" x14ac:dyDescent="0.2">
      <c r="B437" s="136">
        <f>'Financement avec SCHL'!B437</f>
        <v>390</v>
      </c>
      <c r="C437" s="137">
        <f t="shared" si="97"/>
        <v>0</v>
      </c>
      <c r="D437" s="138">
        <f t="shared" si="98"/>
        <v>0</v>
      </c>
      <c r="E437" s="138">
        <f t="shared" si="96"/>
        <v>0</v>
      </c>
    </row>
    <row r="438" spans="2:5" x14ac:dyDescent="0.2">
      <c r="B438" s="136">
        <f>'Financement avec SCHL'!B438</f>
        <v>391</v>
      </c>
      <c r="C438" s="137">
        <f t="shared" si="97"/>
        <v>0</v>
      </c>
      <c r="D438" s="138">
        <f t="shared" si="98"/>
        <v>0</v>
      </c>
      <c r="E438" s="138">
        <f t="shared" si="96"/>
        <v>0</v>
      </c>
    </row>
    <row r="439" spans="2:5" x14ac:dyDescent="0.2">
      <c r="B439" s="136">
        <f>'Financement avec SCHL'!B439</f>
        <v>392</v>
      </c>
      <c r="C439" s="137">
        <f t="shared" si="97"/>
        <v>0</v>
      </c>
      <c r="D439" s="138">
        <f t="shared" si="98"/>
        <v>0</v>
      </c>
      <c r="E439" s="138">
        <f t="shared" si="96"/>
        <v>0</v>
      </c>
    </row>
    <row r="440" spans="2:5" x14ac:dyDescent="0.2">
      <c r="B440" s="136">
        <f>'Financement avec SCHL'!B440</f>
        <v>393</v>
      </c>
      <c r="C440" s="137">
        <f t="shared" si="97"/>
        <v>0</v>
      </c>
      <c r="D440" s="138">
        <f t="shared" si="98"/>
        <v>0</v>
      </c>
      <c r="E440" s="138">
        <f t="shared" si="96"/>
        <v>0</v>
      </c>
    </row>
    <row r="441" spans="2:5" x14ac:dyDescent="0.2">
      <c r="B441" s="136">
        <f>'Financement avec SCHL'!B441</f>
        <v>394</v>
      </c>
      <c r="C441" s="137">
        <f t="shared" si="97"/>
        <v>0</v>
      </c>
      <c r="D441" s="138">
        <f t="shared" si="98"/>
        <v>0</v>
      </c>
      <c r="E441" s="138">
        <f t="shared" si="96"/>
        <v>0</v>
      </c>
    </row>
    <row r="442" spans="2:5" x14ac:dyDescent="0.2">
      <c r="B442" s="136">
        <f>'Financement avec SCHL'!B442</f>
        <v>395</v>
      </c>
      <c r="C442" s="137">
        <f t="shared" si="97"/>
        <v>0</v>
      </c>
      <c r="D442" s="138">
        <f t="shared" si="98"/>
        <v>0</v>
      </c>
      <c r="E442" s="138">
        <f t="shared" si="96"/>
        <v>0</v>
      </c>
    </row>
    <row r="443" spans="2:5" x14ac:dyDescent="0.2">
      <c r="B443" s="136">
        <f>'Financement avec SCHL'!B443</f>
        <v>396</v>
      </c>
      <c r="C443" s="137">
        <f t="shared" si="97"/>
        <v>0</v>
      </c>
      <c r="D443" s="138">
        <f t="shared" si="98"/>
        <v>0</v>
      </c>
      <c r="E443" s="138">
        <f>IF($D$3*12&lt;=B443,C442,-PPMT(((1+$D$2/2)^(1/6)-1),B443,$D$3*12,$D$1))</f>
        <v>0</v>
      </c>
    </row>
    <row r="444" spans="2:5" ht="13.5" thickBot="1" x14ac:dyDescent="0.25">
      <c r="B444" s="139" t="str">
        <f>'Financement avec SCHL'!B444</f>
        <v>Total après 33 ans</v>
      </c>
      <c r="C444" s="142"/>
      <c r="D444" s="140">
        <f>SUM(D432:D443)</f>
        <v>0</v>
      </c>
      <c r="E444" s="140">
        <f>SUM(E432:E443)</f>
        <v>0</v>
      </c>
    </row>
    <row r="445" spans="2:5" x14ac:dyDescent="0.2">
      <c r="B445" s="136">
        <f>'Financement avec SCHL'!B445</f>
        <v>397</v>
      </c>
      <c r="C445" s="137">
        <f>IF(B445&gt;$D$3*12,0,C443-E445)</f>
        <v>0</v>
      </c>
      <c r="D445" s="138">
        <f>IF(C443&lt;0.001,0,-IPMT(((1+$D$2/2)^(1/6)-1),B445,$D$3*12,$D$1))</f>
        <v>0</v>
      </c>
      <c r="E445" s="138">
        <f>IF($D$3*12&lt;=B445,C443,-PPMT(((1+$D$2/2)^(1/6)-1),B445,$D$3*12,$D$1))</f>
        <v>0</v>
      </c>
    </row>
    <row r="446" spans="2:5" x14ac:dyDescent="0.2">
      <c r="B446" s="136">
        <f>'Financement avec SCHL'!B446</f>
        <v>398</v>
      </c>
      <c r="C446" s="137">
        <f>IF(B446&gt;$D$3*12,0,C445-E446)</f>
        <v>0</v>
      </c>
      <c r="D446" s="138">
        <f>IF(C445&lt;0.001,0,-IPMT(((1+$D$2/2)^(1/6)-1),B446,$D$3*12,$D$1))</f>
        <v>0</v>
      </c>
      <c r="E446" s="138">
        <f t="shared" ref="E446:E455" si="99">IF($D$3*12&lt;=B446,C445,-PPMT(((1+$D$2/2)^(1/6)-1),B446,$D$3*12,$D$1))</f>
        <v>0</v>
      </c>
    </row>
    <row r="447" spans="2:5" x14ac:dyDescent="0.2">
      <c r="B447" s="136">
        <f>'Financement avec SCHL'!B447</f>
        <v>399</v>
      </c>
      <c r="C447" s="137">
        <f t="shared" ref="C447:C456" si="100">IF(B447&gt;$D$3*12,0,C446-E447)</f>
        <v>0</v>
      </c>
      <c r="D447" s="138">
        <f>IF(C446&lt;0.001,0,-IPMT(((1+$D$2/2)^(1/6)-1),B447,$D$3*12,$D$1))</f>
        <v>0</v>
      </c>
      <c r="E447" s="138">
        <f t="shared" si="99"/>
        <v>0</v>
      </c>
    </row>
    <row r="448" spans="2:5" x14ac:dyDescent="0.2">
      <c r="B448" s="136">
        <f>'Financement avec SCHL'!B448</f>
        <v>400</v>
      </c>
      <c r="C448" s="137">
        <f t="shared" si="100"/>
        <v>0</v>
      </c>
      <c r="D448" s="138">
        <f t="shared" ref="D448:D456" si="101">IF(C447&lt;0.001,0,-IPMT(((1+$D$2/2)^(1/6)-1),B448,$D$3*12,$D$1))</f>
        <v>0</v>
      </c>
      <c r="E448" s="138">
        <f t="shared" si="99"/>
        <v>0</v>
      </c>
    </row>
    <row r="449" spans="2:5" x14ac:dyDescent="0.2">
      <c r="B449" s="136">
        <f>'Financement avec SCHL'!B449</f>
        <v>401</v>
      </c>
      <c r="C449" s="137">
        <f t="shared" si="100"/>
        <v>0</v>
      </c>
      <c r="D449" s="138">
        <f t="shared" si="101"/>
        <v>0</v>
      </c>
      <c r="E449" s="138">
        <f t="shared" si="99"/>
        <v>0</v>
      </c>
    </row>
    <row r="450" spans="2:5" x14ac:dyDescent="0.2">
      <c r="B450" s="136">
        <f>'Financement avec SCHL'!B450</f>
        <v>402</v>
      </c>
      <c r="C450" s="137">
        <f t="shared" si="100"/>
        <v>0</v>
      </c>
      <c r="D450" s="138">
        <f t="shared" si="101"/>
        <v>0</v>
      </c>
      <c r="E450" s="138">
        <f t="shared" si="99"/>
        <v>0</v>
      </c>
    </row>
    <row r="451" spans="2:5" x14ac:dyDescent="0.2">
      <c r="B451" s="136">
        <f>'Financement avec SCHL'!B451</f>
        <v>403</v>
      </c>
      <c r="C451" s="137">
        <f t="shared" si="100"/>
        <v>0</v>
      </c>
      <c r="D451" s="138">
        <f t="shared" si="101"/>
        <v>0</v>
      </c>
      <c r="E451" s="138">
        <f t="shared" si="99"/>
        <v>0</v>
      </c>
    </row>
    <row r="452" spans="2:5" x14ac:dyDescent="0.2">
      <c r="B452" s="136">
        <f>'Financement avec SCHL'!B452</f>
        <v>404</v>
      </c>
      <c r="C452" s="137">
        <f t="shared" si="100"/>
        <v>0</v>
      </c>
      <c r="D452" s="138">
        <f t="shared" si="101"/>
        <v>0</v>
      </c>
      <c r="E452" s="138">
        <f t="shared" si="99"/>
        <v>0</v>
      </c>
    </row>
    <row r="453" spans="2:5" x14ac:dyDescent="0.2">
      <c r="B453" s="136">
        <f>'Financement avec SCHL'!B453</f>
        <v>405</v>
      </c>
      <c r="C453" s="137">
        <f t="shared" si="100"/>
        <v>0</v>
      </c>
      <c r="D453" s="138">
        <f t="shared" si="101"/>
        <v>0</v>
      </c>
      <c r="E453" s="138">
        <f t="shared" si="99"/>
        <v>0</v>
      </c>
    </row>
    <row r="454" spans="2:5" x14ac:dyDescent="0.2">
      <c r="B454" s="136">
        <f>'Financement avec SCHL'!B454</f>
        <v>406</v>
      </c>
      <c r="C454" s="137">
        <f t="shared" si="100"/>
        <v>0</v>
      </c>
      <c r="D454" s="138">
        <f t="shared" si="101"/>
        <v>0</v>
      </c>
      <c r="E454" s="138">
        <f t="shared" si="99"/>
        <v>0</v>
      </c>
    </row>
    <row r="455" spans="2:5" x14ac:dyDescent="0.2">
      <c r="B455" s="136">
        <f>'Financement avec SCHL'!B455</f>
        <v>407</v>
      </c>
      <c r="C455" s="137">
        <f t="shared" si="100"/>
        <v>0</v>
      </c>
      <c r="D455" s="138">
        <f t="shared" si="101"/>
        <v>0</v>
      </c>
      <c r="E455" s="138">
        <f t="shared" si="99"/>
        <v>0</v>
      </c>
    </row>
    <row r="456" spans="2:5" x14ac:dyDescent="0.2">
      <c r="B456" s="136">
        <f>'Financement avec SCHL'!B456</f>
        <v>408</v>
      </c>
      <c r="C456" s="137">
        <f t="shared" si="100"/>
        <v>0</v>
      </c>
      <c r="D456" s="138">
        <f t="shared" si="101"/>
        <v>0</v>
      </c>
      <c r="E456" s="138">
        <f>IF($D$3*12&lt;=B456,C455,-PPMT(((1+$D$2/2)^(1/6)-1),B456,$D$3*12,$D$1))</f>
        <v>0</v>
      </c>
    </row>
    <row r="457" spans="2:5" ht="13.5" thickBot="1" x14ac:dyDescent="0.25">
      <c r="B457" s="139" t="str">
        <f>'Financement avec SCHL'!B457</f>
        <v>Total après 34 ans</v>
      </c>
      <c r="C457" s="142"/>
      <c r="D457" s="140">
        <f>SUM(D445:D456)</f>
        <v>0</v>
      </c>
      <c r="E457" s="140">
        <f>SUM(E445:E456)</f>
        <v>0</v>
      </c>
    </row>
    <row r="458" spans="2:5" x14ac:dyDescent="0.2">
      <c r="B458" s="136">
        <f>'Financement avec SCHL'!B458</f>
        <v>409</v>
      </c>
      <c r="C458" s="137">
        <f>IF(B458&gt;$D$3*12,0,C456-E458)</f>
        <v>0</v>
      </c>
      <c r="D458" s="138">
        <f>IF(C456&lt;0.001,0,-IPMT(((1+$D$2/2)^(1/6)-1),B458,$D$3*12,$D$1))</f>
        <v>0</v>
      </c>
      <c r="E458" s="138">
        <f>IF($D$3*12&lt;=B458,C456,-PPMT(((1+$D$2/2)^(1/6)-1),B458,$D$3*12,$D$1))</f>
        <v>0</v>
      </c>
    </row>
    <row r="459" spans="2:5" x14ac:dyDescent="0.2">
      <c r="B459" s="136">
        <f>'Financement avec SCHL'!B459</f>
        <v>410</v>
      </c>
      <c r="C459" s="137">
        <f>IF(B459&gt;$D$3*12,0,C458-E459)</f>
        <v>0</v>
      </c>
      <c r="D459" s="138">
        <f>IF(C458&lt;0.001,0,-IPMT(((1+$D$2/2)^(1/6)-1),B459,$D$3*12,$D$1))</f>
        <v>0</v>
      </c>
      <c r="E459" s="138">
        <f t="shared" ref="E459:E468" si="102">IF($D$3*12&lt;=B459,C458,-PPMT(((1+$D$2/2)^(1/6)-1),B459,$D$3*12,$D$1))</f>
        <v>0</v>
      </c>
    </row>
    <row r="460" spans="2:5" x14ac:dyDescent="0.2">
      <c r="B460" s="136">
        <f>'Financement avec SCHL'!B460</f>
        <v>411</v>
      </c>
      <c r="C460" s="137">
        <f t="shared" ref="C460:C469" si="103">IF(B460&gt;$D$3*12,0,C459-E460)</f>
        <v>0</v>
      </c>
      <c r="D460" s="138">
        <f>IF(C459&lt;0.001,0,-IPMT(((1+$D$2/2)^(1/6)-1),B460,$D$3*12,$D$1))</f>
        <v>0</v>
      </c>
      <c r="E460" s="138">
        <f t="shared" si="102"/>
        <v>0</v>
      </c>
    </row>
    <row r="461" spans="2:5" x14ac:dyDescent="0.2">
      <c r="B461" s="136">
        <f>'Financement avec SCHL'!B461</f>
        <v>412</v>
      </c>
      <c r="C461" s="137">
        <f t="shared" si="103"/>
        <v>0</v>
      </c>
      <c r="D461" s="138">
        <f t="shared" ref="D461:D469" si="104">IF(C460&lt;0.001,0,-IPMT(((1+$D$2/2)^(1/6)-1),B461,$D$3*12,$D$1))</f>
        <v>0</v>
      </c>
      <c r="E461" s="138">
        <f t="shared" si="102"/>
        <v>0</v>
      </c>
    </row>
    <row r="462" spans="2:5" x14ac:dyDescent="0.2">
      <c r="B462" s="136">
        <f>'Financement avec SCHL'!B462</f>
        <v>413</v>
      </c>
      <c r="C462" s="137">
        <f t="shared" si="103"/>
        <v>0</v>
      </c>
      <c r="D462" s="138">
        <f t="shared" si="104"/>
        <v>0</v>
      </c>
      <c r="E462" s="138">
        <f t="shared" si="102"/>
        <v>0</v>
      </c>
    </row>
    <row r="463" spans="2:5" x14ac:dyDescent="0.2">
      <c r="B463" s="136">
        <f>'Financement avec SCHL'!B463</f>
        <v>414</v>
      </c>
      <c r="C463" s="137">
        <f t="shared" si="103"/>
        <v>0</v>
      </c>
      <c r="D463" s="138">
        <f t="shared" si="104"/>
        <v>0</v>
      </c>
      <c r="E463" s="138">
        <f t="shared" si="102"/>
        <v>0</v>
      </c>
    </row>
    <row r="464" spans="2:5" x14ac:dyDescent="0.2">
      <c r="B464" s="136">
        <f>'Financement avec SCHL'!B464</f>
        <v>415</v>
      </c>
      <c r="C464" s="137">
        <f t="shared" si="103"/>
        <v>0</v>
      </c>
      <c r="D464" s="138">
        <f t="shared" si="104"/>
        <v>0</v>
      </c>
      <c r="E464" s="138">
        <f t="shared" si="102"/>
        <v>0</v>
      </c>
    </row>
    <row r="465" spans="2:5" x14ac:dyDescent="0.2">
      <c r="B465" s="136">
        <f>'Financement avec SCHL'!B465</f>
        <v>416</v>
      </c>
      <c r="C465" s="137">
        <f t="shared" si="103"/>
        <v>0</v>
      </c>
      <c r="D465" s="138">
        <f t="shared" si="104"/>
        <v>0</v>
      </c>
      <c r="E465" s="138">
        <f t="shared" si="102"/>
        <v>0</v>
      </c>
    </row>
    <row r="466" spans="2:5" x14ac:dyDescent="0.2">
      <c r="B466" s="136">
        <f>'Financement avec SCHL'!B466</f>
        <v>417</v>
      </c>
      <c r="C466" s="137">
        <f t="shared" si="103"/>
        <v>0</v>
      </c>
      <c r="D466" s="138">
        <f t="shared" si="104"/>
        <v>0</v>
      </c>
      <c r="E466" s="138">
        <f t="shared" si="102"/>
        <v>0</v>
      </c>
    </row>
    <row r="467" spans="2:5" x14ac:dyDescent="0.2">
      <c r="B467" s="136">
        <f>'Financement avec SCHL'!B467</f>
        <v>418</v>
      </c>
      <c r="C467" s="137">
        <f t="shared" si="103"/>
        <v>0</v>
      </c>
      <c r="D467" s="138">
        <f t="shared" si="104"/>
        <v>0</v>
      </c>
      <c r="E467" s="138">
        <f t="shared" si="102"/>
        <v>0</v>
      </c>
    </row>
    <row r="468" spans="2:5" x14ac:dyDescent="0.2">
      <c r="B468" s="136">
        <f>'Financement avec SCHL'!B468</f>
        <v>419</v>
      </c>
      <c r="C468" s="137">
        <f t="shared" si="103"/>
        <v>0</v>
      </c>
      <c r="D468" s="138">
        <f t="shared" si="104"/>
        <v>0</v>
      </c>
      <c r="E468" s="138">
        <f t="shared" si="102"/>
        <v>0</v>
      </c>
    </row>
    <row r="469" spans="2:5" x14ac:dyDescent="0.2">
      <c r="B469" s="136">
        <f>'Financement avec SCHL'!B469</f>
        <v>420</v>
      </c>
      <c r="C469" s="137">
        <f t="shared" si="103"/>
        <v>0</v>
      </c>
      <c r="D469" s="138">
        <f t="shared" si="104"/>
        <v>0</v>
      </c>
      <c r="E469" s="138">
        <f>IF($D$3*12&lt;=B469,C468,-PPMT(((1+$D$2/2)^(1/6)-1),B469,$D$3*12,$D$1))</f>
        <v>0</v>
      </c>
    </row>
    <row r="470" spans="2:5" ht="13.5" thickBot="1" x14ac:dyDescent="0.25">
      <c r="B470" s="139" t="str">
        <f>'Financement avec SCHL'!B470</f>
        <v>Total après 35 ans</v>
      </c>
      <c r="C470" s="142"/>
      <c r="D470" s="140">
        <f>SUM(D458:D469)</f>
        <v>0</v>
      </c>
      <c r="E470" s="140">
        <f>SUM(E458:E469)</f>
        <v>0</v>
      </c>
    </row>
    <row r="471" spans="2:5" x14ac:dyDescent="0.2">
      <c r="B471" s="136">
        <f>'Financement avec SCHL'!B471</f>
        <v>421</v>
      </c>
      <c r="C471" s="137">
        <f>IF(B471&gt;$D$3*12,0,C469-E471)</f>
        <v>0</v>
      </c>
      <c r="D471" s="138">
        <f>IF(C469&lt;0.001,0,-IPMT(((1+$D$2/2)^(1/6)-1),B471,$D$3*12,$D$1))</f>
        <v>0</v>
      </c>
      <c r="E471" s="138">
        <f>IF($D$3*12&lt;=B471,C469,-PPMT(((1+$D$2/2)^(1/6)-1),B471,$D$3*12,$D$1))</f>
        <v>0</v>
      </c>
    </row>
    <row r="472" spans="2:5" x14ac:dyDescent="0.2">
      <c r="B472" s="136">
        <f>'Financement avec SCHL'!B472</f>
        <v>422</v>
      </c>
      <c r="C472" s="137">
        <f>IF(B472&gt;$D$3*12,0,C471-E472)</f>
        <v>0</v>
      </c>
      <c r="D472" s="138">
        <f>IF(C471&lt;0.001,0,-IPMT(((1+$D$2/2)^(1/6)-1),B472,$D$3*12,$D$1))</f>
        <v>0</v>
      </c>
      <c r="E472" s="138">
        <f t="shared" ref="E472:E481" si="105">IF($D$3*12&lt;=B472,C471,-PPMT(((1+$D$2/2)^(1/6)-1),B472,$D$3*12,$D$1))</f>
        <v>0</v>
      </c>
    </row>
    <row r="473" spans="2:5" x14ac:dyDescent="0.2">
      <c r="B473" s="136">
        <f>'Financement avec SCHL'!B473</f>
        <v>423</v>
      </c>
      <c r="C473" s="137">
        <f t="shared" ref="C473:C482" si="106">IF(B473&gt;$D$3*12,0,C472-E473)</f>
        <v>0</v>
      </c>
      <c r="D473" s="138">
        <f>IF(C472&lt;0.001,0,-IPMT(((1+$D$2/2)^(1/6)-1),B473,$D$3*12,$D$1))</f>
        <v>0</v>
      </c>
      <c r="E473" s="138">
        <f t="shared" si="105"/>
        <v>0</v>
      </c>
    </row>
    <row r="474" spans="2:5" x14ac:dyDescent="0.2">
      <c r="B474" s="136">
        <f>'Financement avec SCHL'!B474</f>
        <v>424</v>
      </c>
      <c r="C474" s="137">
        <f t="shared" si="106"/>
        <v>0</v>
      </c>
      <c r="D474" s="138">
        <f t="shared" ref="D474:D482" si="107">IF(C473&lt;0.001,0,-IPMT(((1+$D$2/2)^(1/6)-1),B474,$D$3*12,$D$1))</f>
        <v>0</v>
      </c>
      <c r="E474" s="138">
        <f t="shared" si="105"/>
        <v>0</v>
      </c>
    </row>
    <row r="475" spans="2:5" x14ac:dyDescent="0.2">
      <c r="B475" s="136">
        <f>'Financement avec SCHL'!B475</f>
        <v>425</v>
      </c>
      <c r="C475" s="137">
        <f t="shared" si="106"/>
        <v>0</v>
      </c>
      <c r="D475" s="138">
        <f t="shared" si="107"/>
        <v>0</v>
      </c>
      <c r="E475" s="138">
        <f t="shared" si="105"/>
        <v>0</v>
      </c>
    </row>
    <row r="476" spans="2:5" x14ac:dyDescent="0.2">
      <c r="B476" s="136">
        <f>'Financement avec SCHL'!B476</f>
        <v>426</v>
      </c>
      <c r="C476" s="137">
        <f t="shared" si="106"/>
        <v>0</v>
      </c>
      <c r="D476" s="138">
        <f t="shared" si="107"/>
        <v>0</v>
      </c>
      <c r="E476" s="138">
        <f t="shared" si="105"/>
        <v>0</v>
      </c>
    </row>
    <row r="477" spans="2:5" x14ac:dyDescent="0.2">
      <c r="B477" s="136">
        <f>'Financement avec SCHL'!B477</f>
        <v>427</v>
      </c>
      <c r="C477" s="137">
        <f t="shared" si="106"/>
        <v>0</v>
      </c>
      <c r="D477" s="138">
        <f t="shared" si="107"/>
        <v>0</v>
      </c>
      <c r="E477" s="138">
        <f t="shared" si="105"/>
        <v>0</v>
      </c>
    </row>
    <row r="478" spans="2:5" x14ac:dyDescent="0.2">
      <c r="B478" s="136">
        <f>'Financement avec SCHL'!B478</f>
        <v>428</v>
      </c>
      <c r="C478" s="137">
        <f t="shared" si="106"/>
        <v>0</v>
      </c>
      <c r="D478" s="138">
        <f t="shared" si="107"/>
        <v>0</v>
      </c>
      <c r="E478" s="138">
        <f t="shared" si="105"/>
        <v>0</v>
      </c>
    </row>
    <row r="479" spans="2:5" x14ac:dyDescent="0.2">
      <c r="B479" s="136">
        <f>'Financement avec SCHL'!B479</f>
        <v>429</v>
      </c>
      <c r="C479" s="137">
        <f t="shared" si="106"/>
        <v>0</v>
      </c>
      <c r="D479" s="138">
        <f t="shared" si="107"/>
        <v>0</v>
      </c>
      <c r="E479" s="138">
        <f t="shared" si="105"/>
        <v>0</v>
      </c>
    </row>
    <row r="480" spans="2:5" x14ac:dyDescent="0.2">
      <c r="B480" s="136">
        <f>'Financement avec SCHL'!B480</f>
        <v>430</v>
      </c>
      <c r="C480" s="137">
        <f t="shared" si="106"/>
        <v>0</v>
      </c>
      <c r="D480" s="138">
        <f t="shared" si="107"/>
        <v>0</v>
      </c>
      <c r="E480" s="138">
        <f t="shared" si="105"/>
        <v>0</v>
      </c>
    </row>
    <row r="481" spans="2:5" x14ac:dyDescent="0.2">
      <c r="B481" s="136">
        <f>'Financement avec SCHL'!B481</f>
        <v>431</v>
      </c>
      <c r="C481" s="137">
        <f t="shared" si="106"/>
        <v>0</v>
      </c>
      <c r="D481" s="138">
        <f t="shared" si="107"/>
        <v>0</v>
      </c>
      <c r="E481" s="138">
        <f t="shared" si="105"/>
        <v>0</v>
      </c>
    </row>
    <row r="482" spans="2:5" x14ac:dyDescent="0.2">
      <c r="B482" s="136">
        <f>'Financement avec SCHL'!B482</f>
        <v>432</v>
      </c>
      <c r="C482" s="137">
        <f t="shared" si="106"/>
        <v>0</v>
      </c>
      <c r="D482" s="138">
        <f t="shared" si="107"/>
        <v>0</v>
      </c>
      <c r="E482" s="138">
        <f>IF($D$3*12&lt;=B482,C481,-PPMT(((1+$D$2/2)^(1/6)-1),B482,$D$3*12,$D$1))</f>
        <v>0</v>
      </c>
    </row>
    <row r="483" spans="2:5" ht="13.5" thickBot="1" x14ac:dyDescent="0.25">
      <c r="B483" s="139" t="str">
        <f>'Financement avec SCHL'!B483</f>
        <v>Total après 36 ans</v>
      </c>
      <c r="C483" s="142"/>
      <c r="D483" s="140">
        <f>SUM(D471:D482)</f>
        <v>0</v>
      </c>
      <c r="E483" s="140">
        <f>SUM(E471:E482)</f>
        <v>0</v>
      </c>
    </row>
    <row r="484" spans="2:5" x14ac:dyDescent="0.2">
      <c r="B484" s="136">
        <f>'Financement avec SCHL'!B484</f>
        <v>433</v>
      </c>
      <c r="C484" s="137">
        <f>IF(B484&gt;$D$3*12,0,C482-E484)</f>
        <v>0</v>
      </c>
      <c r="D484" s="138">
        <f>IF(C482&lt;0.001,0,-IPMT(((1+$D$2/2)^(1/6)-1),B484,$D$3*12,$D$1))</f>
        <v>0</v>
      </c>
      <c r="E484" s="138">
        <f>IF($D$3*12&lt;=B484,C482,-PPMT(((1+$D$2/2)^(1/6)-1),B484,$D$3*12,$D$1))</f>
        <v>0</v>
      </c>
    </row>
    <row r="485" spans="2:5" x14ac:dyDescent="0.2">
      <c r="B485" s="136">
        <f>'Financement avec SCHL'!B485</f>
        <v>434</v>
      </c>
      <c r="C485" s="137">
        <f>IF(B485&gt;$D$3*12,0,C484-E485)</f>
        <v>0</v>
      </c>
      <c r="D485" s="138">
        <f>IF(C484&lt;0.001,0,-IPMT(((1+$D$2/2)^(1/6)-1),B485,$D$3*12,$D$1))</f>
        <v>0</v>
      </c>
      <c r="E485" s="138">
        <f t="shared" ref="E485:E494" si="108">IF($D$3*12&lt;=B485,C484,-PPMT(((1+$D$2/2)^(1/6)-1),B485,$D$3*12,$D$1))</f>
        <v>0</v>
      </c>
    </row>
    <row r="486" spans="2:5" x14ac:dyDescent="0.2">
      <c r="B486" s="136">
        <f>'Financement avec SCHL'!B486</f>
        <v>435</v>
      </c>
      <c r="C486" s="137">
        <f t="shared" ref="C486:C495" si="109">IF(B486&gt;$D$3*12,0,C485-E486)</f>
        <v>0</v>
      </c>
      <c r="D486" s="138">
        <f>IF(C485&lt;0.001,0,-IPMT(((1+$D$2/2)^(1/6)-1),B486,$D$3*12,$D$1))</f>
        <v>0</v>
      </c>
      <c r="E486" s="138">
        <f t="shared" si="108"/>
        <v>0</v>
      </c>
    </row>
    <row r="487" spans="2:5" x14ac:dyDescent="0.2">
      <c r="B487" s="136">
        <f>'Financement avec SCHL'!B487</f>
        <v>436</v>
      </c>
      <c r="C487" s="137">
        <f t="shared" si="109"/>
        <v>0</v>
      </c>
      <c r="D487" s="138">
        <f t="shared" ref="D487:D495" si="110">IF(C486&lt;0.001,0,-IPMT(((1+$D$2/2)^(1/6)-1),B487,$D$3*12,$D$1))</f>
        <v>0</v>
      </c>
      <c r="E487" s="138">
        <f t="shared" si="108"/>
        <v>0</v>
      </c>
    </row>
    <row r="488" spans="2:5" x14ac:dyDescent="0.2">
      <c r="B488" s="136">
        <f>'Financement avec SCHL'!B488</f>
        <v>437</v>
      </c>
      <c r="C488" s="137">
        <f t="shared" si="109"/>
        <v>0</v>
      </c>
      <c r="D488" s="138">
        <f t="shared" si="110"/>
        <v>0</v>
      </c>
      <c r="E488" s="138">
        <f t="shared" si="108"/>
        <v>0</v>
      </c>
    </row>
    <row r="489" spans="2:5" x14ac:dyDescent="0.2">
      <c r="B489" s="136">
        <f>'Financement avec SCHL'!B489</f>
        <v>438</v>
      </c>
      <c r="C489" s="137">
        <f t="shared" si="109"/>
        <v>0</v>
      </c>
      <c r="D489" s="138">
        <f t="shared" si="110"/>
        <v>0</v>
      </c>
      <c r="E489" s="138">
        <f t="shared" si="108"/>
        <v>0</v>
      </c>
    </row>
    <row r="490" spans="2:5" x14ac:dyDescent="0.2">
      <c r="B490" s="136">
        <f>'Financement avec SCHL'!B490</f>
        <v>439</v>
      </c>
      <c r="C490" s="137">
        <f t="shared" si="109"/>
        <v>0</v>
      </c>
      <c r="D490" s="138">
        <f t="shared" si="110"/>
        <v>0</v>
      </c>
      <c r="E490" s="138">
        <f t="shared" si="108"/>
        <v>0</v>
      </c>
    </row>
    <row r="491" spans="2:5" x14ac:dyDescent="0.2">
      <c r="B491" s="136">
        <f>'Financement avec SCHL'!B491</f>
        <v>440</v>
      </c>
      <c r="C491" s="137">
        <f t="shared" si="109"/>
        <v>0</v>
      </c>
      <c r="D491" s="138">
        <f t="shared" si="110"/>
        <v>0</v>
      </c>
      <c r="E491" s="138">
        <f t="shared" si="108"/>
        <v>0</v>
      </c>
    </row>
    <row r="492" spans="2:5" x14ac:dyDescent="0.2">
      <c r="B492" s="136">
        <f>'Financement avec SCHL'!B492</f>
        <v>441</v>
      </c>
      <c r="C492" s="137">
        <f t="shared" si="109"/>
        <v>0</v>
      </c>
      <c r="D492" s="138">
        <f t="shared" si="110"/>
        <v>0</v>
      </c>
      <c r="E492" s="138">
        <f t="shared" si="108"/>
        <v>0</v>
      </c>
    </row>
    <row r="493" spans="2:5" x14ac:dyDescent="0.2">
      <c r="B493" s="136">
        <f>'Financement avec SCHL'!B493</f>
        <v>442</v>
      </c>
      <c r="C493" s="137">
        <f t="shared" si="109"/>
        <v>0</v>
      </c>
      <c r="D493" s="138">
        <f t="shared" si="110"/>
        <v>0</v>
      </c>
      <c r="E493" s="138">
        <f t="shared" si="108"/>
        <v>0</v>
      </c>
    </row>
    <row r="494" spans="2:5" x14ac:dyDescent="0.2">
      <c r="B494" s="136">
        <f>'Financement avec SCHL'!B494</f>
        <v>443</v>
      </c>
      <c r="C494" s="137">
        <f t="shared" si="109"/>
        <v>0</v>
      </c>
      <c r="D494" s="138">
        <f t="shared" si="110"/>
        <v>0</v>
      </c>
      <c r="E494" s="138">
        <f t="shared" si="108"/>
        <v>0</v>
      </c>
    </row>
    <row r="495" spans="2:5" x14ac:dyDescent="0.2">
      <c r="B495" s="136">
        <f>'Financement avec SCHL'!B495</f>
        <v>444</v>
      </c>
      <c r="C495" s="137">
        <f t="shared" si="109"/>
        <v>0</v>
      </c>
      <c r="D495" s="138">
        <f t="shared" si="110"/>
        <v>0</v>
      </c>
      <c r="E495" s="138">
        <f>IF($D$3*12&lt;=B495,C494,-PPMT(((1+$D$2/2)^(1/6)-1),B495,$D$3*12,$D$1))</f>
        <v>0</v>
      </c>
    </row>
    <row r="496" spans="2:5" ht="13.5" thickBot="1" x14ac:dyDescent="0.25">
      <c r="B496" s="139" t="str">
        <f>'Financement avec SCHL'!B496</f>
        <v>Total après 37 ans</v>
      </c>
      <c r="C496" s="142"/>
      <c r="D496" s="140">
        <f>SUM(D484:D495)</f>
        <v>0</v>
      </c>
      <c r="E496" s="140">
        <f>SUM(E484:E495)</f>
        <v>0</v>
      </c>
    </row>
    <row r="497" spans="2:5" x14ac:dyDescent="0.2">
      <c r="B497" s="136">
        <f>'Financement avec SCHL'!B497</f>
        <v>445</v>
      </c>
      <c r="C497" s="137">
        <f>IF(B497&gt;$D$3*12,0,C495-E497)</f>
        <v>0</v>
      </c>
      <c r="D497" s="138">
        <f>IF(C495&lt;0.001,0,-IPMT(((1+$D$2/2)^(1/6)-1),B497,$D$3*12,$D$1))</f>
        <v>0</v>
      </c>
      <c r="E497" s="138">
        <f>IF($D$3*12&lt;=B497,C495,-PPMT(((1+$D$2/2)^(1/6)-1),B497,$D$3*12,$D$1))</f>
        <v>0</v>
      </c>
    </row>
    <row r="498" spans="2:5" x14ac:dyDescent="0.2">
      <c r="B498" s="136">
        <f>'Financement avec SCHL'!B498</f>
        <v>446</v>
      </c>
      <c r="C498" s="137">
        <f>IF(B498&gt;$D$3*12,0,C497-E498)</f>
        <v>0</v>
      </c>
      <c r="D498" s="138">
        <f>IF(C497&lt;0.001,0,-IPMT(((1+$D$2/2)^(1/6)-1),B498,$D$3*12,$D$1))</f>
        <v>0</v>
      </c>
      <c r="E498" s="138">
        <f t="shared" ref="E498:E507" si="111">IF($D$3*12&lt;=B498,C497,-PPMT(((1+$D$2/2)^(1/6)-1),B498,$D$3*12,$D$1))</f>
        <v>0</v>
      </c>
    </row>
    <row r="499" spans="2:5" x14ac:dyDescent="0.2">
      <c r="B499" s="136">
        <f>'Financement avec SCHL'!B499</f>
        <v>447</v>
      </c>
      <c r="C499" s="137">
        <f t="shared" ref="C499:C508" si="112">IF(B499&gt;$D$3*12,0,C498-E499)</f>
        <v>0</v>
      </c>
      <c r="D499" s="138">
        <f>IF(C498&lt;0.001,0,-IPMT(((1+$D$2/2)^(1/6)-1),B499,$D$3*12,$D$1))</f>
        <v>0</v>
      </c>
      <c r="E499" s="138">
        <f t="shared" si="111"/>
        <v>0</v>
      </c>
    </row>
    <row r="500" spans="2:5" x14ac:dyDescent="0.2">
      <c r="B500" s="136">
        <f>'Financement avec SCHL'!B500</f>
        <v>448</v>
      </c>
      <c r="C500" s="137">
        <f t="shared" si="112"/>
        <v>0</v>
      </c>
      <c r="D500" s="138">
        <f t="shared" ref="D500:D508" si="113">IF(C499&lt;0.001,0,-IPMT(((1+$D$2/2)^(1/6)-1),B500,$D$3*12,$D$1))</f>
        <v>0</v>
      </c>
      <c r="E500" s="138">
        <f t="shared" si="111"/>
        <v>0</v>
      </c>
    </row>
    <row r="501" spans="2:5" x14ac:dyDescent="0.2">
      <c r="B501" s="136">
        <f>'Financement avec SCHL'!B501</f>
        <v>449</v>
      </c>
      <c r="C501" s="137">
        <f t="shared" si="112"/>
        <v>0</v>
      </c>
      <c r="D501" s="138">
        <f t="shared" si="113"/>
        <v>0</v>
      </c>
      <c r="E501" s="138">
        <f t="shared" si="111"/>
        <v>0</v>
      </c>
    </row>
    <row r="502" spans="2:5" x14ac:dyDescent="0.2">
      <c r="B502" s="136">
        <f>'Financement avec SCHL'!B502</f>
        <v>450</v>
      </c>
      <c r="C502" s="137">
        <f t="shared" si="112"/>
        <v>0</v>
      </c>
      <c r="D502" s="138">
        <f t="shared" si="113"/>
        <v>0</v>
      </c>
      <c r="E502" s="138">
        <f t="shared" si="111"/>
        <v>0</v>
      </c>
    </row>
    <row r="503" spans="2:5" x14ac:dyDescent="0.2">
      <c r="B503" s="136">
        <f>'Financement avec SCHL'!B503</f>
        <v>451</v>
      </c>
      <c r="C503" s="137">
        <f t="shared" si="112"/>
        <v>0</v>
      </c>
      <c r="D503" s="138">
        <f t="shared" si="113"/>
        <v>0</v>
      </c>
      <c r="E503" s="138">
        <f t="shared" si="111"/>
        <v>0</v>
      </c>
    </row>
    <row r="504" spans="2:5" x14ac:dyDescent="0.2">
      <c r="B504" s="136">
        <f>'Financement avec SCHL'!B504</f>
        <v>452</v>
      </c>
      <c r="C504" s="137">
        <f t="shared" si="112"/>
        <v>0</v>
      </c>
      <c r="D504" s="138">
        <f t="shared" si="113"/>
        <v>0</v>
      </c>
      <c r="E504" s="138">
        <f t="shared" si="111"/>
        <v>0</v>
      </c>
    </row>
    <row r="505" spans="2:5" x14ac:dyDescent="0.2">
      <c r="B505" s="136">
        <f>'Financement avec SCHL'!B505</f>
        <v>453</v>
      </c>
      <c r="C505" s="137">
        <f t="shared" si="112"/>
        <v>0</v>
      </c>
      <c r="D505" s="138">
        <f t="shared" si="113"/>
        <v>0</v>
      </c>
      <c r="E505" s="138">
        <f t="shared" si="111"/>
        <v>0</v>
      </c>
    </row>
    <row r="506" spans="2:5" x14ac:dyDescent="0.2">
      <c r="B506" s="136">
        <f>'Financement avec SCHL'!B506</f>
        <v>454</v>
      </c>
      <c r="C506" s="137">
        <f t="shared" si="112"/>
        <v>0</v>
      </c>
      <c r="D506" s="138">
        <f t="shared" si="113"/>
        <v>0</v>
      </c>
      <c r="E506" s="138">
        <f t="shared" si="111"/>
        <v>0</v>
      </c>
    </row>
    <row r="507" spans="2:5" x14ac:dyDescent="0.2">
      <c r="B507" s="136">
        <f>'Financement avec SCHL'!B507</f>
        <v>455</v>
      </c>
      <c r="C507" s="137">
        <f t="shared" si="112"/>
        <v>0</v>
      </c>
      <c r="D507" s="138">
        <f t="shared" si="113"/>
        <v>0</v>
      </c>
      <c r="E507" s="138">
        <f t="shared" si="111"/>
        <v>0</v>
      </c>
    </row>
    <row r="508" spans="2:5" x14ac:dyDescent="0.2">
      <c r="B508" s="136">
        <f>'Financement avec SCHL'!B508</f>
        <v>456</v>
      </c>
      <c r="C508" s="137">
        <f t="shared" si="112"/>
        <v>0</v>
      </c>
      <c r="D508" s="138">
        <f t="shared" si="113"/>
        <v>0</v>
      </c>
      <c r="E508" s="138">
        <f>IF($D$3*12&lt;=B508,C507,-PPMT(((1+$D$2/2)^(1/6)-1),B508,$D$3*12,$D$1))</f>
        <v>0</v>
      </c>
    </row>
    <row r="509" spans="2:5" ht="13.5" thickBot="1" x14ac:dyDescent="0.25">
      <c r="B509" s="139" t="str">
        <f>'Financement avec SCHL'!B509</f>
        <v>Total après 38 ans</v>
      </c>
      <c r="C509" s="142"/>
      <c r="D509" s="140">
        <f>SUM(D497:D508)</f>
        <v>0</v>
      </c>
      <c r="E509" s="140">
        <f>SUM(E497:E508)</f>
        <v>0</v>
      </c>
    </row>
    <row r="510" spans="2:5" x14ac:dyDescent="0.2">
      <c r="B510" s="136">
        <f>'Financement avec SCHL'!B510</f>
        <v>457</v>
      </c>
      <c r="C510" s="137">
        <f>IF(B510&gt;$D$3*12,0,C508-E510)</f>
        <v>0</v>
      </c>
      <c r="D510" s="138">
        <f>IF(C508&lt;0.001,0,-IPMT(((1+$D$2/2)^(1/6)-1),B510,$D$3*12,$D$1))</f>
        <v>0</v>
      </c>
      <c r="E510" s="138">
        <f>IF($D$3*12&lt;=B510,C508,-PPMT(((1+$D$2/2)^(1/6)-1),B510,$D$3*12,$D$1))</f>
        <v>0</v>
      </c>
    </row>
    <row r="511" spans="2:5" x14ac:dyDescent="0.2">
      <c r="B511" s="136">
        <f>'Financement avec SCHL'!B511</f>
        <v>458</v>
      </c>
      <c r="C511" s="137">
        <f>IF(B511&gt;$D$3*12,0,C510-E511)</f>
        <v>0</v>
      </c>
      <c r="D511" s="138">
        <f>IF(C510&lt;0.001,0,-IPMT(((1+$D$2/2)^(1/6)-1),B511,$D$3*12,$D$1))</f>
        <v>0</v>
      </c>
      <c r="E511" s="138">
        <f t="shared" ref="E511:E520" si="114">IF($D$3*12&lt;=B511,C510,-PPMT(((1+$D$2/2)^(1/6)-1),B511,$D$3*12,$D$1))</f>
        <v>0</v>
      </c>
    </row>
    <row r="512" spans="2:5" x14ac:dyDescent="0.2">
      <c r="B512" s="136">
        <f>'Financement avec SCHL'!B512</f>
        <v>459</v>
      </c>
      <c r="C512" s="137">
        <f t="shared" ref="C512:C521" si="115">IF(B512&gt;$D$3*12,0,C511-E512)</f>
        <v>0</v>
      </c>
      <c r="D512" s="138">
        <f>IF(C511&lt;0.001,0,-IPMT(((1+$D$2/2)^(1/6)-1),B512,$D$3*12,$D$1))</f>
        <v>0</v>
      </c>
      <c r="E512" s="138">
        <f t="shared" si="114"/>
        <v>0</v>
      </c>
    </row>
    <row r="513" spans="2:5" x14ac:dyDescent="0.2">
      <c r="B513" s="136">
        <f>'Financement avec SCHL'!B513</f>
        <v>460</v>
      </c>
      <c r="C513" s="137">
        <f t="shared" si="115"/>
        <v>0</v>
      </c>
      <c r="D513" s="138">
        <f t="shared" ref="D513:D521" si="116">IF(C512&lt;0.001,0,-IPMT(((1+$D$2/2)^(1/6)-1),B513,$D$3*12,$D$1))</f>
        <v>0</v>
      </c>
      <c r="E513" s="138">
        <f t="shared" si="114"/>
        <v>0</v>
      </c>
    </row>
    <row r="514" spans="2:5" x14ac:dyDescent="0.2">
      <c r="B514" s="136">
        <f>'Financement avec SCHL'!B514</f>
        <v>461</v>
      </c>
      <c r="C514" s="137">
        <f t="shared" si="115"/>
        <v>0</v>
      </c>
      <c r="D514" s="138">
        <f t="shared" si="116"/>
        <v>0</v>
      </c>
      <c r="E514" s="138">
        <f t="shared" si="114"/>
        <v>0</v>
      </c>
    </row>
    <row r="515" spans="2:5" x14ac:dyDescent="0.2">
      <c r="B515" s="136">
        <f>'Financement avec SCHL'!B515</f>
        <v>462</v>
      </c>
      <c r="C515" s="137">
        <f t="shared" si="115"/>
        <v>0</v>
      </c>
      <c r="D515" s="138">
        <f t="shared" si="116"/>
        <v>0</v>
      </c>
      <c r="E515" s="138">
        <f t="shared" si="114"/>
        <v>0</v>
      </c>
    </row>
    <row r="516" spans="2:5" x14ac:dyDescent="0.2">
      <c r="B516" s="136">
        <f>'Financement avec SCHL'!B516</f>
        <v>463</v>
      </c>
      <c r="C516" s="137">
        <f t="shared" si="115"/>
        <v>0</v>
      </c>
      <c r="D516" s="138">
        <f t="shared" si="116"/>
        <v>0</v>
      </c>
      <c r="E516" s="138">
        <f t="shared" si="114"/>
        <v>0</v>
      </c>
    </row>
    <row r="517" spans="2:5" x14ac:dyDescent="0.2">
      <c r="B517" s="136">
        <f>'Financement avec SCHL'!B517</f>
        <v>464</v>
      </c>
      <c r="C517" s="137">
        <f t="shared" si="115"/>
        <v>0</v>
      </c>
      <c r="D517" s="138">
        <f t="shared" si="116"/>
        <v>0</v>
      </c>
      <c r="E517" s="138">
        <f t="shared" si="114"/>
        <v>0</v>
      </c>
    </row>
    <row r="518" spans="2:5" x14ac:dyDescent="0.2">
      <c r="B518" s="136">
        <f>'Financement avec SCHL'!B518</f>
        <v>465</v>
      </c>
      <c r="C518" s="137">
        <f t="shared" si="115"/>
        <v>0</v>
      </c>
      <c r="D518" s="138">
        <f t="shared" si="116"/>
        <v>0</v>
      </c>
      <c r="E518" s="138">
        <f t="shared" si="114"/>
        <v>0</v>
      </c>
    </row>
    <row r="519" spans="2:5" x14ac:dyDescent="0.2">
      <c r="B519" s="136">
        <f>'Financement avec SCHL'!B519</f>
        <v>466</v>
      </c>
      <c r="C519" s="137">
        <f t="shared" si="115"/>
        <v>0</v>
      </c>
      <c r="D519" s="138">
        <f t="shared" si="116"/>
        <v>0</v>
      </c>
      <c r="E519" s="138">
        <f t="shared" si="114"/>
        <v>0</v>
      </c>
    </row>
    <row r="520" spans="2:5" x14ac:dyDescent="0.2">
      <c r="B520" s="136">
        <f>'Financement avec SCHL'!B520</f>
        <v>467</v>
      </c>
      <c r="C520" s="137">
        <f t="shared" si="115"/>
        <v>0</v>
      </c>
      <c r="D520" s="138">
        <f t="shared" si="116"/>
        <v>0</v>
      </c>
      <c r="E520" s="138">
        <f t="shared" si="114"/>
        <v>0</v>
      </c>
    </row>
    <row r="521" spans="2:5" x14ac:dyDescent="0.2">
      <c r="B521" s="136">
        <f>'Financement avec SCHL'!B521</f>
        <v>468</v>
      </c>
      <c r="C521" s="137">
        <f t="shared" si="115"/>
        <v>0</v>
      </c>
      <c r="D521" s="138">
        <f t="shared" si="116"/>
        <v>0</v>
      </c>
      <c r="E521" s="138">
        <f>IF($D$3*12&lt;=B521,C520,-PPMT(((1+$D$2/2)^(1/6)-1),B521,$D$3*12,$D$1))</f>
        <v>0</v>
      </c>
    </row>
    <row r="522" spans="2:5" ht="13.5" thickBot="1" x14ac:dyDescent="0.25">
      <c r="B522" s="139" t="str">
        <f>'Financement avec SCHL'!B522</f>
        <v>Total après 39 ans</v>
      </c>
      <c r="C522" s="142"/>
      <c r="D522" s="140">
        <f>SUM(D510:D521)</f>
        <v>0</v>
      </c>
      <c r="E522" s="140">
        <f>SUM(E510:E521)</f>
        <v>0</v>
      </c>
    </row>
    <row r="523" spans="2:5" x14ac:dyDescent="0.2">
      <c r="B523" s="136">
        <f>'Financement avec SCHL'!B523</f>
        <v>469</v>
      </c>
      <c r="C523" s="137">
        <f>IF(B523&gt;$D$3*12,0,C521-E523)</f>
        <v>0</v>
      </c>
      <c r="D523" s="138">
        <f>IF(C521&lt;0.001,0,-IPMT(((1+$D$2/2)^(1/6)-1),B523,$D$3*12,$D$1))</f>
        <v>0</v>
      </c>
      <c r="E523" s="138">
        <f>IF($D$3*12&lt;=B523,C521,-PPMT(((1+$D$2/2)^(1/6)-1),B523,$D$3*12,$D$1))</f>
        <v>0</v>
      </c>
    </row>
    <row r="524" spans="2:5" x14ac:dyDescent="0.2">
      <c r="B524" s="136">
        <f>'Financement avec SCHL'!B524</f>
        <v>470</v>
      </c>
      <c r="C524" s="137">
        <f>IF(B524&gt;$D$3*12,0,C523-E524)</f>
        <v>0</v>
      </c>
      <c r="D524" s="138">
        <f>IF(C523&lt;0.001,0,-IPMT(((1+$D$2/2)^(1/6)-1),B524,$D$3*12,$D$1))</f>
        <v>0</v>
      </c>
      <c r="E524" s="138">
        <f t="shared" ref="E524:E533" si="117">IF($D$3*12&lt;=B524,C523,-PPMT(((1+$D$2/2)^(1/6)-1),B524,$D$3*12,$D$1))</f>
        <v>0</v>
      </c>
    </row>
    <row r="525" spans="2:5" x14ac:dyDescent="0.2">
      <c r="B525" s="136">
        <f>'Financement avec SCHL'!B525</f>
        <v>471</v>
      </c>
      <c r="C525" s="137">
        <f t="shared" ref="C525:C534" si="118">IF(B525&gt;$D$3*12,0,C524-E525)</f>
        <v>0</v>
      </c>
      <c r="D525" s="138">
        <f>IF(C524&lt;0.001,0,-IPMT(((1+$D$2/2)^(1/6)-1),B525,$D$3*12,$D$1))</f>
        <v>0</v>
      </c>
      <c r="E525" s="138">
        <f t="shared" si="117"/>
        <v>0</v>
      </c>
    </row>
    <row r="526" spans="2:5" x14ac:dyDescent="0.2">
      <c r="B526" s="136">
        <f>'Financement avec SCHL'!B526</f>
        <v>472</v>
      </c>
      <c r="C526" s="137">
        <f t="shared" si="118"/>
        <v>0</v>
      </c>
      <c r="D526" s="138">
        <f t="shared" ref="D526:D534" si="119">IF(C525&lt;0.001,0,-IPMT(((1+$D$2/2)^(1/6)-1),B526,$D$3*12,$D$1))</f>
        <v>0</v>
      </c>
      <c r="E526" s="138">
        <f t="shared" si="117"/>
        <v>0</v>
      </c>
    </row>
    <row r="527" spans="2:5" x14ac:dyDescent="0.2">
      <c r="B527" s="136">
        <f>'Financement avec SCHL'!B527</f>
        <v>473</v>
      </c>
      <c r="C527" s="137">
        <f t="shared" si="118"/>
        <v>0</v>
      </c>
      <c r="D527" s="138">
        <f t="shared" si="119"/>
        <v>0</v>
      </c>
      <c r="E527" s="138">
        <f t="shared" si="117"/>
        <v>0</v>
      </c>
    </row>
    <row r="528" spans="2:5" x14ac:dyDescent="0.2">
      <c r="B528" s="136">
        <f>'Financement avec SCHL'!B528</f>
        <v>474</v>
      </c>
      <c r="C528" s="137">
        <f t="shared" si="118"/>
        <v>0</v>
      </c>
      <c r="D528" s="138">
        <f t="shared" si="119"/>
        <v>0</v>
      </c>
      <c r="E528" s="138">
        <f t="shared" si="117"/>
        <v>0</v>
      </c>
    </row>
    <row r="529" spans="2:5" x14ac:dyDescent="0.2">
      <c r="B529" s="136">
        <f>'Financement avec SCHL'!B529</f>
        <v>475</v>
      </c>
      <c r="C529" s="137">
        <f t="shared" si="118"/>
        <v>0</v>
      </c>
      <c r="D529" s="138">
        <f t="shared" si="119"/>
        <v>0</v>
      </c>
      <c r="E529" s="138">
        <f t="shared" si="117"/>
        <v>0</v>
      </c>
    </row>
    <row r="530" spans="2:5" x14ac:dyDescent="0.2">
      <c r="B530" s="136">
        <f>'Financement avec SCHL'!B530</f>
        <v>476</v>
      </c>
      <c r="C530" s="137">
        <f t="shared" si="118"/>
        <v>0</v>
      </c>
      <c r="D530" s="138">
        <f t="shared" si="119"/>
        <v>0</v>
      </c>
      <c r="E530" s="138">
        <f t="shared" si="117"/>
        <v>0</v>
      </c>
    </row>
    <row r="531" spans="2:5" x14ac:dyDescent="0.2">
      <c r="B531" s="136">
        <f>'Financement avec SCHL'!B531</f>
        <v>477</v>
      </c>
      <c r="C531" s="137">
        <f t="shared" si="118"/>
        <v>0</v>
      </c>
      <c r="D531" s="138">
        <f t="shared" si="119"/>
        <v>0</v>
      </c>
      <c r="E531" s="138">
        <f t="shared" si="117"/>
        <v>0</v>
      </c>
    </row>
    <row r="532" spans="2:5" x14ac:dyDescent="0.2">
      <c r="B532" s="136">
        <f>'Financement avec SCHL'!B532</f>
        <v>478</v>
      </c>
      <c r="C532" s="137">
        <f t="shared" si="118"/>
        <v>0</v>
      </c>
      <c r="D532" s="138">
        <f t="shared" si="119"/>
        <v>0</v>
      </c>
      <c r="E532" s="138">
        <f t="shared" si="117"/>
        <v>0</v>
      </c>
    </row>
    <row r="533" spans="2:5" x14ac:dyDescent="0.2">
      <c r="B533" s="136">
        <f>'Financement avec SCHL'!B533</f>
        <v>479</v>
      </c>
      <c r="C533" s="137">
        <f t="shared" si="118"/>
        <v>0</v>
      </c>
      <c r="D533" s="138">
        <f t="shared" si="119"/>
        <v>0</v>
      </c>
      <c r="E533" s="138">
        <f t="shared" si="117"/>
        <v>0</v>
      </c>
    </row>
    <row r="534" spans="2:5" x14ac:dyDescent="0.2">
      <c r="B534" s="136">
        <f>'Financement avec SCHL'!B534</f>
        <v>480</v>
      </c>
      <c r="C534" s="137">
        <f t="shared" si="118"/>
        <v>0</v>
      </c>
      <c r="D534" s="138">
        <f t="shared" si="119"/>
        <v>0</v>
      </c>
      <c r="E534" s="138">
        <f>IF($D$3*12&lt;=B534,C533,-PPMT(((1+$D$2/2)^(1/6)-1),B534,$D$3*12,$D$1))</f>
        <v>0</v>
      </c>
    </row>
    <row r="535" spans="2:5" ht="13.5" thickBot="1" x14ac:dyDescent="0.25">
      <c r="B535" s="139" t="str">
        <f>'Financement avec SCHL'!B535</f>
        <v>Total après 40 ans</v>
      </c>
      <c r="C535" s="142"/>
      <c r="D535" s="140">
        <f>SUM(D523:D534)</f>
        <v>0</v>
      </c>
      <c r="E535" s="140">
        <f>SUM(E523:E534)</f>
        <v>0</v>
      </c>
    </row>
  </sheetData>
  <mergeCells count="22">
    <mergeCell ref="D6:E6"/>
    <mergeCell ref="D5:E5"/>
    <mergeCell ref="B12:C12"/>
    <mergeCell ref="D12:E12"/>
    <mergeCell ref="B7:C7"/>
    <mergeCell ref="D7:E7"/>
    <mergeCell ref="B1:C1"/>
    <mergeCell ref="D10:E10"/>
    <mergeCell ref="D11:E11"/>
    <mergeCell ref="B10:C10"/>
    <mergeCell ref="B11:C11"/>
    <mergeCell ref="D1:E1"/>
    <mergeCell ref="D8:E8"/>
    <mergeCell ref="D9:E9"/>
    <mergeCell ref="B2:C2"/>
    <mergeCell ref="B3:C3"/>
    <mergeCell ref="B4:C4"/>
    <mergeCell ref="D4:E4"/>
    <mergeCell ref="B8:C8"/>
    <mergeCell ref="B9:C9"/>
    <mergeCell ref="B5:C5"/>
    <mergeCell ref="B6:C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8"/>
  <sheetViews>
    <sheetView topLeftCell="A10" workbookViewId="0">
      <selection activeCell="A25" sqref="A25"/>
    </sheetView>
  </sheetViews>
  <sheetFormatPr baseColWidth="10" defaultRowHeight="12.75" x14ac:dyDescent="0.2"/>
  <cols>
    <col min="1" max="1" width="80.42578125" customWidth="1"/>
    <col min="2" max="2" width="8.5703125" customWidth="1"/>
    <col min="3" max="27" width="18.5703125" style="147" customWidth="1"/>
    <col min="28" max="28" width="18.5703125" style="148" customWidth="1"/>
  </cols>
  <sheetData>
    <row r="1" spans="1:28" s="152" customFormat="1" ht="15.75" x14ac:dyDescent="0.2">
      <c r="A1" s="150" t="str">
        <f>'Flux financier avec SCHL'!A1</f>
        <v>ANNÉE D'EXPLOITATION</v>
      </c>
      <c r="B1" s="150"/>
      <c r="C1" s="151" t="str">
        <f>'Flux financier avec SCHL'!C1</f>
        <v>Achat (année 0)</v>
      </c>
      <c r="D1" s="150" t="str">
        <f>'Flux financier avec SCHL'!D1</f>
        <v>Année 1</v>
      </c>
      <c r="E1" s="150" t="str">
        <f>'Flux financier avec SCHL'!E1</f>
        <v>Année 2</v>
      </c>
      <c r="F1" s="150" t="str">
        <f>'Flux financier avec SCHL'!F1</f>
        <v>Année 3</v>
      </c>
      <c r="G1" s="150" t="str">
        <f>'Flux financier avec SCHL'!G1</f>
        <v>Année 4</v>
      </c>
      <c r="H1" s="150" t="str">
        <f>'Flux financier avec SCHL'!H1</f>
        <v>Année 5</v>
      </c>
      <c r="I1" s="150" t="str">
        <f>'Flux financier avec SCHL'!I1</f>
        <v>Année 6</v>
      </c>
      <c r="J1" s="150" t="str">
        <f>'Flux financier avec SCHL'!J1</f>
        <v>Année 7</v>
      </c>
      <c r="K1" s="150" t="str">
        <f>'Flux financier avec SCHL'!K1</f>
        <v>Année 8</v>
      </c>
      <c r="L1" s="150" t="str">
        <f>'Flux financier avec SCHL'!L1</f>
        <v>Année 9</v>
      </c>
      <c r="M1" s="150" t="str">
        <f>'Flux financier avec SCHL'!M1</f>
        <v>Année 10</v>
      </c>
      <c r="N1" s="150" t="str">
        <f>'Flux financier avec SCHL'!N1</f>
        <v>Année 11</v>
      </c>
      <c r="O1" s="150" t="str">
        <f>'Flux financier avec SCHL'!O1</f>
        <v>Année 12</v>
      </c>
      <c r="P1" s="150" t="str">
        <f>'Flux financier avec SCHL'!P1</f>
        <v>Année 13</v>
      </c>
      <c r="Q1" s="150" t="str">
        <f>'Flux financier avec SCHL'!Q1</f>
        <v>Année 14</v>
      </c>
      <c r="R1" s="150" t="str">
        <f>'Flux financier avec SCHL'!R1</f>
        <v>Année 15</v>
      </c>
      <c r="S1" s="150" t="str">
        <f>'Flux financier avec SCHL'!S1</f>
        <v>Année 16</v>
      </c>
      <c r="T1" s="150" t="str">
        <f>'Flux financier avec SCHL'!T1</f>
        <v>Année 17</v>
      </c>
      <c r="U1" s="150" t="str">
        <f>'Flux financier avec SCHL'!U1</f>
        <v>Année 18</v>
      </c>
      <c r="V1" s="150" t="str">
        <f>'Flux financier avec SCHL'!V1</f>
        <v>Année 19</v>
      </c>
      <c r="W1" s="150" t="str">
        <f>'Flux financier avec SCHL'!W1</f>
        <v>Année 20</v>
      </c>
      <c r="X1" s="150" t="str">
        <f>'Flux financier avec SCHL'!X1</f>
        <v>Année 21</v>
      </c>
      <c r="Y1" s="150" t="str">
        <f>'Flux financier avec SCHL'!Y1</f>
        <v>Année 22</v>
      </c>
      <c r="Z1" s="150" t="str">
        <f>'Flux financier avec SCHL'!Z1</f>
        <v>Année 23</v>
      </c>
      <c r="AA1" s="150" t="str">
        <f>'Flux financier avec SCHL'!AA1</f>
        <v>Année 24</v>
      </c>
      <c r="AB1" s="150" t="str">
        <f>'Flux financier avec SCHL'!AB1</f>
        <v>Année 25</v>
      </c>
    </row>
    <row r="2" spans="1:28" s="152" customFormat="1" ht="12.75" customHeight="1" x14ac:dyDescent="0.2">
      <c r="A2" s="153" t="str">
        <f>'Flux financier avec SCHL'!A2</f>
        <v>Taux d'inflation annuel &amp; plus-value</v>
      </c>
      <c r="B2" s="298">
        <f>'Flux financier avec SCHL'!B2</f>
        <v>2.4E-2</v>
      </c>
      <c r="C2" s="248"/>
      <c r="D2" s="249"/>
      <c r="E2" s="249"/>
      <c r="F2" s="249"/>
      <c r="G2" s="249"/>
      <c r="H2" s="249"/>
      <c r="I2" s="249"/>
      <c r="J2" s="249"/>
      <c r="K2" s="249"/>
      <c r="L2" s="249"/>
      <c r="M2" s="249"/>
      <c r="N2" s="249"/>
      <c r="O2" s="249"/>
      <c r="P2" s="249"/>
      <c r="Q2" s="249"/>
      <c r="R2" s="249"/>
      <c r="S2" s="249"/>
      <c r="T2" s="249"/>
      <c r="U2" s="249"/>
      <c r="V2" s="249"/>
      <c r="W2" s="249"/>
      <c r="X2" s="249"/>
      <c r="Y2" s="249"/>
      <c r="Z2" s="249"/>
      <c r="AA2" s="249"/>
      <c r="AB2" s="249"/>
    </row>
    <row r="3" spans="1:28" s="155" customFormat="1" x14ac:dyDescent="0.2">
      <c r="A3" s="254" t="str">
        <f>'Flux financier avec SCHL'!A3</f>
        <v>Revenus annuel bruts EFFECTIFS + taux d'inflation annuel</v>
      </c>
      <c r="B3" s="359"/>
      <c r="C3" s="154"/>
      <c r="D3" s="304">
        <f>' Exemple sans SCHL'!B36</f>
        <v>50666.400000000001</v>
      </c>
      <c r="E3" s="304">
        <f>(B2*'Flux financier sans SCHL'!D3)+'Flux financier sans SCHL'!D3</f>
        <v>51882.393600000003</v>
      </c>
      <c r="F3" s="304">
        <f>(B2*'Flux financier sans SCHL'!E3)+'Flux financier sans SCHL'!E3</f>
        <v>53127.5710464</v>
      </c>
      <c r="G3" s="304">
        <f>(B2*'Flux financier sans SCHL'!F3)+'Flux financier sans SCHL'!F3</f>
        <v>54402.6327515136</v>
      </c>
      <c r="H3" s="372">
        <f>(B2*'Flux financier sans SCHL'!G3)+'Flux financier sans SCHL'!G3</f>
        <v>55708.295937549927</v>
      </c>
      <c r="I3" s="369">
        <f>(B2*'Flux financier sans SCHL'!H3)+'Flux financier sans SCHL'!H3</f>
        <v>57045.295040051125</v>
      </c>
      <c r="J3" s="304">
        <f>(B2*'Flux financier sans SCHL'!I3)+'Flux financier sans SCHL'!I3</f>
        <v>58414.38212101235</v>
      </c>
      <c r="K3" s="304">
        <f>(B2*'Flux financier sans SCHL'!J3)+'Flux financier sans SCHL'!J3</f>
        <v>59816.327291916648</v>
      </c>
      <c r="L3" s="304">
        <f>(B2*'Flux financier sans SCHL'!K3)+'Flux financier sans SCHL'!K3</f>
        <v>61251.91914692265</v>
      </c>
      <c r="M3" s="372">
        <f>(B2*'Flux financier sans SCHL'!L3)+'Flux financier sans SCHL'!L3</f>
        <v>62721.965206448796</v>
      </c>
      <c r="N3" s="369">
        <f>(B2*'Flux financier sans SCHL'!M3)+'Flux financier sans SCHL'!M3</f>
        <v>64227.292371403564</v>
      </c>
      <c r="O3" s="304">
        <f>(B2*'Flux financier sans SCHL'!N3)+'Flux financier sans SCHL'!N3</f>
        <v>65768.74738831725</v>
      </c>
      <c r="P3" s="304">
        <f>(B2*'Flux financier sans SCHL'!O3)+'Flux financier sans SCHL'!O3</f>
        <v>67347.197325636866</v>
      </c>
      <c r="Q3" s="304">
        <f>(B2*'Flux financier sans SCHL'!P3)+'Flux financier sans SCHL'!P3</f>
        <v>68963.530061452155</v>
      </c>
      <c r="R3" s="372">
        <f>(B2*'Flux financier sans SCHL'!Q3)+'Flux financier sans SCHL'!Q3</f>
        <v>70618.654782927013</v>
      </c>
      <c r="S3" s="369">
        <f>(B2*'Flux financier sans SCHL'!R3)+'Flux financier sans SCHL'!R3</f>
        <v>72313.502497717258</v>
      </c>
      <c r="T3" s="304">
        <f>(B2*'Flux financier sans SCHL'!S3)+'Flux financier sans SCHL'!S3</f>
        <v>74049.026557662466</v>
      </c>
      <c r="U3" s="304">
        <f>(B2*'Flux financier sans SCHL'!T3)+'Flux financier sans SCHL'!T3</f>
        <v>75826.203195046372</v>
      </c>
      <c r="V3" s="304">
        <f>(B2*'Flux financier sans SCHL'!U3)+'Flux financier sans SCHL'!U3</f>
        <v>77646.032071727488</v>
      </c>
      <c r="W3" s="372">
        <f>(B2*'Flux financier sans SCHL'!V3)+'Flux financier sans SCHL'!V3</f>
        <v>79509.536841448949</v>
      </c>
      <c r="X3" s="369">
        <f>(B2*'Flux financier sans SCHL'!W3)+'Flux financier sans SCHL'!W3</f>
        <v>81417.765725643723</v>
      </c>
      <c r="Y3" s="304">
        <f>(B2*'Flux financier sans SCHL'!X3)+'Flux financier sans SCHL'!X3</f>
        <v>83371.792103059168</v>
      </c>
      <c r="Z3" s="304">
        <f>(B2*'Flux financier sans SCHL'!Y3)+'Flux financier sans SCHL'!Y3</f>
        <v>85372.715113532584</v>
      </c>
      <c r="AA3" s="336">
        <f>(B2*'Flux financier sans SCHL'!Z3)+'Flux financier sans SCHL'!Z3</f>
        <v>87421.66027625736</v>
      </c>
      <c r="AB3" s="304">
        <f>(B2*'Flux financier sans SCHL'!AA3)+'Flux financier sans SCHL'!AA3</f>
        <v>89519.780122887532</v>
      </c>
    </row>
    <row r="4" spans="1:28" s="155" customFormat="1" x14ac:dyDescent="0.2">
      <c r="A4" s="153" t="str">
        <f>'Flux financier avec SCHL'!A4</f>
        <v>Hypothèque</v>
      </c>
      <c r="B4" s="300"/>
      <c r="C4" s="336">
        <f>' Exemple sans SCHL'!B19</f>
        <v>513750</v>
      </c>
      <c r="D4" s="340"/>
      <c r="E4" s="340"/>
      <c r="F4" s="340"/>
      <c r="G4" s="340"/>
      <c r="H4" s="340"/>
      <c r="I4" s="340"/>
      <c r="J4" s="340"/>
      <c r="K4" s="340"/>
      <c r="L4" s="340"/>
      <c r="M4" s="340"/>
      <c r="N4" s="340"/>
      <c r="O4" s="340"/>
      <c r="P4" s="340"/>
      <c r="Q4" s="340"/>
      <c r="R4" s="340"/>
      <c r="S4" s="340"/>
      <c r="T4" s="340"/>
      <c r="U4" s="340"/>
      <c r="V4" s="340"/>
      <c r="W4" s="340"/>
      <c r="X4" s="340"/>
      <c r="Y4" s="340"/>
      <c r="Z4" s="340"/>
      <c r="AA4" s="340"/>
      <c r="AB4" s="340"/>
    </row>
    <row r="5" spans="1:28" s="155" customFormat="1" x14ac:dyDescent="0.2">
      <c r="A5" s="153" t="str">
        <f>'Flux financier avec SCHL'!A5</f>
        <v>Valeur de revente</v>
      </c>
      <c r="B5" s="300"/>
      <c r="C5" s="305">
        <f>AB6</f>
        <v>1239337.2051181502</v>
      </c>
      <c r="D5" s="340"/>
      <c r="E5" s="340"/>
      <c r="F5" s="340"/>
      <c r="G5" s="340"/>
      <c r="H5" s="340"/>
      <c r="I5" s="340"/>
      <c r="J5" s="340"/>
      <c r="K5" s="340"/>
      <c r="L5" s="340"/>
      <c r="M5" s="340"/>
      <c r="N5" s="340"/>
      <c r="O5" s="340"/>
      <c r="P5" s="340"/>
      <c r="Q5" s="340"/>
      <c r="R5" s="340"/>
      <c r="S5" s="340"/>
      <c r="T5" s="340"/>
      <c r="U5" s="340"/>
      <c r="V5" s="340"/>
      <c r="W5" s="340"/>
      <c r="X5" s="340"/>
      <c r="Y5" s="340"/>
      <c r="Z5" s="340"/>
      <c r="AA5" s="340"/>
      <c r="AB5" s="340"/>
    </row>
    <row r="6" spans="1:28" s="155" customFormat="1" x14ac:dyDescent="0.2">
      <c r="A6" s="254" t="str">
        <f>'Flux financier avec SCHL'!A6</f>
        <v>Plus-value annuelle de l'immeuble</v>
      </c>
      <c r="B6" s="300"/>
      <c r="C6" s="306">
        <f>C5/C20</f>
        <v>1.8092513943330659</v>
      </c>
      <c r="D6" s="303">
        <f>C20*B2+C20</f>
        <v>701440</v>
      </c>
      <c r="E6" s="303">
        <f>D6*B2+D6</f>
        <v>718274.56000000006</v>
      </c>
      <c r="F6" s="303">
        <f>E6*B2+E6</f>
        <v>735513.14944000007</v>
      </c>
      <c r="G6" s="303">
        <f>F6*B2+F6</f>
        <v>753165.46502656012</v>
      </c>
      <c r="H6" s="371">
        <f>G6*B2+G6</f>
        <v>771241.43618719757</v>
      </c>
      <c r="I6" s="368">
        <f>H6*B2+H6</f>
        <v>789751.23065569031</v>
      </c>
      <c r="J6" s="303">
        <f>I6*B2+I6</f>
        <v>808705.26019142685</v>
      </c>
      <c r="K6" s="303">
        <f>J6*B2+J6</f>
        <v>828114.18643602112</v>
      </c>
      <c r="L6" s="303">
        <f>K6*B2+K6</f>
        <v>847988.92691048561</v>
      </c>
      <c r="M6" s="371">
        <f>L6*B2+L6</f>
        <v>868340.66115633724</v>
      </c>
      <c r="N6" s="368">
        <f>M6*B2+M6</f>
        <v>889180.8370240893</v>
      </c>
      <c r="O6" s="303">
        <f>N6*B2+N6</f>
        <v>910521.17711266747</v>
      </c>
      <c r="P6" s="303">
        <f>O6*B2+O6</f>
        <v>932373.68536337151</v>
      </c>
      <c r="Q6" s="303">
        <f>P6*B2+P6</f>
        <v>954750.65381209238</v>
      </c>
      <c r="R6" s="371">
        <f>Q6*B2+Q6</f>
        <v>977664.66950358264</v>
      </c>
      <c r="S6" s="368">
        <f>R6*B2+R6</f>
        <v>1001128.6215716687</v>
      </c>
      <c r="T6" s="303">
        <f>S6*B2+S6</f>
        <v>1025155.7084893887</v>
      </c>
      <c r="U6" s="303">
        <f>T6*B2+T6</f>
        <v>1049759.445493134</v>
      </c>
      <c r="V6" s="303">
        <f>U6*B2+U6</f>
        <v>1074953.6721849693</v>
      </c>
      <c r="W6" s="371">
        <f>V6*B2+V6</f>
        <v>1100752.5603174085</v>
      </c>
      <c r="X6" s="368">
        <f>W6*B2+W6</f>
        <v>1127170.6217650264</v>
      </c>
      <c r="Y6" s="303">
        <f>X6*B2+X6</f>
        <v>1154222.7166873871</v>
      </c>
      <c r="Z6" s="303">
        <f>Y6*B2+Y6</f>
        <v>1181924.0618878843</v>
      </c>
      <c r="AA6" s="337">
        <f>Z6*B2+Z6</f>
        <v>1210290.2393731936</v>
      </c>
      <c r="AB6" s="303">
        <f>AA6*B2+AA6</f>
        <v>1239337.2051181502</v>
      </c>
    </row>
    <row r="7" spans="1:28" s="155" customFormat="1" x14ac:dyDescent="0.2">
      <c r="A7" s="160" t="str">
        <f>'Flux financier avec SCHL'!A7</f>
        <v>Remboursement du capital sur l'hypothèque (annuel)</v>
      </c>
      <c r="B7" s="360">
        <f>D7/' Exemple sans SCHL'!B18</f>
        <v>7.6708863719751316E-2</v>
      </c>
      <c r="C7" s="154"/>
      <c r="D7" s="304">
        <f>'Financement sans SCHL'!E28</f>
        <v>13136.392912007412</v>
      </c>
      <c r="E7" s="304">
        <f>'Financement sans SCHL'!E41</f>
        <v>13600.189684256971</v>
      </c>
      <c r="F7" s="304">
        <f>'Financement sans SCHL'!E54</f>
        <v>14080.361381296771</v>
      </c>
      <c r="G7" s="304">
        <f>'Financement sans SCHL'!E67</f>
        <v>14577.486140315181</v>
      </c>
      <c r="H7" s="372">
        <f>'Financement sans SCHL'!E80</f>
        <v>15092.162510356686</v>
      </c>
      <c r="I7" s="369">
        <f>'Financement sans SCHL'!E93</f>
        <v>15625.010172987964</v>
      </c>
      <c r="J7" s="304">
        <f>'Financement sans SCHL'!E106</f>
        <v>16176.670688408023</v>
      </c>
      <c r="K7" s="304">
        <f>'Financement sans SCHL'!E119</f>
        <v>16747.808267900629</v>
      </c>
      <c r="L7" s="304">
        <f>'Financement sans SCHL'!E132</f>
        <v>17339.110573559192</v>
      </c>
      <c r="M7" s="372">
        <f>'Financement sans SCHL'!E145</f>
        <v>17951.289546246924</v>
      </c>
      <c r="N7" s="369">
        <f>'Financement sans SCHL'!E158</f>
        <v>18585.082262789099</v>
      </c>
      <c r="O7" s="304">
        <f>'Financement sans SCHL'!E171</f>
        <v>19241.251823429699</v>
      </c>
      <c r="P7" s="304">
        <f>'Financement sans SCHL'!E184</f>
        <v>19920.588270620661</v>
      </c>
      <c r="Q7" s="304">
        <f>'Financement sans SCHL'!E197</f>
        <v>20623.909540250264</v>
      </c>
      <c r="R7" s="372">
        <f>'Financement sans SCHL'!E210</f>
        <v>21352.062446455722</v>
      </c>
      <c r="S7" s="369">
        <f>'Financement sans SCHL'!E223</f>
        <v>22105.923701205898</v>
      </c>
      <c r="T7" s="304">
        <f>'Financement sans SCHL'!E236</f>
        <v>22886.400969881604</v>
      </c>
      <c r="U7" s="304">
        <f>'Financement sans SCHL'!E249</f>
        <v>23694.433964124488</v>
      </c>
      <c r="V7" s="304">
        <f>'Financement sans SCHL'!E262</f>
        <v>24530.995573270357</v>
      </c>
      <c r="W7" s="372">
        <f>'Financement sans SCHL'!E275</f>
        <v>25397.093035729133</v>
      </c>
      <c r="X7" s="369">
        <f>'Financement sans SCHL'!E288</f>
        <v>26293.769151721852</v>
      </c>
      <c r="Y7" s="304">
        <f>'Financement sans SCHL'!E301</f>
        <v>27222.103538834828</v>
      </c>
      <c r="Z7" s="304">
        <f>'Financement sans SCHL'!E314</f>
        <v>28183.213931902814</v>
      </c>
      <c r="AA7" s="336">
        <f>'Financement sans SCHL'!E327</f>
        <v>29178.25752878606</v>
      </c>
      <c r="AB7" s="304">
        <f>'Financement sans SCHL'!E340</f>
        <v>30208.432383661806</v>
      </c>
    </row>
    <row r="8" spans="1:28" s="155" customFormat="1" x14ac:dyDescent="0.2">
      <c r="A8" s="160" t="str">
        <f>'Flux financier avec SCHL'!A8</f>
        <v>Remboursement cumulative du capital sur l'hypothèque (capitalisation)</v>
      </c>
      <c r="B8" s="361">
        <f>C4/(C4+D18+E18+F18+G18+H18+I18+J18+K18+L18+M18+N18+O18+P18+Q18+R18+S18+T18+U18+V18+W18+X18+Y18+Z18+AA18+AB18)</f>
        <v>0.66764097869242978</v>
      </c>
      <c r="C8" s="154"/>
      <c r="D8" s="304">
        <f>D7</f>
        <v>13136.392912007412</v>
      </c>
      <c r="E8" s="304">
        <f t="shared" ref="E8:AB8" si="0">D8+E7</f>
        <v>26736.582596264383</v>
      </c>
      <c r="F8" s="304">
        <f t="shared" si="0"/>
        <v>40816.943977561154</v>
      </c>
      <c r="G8" s="304">
        <f t="shared" si="0"/>
        <v>55394.430117876334</v>
      </c>
      <c r="H8" s="372">
        <f t="shared" si="0"/>
        <v>70486.592628233018</v>
      </c>
      <c r="I8" s="369">
        <f t="shared" si="0"/>
        <v>86111.602801220986</v>
      </c>
      <c r="J8" s="304">
        <f t="shared" si="0"/>
        <v>102288.27348962901</v>
      </c>
      <c r="K8" s="304">
        <f t="shared" si="0"/>
        <v>119036.08175752964</v>
      </c>
      <c r="L8" s="304">
        <f t="shared" si="0"/>
        <v>136375.19233108882</v>
      </c>
      <c r="M8" s="372">
        <f t="shared" si="0"/>
        <v>154326.48187733575</v>
      </c>
      <c r="N8" s="369">
        <f t="shared" si="0"/>
        <v>172911.56414012486</v>
      </c>
      <c r="O8" s="304">
        <f t="shared" si="0"/>
        <v>192152.81596355455</v>
      </c>
      <c r="P8" s="304">
        <f t="shared" si="0"/>
        <v>212073.40423417522</v>
      </c>
      <c r="Q8" s="304">
        <f t="shared" si="0"/>
        <v>232697.31377442548</v>
      </c>
      <c r="R8" s="372">
        <f t="shared" si="0"/>
        <v>254049.37622088121</v>
      </c>
      <c r="S8" s="369">
        <f t="shared" si="0"/>
        <v>276155.29992208711</v>
      </c>
      <c r="T8" s="304">
        <f t="shared" si="0"/>
        <v>299041.70089196874</v>
      </c>
      <c r="U8" s="304">
        <f t="shared" si="0"/>
        <v>322736.13485609321</v>
      </c>
      <c r="V8" s="304">
        <f t="shared" si="0"/>
        <v>347267.13042936358</v>
      </c>
      <c r="W8" s="372">
        <f t="shared" si="0"/>
        <v>372664.22346509271</v>
      </c>
      <c r="X8" s="369">
        <f t="shared" si="0"/>
        <v>398957.99261681456</v>
      </c>
      <c r="Y8" s="304">
        <f t="shared" si="0"/>
        <v>426180.0961556494</v>
      </c>
      <c r="Z8" s="304">
        <f t="shared" si="0"/>
        <v>454363.31008755224</v>
      </c>
      <c r="AA8" s="336">
        <f t="shared" si="0"/>
        <v>483541.56761633832</v>
      </c>
      <c r="AB8" s="304">
        <f t="shared" si="0"/>
        <v>513750.00000000012</v>
      </c>
    </row>
    <row r="9" spans="1:28" s="155" customFormat="1" x14ac:dyDescent="0.2">
      <c r="A9" s="254" t="str">
        <f>'Flux financier avec SCHL'!A9</f>
        <v>Rendement annuel sur la mise de fond (cash flow + capitalisation + plus-value)</v>
      </c>
      <c r="B9" s="359"/>
      <c r="C9" s="190"/>
      <c r="D9" s="303">
        <f>D23+'Financement sans SCHL'!E28+('Flux financier sans SCHL'!D6-'Flux financier sans SCHL'!C20)</f>
        <v>24369.824921606349</v>
      </c>
      <c r="E9" s="303">
        <f>E23+'Financement sans SCHL'!E41+('Flux financier sans SCHL'!E6-'Flux financier sans SCHL'!D6)</f>
        <v>25841.944445855966</v>
      </c>
      <c r="F9" s="303">
        <f>F23+'Financement sans SCHL'!E54+('Flux financier sans SCHL'!F6-'Flux financier sans SCHL'!E6)</f>
        <v>27354.638640943715</v>
      </c>
      <c r="G9" s="303">
        <f>G23+'Financement sans SCHL'!E67+('Flux financier sans SCHL'!G6-'Flux financier sans SCHL'!F6)</f>
        <v>28909.066437963316</v>
      </c>
      <c r="H9" s="371">
        <f>H23+'Financement sans SCHL'!E80+('Flux financier sans SCHL'!H6-'Flux financier sans SCHL'!G6)</f>
        <v>30506.421118917962</v>
      </c>
      <c r="I9" s="368">
        <f>I23+'Financement sans SCHL'!E93+('Flux financier sans SCHL'!I6-'Flux financier sans SCHL'!H6)</f>
        <v>32147.931371924326</v>
      </c>
      <c r="J9" s="303">
        <f>J23+'Financement sans SCHL'!E106+('Flux financier sans SCHL'!J6-'Flux financier sans SCHL'!I6)</f>
        <v>33834.862379888451</v>
      </c>
      <c r="K9" s="303">
        <f>K23+'Financement sans SCHL'!E119+('Flux financier sans SCHL'!K6-'Flux financier sans SCHL'!J6)</f>
        <v>35568.516943746276</v>
      </c>
      <c r="L9" s="303">
        <f>L23+'Financement sans SCHL'!E132+('Flux financier sans SCHL'!L6-'Flux financier sans SCHL'!K6)</f>
        <v>37350.236641394717</v>
      </c>
      <c r="M9" s="371">
        <f>M23+'Financement sans SCHL'!E145+('Flux financier sans SCHL'!M6-'Flux financier sans SCHL'!L6)</f>
        <v>39181.403023480125</v>
      </c>
      <c r="N9" s="368">
        <f>N23+'Financement sans SCHL'!E158+('Flux financier sans SCHL'!N6-'Flux financier sans SCHL'!M6)</f>
        <v>41063.438847245503</v>
      </c>
      <c r="O9" s="303">
        <f>O23+'Financement sans SCHL'!E171+('Flux financier sans SCHL'!O6-'Flux financier sans SCHL'!N6)</f>
        <v>42997.80934968275</v>
      </c>
      <c r="P9" s="303">
        <f>P23+'Financement sans SCHL'!E184+('Flux financier sans SCHL'!P6-'Flux financier sans SCHL'!O6)</f>
        <v>44986.023561273403</v>
      </c>
      <c r="Q9" s="303">
        <f>Q23+'Financement sans SCHL'!E197+('Flux financier sans SCHL'!Q6-'Flux financier sans SCHL'!P6)</f>
        <v>47029.635661648237</v>
      </c>
      <c r="R9" s="371">
        <f>R23+'Financement sans SCHL'!E210+('Flux financier sans SCHL'!R6-'Flux financier sans SCHL'!Q6)</f>
        <v>49130.246378536962</v>
      </c>
      <c r="S9" s="368">
        <f>S23+'Financement sans SCHL'!E223+('Flux financier sans SCHL'!S6-'Flux financier sans SCHL'!R6)</f>
        <v>51289.504431426714</v>
      </c>
      <c r="T9" s="303">
        <f>T23+'Financement sans SCHL'!E236+('Flux financier sans SCHL'!T6-'Flux financier sans SCHL'!S6)</f>
        <v>53509.108021397289</v>
      </c>
      <c r="U9" s="303">
        <f>U23+'Financement sans SCHL'!E249+('Flux financier sans SCHL'!U6-'Flux financier sans SCHL'!T6)</f>
        <v>55790.806368646139</v>
      </c>
      <c r="V9" s="303">
        <f>V23+'Financement sans SCHL'!E262+('Flux financier sans SCHL'!V6-'Flux financier sans SCHL'!U6)</f>
        <v>58136.401299270306</v>
      </c>
      <c r="W9" s="371">
        <f>W23+'Financement sans SCHL'!E275+('Flux financier sans SCHL'!W6-'Flux financier sans SCHL'!V6)</f>
        <v>60547.748882922577</v>
      </c>
      <c r="X9" s="368">
        <f>X23+'Financement sans SCHL'!E288+('Flux financier sans SCHL'!X6-'Flux financier sans SCHL'!W6)</f>
        <v>63026.761123017612</v>
      </c>
      <c r="Y9" s="303">
        <f>Y23+'Financement sans SCHL'!E301+('Flux financier sans SCHL'!Y6-'Flux financier sans SCHL'!X6)</f>
        <v>65575.407701211385</v>
      </c>
      <c r="Z9" s="303">
        <f>Z23+'Financement sans SCHL'!E314+('Flux financier sans SCHL'!Z6-'Flux financier sans SCHL'!Y6)</f>
        <v>68195.717777945829</v>
      </c>
      <c r="AA9" s="337">
        <f>AA23+'Financement sans SCHL'!E327+('Flux financier sans SCHL'!AA6-'Flux financier sans SCHL'!Z6)</f>
        <v>70889.781850903935</v>
      </c>
      <c r="AB9" s="303">
        <f>AB23+'Financement sans SCHL'!E340+('Flux financier sans SCHL'!AB6-'Flux financier sans SCHL'!AA6)</f>
        <v>73659.753673279978</v>
      </c>
    </row>
    <row r="10" spans="1:28" s="155" customFormat="1" x14ac:dyDescent="0.2">
      <c r="A10" s="153" t="str">
        <f>'Flux financier avec SCHL'!A10</f>
        <v>Équité</v>
      </c>
      <c r="B10" s="359"/>
      <c r="C10" s="154"/>
      <c r="D10" s="303">
        <f>(D6*' Exemple sans SCHL'!B14)-'Financement sans SCHL'!C27</f>
        <v>25466.392912007403</v>
      </c>
      <c r="E10" s="303">
        <f>(E6*' Exemple sans SCHL'!B14)-'Financement sans SCHL'!C40</f>
        <v>51692.502596264356</v>
      </c>
      <c r="F10" s="303">
        <f>(F6*' Exemple sans SCHL'!B14)-'Financement sans SCHL'!C53</f>
        <v>78701.806057561247</v>
      </c>
      <c r="G10" s="303">
        <f>(G6*' Exemple sans SCHL'!B14)-'Financement sans SCHL'!C66</f>
        <v>106518.52888779639</v>
      </c>
      <c r="H10" s="371">
        <f>(H6*' Exemple sans SCHL'!B14)-'Financement sans SCHL'!C79</f>
        <v>135167.66976863117</v>
      </c>
      <c r="I10" s="368">
        <f>(I6*' Exemple sans SCHL'!B14)-'Financement sans SCHL'!C92</f>
        <v>164675.02579298866</v>
      </c>
      <c r="J10" s="303">
        <f>(J6*' Exemple sans SCHL'!B14)-'Financement sans SCHL'!C105</f>
        <v>195067.21863319911</v>
      </c>
      <c r="K10" s="303">
        <f>(K6*' Exemple sans SCHL'!B14)-'Financement sans SCHL'!C118</f>
        <v>226371.72158454533</v>
      </c>
      <c r="L10" s="303">
        <f>(L6*' Exemple sans SCHL'!B14)-'Financement sans SCHL'!C131</f>
        <v>258616.88751395285</v>
      </c>
      <c r="M10" s="372">
        <f>(M6*' Exemple sans SCHL'!B14)-'Financement sans SCHL'!C144</f>
        <v>291831.97774458863</v>
      </c>
      <c r="N10" s="369">
        <f>(N6*' Exemple sans SCHL'!B14)-'Financement sans SCHL'!C157</f>
        <v>326047.19190819171</v>
      </c>
      <c r="O10" s="304">
        <f>(O6*' Exemple sans SCHL'!B14)-'Financement sans SCHL'!C170</f>
        <v>361293.69879805518</v>
      </c>
      <c r="P10" s="304">
        <f>(P6*' Exemple sans SCHL'!B14)-'Financement sans SCHL'!C183</f>
        <v>397603.66825670388</v>
      </c>
      <c r="Q10" s="304">
        <f>(Q6*' Exemple sans SCHL'!B14)-'Financement sans SCHL'!C196</f>
        <v>435010.30413349473</v>
      </c>
      <c r="R10" s="372">
        <f>(R6*' Exemple sans SCHL'!B14)-'Financement sans SCHL'!C209</f>
        <v>473547.87834856811</v>
      </c>
      <c r="S10" s="369">
        <f>(S6*' Exemple sans SCHL'!B14)-'Financement sans SCHL'!C222</f>
        <v>513251.76610083855</v>
      </c>
      <c r="T10" s="304">
        <f>(T6*' Exemple sans SCHL'!B14)-'Financement sans SCHL'!C235</f>
        <v>554158.48225901008</v>
      </c>
      <c r="U10" s="304">
        <f>(U6*' Exemple sans SCHL'!B14)-'Financement sans SCHL'!C248</f>
        <v>596305.71897594375</v>
      </c>
      <c r="V10" s="304">
        <f>(V6*' Exemple sans SCHL'!B14)-'Financement sans SCHL'!C261</f>
        <v>639732.38456809055</v>
      </c>
      <c r="W10" s="372">
        <f>(W6*' Exemple sans SCHL'!B14)-'Financement sans SCHL'!C274</f>
        <v>684478.64370314917</v>
      </c>
      <c r="X10" s="369">
        <f>(X6*' Exemple sans SCHL'!B14)-'Financement sans SCHL'!C287</f>
        <v>730585.95894058421</v>
      </c>
      <c r="Y10" s="304">
        <f>(Y6*' Exemple sans SCHL'!B14)-'Financement sans SCHL'!C300</f>
        <v>778097.13367118966</v>
      </c>
      <c r="Z10" s="304">
        <f>(Z6*' Exemple sans SCHL'!B14)-'Financement sans SCHL'!C313</f>
        <v>827056.35650346533</v>
      </c>
      <c r="AA10" s="336">
        <f>(AA6*' Exemple sans SCHL'!B14)-'Financement sans SCHL'!C326</f>
        <v>877509.24714623333</v>
      </c>
      <c r="AB10" s="304">
        <f>(AB6*' Exemple sans SCHL'!B14)-'Financement sans SCHL'!C339</f>
        <v>929502.9038386126</v>
      </c>
    </row>
    <row r="11" spans="1:28" s="158" customFormat="1" ht="15.75" x14ac:dyDescent="0.25">
      <c r="A11" s="156" t="str">
        <f>'Flux financier avec SCHL'!A11</f>
        <v>FLUX POSITIFS</v>
      </c>
      <c r="B11" s="335"/>
      <c r="C11" s="157">
        <f>C4</f>
        <v>513750</v>
      </c>
      <c r="D11" s="157">
        <f t="shared" ref="D11:AB11" si="1">D3</f>
        <v>50666.400000000001</v>
      </c>
      <c r="E11" s="157">
        <f t="shared" si="1"/>
        <v>51882.393600000003</v>
      </c>
      <c r="F11" s="157">
        <f t="shared" si="1"/>
        <v>53127.5710464</v>
      </c>
      <c r="G11" s="157">
        <f t="shared" si="1"/>
        <v>54402.6327515136</v>
      </c>
      <c r="H11" s="373">
        <f t="shared" si="1"/>
        <v>55708.295937549927</v>
      </c>
      <c r="I11" s="370">
        <f t="shared" si="1"/>
        <v>57045.295040051125</v>
      </c>
      <c r="J11" s="157">
        <f t="shared" si="1"/>
        <v>58414.38212101235</v>
      </c>
      <c r="K11" s="157">
        <f t="shared" si="1"/>
        <v>59816.327291916648</v>
      </c>
      <c r="L11" s="157">
        <f t="shared" si="1"/>
        <v>61251.91914692265</v>
      </c>
      <c r="M11" s="373">
        <f t="shared" si="1"/>
        <v>62721.965206448796</v>
      </c>
      <c r="N11" s="370">
        <f t="shared" si="1"/>
        <v>64227.292371403564</v>
      </c>
      <c r="O11" s="157">
        <f t="shared" si="1"/>
        <v>65768.74738831725</v>
      </c>
      <c r="P11" s="157">
        <f t="shared" si="1"/>
        <v>67347.197325636866</v>
      </c>
      <c r="Q11" s="157">
        <f t="shared" si="1"/>
        <v>68963.530061452155</v>
      </c>
      <c r="R11" s="373">
        <f t="shared" si="1"/>
        <v>70618.654782927013</v>
      </c>
      <c r="S11" s="370">
        <f t="shared" si="1"/>
        <v>72313.502497717258</v>
      </c>
      <c r="T11" s="157">
        <f t="shared" si="1"/>
        <v>74049.026557662466</v>
      </c>
      <c r="U11" s="157">
        <f t="shared" si="1"/>
        <v>75826.203195046372</v>
      </c>
      <c r="V11" s="157">
        <f t="shared" si="1"/>
        <v>77646.032071727488</v>
      </c>
      <c r="W11" s="373">
        <f t="shared" si="1"/>
        <v>79509.536841448949</v>
      </c>
      <c r="X11" s="370">
        <f t="shared" si="1"/>
        <v>81417.765725643723</v>
      </c>
      <c r="Y11" s="157">
        <f t="shared" si="1"/>
        <v>83371.792103059168</v>
      </c>
      <c r="Z11" s="157">
        <f t="shared" si="1"/>
        <v>85372.715113532584</v>
      </c>
      <c r="AA11" s="339">
        <f t="shared" si="1"/>
        <v>87421.66027625736</v>
      </c>
      <c r="AB11" s="157">
        <f t="shared" si="1"/>
        <v>89519.780122887532</v>
      </c>
    </row>
    <row r="12" spans="1:28" s="159" customFormat="1" x14ac:dyDescent="0.2">
      <c r="A12" s="246"/>
      <c r="B12" s="246"/>
      <c r="C12" s="246"/>
      <c r="D12" s="246"/>
      <c r="E12" s="246"/>
      <c r="F12" s="246"/>
      <c r="G12" s="246"/>
      <c r="H12" s="246"/>
      <c r="I12" s="246"/>
      <c r="J12" s="246"/>
      <c r="K12" s="246"/>
      <c r="L12" s="246"/>
      <c r="M12" s="246"/>
      <c r="N12" s="246"/>
      <c r="O12" s="246"/>
      <c r="P12" s="246"/>
      <c r="Q12" s="246"/>
      <c r="R12" s="246"/>
      <c r="S12" s="246"/>
      <c r="T12" s="246"/>
      <c r="U12" s="246"/>
      <c r="V12" s="246"/>
      <c r="W12" s="246"/>
      <c r="X12" s="246"/>
      <c r="Y12" s="246"/>
      <c r="Z12" s="246"/>
      <c r="AA12" s="246"/>
      <c r="AB12" s="246"/>
    </row>
    <row r="13" spans="1:28" s="252" customFormat="1" ht="15.75" x14ac:dyDescent="0.25">
      <c r="A13" s="170" t="str">
        <f>'Flux financier avec SCHL'!A13</f>
        <v>DÉPENSES ANNUELLES</v>
      </c>
      <c r="B13" s="241"/>
      <c r="C13" s="171"/>
      <c r="D13" s="169"/>
      <c r="E13" s="169"/>
      <c r="F13" s="169"/>
      <c r="G13" s="169"/>
      <c r="H13" s="169"/>
      <c r="I13" s="169"/>
      <c r="J13" s="169"/>
      <c r="K13" s="169"/>
      <c r="L13" s="169"/>
      <c r="M13" s="169"/>
      <c r="N13" s="169"/>
      <c r="O13" s="169"/>
      <c r="P13" s="169"/>
      <c r="Q13" s="169"/>
      <c r="R13" s="169"/>
      <c r="S13" s="169"/>
      <c r="T13" s="169"/>
      <c r="U13" s="169"/>
      <c r="V13" s="169"/>
      <c r="W13" s="169"/>
      <c r="X13" s="169"/>
      <c r="Y13" s="169"/>
      <c r="Z13" s="169"/>
      <c r="AA13" s="169"/>
      <c r="AB13" s="341"/>
    </row>
    <row r="14" spans="1:28" s="155" customFormat="1" x14ac:dyDescent="0.2">
      <c r="A14" s="253" t="str">
        <f>'Flux financier avec SCHL'!A14</f>
        <v>Dépenses annuelles (sans Fonds de prévoyance + taux d'inflation annuel)</v>
      </c>
      <c r="B14" s="334"/>
      <c r="C14" s="307">
        <f>D14+E14+F14+G14+H14+I14+J14+K14+L14+M14+N14+O14+P14+Q14+R14+S14+T14+U14+V14+W14+X14+Y14+Z14+AA14+AB14</f>
        <v>675263.37122287508</v>
      </c>
      <c r="D14" s="304">
        <f>SUM(' Exemple sans SCHL'!E10:E18)+SUM(' Exemple sans SCHL'!E21:E37)</f>
        <v>20026.311999999998</v>
      </c>
      <c r="E14" s="304">
        <f>D14*B2+'Flux financier sans SCHL'!D14</f>
        <v>20506.943487999997</v>
      </c>
      <c r="F14" s="304">
        <f>E14*B2+'Flux financier sans SCHL'!E14</f>
        <v>20999.110131711997</v>
      </c>
      <c r="G14" s="304">
        <f>F14*B2+'Flux financier sans SCHL'!F14</f>
        <v>21503.088774873086</v>
      </c>
      <c r="H14" s="372">
        <f>G14*B2+'Flux financier sans SCHL'!G14</f>
        <v>22019.162905470039</v>
      </c>
      <c r="I14" s="369">
        <f>H14*B2+'Flux financier sans SCHL'!H14</f>
        <v>22547.622815201321</v>
      </c>
      <c r="J14" s="304">
        <f>I14*B2+'Flux financier sans SCHL'!I14</f>
        <v>23088.765762766154</v>
      </c>
      <c r="K14" s="304">
        <f>J14*B2+'Flux financier sans SCHL'!J14</f>
        <v>23642.896141072542</v>
      </c>
      <c r="L14" s="304">
        <f>K14*B2+'Flux financier sans SCHL'!K14</f>
        <v>24210.325648458282</v>
      </c>
      <c r="M14" s="372">
        <f>L14*B2+'Flux financier sans SCHL'!L14</f>
        <v>24791.373464021279</v>
      </c>
      <c r="N14" s="369">
        <f>M14*B2+'Flux financier sans SCHL'!M14</f>
        <v>25386.366427157791</v>
      </c>
      <c r="O14" s="304">
        <f>N14*B2+'Flux financier sans SCHL'!N14</f>
        <v>25995.639221409579</v>
      </c>
      <c r="P14" s="304">
        <f>O14*B2+'Flux financier sans SCHL'!O14</f>
        <v>26619.534562723409</v>
      </c>
      <c r="Q14" s="304">
        <f>P14*B2+'Flux financier sans SCHL'!P14</f>
        <v>27258.403392228771</v>
      </c>
      <c r="R14" s="372">
        <f>Q14*B2+'Flux financier sans SCHL'!Q14</f>
        <v>27912.605073642262</v>
      </c>
      <c r="S14" s="369">
        <f>R14*B2+'Flux financier sans SCHL'!R14</f>
        <v>28582.507595409676</v>
      </c>
      <c r="T14" s="304">
        <f>S14*B2+'Flux financier sans SCHL'!S14</f>
        <v>29268.487777699509</v>
      </c>
      <c r="U14" s="304">
        <f>T14*B2+'Flux financier sans SCHL'!T14</f>
        <v>29970.931484364297</v>
      </c>
      <c r="V14" s="304">
        <f>U14*B2+'Flux financier sans SCHL'!U14</f>
        <v>30690.23383998904</v>
      </c>
      <c r="W14" s="372">
        <f>V14*B2+'Flux financier sans SCHL'!V14</f>
        <v>31426.799452148778</v>
      </c>
      <c r="X14" s="369">
        <f>W14*B2+'Flux financier sans SCHL'!W14</f>
        <v>32181.042639000349</v>
      </c>
      <c r="Y14" s="304">
        <f>X14*B2+'Flux financier sans SCHL'!X14</f>
        <v>32953.387662336354</v>
      </c>
      <c r="Z14" s="304">
        <f>Y14*B2+'Flux financier sans SCHL'!Y14</f>
        <v>33744.268966232426</v>
      </c>
      <c r="AA14" s="336">
        <f>Z14*B2+'Flux financier sans SCHL'!Z14</f>
        <v>34554.131421422004</v>
      </c>
      <c r="AB14" s="304">
        <f>AA14*B2+'Flux financier sans SCHL'!AA14</f>
        <v>35383.430575536135</v>
      </c>
    </row>
    <row r="15" spans="1:28" s="155" customFormat="1" x14ac:dyDescent="0.2">
      <c r="A15" s="253" t="str">
        <f>'Flux financier avec SCHL'!A15</f>
        <v>Fonds de prévoyance (avec un taux d'inflation annuel)</v>
      </c>
      <c r="B15" s="334"/>
      <c r="C15" s="307">
        <f>D15+E15+F15+G15+H15+I15+J15+K15+L15+M15+N15+O15+P15+Q15+R15+S15+T15+U15+V15+W15+X15+Y15+Z15+AA15+AB15</f>
        <v>170841.06185765349</v>
      </c>
      <c r="D15" s="304">
        <f>' Exemple sans SCHL'!E19</f>
        <v>5066.6400000000003</v>
      </c>
      <c r="E15" s="304">
        <f>B2*'Flux financier sans SCHL'!D15+'Flux financier sans SCHL'!D15</f>
        <v>5188.2393600000005</v>
      </c>
      <c r="F15" s="304">
        <f>B2*'Flux financier sans SCHL'!E15+'Flux financier sans SCHL'!E15</f>
        <v>5312.7571046400008</v>
      </c>
      <c r="G15" s="304">
        <f>B2*'Flux financier sans SCHL'!F15+'Flux financier sans SCHL'!F15</f>
        <v>5440.2632751513611</v>
      </c>
      <c r="H15" s="372">
        <f>B2*'Flux financier sans SCHL'!G15+'Flux financier sans SCHL'!G15</f>
        <v>5570.8295937549938</v>
      </c>
      <c r="I15" s="369">
        <f>B2*'Flux financier sans SCHL'!H15+'Flux financier sans SCHL'!H15</f>
        <v>5704.5295040051133</v>
      </c>
      <c r="J15" s="304">
        <f>B2*'Flux financier sans SCHL'!I15+'Flux financier sans SCHL'!I15</f>
        <v>5841.4382121012359</v>
      </c>
      <c r="K15" s="304">
        <f>B2*'Flux financier sans SCHL'!J15+'Flux financier sans SCHL'!J15</f>
        <v>5981.6327291916659</v>
      </c>
      <c r="L15" s="304">
        <f>B2*'Flux financier sans SCHL'!K15+'Flux financier sans SCHL'!K15</f>
        <v>6125.1919146922655</v>
      </c>
      <c r="M15" s="372">
        <f>B2*'Flux financier sans SCHL'!L15+'Flux financier sans SCHL'!L15</f>
        <v>6272.1965206448804</v>
      </c>
      <c r="N15" s="369">
        <f>B2*'Flux financier sans SCHL'!M15+'Flux financier sans SCHL'!M15</f>
        <v>6422.7292371403573</v>
      </c>
      <c r="O15" s="304">
        <f>B2*'Flux financier sans SCHL'!N15+'Flux financier sans SCHL'!N15</f>
        <v>6576.8747388317261</v>
      </c>
      <c r="P15" s="304">
        <f>B2*'Flux financier sans SCHL'!O15+'Flux financier sans SCHL'!O15</f>
        <v>6734.7197325636871</v>
      </c>
      <c r="Q15" s="304">
        <f>B2*'Flux financier sans SCHL'!P15+'Flux financier sans SCHL'!P15</f>
        <v>6896.3530061452157</v>
      </c>
      <c r="R15" s="372">
        <f>B2*'Flux financier sans SCHL'!Q15+'Flux financier sans SCHL'!Q15</f>
        <v>7061.8654782927006</v>
      </c>
      <c r="S15" s="369">
        <f>B2*'Flux financier sans SCHL'!R15+'Flux financier sans SCHL'!R15</f>
        <v>7231.3502497717254</v>
      </c>
      <c r="T15" s="304">
        <f>B2*'Flux financier sans SCHL'!S15+'Flux financier sans SCHL'!S15</f>
        <v>7404.9026557662464</v>
      </c>
      <c r="U15" s="304">
        <f>B2*'Flux financier sans SCHL'!T15+'Flux financier sans SCHL'!T15</f>
        <v>7582.6203195046364</v>
      </c>
      <c r="V15" s="304">
        <f>B2*'Flux financier sans SCHL'!U15+'Flux financier sans SCHL'!U15</f>
        <v>7764.6032071727477</v>
      </c>
      <c r="W15" s="372">
        <f>B2*'Flux financier sans SCHL'!V15+'Flux financier sans SCHL'!V15</f>
        <v>7950.9536841448935</v>
      </c>
      <c r="X15" s="369">
        <f>B2*'Flux financier sans SCHL'!W15+'Flux financier sans SCHL'!W15</f>
        <v>8141.7765725643712</v>
      </c>
      <c r="Y15" s="304">
        <f>B2*'Flux financier sans SCHL'!X15+'Flux financier sans SCHL'!X15</f>
        <v>8337.1792103059161</v>
      </c>
      <c r="Z15" s="304">
        <f>B2*'Flux financier sans SCHL'!Y15+'Flux financier sans SCHL'!Y15</f>
        <v>8537.2715113532577</v>
      </c>
      <c r="AA15" s="336">
        <f>B2*'Flux financier sans SCHL'!Z15+'Flux financier sans SCHL'!Z15</f>
        <v>8742.1660276257353</v>
      </c>
      <c r="AB15" s="304">
        <f>B2*'Flux financier sans SCHL'!AA15+'Flux financier sans SCHL'!AA15</f>
        <v>8951.9780122887532</v>
      </c>
    </row>
    <row r="16" spans="1:28" s="155" customFormat="1" x14ac:dyDescent="0.2">
      <c r="A16" s="160" t="str">
        <f>'Flux financier avec SCHL'!A16</f>
        <v>TOTAL des dépenses annuelles</v>
      </c>
      <c r="B16" s="334"/>
      <c r="C16" s="307">
        <f>D16+E16+F16+G16+H16+I16+J16+K16+L16+M16+N16+O16+P16+Q16+R16+S16+T16+U16+V16+W16+X16+Y16+Z16+AA16+AB16</f>
        <v>846104.43308052851</v>
      </c>
      <c r="D16" s="303">
        <f>D14+D15</f>
        <v>25092.951999999997</v>
      </c>
      <c r="E16" s="303">
        <f t="shared" ref="E16:AB16" si="2">E14+E15</f>
        <v>25695.182847999997</v>
      </c>
      <c r="F16" s="303">
        <f t="shared" si="2"/>
        <v>26311.867236351998</v>
      </c>
      <c r="G16" s="303">
        <f t="shared" si="2"/>
        <v>26943.352050024449</v>
      </c>
      <c r="H16" s="371">
        <f t="shared" si="2"/>
        <v>27589.992499225031</v>
      </c>
      <c r="I16" s="368">
        <f t="shared" si="2"/>
        <v>28252.152319206434</v>
      </c>
      <c r="J16" s="303">
        <f t="shared" si="2"/>
        <v>28930.203974867389</v>
      </c>
      <c r="K16" s="303">
        <f t="shared" si="2"/>
        <v>29624.528870264206</v>
      </c>
      <c r="L16" s="303">
        <f t="shared" si="2"/>
        <v>30335.517563150548</v>
      </c>
      <c r="M16" s="371">
        <f t="shared" si="2"/>
        <v>31063.569984666159</v>
      </c>
      <c r="N16" s="368">
        <f t="shared" si="2"/>
        <v>31809.095664298147</v>
      </c>
      <c r="O16" s="303">
        <f t="shared" si="2"/>
        <v>32572.513960241304</v>
      </c>
      <c r="P16" s="303">
        <f t="shared" si="2"/>
        <v>33354.254295287094</v>
      </c>
      <c r="Q16" s="303">
        <f t="shared" si="2"/>
        <v>34154.756398373989</v>
      </c>
      <c r="R16" s="371">
        <f t="shared" si="2"/>
        <v>34974.470551934966</v>
      </c>
      <c r="S16" s="368">
        <f t="shared" si="2"/>
        <v>35813.857845181403</v>
      </c>
      <c r="T16" s="303">
        <f t="shared" si="2"/>
        <v>36673.390433465756</v>
      </c>
      <c r="U16" s="303">
        <f t="shared" si="2"/>
        <v>37553.551803868933</v>
      </c>
      <c r="V16" s="303">
        <f t="shared" si="2"/>
        <v>38454.837047161789</v>
      </c>
      <c r="W16" s="371">
        <f t="shared" si="2"/>
        <v>39377.753136293672</v>
      </c>
      <c r="X16" s="368">
        <f t="shared" si="2"/>
        <v>40322.819211564718</v>
      </c>
      <c r="Y16" s="303">
        <f t="shared" si="2"/>
        <v>41290.566872642274</v>
      </c>
      <c r="Z16" s="303">
        <f t="shared" si="2"/>
        <v>42281.540477585688</v>
      </c>
      <c r="AA16" s="337">
        <f t="shared" si="2"/>
        <v>43296.297449047735</v>
      </c>
      <c r="AB16" s="303">
        <f t="shared" si="2"/>
        <v>44335.408587824888</v>
      </c>
    </row>
    <row r="17" spans="1:28" s="155" customFormat="1" x14ac:dyDescent="0.2">
      <c r="A17" s="160" t="str">
        <f>'Flux financier avec SCHL'!A17</f>
        <v>Dépenses capitalisables lors de la présumé vente de l'immeuble</v>
      </c>
      <c r="B17" s="334"/>
      <c r="C17" s="336">
        <f>' Exemple sans SCHL'!H34+' Exemple sans SCHL'!H35+' Exemple sans SCHL'!H37+' Exemple sans SCHL'!H38+' Exemple sans SCHL'!H40+' Exemple sans SCHL'!H41+' Exemple sans SCHL'!H42+' Exemple sans SCHL'!H43+' Exemple sans SCHL'!H44+' Exemple sans SCHL'!H45+' Exemple sans SCHL'!H46+' Exemple sans SCHL'!H47</f>
        <v>11645</v>
      </c>
      <c r="D17" s="340"/>
      <c r="E17" s="340"/>
      <c r="F17" s="340"/>
      <c r="G17" s="340"/>
      <c r="H17" s="340"/>
      <c r="I17" s="340"/>
      <c r="J17" s="340"/>
      <c r="K17" s="340"/>
      <c r="L17" s="340"/>
      <c r="M17" s="340"/>
      <c r="N17" s="340"/>
      <c r="O17" s="340"/>
      <c r="P17" s="340"/>
      <c r="Q17" s="340"/>
      <c r="R17" s="340"/>
      <c r="S17" s="340"/>
      <c r="T17" s="340"/>
      <c r="U17" s="340"/>
      <c r="V17" s="340"/>
      <c r="W17" s="340"/>
      <c r="X17" s="340"/>
      <c r="Y17" s="340"/>
      <c r="Z17" s="340"/>
      <c r="AA17" s="340"/>
      <c r="AB17" s="340"/>
    </row>
    <row r="18" spans="1:28" s="155" customFormat="1" x14ac:dyDescent="0.2">
      <c r="A18" s="160" t="str">
        <f>'Flux financier avec SCHL'!A18</f>
        <v>Intérêts sur l'hypothèque</v>
      </c>
      <c r="B18" s="298">
        <f>C18/C4</f>
        <v>0.49781099709980869</v>
      </c>
      <c r="C18" s="304">
        <f>D18+E18+F18+G18+H18+I18+J18+K18+L18+M18+N18+O18+P18+Q18+R18+S18+T18+U18+V18+W18+X18+Y18+Z18+AA18+AB18</f>
        <v>255750.39976002672</v>
      </c>
      <c r="D18" s="304">
        <f>'Financement sans SCHL'!D28</f>
        <v>17643.623078393655</v>
      </c>
      <c r="E18" s="304">
        <f>'Financement sans SCHL'!D41</f>
        <v>17179.826306144096</v>
      </c>
      <c r="F18" s="304">
        <f>'Financement sans SCHL'!D54</f>
        <v>16699.654609104295</v>
      </c>
      <c r="G18" s="304">
        <f>'Financement sans SCHL'!D67</f>
        <v>16202.529850085888</v>
      </c>
      <c r="H18" s="372">
        <f>'Financement sans SCHL'!D80</f>
        <v>15687.853480044383</v>
      </c>
      <c r="I18" s="369">
        <f>'Financement sans SCHL'!D93</f>
        <v>15155.005817413103</v>
      </c>
      <c r="J18" s="304">
        <f>'Financement sans SCHL'!D106</f>
        <v>14603.345301993048</v>
      </c>
      <c r="K18" s="304">
        <f>'Financement sans SCHL'!D119</f>
        <v>14032.207722500438</v>
      </c>
      <c r="L18" s="304">
        <f>'Financement sans SCHL'!D132</f>
        <v>13440.905416841873</v>
      </c>
      <c r="M18" s="372">
        <f>'Financement sans SCHL'!D145</f>
        <v>12828.72644415415</v>
      </c>
      <c r="N18" s="369">
        <f>'Financement sans SCHL'!D158</f>
        <v>12194.933727611968</v>
      </c>
      <c r="O18" s="304">
        <f>'Financement sans SCHL'!D171</f>
        <v>11538.764166971368</v>
      </c>
      <c r="P18" s="304">
        <f>'Financement sans SCHL'!D184</f>
        <v>10859.427719780406</v>
      </c>
      <c r="Q18" s="304">
        <f>'Financement sans SCHL'!D197</f>
        <v>10156.106450150804</v>
      </c>
      <c r="R18" s="372">
        <f>'Financement sans SCHL'!D210</f>
        <v>9427.953543945343</v>
      </c>
      <c r="S18" s="369">
        <f>'Financement sans SCHL'!D223</f>
        <v>8674.092289195165</v>
      </c>
      <c r="T18" s="304">
        <f>'Financement sans SCHL'!D236</f>
        <v>7893.6150205194635</v>
      </c>
      <c r="U18" s="304">
        <f>'Financement sans SCHL'!D249</f>
        <v>7085.5820262765792</v>
      </c>
      <c r="V18" s="304">
        <f>'Financement sans SCHL'!D262</f>
        <v>6249.0204171307096</v>
      </c>
      <c r="W18" s="372">
        <f>'Financement sans SCHL'!D275</f>
        <v>5382.9229546719325</v>
      </c>
      <c r="X18" s="369">
        <f>'Financement sans SCHL'!D288</f>
        <v>4486.2468386792207</v>
      </c>
      <c r="Y18" s="304">
        <f>'Financement sans SCHL'!D301</f>
        <v>3557.9124515662406</v>
      </c>
      <c r="Z18" s="304">
        <f>'Financement sans SCHL'!D314</f>
        <v>2596.8020584982523</v>
      </c>
      <c r="AA18" s="336">
        <f>'Financement sans SCHL'!D327</f>
        <v>1601.7584616150079</v>
      </c>
      <c r="AB18" s="304">
        <f>'Financement sans SCHL'!D340</f>
        <v>571.58360673930474</v>
      </c>
    </row>
    <row r="19" spans="1:28" s="155" customFormat="1" x14ac:dyDescent="0.2">
      <c r="A19" s="160" t="str">
        <f>'Flux financier avec SCHL'!A19</f>
        <v>Dépenses fixes lors de l'acquisition de l'immeuble</v>
      </c>
      <c r="B19" s="334"/>
      <c r="C19" s="336">
        <f>' Exemple sans SCHL'!H36+' Exemple sans SCHL'!H39</f>
        <v>0</v>
      </c>
      <c r="D19" s="340"/>
      <c r="E19" s="340"/>
      <c r="F19" s="340"/>
      <c r="G19" s="340"/>
      <c r="H19" s="340"/>
      <c r="I19" s="340"/>
      <c r="J19" s="340"/>
      <c r="K19" s="340"/>
      <c r="L19" s="340"/>
      <c r="M19" s="340"/>
      <c r="N19" s="340"/>
      <c r="O19" s="340"/>
      <c r="P19" s="340"/>
      <c r="Q19" s="340"/>
      <c r="R19" s="340"/>
      <c r="S19" s="340"/>
      <c r="T19" s="340"/>
      <c r="U19" s="340"/>
      <c r="V19" s="340"/>
      <c r="W19" s="340"/>
      <c r="X19" s="340"/>
      <c r="Y19" s="340"/>
      <c r="Z19" s="340"/>
      <c r="AA19" s="340"/>
      <c r="AB19" s="340"/>
    </row>
    <row r="20" spans="1:28" s="155" customFormat="1" x14ac:dyDescent="0.2">
      <c r="A20" s="160" t="str">
        <f>'Flux financier avec SCHL'!A20</f>
        <v>Investissement principal</v>
      </c>
      <c r="B20" s="334"/>
      <c r="C20" s="336">
        <f>' Exemple sans SCHL'!B16</f>
        <v>685000</v>
      </c>
      <c r="D20" s="340"/>
      <c r="E20" s="340"/>
      <c r="F20" s="340"/>
      <c r="G20" s="340"/>
      <c r="H20" s="340"/>
      <c r="I20" s="340"/>
      <c r="J20" s="340"/>
      <c r="K20" s="340"/>
      <c r="L20" s="340"/>
      <c r="M20" s="340"/>
      <c r="N20" s="340"/>
      <c r="O20" s="340"/>
      <c r="P20" s="340"/>
      <c r="Q20" s="340"/>
      <c r="R20" s="340"/>
      <c r="S20" s="340"/>
      <c r="T20" s="340"/>
      <c r="U20" s="340"/>
      <c r="V20" s="340"/>
      <c r="W20" s="340"/>
      <c r="X20" s="340"/>
      <c r="Y20" s="340"/>
      <c r="Z20" s="340"/>
      <c r="AA20" s="340"/>
      <c r="AB20" s="340"/>
    </row>
    <row r="21" spans="1:28" s="158" customFormat="1" ht="15.75" x14ac:dyDescent="0.25">
      <c r="A21" s="161" t="str">
        <f>'Flux financier avec SCHL'!A22</f>
        <v>FLUX NÉGATIFS</v>
      </c>
      <c r="B21" s="173"/>
      <c r="C21" s="149">
        <f>C17+C19+C20</f>
        <v>696645</v>
      </c>
      <c r="D21" s="149">
        <f>D16+D18+C19+D7</f>
        <v>55872.967990401063</v>
      </c>
      <c r="E21" s="149">
        <f t="shared" ref="E21:AB21" si="3">E16+E18+E7</f>
        <v>56475.198838401062</v>
      </c>
      <c r="F21" s="149">
        <f t="shared" si="3"/>
        <v>57091.883226753067</v>
      </c>
      <c r="G21" s="149">
        <f t="shared" si="3"/>
        <v>57723.368040425521</v>
      </c>
      <c r="H21" s="379">
        <f t="shared" si="3"/>
        <v>58370.008489626096</v>
      </c>
      <c r="I21" s="374">
        <f t="shared" si="3"/>
        <v>59032.168309607499</v>
      </c>
      <c r="J21" s="149">
        <f t="shared" si="3"/>
        <v>59710.219965268465</v>
      </c>
      <c r="K21" s="149">
        <f t="shared" si="3"/>
        <v>60404.544860665279</v>
      </c>
      <c r="L21" s="149">
        <f t="shared" si="3"/>
        <v>61115.533553551613</v>
      </c>
      <c r="M21" s="379">
        <f t="shared" si="3"/>
        <v>61843.585975067232</v>
      </c>
      <c r="N21" s="374">
        <f t="shared" si="3"/>
        <v>62589.111654699213</v>
      </c>
      <c r="O21" s="149">
        <f t="shared" si="3"/>
        <v>63352.529950642376</v>
      </c>
      <c r="P21" s="149">
        <f t="shared" si="3"/>
        <v>64134.270285688159</v>
      </c>
      <c r="Q21" s="149">
        <f t="shared" si="3"/>
        <v>64934.772388775054</v>
      </c>
      <c r="R21" s="379">
        <f t="shared" si="3"/>
        <v>65754.486542336032</v>
      </c>
      <c r="S21" s="374">
        <f t="shared" si="3"/>
        <v>66593.873835582461</v>
      </c>
      <c r="T21" s="149">
        <f t="shared" si="3"/>
        <v>67453.406423866822</v>
      </c>
      <c r="U21" s="149">
        <f t="shared" si="3"/>
        <v>68333.567794269999</v>
      </c>
      <c r="V21" s="149">
        <f t="shared" si="3"/>
        <v>69234.853037562862</v>
      </c>
      <c r="W21" s="379">
        <f t="shared" si="3"/>
        <v>70157.769126694737</v>
      </c>
      <c r="X21" s="374">
        <f t="shared" si="3"/>
        <v>71102.83520196579</v>
      </c>
      <c r="Y21" s="149">
        <f t="shared" si="3"/>
        <v>72070.582863043339</v>
      </c>
      <c r="Z21" s="149">
        <f t="shared" si="3"/>
        <v>73061.556467986753</v>
      </c>
      <c r="AA21" s="338">
        <f t="shared" si="3"/>
        <v>74076.313439448801</v>
      </c>
      <c r="AB21" s="149">
        <f t="shared" si="3"/>
        <v>75115.424578225997</v>
      </c>
    </row>
    <row r="22" spans="1:28" s="159" customFormat="1" x14ac:dyDescent="0.2">
      <c r="A22" s="251"/>
      <c r="B22" s="251"/>
      <c r="C22" s="251"/>
      <c r="D22" s="251"/>
      <c r="E22" s="251"/>
      <c r="F22" s="251"/>
      <c r="G22" s="251"/>
      <c r="H22" s="251"/>
      <c r="I22" s="251"/>
      <c r="J22" s="251"/>
      <c r="K22" s="251"/>
      <c r="L22" s="251"/>
      <c r="M22" s="251"/>
      <c r="N22" s="251"/>
      <c r="O22" s="251"/>
      <c r="P22" s="251"/>
      <c r="Q22" s="251"/>
      <c r="R22" s="251"/>
      <c r="S22" s="251"/>
      <c r="T22" s="251"/>
      <c r="U22" s="251"/>
      <c r="V22" s="251"/>
      <c r="W22" s="251"/>
      <c r="X22" s="251"/>
      <c r="Y22" s="251"/>
      <c r="Z22" s="251"/>
      <c r="AA22" s="251"/>
      <c r="AB22" s="251"/>
    </row>
    <row r="23" spans="1:28" s="162" customFormat="1" ht="15.75" x14ac:dyDescent="0.25">
      <c r="A23" s="312" t="str">
        <f>'Flux financier avec SCHL'!A24</f>
        <v>ENCAISSE NET ANNUEL (CASH-FLOW) (avant impôt)</v>
      </c>
      <c r="B23" s="350"/>
      <c r="C23" s="310">
        <f t="shared" ref="C23:AB23" si="4">C11-C21</f>
        <v>-182895</v>
      </c>
      <c r="D23" s="310">
        <f t="shared" si="4"/>
        <v>-5206.5679904010613</v>
      </c>
      <c r="E23" s="310">
        <f t="shared" si="4"/>
        <v>-4592.8052384010589</v>
      </c>
      <c r="F23" s="310">
        <f t="shared" si="4"/>
        <v>-3964.3121803530667</v>
      </c>
      <c r="G23" s="310">
        <f t="shared" si="4"/>
        <v>-3320.7352889119211</v>
      </c>
      <c r="H23" s="380">
        <f t="shared" si="4"/>
        <v>-2661.7125520761692</v>
      </c>
      <c r="I23" s="375">
        <f t="shared" si="4"/>
        <v>-1986.873269556374</v>
      </c>
      <c r="J23" s="310">
        <f t="shared" si="4"/>
        <v>-1295.8378442561152</v>
      </c>
      <c r="K23" s="310">
        <f t="shared" si="4"/>
        <v>-588.21756874863058</v>
      </c>
      <c r="L23" s="310">
        <f t="shared" si="4"/>
        <v>136.38559337103652</v>
      </c>
      <c r="M23" s="380">
        <f t="shared" si="4"/>
        <v>878.37923138156475</v>
      </c>
      <c r="N23" s="375">
        <f t="shared" si="4"/>
        <v>1638.1807167043517</v>
      </c>
      <c r="O23" s="310">
        <f t="shared" si="4"/>
        <v>2416.2174376748735</v>
      </c>
      <c r="P23" s="310">
        <f t="shared" si="4"/>
        <v>3212.9270399487068</v>
      </c>
      <c r="Q23" s="310">
        <f t="shared" si="4"/>
        <v>4028.7576726771003</v>
      </c>
      <c r="R23" s="380">
        <f t="shared" si="4"/>
        <v>4864.1682405909814</v>
      </c>
      <c r="S23" s="375">
        <f t="shared" si="4"/>
        <v>5719.6286621347972</v>
      </c>
      <c r="T23" s="310">
        <f t="shared" si="4"/>
        <v>6595.6201337956445</v>
      </c>
      <c r="U23" s="310">
        <f t="shared" si="4"/>
        <v>7492.635400776373</v>
      </c>
      <c r="V23" s="310">
        <f t="shared" si="4"/>
        <v>8411.1790341646265</v>
      </c>
      <c r="W23" s="380">
        <f t="shared" si="4"/>
        <v>9351.7677147542126</v>
      </c>
      <c r="X23" s="375">
        <f t="shared" si="4"/>
        <v>10314.930523677933</v>
      </c>
      <c r="Y23" s="310">
        <f t="shared" si="4"/>
        <v>11301.209240015829</v>
      </c>
      <c r="Z23" s="310">
        <f t="shared" si="4"/>
        <v>12311.158645545831</v>
      </c>
      <c r="AA23" s="310">
        <f t="shared" si="4"/>
        <v>13345.34683680856</v>
      </c>
      <c r="AB23" s="310">
        <f t="shared" si="4"/>
        <v>14404.355544661536</v>
      </c>
    </row>
    <row r="24" spans="1:28" s="162" customFormat="1" ht="15.75" x14ac:dyDescent="0.25">
      <c r="A24" s="312" t="str">
        <f>'Flux financier avec SCHL'!A25</f>
        <v>ENCAISSE NET ANNUEL (CASH-FLOW)  (après impôt)</v>
      </c>
      <c r="B24" s="366"/>
      <c r="C24" s="154"/>
      <c r="D24" s="311">
        <f t="shared" ref="D24:AB24" si="5">D23-D31</f>
        <v>-5206.5679904010613</v>
      </c>
      <c r="E24" s="311">
        <f t="shared" si="5"/>
        <v>-4592.8052384010589</v>
      </c>
      <c r="F24" s="311">
        <f t="shared" si="5"/>
        <v>-3964.3121803530667</v>
      </c>
      <c r="G24" s="311">
        <f t="shared" si="5"/>
        <v>-3320.7352889119211</v>
      </c>
      <c r="H24" s="381">
        <f t="shared" si="5"/>
        <v>-2661.7125520761692</v>
      </c>
      <c r="I24" s="376">
        <f t="shared" si="5"/>
        <v>-1986.873269556374</v>
      </c>
      <c r="J24" s="311">
        <f t="shared" si="5"/>
        <v>-1295.8378442561152</v>
      </c>
      <c r="K24" s="311">
        <f t="shared" si="5"/>
        <v>-588.21756874863058</v>
      </c>
      <c r="L24" s="311">
        <f t="shared" si="5"/>
        <v>95.469915359725576</v>
      </c>
      <c r="M24" s="381">
        <f t="shared" si="5"/>
        <v>614.86546196709537</v>
      </c>
      <c r="N24" s="376">
        <f t="shared" si="5"/>
        <v>1146.7265016930462</v>
      </c>
      <c r="O24" s="311">
        <f t="shared" si="5"/>
        <v>1691.3522063724115</v>
      </c>
      <c r="P24" s="311">
        <f t="shared" si="5"/>
        <v>2249.0489279640947</v>
      </c>
      <c r="Q24" s="311">
        <f t="shared" si="5"/>
        <v>2820.1303708739706</v>
      </c>
      <c r="R24" s="381">
        <f t="shared" si="5"/>
        <v>3404.9177684136871</v>
      </c>
      <c r="S24" s="376">
        <f t="shared" si="5"/>
        <v>4003.7400634943579</v>
      </c>
      <c r="T24" s="311">
        <f t="shared" si="5"/>
        <v>4616.9340936569515</v>
      </c>
      <c r="U24" s="311">
        <f t="shared" si="5"/>
        <v>5244.8447805434607</v>
      </c>
      <c r="V24" s="311">
        <f t="shared" si="5"/>
        <v>5887.8253239152382</v>
      </c>
      <c r="W24" s="381">
        <f t="shared" si="5"/>
        <v>6546.2374003279492</v>
      </c>
      <c r="X24" s="376">
        <f t="shared" si="5"/>
        <v>7220.4513665745526</v>
      </c>
      <c r="Y24" s="311">
        <f t="shared" si="5"/>
        <v>7910.846468011081</v>
      </c>
      <c r="Z24" s="311">
        <f t="shared" si="5"/>
        <v>8617.8110518820813</v>
      </c>
      <c r="AA24" s="311">
        <f t="shared" si="5"/>
        <v>9341.7427857659914</v>
      </c>
      <c r="AB24" s="311">
        <f t="shared" si="5"/>
        <v>10083.048881263076</v>
      </c>
    </row>
    <row r="25" spans="1:28" s="163" customFormat="1" ht="12.75" customHeight="1" x14ac:dyDescent="0.25">
      <c r="A25" s="247"/>
      <c r="B25" s="247"/>
      <c r="C25" s="247"/>
      <c r="D25" s="247"/>
      <c r="E25" s="247"/>
      <c r="F25" s="247"/>
      <c r="G25" s="247"/>
      <c r="H25" s="247"/>
      <c r="I25" s="247"/>
      <c r="J25" s="247"/>
      <c r="K25" s="247"/>
      <c r="L25" s="247"/>
      <c r="M25" s="247"/>
      <c r="N25" s="247"/>
      <c r="O25" s="247"/>
      <c r="P25" s="247"/>
      <c r="Q25" s="247"/>
      <c r="R25" s="247"/>
      <c r="S25" s="247"/>
      <c r="T25" s="247"/>
      <c r="U25" s="247"/>
      <c r="V25" s="247"/>
      <c r="W25" s="247"/>
      <c r="X25" s="247"/>
      <c r="Y25" s="247"/>
      <c r="Z25" s="247"/>
      <c r="AA25" s="247"/>
      <c r="AB25" s="247"/>
    </row>
    <row r="26" spans="1:28" s="162" customFormat="1" ht="15.75" x14ac:dyDescent="0.2">
      <c r="A26" s="164" t="str">
        <f>'Flux financier avec SCHL'!A27</f>
        <v>IMPÔTS</v>
      </c>
      <c r="B26" s="242"/>
      <c r="C26" s="165"/>
      <c r="D26" s="165"/>
      <c r="E26" s="165"/>
      <c r="F26" s="165"/>
      <c r="G26" s="165"/>
      <c r="H26" s="165"/>
      <c r="I26" s="165"/>
      <c r="J26" s="165"/>
      <c r="K26" s="165"/>
      <c r="L26" s="165"/>
      <c r="M26" s="165"/>
      <c r="N26" s="165"/>
      <c r="O26" s="165"/>
      <c r="P26" s="165"/>
      <c r="Q26" s="165"/>
      <c r="R26" s="165"/>
      <c r="S26" s="165"/>
      <c r="T26" s="165"/>
      <c r="U26" s="165"/>
      <c r="V26" s="165"/>
      <c r="W26" s="165"/>
      <c r="X26" s="165"/>
      <c r="Y26" s="165"/>
      <c r="Z26" s="165"/>
      <c r="AA26" s="165"/>
      <c r="AB26" s="166"/>
    </row>
    <row r="27" spans="1:28" s="155" customFormat="1" x14ac:dyDescent="0.2">
      <c r="A27" s="160" t="str">
        <f>'Flux financier avec SCHL'!A28</f>
        <v>Résultats bruts</v>
      </c>
      <c r="B27" s="362"/>
      <c r="C27" s="357"/>
      <c r="D27" s="308">
        <f t="shared" ref="D27:S27" si="6">D11-(D16+D18)</f>
        <v>7929.8249216063487</v>
      </c>
      <c r="E27" s="308">
        <f t="shared" si="6"/>
        <v>9007.3844458559106</v>
      </c>
      <c r="F27" s="308">
        <f t="shared" si="6"/>
        <v>10116.049200943708</v>
      </c>
      <c r="G27" s="308">
        <f t="shared" si="6"/>
        <v>11256.75085140326</v>
      </c>
      <c r="H27" s="382">
        <f t="shared" si="6"/>
        <v>12430.449958280515</v>
      </c>
      <c r="I27" s="377">
        <f t="shared" si="6"/>
        <v>13638.136903431587</v>
      </c>
      <c r="J27" s="308">
        <f t="shared" si="6"/>
        <v>14880.832844151912</v>
      </c>
      <c r="K27" s="308">
        <f t="shared" si="6"/>
        <v>16159.590699152002</v>
      </c>
      <c r="L27" s="308">
        <f t="shared" si="6"/>
        <v>17475.496166930228</v>
      </c>
      <c r="M27" s="382">
        <f t="shared" si="6"/>
        <v>18829.668777628489</v>
      </c>
      <c r="N27" s="377">
        <f t="shared" si="6"/>
        <v>20223.262979493447</v>
      </c>
      <c r="O27" s="308">
        <f t="shared" si="6"/>
        <v>21657.469261104576</v>
      </c>
      <c r="P27" s="308">
        <f t="shared" si="6"/>
        <v>23133.515310569368</v>
      </c>
      <c r="Q27" s="308">
        <f t="shared" si="6"/>
        <v>24652.667212927365</v>
      </c>
      <c r="R27" s="382">
        <f t="shared" si="6"/>
        <v>26216.2306870467</v>
      </c>
      <c r="S27" s="377">
        <f t="shared" si="6"/>
        <v>27825.552363340692</v>
      </c>
      <c r="T27" s="308">
        <f>T11-(T809+T18)</f>
        <v>66155.411537143009</v>
      </c>
      <c r="U27" s="308">
        <f t="shared" ref="U27:AB27" si="7">U11-(U16+U18)</f>
        <v>31187.069364900861</v>
      </c>
      <c r="V27" s="308">
        <f t="shared" si="7"/>
        <v>32942.174607434987</v>
      </c>
      <c r="W27" s="382">
        <f t="shared" si="7"/>
        <v>34748.860750483349</v>
      </c>
      <c r="X27" s="377">
        <f t="shared" si="7"/>
        <v>36608.699675399781</v>
      </c>
      <c r="Y27" s="308">
        <f t="shared" si="7"/>
        <v>38523.312778850654</v>
      </c>
      <c r="Z27" s="308">
        <f t="shared" si="7"/>
        <v>40494.372577448645</v>
      </c>
      <c r="AA27" s="308">
        <f t="shared" si="7"/>
        <v>42523.60436559462</v>
      </c>
      <c r="AB27" s="308">
        <f t="shared" si="7"/>
        <v>44612.787928323341</v>
      </c>
    </row>
    <row r="28" spans="1:28" s="155" customFormat="1" x14ac:dyDescent="0.2">
      <c r="A28" s="160" t="str">
        <f>'Flux financier avec SCHL'!A29</f>
        <v>Amortissement (4% de l'évaluation municipale de la bâtisse)</v>
      </c>
      <c r="B28" s="362"/>
      <c r="C28" s="357"/>
      <c r="D28" s="308">
        <f t="shared" ref="D28:AB28" si="8">D38</f>
        <v>0</v>
      </c>
      <c r="E28" s="308">
        <f t="shared" si="8"/>
        <v>0</v>
      </c>
      <c r="F28" s="308">
        <f t="shared" si="8"/>
        <v>0</v>
      </c>
      <c r="G28" s="308">
        <f t="shared" si="8"/>
        <v>0</v>
      </c>
      <c r="H28" s="382">
        <f t="shared" si="8"/>
        <v>0</v>
      </c>
      <c r="I28" s="377">
        <f t="shared" si="8"/>
        <v>0</v>
      </c>
      <c r="J28" s="308">
        <f t="shared" si="8"/>
        <v>0</v>
      </c>
      <c r="K28" s="308">
        <f t="shared" si="8"/>
        <v>0</v>
      </c>
      <c r="L28" s="308">
        <f t="shared" si="8"/>
        <v>0</v>
      </c>
      <c r="M28" s="382">
        <f t="shared" si="8"/>
        <v>0</v>
      </c>
      <c r="N28" s="377">
        <f t="shared" si="8"/>
        <v>0</v>
      </c>
      <c r="O28" s="308">
        <f t="shared" si="8"/>
        <v>0</v>
      </c>
      <c r="P28" s="308">
        <f t="shared" si="8"/>
        <v>0</v>
      </c>
      <c r="Q28" s="308">
        <f t="shared" si="8"/>
        <v>0</v>
      </c>
      <c r="R28" s="382">
        <f t="shared" si="8"/>
        <v>0</v>
      </c>
      <c r="S28" s="377">
        <f t="shared" si="8"/>
        <v>0</v>
      </c>
      <c r="T28" s="308">
        <f t="shared" si="8"/>
        <v>0</v>
      </c>
      <c r="U28" s="308">
        <f t="shared" si="8"/>
        <v>0</v>
      </c>
      <c r="V28" s="308">
        <f t="shared" si="8"/>
        <v>0</v>
      </c>
      <c r="W28" s="382">
        <f t="shared" si="8"/>
        <v>0</v>
      </c>
      <c r="X28" s="377">
        <f t="shared" si="8"/>
        <v>0</v>
      </c>
      <c r="Y28" s="308">
        <f t="shared" si="8"/>
        <v>0</v>
      </c>
      <c r="Z28" s="308">
        <f t="shared" si="8"/>
        <v>0</v>
      </c>
      <c r="AA28" s="308">
        <f t="shared" si="8"/>
        <v>0</v>
      </c>
      <c r="AB28" s="308">
        <f t="shared" si="8"/>
        <v>0</v>
      </c>
    </row>
    <row r="29" spans="1:28" s="155" customFormat="1" x14ac:dyDescent="0.2">
      <c r="A29" s="160" t="str">
        <f>'Flux financier avec SCHL'!A30</f>
        <v>Total</v>
      </c>
      <c r="B29" s="362"/>
      <c r="C29" s="357"/>
      <c r="D29" s="308">
        <f>D27-D28</f>
        <v>7929.8249216063487</v>
      </c>
      <c r="E29" s="308">
        <f>E27-E28</f>
        <v>9007.3844458559106</v>
      </c>
      <c r="F29" s="308">
        <f t="shared" ref="F29:AB29" si="9">F27-F28</f>
        <v>10116.049200943708</v>
      </c>
      <c r="G29" s="308">
        <f t="shared" si="9"/>
        <v>11256.75085140326</v>
      </c>
      <c r="H29" s="382">
        <f t="shared" si="9"/>
        <v>12430.449958280515</v>
      </c>
      <c r="I29" s="377">
        <f t="shared" si="9"/>
        <v>13638.136903431587</v>
      </c>
      <c r="J29" s="308">
        <f t="shared" si="9"/>
        <v>14880.832844151912</v>
      </c>
      <c r="K29" s="308">
        <f t="shared" si="9"/>
        <v>16159.590699152002</v>
      </c>
      <c r="L29" s="308">
        <f t="shared" si="9"/>
        <v>17475.496166930228</v>
      </c>
      <c r="M29" s="382">
        <f t="shared" si="9"/>
        <v>18829.668777628489</v>
      </c>
      <c r="N29" s="377">
        <f t="shared" si="9"/>
        <v>20223.262979493447</v>
      </c>
      <c r="O29" s="308">
        <f t="shared" si="9"/>
        <v>21657.469261104576</v>
      </c>
      <c r="P29" s="308">
        <f t="shared" si="9"/>
        <v>23133.515310569368</v>
      </c>
      <c r="Q29" s="308">
        <f t="shared" si="9"/>
        <v>24652.667212927365</v>
      </c>
      <c r="R29" s="382">
        <f t="shared" si="9"/>
        <v>26216.2306870467</v>
      </c>
      <c r="S29" s="377">
        <f t="shared" si="9"/>
        <v>27825.552363340692</v>
      </c>
      <c r="T29" s="308">
        <f t="shared" si="9"/>
        <v>66155.411537143009</v>
      </c>
      <c r="U29" s="308">
        <f t="shared" si="9"/>
        <v>31187.069364900861</v>
      </c>
      <c r="V29" s="308">
        <f t="shared" si="9"/>
        <v>32942.174607434987</v>
      </c>
      <c r="W29" s="382">
        <f t="shared" si="9"/>
        <v>34748.860750483349</v>
      </c>
      <c r="X29" s="377">
        <f t="shared" si="9"/>
        <v>36608.699675399781</v>
      </c>
      <c r="Y29" s="308">
        <f t="shared" si="9"/>
        <v>38523.312778850654</v>
      </c>
      <c r="Z29" s="308">
        <f t="shared" si="9"/>
        <v>40494.372577448645</v>
      </c>
      <c r="AA29" s="308">
        <f t="shared" si="9"/>
        <v>42523.60436559462</v>
      </c>
      <c r="AB29" s="308">
        <f t="shared" si="9"/>
        <v>44612.787928323341</v>
      </c>
    </row>
    <row r="30" spans="1:28" s="155" customFormat="1" x14ac:dyDescent="0.2">
      <c r="A30" s="160" t="str">
        <f>'Flux financier avec SCHL'!A31</f>
        <v>Pertes reportées (ajouter lors de la vente)</v>
      </c>
      <c r="B30" s="334"/>
      <c r="C30" s="56">
        <f>D30+E30+F30+G30+H30+I30+J30+K30+L30+M30+N30+O30+P30+Q30+R30+S30+T30+U30+V30+W30+X30+Y30+Z30+AA30+AB30</f>
        <v>-23617.061932704397</v>
      </c>
      <c r="D30" s="308">
        <f>IF(D24&gt;0,0,D24)</f>
        <v>-5206.5679904010613</v>
      </c>
      <c r="E30" s="308">
        <f t="shared" ref="E30:AB30" si="10">IF(E24&gt;0,0,E24)</f>
        <v>-4592.8052384010589</v>
      </c>
      <c r="F30" s="308">
        <f t="shared" si="10"/>
        <v>-3964.3121803530667</v>
      </c>
      <c r="G30" s="308">
        <f t="shared" si="10"/>
        <v>-3320.7352889119211</v>
      </c>
      <c r="H30" s="382">
        <f t="shared" si="10"/>
        <v>-2661.7125520761692</v>
      </c>
      <c r="I30" s="377">
        <f t="shared" si="10"/>
        <v>-1986.873269556374</v>
      </c>
      <c r="J30" s="308">
        <f t="shared" si="10"/>
        <v>-1295.8378442561152</v>
      </c>
      <c r="K30" s="308">
        <f t="shared" si="10"/>
        <v>-588.21756874863058</v>
      </c>
      <c r="L30" s="308">
        <f t="shared" si="10"/>
        <v>0</v>
      </c>
      <c r="M30" s="382">
        <f t="shared" si="10"/>
        <v>0</v>
      </c>
      <c r="N30" s="377">
        <f t="shared" si="10"/>
        <v>0</v>
      </c>
      <c r="O30" s="308">
        <f t="shared" si="10"/>
        <v>0</v>
      </c>
      <c r="P30" s="308">
        <f t="shared" si="10"/>
        <v>0</v>
      </c>
      <c r="Q30" s="308">
        <f t="shared" si="10"/>
        <v>0</v>
      </c>
      <c r="R30" s="382">
        <f t="shared" si="10"/>
        <v>0</v>
      </c>
      <c r="S30" s="377">
        <f t="shared" si="10"/>
        <v>0</v>
      </c>
      <c r="T30" s="308">
        <f t="shared" si="10"/>
        <v>0</v>
      </c>
      <c r="U30" s="308">
        <f t="shared" si="10"/>
        <v>0</v>
      </c>
      <c r="V30" s="308">
        <f t="shared" si="10"/>
        <v>0</v>
      </c>
      <c r="W30" s="382">
        <f t="shared" si="10"/>
        <v>0</v>
      </c>
      <c r="X30" s="377">
        <f t="shared" si="10"/>
        <v>0</v>
      </c>
      <c r="Y30" s="308">
        <f t="shared" si="10"/>
        <v>0</v>
      </c>
      <c r="Z30" s="308">
        <f t="shared" si="10"/>
        <v>0</v>
      </c>
      <c r="AA30" s="308">
        <f t="shared" si="10"/>
        <v>0</v>
      </c>
      <c r="AB30" s="308">
        <f t="shared" si="10"/>
        <v>0</v>
      </c>
    </row>
    <row r="31" spans="1:28" s="155" customFormat="1" x14ac:dyDescent="0.2">
      <c r="A31" s="160" t="str">
        <f>'Flux financier avec SCHL'!A32</f>
        <v>Impôts NET à payer sur les revenus annuels</v>
      </c>
      <c r="B31" s="363">
        <v>0.3</v>
      </c>
      <c r="C31" s="367"/>
      <c r="D31" s="308">
        <f t="shared" ref="D31:AB31" si="11">(IF(D23&lt;0,0,D23))*$B$31</f>
        <v>0</v>
      </c>
      <c r="E31" s="308">
        <f t="shared" si="11"/>
        <v>0</v>
      </c>
      <c r="F31" s="308">
        <f t="shared" si="11"/>
        <v>0</v>
      </c>
      <c r="G31" s="308">
        <f t="shared" si="11"/>
        <v>0</v>
      </c>
      <c r="H31" s="382">
        <f t="shared" si="11"/>
        <v>0</v>
      </c>
      <c r="I31" s="377">
        <f t="shared" si="11"/>
        <v>0</v>
      </c>
      <c r="J31" s="308">
        <f t="shared" si="11"/>
        <v>0</v>
      </c>
      <c r="K31" s="308">
        <f t="shared" si="11"/>
        <v>0</v>
      </c>
      <c r="L31" s="308">
        <f t="shared" si="11"/>
        <v>40.915678011310952</v>
      </c>
      <c r="M31" s="382">
        <f t="shared" si="11"/>
        <v>263.51376941446944</v>
      </c>
      <c r="N31" s="377">
        <f t="shared" si="11"/>
        <v>491.45421501130545</v>
      </c>
      <c r="O31" s="308">
        <f t="shared" si="11"/>
        <v>724.86523130246201</v>
      </c>
      <c r="P31" s="308">
        <f t="shared" si="11"/>
        <v>963.87811198461202</v>
      </c>
      <c r="Q31" s="308">
        <f t="shared" si="11"/>
        <v>1208.62730180313</v>
      </c>
      <c r="R31" s="382">
        <f t="shared" si="11"/>
        <v>1459.2504721772943</v>
      </c>
      <c r="S31" s="377">
        <f t="shared" si="11"/>
        <v>1715.8885986404391</v>
      </c>
      <c r="T31" s="308">
        <f t="shared" si="11"/>
        <v>1978.6860401386932</v>
      </c>
      <c r="U31" s="308">
        <f t="shared" si="11"/>
        <v>2247.7906202329118</v>
      </c>
      <c r="V31" s="308">
        <f t="shared" si="11"/>
        <v>2523.3537102493879</v>
      </c>
      <c r="W31" s="382">
        <f t="shared" si="11"/>
        <v>2805.5303144262639</v>
      </c>
      <c r="X31" s="377">
        <f t="shared" si="11"/>
        <v>3094.4791571033797</v>
      </c>
      <c r="Y31" s="308">
        <f t="shared" si="11"/>
        <v>3390.3627720047484</v>
      </c>
      <c r="Z31" s="308">
        <f t="shared" si="11"/>
        <v>3693.3475936637492</v>
      </c>
      <c r="AA31" s="308">
        <f t="shared" si="11"/>
        <v>4003.6040510425678</v>
      </c>
      <c r="AB31" s="308">
        <f t="shared" si="11"/>
        <v>4321.3066633984608</v>
      </c>
    </row>
    <row r="32" spans="1:28" s="162" customFormat="1" x14ac:dyDescent="0.2">
      <c r="A32" s="317" t="str">
        <f>'Flux financier avec SCHL'!A33</f>
        <v>Montant sur lequel l'impôt est calculé et payable lors de la vente de l'immeuble</v>
      </c>
      <c r="B32" s="314"/>
      <c r="C32" s="364">
        <f>(((C5-C20)/2)+(C38)-(C17-C30))</f>
        <v>241906.5406263707</v>
      </c>
      <c r="D32" s="315"/>
      <c r="E32" s="315"/>
      <c r="F32" s="315"/>
      <c r="G32" s="315"/>
      <c r="H32" s="315"/>
      <c r="I32" s="315"/>
      <c r="J32" s="315"/>
      <c r="K32" s="315"/>
      <c r="L32" s="315"/>
      <c r="M32" s="315"/>
      <c r="N32" s="315"/>
      <c r="O32" s="315"/>
      <c r="P32" s="315"/>
      <c r="Q32" s="315"/>
      <c r="R32" s="315"/>
      <c r="S32" s="315"/>
      <c r="T32" s="315"/>
      <c r="U32" s="315"/>
      <c r="V32" s="315"/>
      <c r="W32" s="315"/>
      <c r="X32" s="315"/>
      <c r="Y32" s="315"/>
      <c r="Z32" s="315"/>
      <c r="AA32" s="315"/>
      <c r="AB32" s="315"/>
    </row>
    <row r="33" spans="1:28" s="155" customFormat="1" x14ac:dyDescent="0.2">
      <c r="A33" s="317" t="str">
        <f>'Flux financier avec SCHL'!A34</f>
        <v>Montant à remettre à l'impôt lors de la vente de l'immeuble</v>
      </c>
      <c r="B33" s="318">
        <v>0.5</v>
      </c>
      <c r="C33" s="364">
        <f>C32*B33</f>
        <v>120953.27031318535</v>
      </c>
      <c r="D33" s="316"/>
      <c r="E33" s="316"/>
      <c r="F33" s="316"/>
      <c r="G33" s="316"/>
      <c r="H33" s="316"/>
      <c r="I33" s="316"/>
      <c r="J33" s="316"/>
      <c r="K33" s="316"/>
      <c r="L33" s="316"/>
      <c r="M33" s="316"/>
      <c r="N33" s="316"/>
      <c r="O33" s="316"/>
      <c r="P33" s="316"/>
      <c r="Q33" s="316"/>
      <c r="R33" s="316"/>
      <c r="S33" s="316"/>
      <c r="T33" s="316"/>
      <c r="U33" s="316"/>
      <c r="V33" s="316"/>
      <c r="W33" s="316"/>
      <c r="X33" s="316"/>
      <c r="Y33" s="316"/>
      <c r="Z33" s="316"/>
      <c r="AA33" s="316"/>
      <c r="AB33" s="316"/>
    </row>
    <row r="34" spans="1:28" s="155" customFormat="1" x14ac:dyDescent="0.2">
      <c r="A34" s="317" t="str">
        <f>'Flux financier avec SCHL'!A35</f>
        <v>Profit NET après impôt dans mes poches</v>
      </c>
      <c r="B34" s="316"/>
      <c r="C34" s="365">
        <f>(((C5-C20)-C33))</f>
        <v>433383.93480496487</v>
      </c>
      <c r="D34" s="319"/>
      <c r="E34" s="319"/>
      <c r="F34" s="319"/>
      <c r="G34" s="319"/>
      <c r="H34" s="319"/>
      <c r="I34" s="319"/>
      <c r="J34" s="319"/>
      <c r="K34" s="319"/>
      <c r="L34" s="319"/>
      <c r="M34" s="319"/>
      <c r="N34" s="319"/>
      <c r="O34" s="319"/>
      <c r="P34" s="319"/>
      <c r="Q34" s="319"/>
      <c r="R34" s="319"/>
      <c r="S34" s="319"/>
      <c r="T34" s="319"/>
      <c r="U34" s="319"/>
      <c r="V34" s="319"/>
      <c r="W34" s="319"/>
      <c r="X34" s="319"/>
      <c r="Y34" s="319"/>
      <c r="Z34" s="319"/>
      <c r="AA34" s="319"/>
      <c r="AB34" s="319"/>
    </row>
    <row r="35" spans="1:28" x14ac:dyDescent="0.2">
      <c r="A35" s="342"/>
      <c r="B35" s="342"/>
      <c r="C35" s="342"/>
      <c r="D35" s="342"/>
      <c r="E35" s="342"/>
      <c r="F35" s="342"/>
      <c r="G35" s="342"/>
      <c r="H35" s="342"/>
      <c r="I35" s="342"/>
      <c r="J35" s="342"/>
      <c r="K35" s="342"/>
      <c r="L35" s="342"/>
      <c r="M35" s="342"/>
      <c r="N35" s="342"/>
      <c r="O35" s="342"/>
      <c r="P35" s="342"/>
      <c r="Q35" s="342"/>
      <c r="R35" s="342"/>
      <c r="S35" s="342"/>
      <c r="T35" s="342"/>
      <c r="U35" s="342"/>
      <c r="V35" s="342"/>
      <c r="W35" s="342"/>
      <c r="X35" s="342"/>
      <c r="Y35" s="342"/>
      <c r="Z35" s="342"/>
      <c r="AA35" s="342"/>
      <c r="AB35" s="342"/>
    </row>
    <row r="36" spans="1:28" ht="15.75" x14ac:dyDescent="0.2">
      <c r="A36" s="150" t="str">
        <f>'Flux financier avec SCHL'!A37</f>
        <v>AMORTISSEMENT</v>
      </c>
      <c r="B36" s="150"/>
      <c r="C36" s="333"/>
      <c r="D36" s="333"/>
      <c r="E36" s="333"/>
      <c r="F36" s="333"/>
      <c r="G36" s="333"/>
      <c r="H36" s="333"/>
      <c r="I36" s="333"/>
      <c r="J36" s="333"/>
      <c r="K36" s="333"/>
      <c r="L36" s="333"/>
      <c r="M36" s="333"/>
      <c r="N36" s="333"/>
      <c r="O36" s="333"/>
      <c r="P36" s="333"/>
      <c r="Q36" s="333"/>
      <c r="R36" s="333"/>
      <c r="S36" s="333"/>
      <c r="T36" s="333"/>
      <c r="U36" s="333"/>
      <c r="V36" s="333"/>
      <c r="W36" s="333"/>
      <c r="X36" s="333"/>
      <c r="Y36" s="333"/>
      <c r="Z36" s="333"/>
      <c r="AA36" s="333"/>
      <c r="AB36" s="333"/>
    </row>
    <row r="37" spans="1:28" x14ac:dyDescent="0.2">
      <c r="A37" s="160" t="str">
        <f>'Flux financier avec SCHL'!A38</f>
        <v>Solde restante de l'amortissement sur immeuble</v>
      </c>
      <c r="B37" s="349"/>
      <c r="C37" s="304">
        <f>' Exemple sans SCHL'!B46</f>
        <v>793000</v>
      </c>
      <c r="D37" s="304">
        <f>' Exemple sans SCHL'!E54</f>
        <v>793000</v>
      </c>
      <c r="E37" s="304">
        <f>' Exemple sans SCHL'!E55</f>
        <v>793000</v>
      </c>
      <c r="F37" s="304">
        <f>' Exemple sans SCHL'!E56</f>
        <v>793000</v>
      </c>
      <c r="G37" s="304">
        <f>' Exemple sans SCHL'!E57</f>
        <v>793000</v>
      </c>
      <c r="H37" s="372">
        <f>' Exemple sans SCHL'!E58</f>
        <v>793000</v>
      </c>
      <c r="I37" s="369">
        <f>' Exemple sans SCHL'!E59</f>
        <v>793000</v>
      </c>
      <c r="J37" s="304">
        <f>' Exemple sans SCHL'!E60</f>
        <v>793000</v>
      </c>
      <c r="K37" s="304">
        <f>' Exemple sans SCHL'!E61</f>
        <v>793000</v>
      </c>
      <c r="L37" s="304">
        <f>' Exemple sans SCHL'!E62</f>
        <v>793000</v>
      </c>
      <c r="M37" s="372">
        <f>' Exemple sans SCHL'!E63</f>
        <v>793000</v>
      </c>
      <c r="N37" s="369">
        <f>' Exemple sans SCHL'!E64</f>
        <v>793000</v>
      </c>
      <c r="O37" s="304">
        <f>' Exemple sans SCHL'!E65</f>
        <v>793000</v>
      </c>
      <c r="P37" s="304">
        <f>' Exemple sans SCHL'!E66</f>
        <v>793000</v>
      </c>
      <c r="Q37" s="304">
        <f>' Exemple sans SCHL'!E67</f>
        <v>793000</v>
      </c>
      <c r="R37" s="372">
        <f>' Exemple sans SCHL'!E68</f>
        <v>793000</v>
      </c>
      <c r="S37" s="369">
        <f>' Exemple sans SCHL'!E69</f>
        <v>793000</v>
      </c>
      <c r="T37" s="304">
        <f>' Exemple sans SCHL'!E70</f>
        <v>793000</v>
      </c>
      <c r="U37" s="304">
        <f>' Exemple sans SCHL'!E71</f>
        <v>793000</v>
      </c>
      <c r="V37" s="304">
        <f>' Exemple sans SCHL'!E72</f>
        <v>793000</v>
      </c>
      <c r="W37" s="372">
        <f>' Exemple sans SCHL'!E73</f>
        <v>793000</v>
      </c>
      <c r="X37" s="369">
        <f>' Exemple sans SCHL'!E74</f>
        <v>793000</v>
      </c>
      <c r="Y37" s="304">
        <f>' Exemple sans SCHL'!E75</f>
        <v>793000</v>
      </c>
      <c r="Z37" s="304">
        <f>' Exemple sans SCHL'!E76</f>
        <v>793000</v>
      </c>
      <c r="AA37" s="304">
        <f>' Exemple sans SCHL'!E77</f>
        <v>793000</v>
      </c>
      <c r="AB37" s="304">
        <f>' Exemple sans SCHL'!E78</f>
        <v>793000</v>
      </c>
    </row>
    <row r="38" spans="1:28" x14ac:dyDescent="0.2">
      <c r="A38" s="160" t="s">
        <v>220</v>
      </c>
      <c r="B38" s="349"/>
      <c r="C38" s="304">
        <f>D38+E38+F38+G38+H38+I38+J38+K38+L38+M38+N38+O38+P38+Q38+R38+S38+T38+U38+V38+W38+X38+Y38+Z38+AA38+AB38</f>
        <v>0</v>
      </c>
      <c r="D38" s="309">
        <f>' Exemple sans SCHL'!D54</f>
        <v>0</v>
      </c>
      <c r="E38" s="309">
        <f>' Exemple sans SCHL'!D55</f>
        <v>0</v>
      </c>
      <c r="F38" s="309">
        <f>' Exemple sans SCHL'!D56</f>
        <v>0</v>
      </c>
      <c r="G38" s="309">
        <f>' Exemple sans SCHL'!D57</f>
        <v>0</v>
      </c>
      <c r="H38" s="383">
        <f>' Exemple sans SCHL'!D58</f>
        <v>0</v>
      </c>
      <c r="I38" s="378">
        <f>' Exemple sans SCHL'!D59</f>
        <v>0</v>
      </c>
      <c r="J38" s="309">
        <f>' Exemple sans SCHL'!D60</f>
        <v>0</v>
      </c>
      <c r="K38" s="309">
        <f>' Exemple sans SCHL'!D61</f>
        <v>0</v>
      </c>
      <c r="L38" s="309">
        <f>' Exemple sans SCHL'!D62</f>
        <v>0</v>
      </c>
      <c r="M38" s="383">
        <f>' Exemple sans SCHL'!D63</f>
        <v>0</v>
      </c>
      <c r="N38" s="378">
        <f>' Exemple sans SCHL'!D64</f>
        <v>0</v>
      </c>
      <c r="O38" s="309">
        <f>' Exemple sans SCHL'!D65</f>
        <v>0</v>
      </c>
      <c r="P38" s="309">
        <f>' Exemple sans SCHL'!D66</f>
        <v>0</v>
      </c>
      <c r="Q38" s="309">
        <f>' Exemple sans SCHL'!D67</f>
        <v>0</v>
      </c>
      <c r="R38" s="383">
        <f>' Exemple sans SCHL'!D68</f>
        <v>0</v>
      </c>
      <c r="S38" s="378">
        <f>' Exemple sans SCHL'!D69</f>
        <v>0</v>
      </c>
      <c r="T38" s="309">
        <f>' Exemple sans SCHL'!D70</f>
        <v>0</v>
      </c>
      <c r="U38" s="309">
        <f>' Exemple sans SCHL'!D71</f>
        <v>0</v>
      </c>
      <c r="V38" s="309">
        <f>' Exemple sans SCHL'!D72</f>
        <v>0</v>
      </c>
      <c r="W38" s="383">
        <f>' Exemple sans SCHL'!D73</f>
        <v>0</v>
      </c>
      <c r="X38" s="378">
        <f>' Exemple sans SCHL'!D74</f>
        <v>0</v>
      </c>
      <c r="Y38" s="309">
        <f>' Exemple sans SCHL'!D75</f>
        <v>0</v>
      </c>
      <c r="Z38" s="309">
        <f>' Exemple sans SCHL'!D76</f>
        <v>0</v>
      </c>
      <c r="AA38" s="309">
        <f>' Exemple sans SCHL'!D77</f>
        <v>0</v>
      </c>
      <c r="AB38" s="309">
        <f>' Exemple sans SCHL'!D78</f>
        <v>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40"/>
  <sheetViews>
    <sheetView workbookViewId="0">
      <selection activeCell="C9" sqref="C9:C18"/>
    </sheetView>
  </sheetViews>
  <sheetFormatPr baseColWidth="10" defaultRowHeight="12.75" x14ac:dyDescent="0.2"/>
  <cols>
    <col min="1" max="1" width="57.28515625" customWidth="1"/>
    <col min="2" max="2" width="19.28515625" style="113" customWidth="1"/>
  </cols>
  <sheetData>
    <row r="1" spans="1:3" x14ac:dyDescent="0.2">
      <c r="A1" s="120" t="s">
        <v>254</v>
      </c>
      <c r="B1" s="120" t="s">
        <v>166</v>
      </c>
      <c r="C1" s="120" t="s">
        <v>148</v>
      </c>
    </row>
    <row r="2" spans="1:3" x14ac:dyDescent="0.2">
      <c r="A2" s="118" t="s">
        <v>155</v>
      </c>
      <c r="B2" s="119">
        <v>600</v>
      </c>
      <c r="C2" s="425">
        <f>(B2+B3+B4+B5)/B6</f>
        <v>0.30948717948717946</v>
      </c>
    </row>
    <row r="3" spans="1:3" x14ac:dyDescent="0.2">
      <c r="A3" s="117" t="s">
        <v>154</v>
      </c>
      <c r="B3" s="115">
        <v>340</v>
      </c>
      <c r="C3" s="425"/>
    </row>
    <row r="4" spans="1:3" x14ac:dyDescent="0.2">
      <c r="A4" s="117" t="s">
        <v>8</v>
      </c>
      <c r="B4" s="115">
        <v>267</v>
      </c>
      <c r="C4" s="425"/>
    </row>
    <row r="5" spans="1:3" ht="15" customHeight="1" x14ac:dyDescent="0.2">
      <c r="A5" s="117" t="s">
        <v>161</v>
      </c>
      <c r="B5" s="115">
        <v>0</v>
      </c>
      <c r="C5" s="425"/>
    </row>
    <row r="6" spans="1:3" ht="15" customHeight="1" x14ac:dyDescent="0.2">
      <c r="A6" s="117" t="s">
        <v>242</v>
      </c>
      <c r="B6" s="115">
        <v>3900</v>
      </c>
      <c r="C6" s="426"/>
    </row>
    <row r="7" spans="1:3" ht="15" customHeight="1" x14ac:dyDescent="0.2">
      <c r="B7" s="114"/>
    </row>
    <row r="8" spans="1:3" ht="15" customHeight="1" x14ac:dyDescent="0.2">
      <c r="A8" s="120" t="s">
        <v>255</v>
      </c>
      <c r="B8" s="120" t="str">
        <f>B1</f>
        <v>Montant mensuel</v>
      </c>
      <c r="C8" s="120" t="str">
        <f>C1</f>
        <v>Résultat %</v>
      </c>
    </row>
    <row r="9" spans="1:3" ht="15" customHeight="1" x14ac:dyDescent="0.2">
      <c r="A9" s="118" t="str">
        <f t="shared" ref="A9:B12" si="0">A2</f>
        <v>Versement hypothécaire (Capital et intérêts)</v>
      </c>
      <c r="B9" s="121">
        <f t="shared" si="0"/>
        <v>600</v>
      </c>
      <c r="C9" s="427">
        <f>(B9+B10+B11+B12+B13+B14+B15+B16+B17)/B18</f>
        <v>0.43974358974358974</v>
      </c>
    </row>
    <row r="10" spans="1:3" ht="12.75" customHeight="1" x14ac:dyDescent="0.2">
      <c r="A10" s="117" t="str">
        <f t="shared" si="0"/>
        <v>Taxes foncières (Municipale et Scolaires)</v>
      </c>
      <c r="B10" s="116">
        <f t="shared" si="0"/>
        <v>340</v>
      </c>
      <c r="C10" s="427"/>
    </row>
    <row r="11" spans="1:3" ht="12.75" customHeight="1" x14ac:dyDescent="0.2">
      <c r="A11" s="117" t="str">
        <f t="shared" si="0"/>
        <v>Chauffage</v>
      </c>
      <c r="B11" s="116">
        <f t="shared" si="0"/>
        <v>267</v>
      </c>
      <c r="C11" s="427"/>
    </row>
    <row r="12" spans="1:3" ht="12.75" customHeight="1" x14ac:dyDescent="0.2">
      <c r="A12" s="117" t="str">
        <f t="shared" si="0"/>
        <v>Frais de condo</v>
      </c>
      <c r="B12" s="116">
        <f t="shared" si="0"/>
        <v>0</v>
      </c>
      <c r="C12" s="427"/>
    </row>
    <row r="13" spans="1:3" ht="12.75" customHeight="1" x14ac:dyDescent="0.2">
      <c r="A13" s="117" t="s">
        <v>153</v>
      </c>
      <c r="B13" s="115">
        <v>0</v>
      </c>
      <c r="C13" s="427"/>
    </row>
    <row r="14" spans="1:3" ht="12.75" customHeight="1" x14ac:dyDescent="0.2">
      <c r="A14" s="117" t="s">
        <v>152</v>
      </c>
      <c r="B14" s="115">
        <v>508</v>
      </c>
      <c r="C14" s="427"/>
    </row>
    <row r="15" spans="1:3" ht="12.75" customHeight="1" x14ac:dyDescent="0.2">
      <c r="A15" s="117" t="s">
        <v>151</v>
      </c>
      <c r="B15" s="115">
        <v>0</v>
      </c>
      <c r="C15" s="427"/>
    </row>
    <row r="16" spans="1:3" x14ac:dyDescent="0.2">
      <c r="A16" s="117" t="s">
        <v>150</v>
      </c>
      <c r="B16" s="115">
        <v>0</v>
      </c>
      <c r="C16" s="427"/>
    </row>
    <row r="17" spans="1:3" x14ac:dyDescent="0.2">
      <c r="A17" s="117" t="s">
        <v>149</v>
      </c>
      <c r="B17" s="115">
        <v>0</v>
      </c>
      <c r="C17" s="427"/>
    </row>
    <row r="18" spans="1:3" x14ac:dyDescent="0.2">
      <c r="A18" s="117" t="str">
        <f>A6</f>
        <v>Revenus mensuels</v>
      </c>
      <c r="B18" s="116">
        <f>B6</f>
        <v>3900</v>
      </c>
      <c r="C18" s="428"/>
    </row>
    <row r="21" spans="1:3" ht="15" x14ac:dyDescent="0.25">
      <c r="A21" s="122" t="s">
        <v>229</v>
      </c>
    </row>
    <row r="22" spans="1:3" ht="15" x14ac:dyDescent="0.25">
      <c r="A22" s="122" t="s">
        <v>228</v>
      </c>
      <c r="B22" s="174"/>
    </row>
    <row r="23" spans="1:3" ht="15" x14ac:dyDescent="0.25">
      <c r="A23" s="122" t="s">
        <v>227</v>
      </c>
      <c r="B23" s="174"/>
    </row>
    <row r="24" spans="1:3" ht="15" x14ac:dyDescent="0.25">
      <c r="A24" s="122" t="s">
        <v>226</v>
      </c>
      <c r="B24" s="174"/>
    </row>
    <row r="25" spans="1:3" ht="15" x14ac:dyDescent="0.25">
      <c r="A25" s="122" t="s">
        <v>225</v>
      </c>
    </row>
    <row r="30" spans="1:3" ht="15" x14ac:dyDescent="0.25">
      <c r="A30" s="122"/>
    </row>
    <row r="31" spans="1:3" ht="15" x14ac:dyDescent="0.25">
      <c r="A31" s="122"/>
    </row>
    <row r="32" spans="1:3" ht="15" x14ac:dyDescent="0.25">
      <c r="A32" s="122"/>
    </row>
    <row r="33" spans="1:1" ht="15" x14ac:dyDescent="0.25">
      <c r="A33" s="122"/>
    </row>
    <row r="34" spans="1:1" ht="15" x14ac:dyDescent="0.25">
      <c r="A34" s="122"/>
    </row>
    <row r="35" spans="1:1" ht="15" x14ac:dyDescent="0.25">
      <c r="A35" s="122"/>
    </row>
    <row r="36" spans="1:1" ht="15" x14ac:dyDescent="0.25">
      <c r="A36" s="122"/>
    </row>
    <row r="37" spans="1:1" ht="15" x14ac:dyDescent="0.25">
      <c r="A37" s="122"/>
    </row>
    <row r="38" spans="1:1" ht="15" x14ac:dyDescent="0.25">
      <c r="A38" s="122"/>
    </row>
    <row r="39" spans="1:1" ht="15" x14ac:dyDescent="0.25">
      <c r="A39" s="122"/>
    </row>
    <row r="40" spans="1:1" ht="15" x14ac:dyDescent="0.25">
      <c r="A40" s="122"/>
    </row>
  </sheetData>
  <mergeCells count="2">
    <mergeCell ref="C2:C6"/>
    <mergeCell ref="C9:C18"/>
  </mergeCells>
  <pageMargins left="0.7" right="0.7" top="0.75" bottom="0.75" header="0.3" footer="0.3"/>
  <pageSetup paperSize="120" orientation="landscape" horizontalDpi="1200"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 Exemple avec SCHL</vt:lpstr>
      <vt:lpstr>Financement avec SCHL</vt:lpstr>
      <vt:lpstr>Flux financier avec SCHL</vt:lpstr>
      <vt:lpstr> Exemple sans SCHL</vt:lpstr>
      <vt:lpstr>Financement sans SCHL</vt:lpstr>
      <vt:lpstr>Flux financier sans SCHL</vt:lpstr>
      <vt:lpstr>Ratio endettement (ABD &amp; ATD)</vt:lpstr>
      <vt:lpstr>' Exemple avec SCHL'!OLE_LINK72</vt:lpstr>
    </vt:vector>
  </TitlesOfParts>
  <Manager/>
  <Company>Blogue Jeune investisseur immobilier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Luciano</dc:creator>
  <cp:lastModifiedBy>Utilisateur Windows</cp:lastModifiedBy>
  <cp:lastPrinted>2018-09-03T20:34:28Z</cp:lastPrinted>
  <dcterms:created xsi:type="dcterms:W3CDTF">2006-09-26T23:00:05Z</dcterms:created>
  <dcterms:modified xsi:type="dcterms:W3CDTF">2018-09-15T04:36:12Z</dcterms:modified>
</cp:coreProperties>
</file>