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8D08203B-E281-4E9A-ADEE-9A5617AEAB66}" xr6:coauthVersionLast="47" xr6:coauthVersionMax="47" xr10:uidLastSave="{00000000-0000-0000-0000-000000000000}"/>
  <bookViews>
    <workbookView xWindow="-110" yWindow="-110" windowWidth="30940" windowHeight="16900" xr2:uid="{9E381AD9-FBFB-44A5-A46D-ED7C790EF3CE}"/>
  </bookViews>
  <sheets>
    <sheet name="Madame" sheetId="3" r:id="rId1"/>
    <sheet name="Monsieur" sheetId="2" r:id="rId2"/>
    <sheet name="Feuil2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3" l="1"/>
  <c r="H3" i="3"/>
  <c r="H2" i="2"/>
  <c r="H3" i="2"/>
  <c r="G2" i="3"/>
  <c r="E2" i="3" a="1"/>
  <c r="E2" i="3" s="1"/>
  <c r="E3" i="3" a="1"/>
  <c r="E3" i="3" s="1"/>
  <c r="E2" i="2" a="1"/>
  <c r="E2" i="2" s="1"/>
  <c r="E3" i="2" a="1"/>
  <c r="E3" i="2" s="1"/>
  <c r="G2" i="2"/>
  <c r="G3" i="2"/>
  <c r="G3" i="3"/>
  <c r="I2" i="3" l="1"/>
  <c r="I3" i="3"/>
  <c r="I3" i="2"/>
  <c r="I2" i="2"/>
  <c r="I4" i="3" l="1"/>
  <c r="B22" i="3" s="1" a="1"/>
  <c r="B22" i="3" s="1"/>
  <c r="I4" i="2"/>
  <c r="B22" i="2" s="1" a="1"/>
  <c r="B2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<sst xmlns="http://schemas.openxmlformats.org/spreadsheetml/2006/main" count="58" uniqueCount="37">
  <si>
    <t>POINTS</t>
  </si>
  <si>
    <t>TYPE</t>
  </si>
  <si>
    <t>AMBIANCE</t>
  </si>
  <si>
    <t>CAB I</t>
  </si>
  <si>
    <t>CAB V</t>
  </si>
  <si>
    <t>CAB B</t>
  </si>
  <si>
    <t>SUI</t>
  </si>
  <si>
    <t>YC</t>
  </si>
  <si>
    <t>ACHATS</t>
  </si>
  <si>
    <t>CLASSIC</t>
  </si>
  <si>
    <t>ARGENT</t>
  </si>
  <si>
    <t>OR</t>
  </si>
  <si>
    <t>DIAMANT</t>
  </si>
  <si>
    <t>BATEAU</t>
  </si>
  <si>
    <t>DATE</t>
  </si>
  <si>
    <t>COSTA</t>
  </si>
  <si>
    <t>xxxx</t>
  </si>
  <si>
    <t>EXC</t>
  </si>
  <si>
    <t>total</t>
  </si>
  <si>
    <t>BELLA</t>
  </si>
  <si>
    <t>FANTASTICA</t>
  </si>
  <si>
    <t>AUREA</t>
  </si>
  <si>
    <t>YACHT CLUB</t>
  </si>
  <si>
    <t>Nombres de Jours</t>
  </si>
  <si>
    <t>STATUT:</t>
  </si>
  <si>
    <t>DIVERS</t>
  </si>
  <si>
    <t>ACQUIS</t>
  </si>
  <si>
    <t>0</t>
  </si>
  <si>
    <t>6</t>
  </si>
  <si>
    <t>11</t>
  </si>
  <si>
    <t>Total général</t>
  </si>
  <si>
    <t>2200</t>
  </si>
  <si>
    <t>4300</t>
  </si>
  <si>
    <t>10001</t>
  </si>
  <si>
    <t>points ambiance</t>
  </si>
  <si>
    <t>points cabine</t>
  </si>
  <si>
    <t>points achats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</si>
</sst>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2" xfId="0" applyFont="1" applyBorder="1"/>
    <xf numFmtId="0" fontId="1" fillId="2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164" fontId="0" fillId="0" borderId="0" xfId="1" applyNumberFormat="1" applyFont="1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vertical="center"/>
    </xf>
  </cellXfs>
  <cellStyles count="2">
    <cellStyle name="Milliers" xfId="1" builtinId="3"/>
    <cellStyle name="Normal" xfId="0" builtinId="0"/>
  </cellStyles>
  <dxfs count="48">
    <dxf>
      <numFmt numFmtId="164" formatCode="_-* #,##0_-;\-* #,##0_-;_-* &quot;-&quot;??_-;_-@_-"/>
      <alignment horizontal="center" vertical="bottom" textRotation="0" wrapText="0" indent="0" justifyLastLine="0" shrinkToFit="0" readingOrder="0"/>
    </dxf>
    <dxf>
      <numFmt numFmtId="164" formatCode="_-* #,##0_-;\-* #,##0_-;_-* &quot;-&quot;??_-;_-@_-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_-* #,##0_-;\-* #,##0_-;_-* &quot;-&quot;??_-;_-@_-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_-* #,##0_-;\-* #,##0_-;_-* &quot;-&quot;??_-;_-@_-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51C6D8D-315A-4CD1-AA61-253BBD270CE4}" name="Madame" displayName="Madame" ref="A1:I4" totalsRowCount="1" headerRowDxfId="47" headerRowBorderDxfId="46" tableBorderDxfId="45">
  <autoFilter ref="A1:I3" xr:uid="{C51C6D8D-315A-4CD1-AA61-253BBD270CE4}"/>
  <tableColumns count="9">
    <tableColumn id="1" xr3:uid="{17B13D37-9266-432D-AE27-9B9AD3E9BE1D}" name="DATE" totalsRowLabel="Total général" totalsRowDxfId="6"/>
    <tableColumn id="3" xr3:uid="{4E62FD8B-5684-40AD-A63C-957319DDB2C9}" name="BATEAU"/>
    <tableColumn id="5" xr3:uid="{4C5912BF-32B0-45F0-A785-98B34D1566A9}" name="AMBIANCE"/>
    <tableColumn id="13" xr3:uid="{157B084A-37C3-4050-8CA4-779B27C2ABAB}" name="Nombres de Jours"/>
    <tableColumn id="6" xr3:uid="{AA3B719E-5022-4B0F-BAFE-379F31FB972A}" name="points ambiance" dataDxfId="44" totalsRowDxfId="5">
      <calculatedColumnFormula array="1">IF(Madame[[#This Row],[Nombres de Jours]]&lt;&gt;"",INDEX(Ambiance[],MATCH(Madame[[#This Row],[AMBIANCE]],Ambiance[AMBIANCE],0),MATCH(Madame[[#This Row],[Nombres de Jours]],VALUE(Ambiance[#Headers]),1)),0)</calculatedColumnFormula>
    </tableColumn>
    <tableColumn id="7" xr3:uid="{4C4BC067-02B1-4AFC-982E-2E5DBBC9A5D8}" name="TYPE" dataDxfId="43" totalsRowDxfId="4"/>
    <tableColumn id="8" xr3:uid="{09D0AD9F-6771-40DC-BC83-50BB4112D8FD}" name="points cabine" dataDxfId="42" totalsRowDxfId="3">
      <calculatedColumnFormula>IF(Madame[[#This Row],[TYPE]]&lt;&gt;"",VLOOKUP(Madame[[#This Row],[TYPE]],Type[],2,0),0)</calculatedColumnFormula>
    </tableColumn>
    <tableColumn id="10" xr3:uid="{C8B92FE2-80E4-4BC9-9276-38B91A2A12C2}" name="points achats" dataDxfId="0" totalsRowDxfId="2">
      <calculatedColumnFormula>IF(Madame[[#This Row],[AMBIANCE]]="",0,SUM(Achats[[#All],[POINTS]]))</calculatedColumnFormula>
    </tableColumn>
    <tableColumn id="11" xr3:uid="{C6752304-5587-4D40-8E4C-74234793EAF2}" name="total" totalsRowFunction="sum" dataDxfId="41" totalsRowDxfId="1">
      <calculatedColumnFormula>SUM(Madame[[#This Row],[points ambiance]],Madame[[#This Row],[points cabine]],Madame[[#This Row],[points achats]])</calculatedColumnFormula>
    </tableColumn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B251D8-D1EC-463B-9E2C-4816E8D8BF29}" name="Tableau1" displayName="Tableau1" ref="A1:I4" totalsRowCount="1" headerRowDxfId="40" headerRowBorderDxfId="39" tableBorderDxfId="38">
  <autoFilter ref="A1:I3" xr:uid="{07B251D8-D1EC-463B-9E2C-4816E8D8BF29}"/>
  <tableColumns count="9">
    <tableColumn id="1" xr3:uid="{6A2D9134-F02C-4A67-97BA-0F6C8CBDE4D1}" name="DATE" totalsRowLabel="Total général" dataDxfId="37" totalsRowDxfId="12"/>
    <tableColumn id="3" xr3:uid="{0D5A69CB-B3F8-44B3-9A10-38A3964DBF1E}" name="BATEAU"/>
    <tableColumn id="5" xr3:uid="{534C0EFB-FB36-4B3A-80FA-E0F34A7EC65A}" name="AMBIANCE"/>
    <tableColumn id="13" xr3:uid="{8A554178-98C7-45CE-A2F0-F92CE702AE61}" name="Nombres de Jours"/>
    <tableColumn id="6" xr3:uid="{FAF0B6B1-B2A6-4684-B3A1-28EA45A48A45}" name="points ambiance" dataDxfId="36" totalsRowDxfId="11">
      <calculatedColumnFormula array="1">IF(Tableau1[[#This Row],[Nombres de Jours]]&lt;&gt;"",INDEX(Ambiance[],MATCH(Tableau1[[#This Row],[AMBIANCE]],Ambiance[AMBIANCE],0),MATCH(Tableau1[[#This Row],[Nombres de Jours]],VALUE(Ambiance[#Headers]),1)),0)</calculatedColumnFormula>
    </tableColumn>
    <tableColumn id="7" xr3:uid="{74499426-DCCA-4F92-9C8E-4663C3D8BA32}" name="TYPE" dataDxfId="35" totalsRowDxfId="10"/>
    <tableColumn id="8" xr3:uid="{94BC6AA4-3BE9-4BC3-B6D7-F7C10843BF55}" name="points cabine" dataDxfId="34" totalsRowDxfId="9">
      <calculatedColumnFormula>IF(Tableau1[[#This Row],[TYPE]]&lt;&gt;"",VLOOKUP(Tableau1[[#This Row],[TYPE]],Type[],2,0),0)</calculatedColumnFormula>
    </tableColumn>
    <tableColumn id="10" xr3:uid="{7FD80972-C834-4714-BD44-49DF0469F84B}" name="points achats" dataDxfId="7" totalsRowDxfId="8">
      <calculatedColumnFormula>IF(Tableau1[[#This Row],[AMBIANCE]]="",0,SUM(Achats[POINTS]))</calculatedColumnFormula>
    </tableColumn>
    <tableColumn id="11" xr3:uid="{B543299F-30C4-49ED-8884-92F8A1AEC24D}" name="total" totalsRowFunction="sum" dataDxfId="33">
      <calculatedColumnFormula>SUM(Tableau1[[#This Row],[points ambiance]]+Tableau1[[#This Row],[points cabine]]+Tableau1[[#This Row],[points achats]])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C178D9-A771-4063-B0D1-7D735851BC24}" name="Ambiance" displayName="Ambiance" ref="A1:D5" totalsRowShown="0" headerRowDxfId="32" headerRowBorderDxfId="31" tableBorderDxfId="30" totalsRowBorderDxfId="29">
  <autoFilter ref="A1:D5" xr:uid="{11C178D9-A771-4063-B0D1-7D735851BC24}"/>
  <tableColumns count="4">
    <tableColumn id="1" xr3:uid="{14ED179A-5E8D-4CAF-9CAD-F2206916BA29}" name="AMBIANCE" dataDxfId="28"/>
    <tableColumn id="2" xr3:uid="{B194F53E-0091-44FD-AC97-C7E9704446B7}" name="0" dataDxfId="27"/>
    <tableColumn id="3" xr3:uid="{8D568C22-307C-4696-AE0C-331DF2C80231}" name="6" dataDxfId="26"/>
    <tableColumn id="4" xr3:uid="{BB656D8F-4838-4431-B0ED-391C3C4B8FE7}" name="11" dataDxfId="25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C401540-DBA6-434C-A5DA-56B0E50B7B4A}" name="Type" displayName="Type" ref="F1:G6" totalsRowShown="0" headerRowDxfId="24" headerRowBorderDxfId="23" tableBorderDxfId="22" totalsRowBorderDxfId="21">
  <autoFilter ref="F1:G6" xr:uid="{9C401540-DBA6-434C-A5DA-56B0E50B7B4A}"/>
  <tableColumns count="2">
    <tableColumn id="1" xr3:uid="{80E1F9DF-D643-4A7D-9DB6-9A370CD38B56}" name="TYPE" dataDxfId="20"/>
    <tableColumn id="2" xr3:uid="{A43A47F0-2639-4168-B4C8-9B9519A5A0C4}" name="POINTS" dataDxfId="19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1EBE4B5-FE22-4583-A248-E90E9DC7AAF8}" name="Achats" displayName="Achats" ref="I1:J4" totalsRowShown="0" headerRowDxfId="18" dataDxfId="16" headerRowBorderDxfId="17" tableBorderDxfId="15">
  <autoFilter ref="I1:J4" xr:uid="{31EBE4B5-FE22-4583-A248-E90E9DC7AAF8}"/>
  <tableColumns count="2">
    <tableColumn id="1" xr3:uid="{ECC0A752-9023-4018-996E-F31EEF4D2EB7}" name="ACHATS" dataDxfId="14"/>
    <tableColumn id="2" xr3:uid="{2F668762-2AE3-4212-891E-B349E9171483}" name="POINTS" dataDxfId="13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541B316-2F6A-41CF-8508-E4C4575FA84A}" name="Tableau6" displayName="Tableau6" ref="A9:D10" totalsRowShown="0">
  <autoFilter ref="A9:D10" xr:uid="{1541B316-2F6A-41CF-8508-E4C4575FA84A}"/>
  <tableColumns count="4">
    <tableColumn id="1" xr3:uid="{DFA19833-B862-4462-A85D-4E253EF894E0}" name="0"/>
    <tableColumn id="2" xr3:uid="{13267D18-5E9E-40E9-8A3C-AC06C365EFE8}" name="2200"/>
    <tableColumn id="3" xr3:uid="{19C93A8A-37A8-4E21-B7F0-B15292005178}" name="4300"/>
    <tableColumn id="4" xr3:uid="{302F00D2-120F-4280-AF5E-830962EA397F}" name="1000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C7640-AAA0-4690-AAFE-9739ABE09A3B}">
  <sheetPr codeName="Feuil1"/>
  <dimension ref="A1:I22"/>
  <sheetViews>
    <sheetView tabSelected="1" workbookViewId="0">
      <selection activeCell="E13" sqref="E13"/>
    </sheetView>
  </sheetViews>
  <sheetFormatPr baseColWidth="10" defaultRowHeight="14.5" x14ac:dyDescent="0.35"/>
  <cols>
    <col min="1" max="1" width="17" customWidth="1"/>
    <col min="2" max="2" width="23.453125" customWidth="1"/>
    <col min="3" max="4" width="22.54296875" customWidth="1"/>
    <col min="5" max="5" width="19.453125" customWidth="1"/>
    <col min="6" max="6" width="19.90625" customWidth="1"/>
    <col min="7" max="7" width="14.90625" customWidth="1"/>
    <col min="8" max="8" width="18.453125" customWidth="1"/>
    <col min="9" max="9" width="23.08984375" customWidth="1"/>
  </cols>
  <sheetData>
    <row r="1" spans="1:9" ht="24.9" customHeight="1" x14ac:dyDescent="0.35">
      <c r="A1" s="14" t="s">
        <v>14</v>
      </c>
      <c r="B1" s="14" t="s">
        <v>13</v>
      </c>
      <c r="C1" s="14" t="s">
        <v>2</v>
      </c>
      <c r="D1" s="14" t="s">
        <v>23</v>
      </c>
      <c r="E1" s="14" t="s">
        <v>34</v>
      </c>
      <c r="F1" s="14" t="s">
        <v>1</v>
      </c>
      <c r="G1" s="14" t="s">
        <v>35</v>
      </c>
      <c r="H1" s="14" t="s">
        <v>36</v>
      </c>
      <c r="I1" s="14" t="s">
        <v>18</v>
      </c>
    </row>
    <row r="2" spans="1:9" ht="20.149999999999999" customHeight="1" x14ac:dyDescent="0.35">
      <c r="A2" s="15">
        <v>44332</v>
      </c>
      <c r="B2" s="3" t="s">
        <v>15</v>
      </c>
      <c r="C2" s="2" t="s">
        <v>20</v>
      </c>
      <c r="D2" s="2">
        <v>11</v>
      </c>
      <c r="E2" s="16" cm="1">
        <f t="array" ref="E2">IF(Madame[[#This Row],[Nombres de Jours]]&lt;&gt;"",INDEX(Ambiance[],MATCH(Madame[[#This Row],[AMBIANCE]],Ambiance[AMBIANCE],0),MATCH(Madame[[#This Row],[Nombres de Jours]],VALUE(Ambiance[#Headers]),1)),0)</f>
        <v>7000</v>
      </c>
      <c r="F2" s="2" t="s">
        <v>4</v>
      </c>
      <c r="G2" s="16">
        <f>IF(Madame[[#This Row],[TYPE]]&lt;&gt;"",VLOOKUP(Madame[[#This Row],[TYPE]],Type[],2,0),0)</f>
        <v>750</v>
      </c>
      <c r="H2" s="16">
        <f>IF(Madame[[#This Row],[AMBIANCE]]="",0,SUM(Achats[[#All],[POINTS]]))</f>
        <v>400</v>
      </c>
      <c r="I2" s="16">
        <f>SUM(Madame[[#This Row],[points ambiance]],Madame[[#This Row],[points cabine]],Madame[[#This Row],[points achats]])</f>
        <v>8150</v>
      </c>
    </row>
    <row r="3" spans="1:9" ht="20.149999999999999" customHeight="1" x14ac:dyDescent="0.35">
      <c r="A3" s="15">
        <v>44822</v>
      </c>
      <c r="B3" s="3" t="s">
        <v>16</v>
      </c>
      <c r="E3" s="16" cm="1">
        <f t="array" ref="E3">IF(Madame[[#This Row],[Nombres de Jours]]&lt;&gt;"",INDEX(Ambiance[],MATCH(Madame[[#This Row],[AMBIANCE]],Ambiance[AMBIANCE],0),MATCH(Madame[[#This Row],[Nombres de Jours]],VALUE(Ambiance[#Headers]),1)),0)</f>
        <v>0</v>
      </c>
      <c r="F3" s="2"/>
      <c r="G3" s="16">
        <f>IF(Madame[[#This Row],[TYPE]]&lt;&gt;"",VLOOKUP(Madame[[#This Row],[TYPE]],Type[],2,0),0)</f>
        <v>0</v>
      </c>
      <c r="H3" s="16">
        <f>IF(Madame[[#This Row],[AMBIANCE]]="",0,SUM(Achats[[#All],[POINTS]]))</f>
        <v>0</v>
      </c>
      <c r="I3" s="16">
        <f>SUM(Madame[[#This Row],[points ambiance]],Madame[[#This Row],[points cabine]],Madame[[#This Row],[points achats]])</f>
        <v>0</v>
      </c>
    </row>
    <row r="4" spans="1:9" ht="24.9" customHeight="1" x14ac:dyDescent="0.35">
      <c r="A4" s="18" t="s">
        <v>30</v>
      </c>
      <c r="E4" s="2"/>
      <c r="F4" s="2"/>
      <c r="G4" s="2"/>
      <c r="H4" s="2"/>
      <c r="I4" s="17">
        <f>SUBTOTAL(109,Madame[total])</f>
        <v>8150</v>
      </c>
    </row>
    <row r="5" spans="1:9" x14ac:dyDescent="0.35">
      <c r="E5" s="2"/>
      <c r="F5" s="2"/>
      <c r="G5" s="2"/>
      <c r="H5" s="2"/>
    </row>
    <row r="7" spans="1:9" ht="38.25" customHeight="1" thickBot="1" x14ac:dyDescent="0.4"/>
    <row r="8" spans="1:9" ht="15" thickBot="1" x14ac:dyDescent="0.4">
      <c r="I8" s="4"/>
    </row>
    <row r="21" spans="1:2" x14ac:dyDescent="0.35">
      <c r="B21" s="3"/>
    </row>
    <row r="22" spans="1:2" x14ac:dyDescent="0.35">
      <c r="A22" s="3" t="s">
        <v>24</v>
      </c>
      <c r="B22" s="5" t="str" cm="1">
        <f t="array" aca="1" ref="B22" ca="1">OFFSET(Tableau6[[#Headers],[0]],1,MATCH(Madame[[#Totals],[total]],VALUE(Tableau6[#Headers])-1,1)-1)</f>
        <v>OR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19DDB-8DC6-4E51-B2C0-5C156B06540A}">
  <sheetPr codeName="Feuil2"/>
  <dimension ref="A1:I22"/>
  <sheetViews>
    <sheetView workbookViewId="0">
      <selection activeCell="H4" sqref="H4"/>
    </sheetView>
  </sheetViews>
  <sheetFormatPr baseColWidth="10" defaultColWidth="11.453125" defaultRowHeight="14.5" x14ac:dyDescent="0.35"/>
  <cols>
    <col min="1" max="1" width="17" customWidth="1"/>
    <col min="2" max="2" width="23.453125" customWidth="1"/>
    <col min="3" max="4" width="22.54296875" customWidth="1"/>
    <col min="5" max="5" width="19.453125" customWidth="1"/>
    <col min="6" max="6" width="19.90625" customWidth="1"/>
    <col min="7" max="7" width="14.90625" customWidth="1"/>
    <col min="8" max="8" width="18.453125" customWidth="1"/>
    <col min="9" max="9" width="23.08984375" customWidth="1"/>
  </cols>
  <sheetData>
    <row r="1" spans="1:9" ht="24.9" customHeight="1" x14ac:dyDescent="0.35">
      <c r="A1" s="2" t="s">
        <v>14</v>
      </c>
      <c r="B1" s="2" t="s">
        <v>13</v>
      </c>
      <c r="C1" s="2" t="s">
        <v>2</v>
      </c>
      <c r="D1" s="2" t="s">
        <v>23</v>
      </c>
      <c r="E1" s="2" t="s">
        <v>34</v>
      </c>
      <c r="F1" s="2" t="s">
        <v>1</v>
      </c>
      <c r="G1" s="2" t="s">
        <v>35</v>
      </c>
      <c r="H1" s="2" t="s">
        <v>36</v>
      </c>
      <c r="I1" s="2" t="s">
        <v>18</v>
      </c>
    </row>
    <row r="2" spans="1:9" ht="20.149999999999999" customHeight="1" x14ac:dyDescent="0.35">
      <c r="A2" s="15">
        <v>44332</v>
      </c>
      <c r="B2" s="3" t="s">
        <v>15</v>
      </c>
      <c r="C2" s="2" t="s">
        <v>20</v>
      </c>
      <c r="D2" s="2">
        <v>7</v>
      </c>
      <c r="E2" s="2" cm="1">
        <f t="array" ref="E2">IF(Tableau1[[#This Row],[Nombres de Jours]]&lt;&gt;"",INDEX(Ambiance[],MATCH(Tableau1[[#This Row],[AMBIANCE]],Ambiance[AMBIANCE],0),MATCH(Tableau1[[#This Row],[Nombres de Jours]],VALUE(Ambiance[#Headers]),1)),0)</f>
        <v>700</v>
      </c>
      <c r="F2" s="2" t="s">
        <v>4</v>
      </c>
      <c r="G2" s="2">
        <f>IF(Tableau1[[#This Row],[TYPE]]&lt;&gt;"",VLOOKUP(Tableau1[[#This Row],[TYPE]],Type[],2,0),0)</f>
        <v>750</v>
      </c>
      <c r="H2" s="2">
        <f>IF(Tableau1[[#This Row],[AMBIANCE]]="",0,SUM(Achats[POINTS]))</f>
        <v>400</v>
      </c>
      <c r="I2" s="2">
        <f>SUM(Tableau1[[#This Row],[points ambiance]]+Tableau1[[#This Row],[points cabine]]+Tableau1[[#This Row],[points achats]])</f>
        <v>1850</v>
      </c>
    </row>
    <row r="3" spans="1:9" ht="20.149999999999999" customHeight="1" x14ac:dyDescent="0.35">
      <c r="A3" s="15">
        <v>44822</v>
      </c>
      <c r="B3" s="3" t="s">
        <v>16</v>
      </c>
      <c r="E3" s="2" cm="1">
        <f t="array" ref="E3">IF(Tableau1[[#This Row],[Nombres de Jours]]&lt;&gt;"",INDEX(Ambiance[],MATCH(Tableau1[[#This Row],[AMBIANCE]],Ambiance[AMBIANCE],0),MATCH(Tableau1[[#This Row],[Nombres de Jours]],VALUE(Ambiance[#Headers]),1)),0)</f>
        <v>0</v>
      </c>
      <c r="F3" s="2"/>
      <c r="G3" s="2">
        <f>IF(Tableau1[[#This Row],[TYPE]]&lt;&gt;"",VLOOKUP(Tableau1[[#This Row],[TYPE]],Type[],2,0),0)</f>
        <v>0</v>
      </c>
      <c r="H3" s="2">
        <f>IF(Tableau1[[#This Row],[AMBIANCE]]="",0,SUM(Achats[POINTS]))</f>
        <v>0</v>
      </c>
      <c r="I3">
        <f>SUM(Tableau1[[#This Row],[points ambiance]]+Tableau1[[#This Row],[points cabine]]+Tableau1[[#This Row],[points achats]])</f>
        <v>0</v>
      </c>
    </row>
    <row r="4" spans="1:9" ht="20.149999999999999" customHeight="1" x14ac:dyDescent="0.35">
      <c r="A4" s="18" t="s">
        <v>30</v>
      </c>
      <c r="E4" s="2"/>
      <c r="F4" s="2"/>
      <c r="G4" s="2"/>
      <c r="H4" s="2"/>
      <c r="I4">
        <f>SUBTOTAL(109,Tableau1[total])</f>
        <v>1850</v>
      </c>
    </row>
    <row r="5" spans="1:9" x14ac:dyDescent="0.35">
      <c r="A5" s="3"/>
      <c r="B5" s="3"/>
      <c r="E5" s="2"/>
      <c r="F5" s="2"/>
      <c r="G5" s="2"/>
      <c r="H5" s="2"/>
    </row>
    <row r="8" spans="1:9" ht="33.75" customHeight="1" x14ac:dyDescent="0.35"/>
    <row r="21" spans="1:2" x14ac:dyDescent="0.35">
      <c r="B21" s="3"/>
    </row>
    <row r="22" spans="1:2" x14ac:dyDescent="0.35">
      <c r="A22" s="3" t="s">
        <v>24</v>
      </c>
      <c r="B22" s="5" t="str" cm="1">
        <f t="array" aca="1" ref="B22" ca="1">OFFSET(Tableau6[[#Headers],[0]],1,MATCH(Tableau1[[#Totals],[total]],VALUE(Tableau6[#Headers])-1,1)-1)</f>
        <v>CLASSIC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023CD-82ED-448C-8B2A-D4A7E108F6ED}">
  <sheetPr codeName="Feuil3"/>
  <dimension ref="A1:J13"/>
  <sheetViews>
    <sheetView workbookViewId="0">
      <selection activeCell="B12" sqref="B12"/>
    </sheetView>
  </sheetViews>
  <sheetFormatPr baseColWidth="10" defaultRowHeight="14.5" x14ac:dyDescent="0.35"/>
  <cols>
    <col min="1" max="1" width="26.90625" customWidth="1"/>
    <col min="2" max="4" width="25.6328125" customWidth="1"/>
    <col min="5" max="5" width="10.90625" customWidth="1"/>
    <col min="6" max="6" width="41.54296875" customWidth="1"/>
    <col min="7" max="7" width="22.54296875" customWidth="1"/>
    <col min="8" max="8" width="4.6328125" customWidth="1"/>
    <col min="9" max="9" width="25.08984375" customWidth="1"/>
    <col min="10" max="10" width="15.453125" customWidth="1"/>
  </cols>
  <sheetData>
    <row r="1" spans="1:10" ht="35.15" customHeight="1" x14ac:dyDescent="0.35">
      <c r="A1" s="8" t="s">
        <v>2</v>
      </c>
      <c r="B1" s="9" t="s">
        <v>27</v>
      </c>
      <c r="C1" s="9" t="s">
        <v>28</v>
      </c>
      <c r="D1" s="10" t="s">
        <v>29</v>
      </c>
      <c r="F1" s="8" t="s">
        <v>1</v>
      </c>
      <c r="G1" s="10" t="s">
        <v>0</v>
      </c>
      <c r="I1" s="9" t="s">
        <v>8</v>
      </c>
      <c r="J1" s="9" t="s">
        <v>0</v>
      </c>
    </row>
    <row r="2" spans="1:10" ht="35.15" customHeight="1" x14ac:dyDescent="0.35">
      <c r="A2" s="6" t="s">
        <v>19</v>
      </c>
      <c r="B2" s="1">
        <v>200</v>
      </c>
      <c r="C2" s="1">
        <v>500</v>
      </c>
      <c r="D2" s="7">
        <v>700</v>
      </c>
      <c r="F2" s="6" t="s">
        <v>3</v>
      </c>
      <c r="G2" s="7">
        <v>600</v>
      </c>
      <c r="I2" s="3" t="s">
        <v>17</v>
      </c>
      <c r="J2" s="3">
        <v>100</v>
      </c>
    </row>
    <row r="3" spans="1:10" ht="35.15" customHeight="1" x14ac:dyDescent="0.35">
      <c r="A3" s="6" t="s">
        <v>20</v>
      </c>
      <c r="B3" s="1">
        <v>400</v>
      </c>
      <c r="C3" s="1">
        <v>700</v>
      </c>
      <c r="D3" s="7">
        <v>7000</v>
      </c>
      <c r="F3" s="6" t="s">
        <v>4</v>
      </c>
      <c r="G3" s="7">
        <v>750</v>
      </c>
      <c r="I3" s="3" t="s">
        <v>25</v>
      </c>
      <c r="J3" s="3">
        <v>200</v>
      </c>
    </row>
    <row r="4" spans="1:10" ht="35.15" customHeight="1" x14ac:dyDescent="0.35">
      <c r="A4" s="6" t="s">
        <v>21</v>
      </c>
      <c r="B4" s="1">
        <v>600</v>
      </c>
      <c r="C4" s="1">
        <v>1000</v>
      </c>
      <c r="D4" s="7">
        <v>1500</v>
      </c>
      <c r="F4" s="6" t="s">
        <v>5</v>
      </c>
      <c r="G4" s="7">
        <v>900</v>
      </c>
      <c r="I4" s="3" t="s">
        <v>26</v>
      </c>
      <c r="J4" s="3">
        <v>100</v>
      </c>
    </row>
    <row r="5" spans="1:10" ht="35.15" customHeight="1" x14ac:dyDescent="0.35">
      <c r="A5" s="11" t="s">
        <v>22</v>
      </c>
      <c r="B5" s="12">
        <v>800</v>
      </c>
      <c r="C5" s="12">
        <v>1500</v>
      </c>
      <c r="D5" s="13">
        <v>2000</v>
      </c>
      <c r="F5" s="6" t="s">
        <v>6</v>
      </c>
      <c r="G5" s="7">
        <v>1200</v>
      </c>
    </row>
    <row r="6" spans="1:10" ht="35.15" customHeight="1" x14ac:dyDescent="0.35">
      <c r="F6" s="11" t="s">
        <v>7</v>
      </c>
      <c r="G6" s="13">
        <v>1500</v>
      </c>
    </row>
    <row r="9" spans="1:10" x14ac:dyDescent="0.35">
      <c r="A9" t="s">
        <v>27</v>
      </c>
      <c r="B9" t="s">
        <v>31</v>
      </c>
      <c r="C9" t="s">
        <v>32</v>
      </c>
      <c r="D9" t="s">
        <v>33</v>
      </c>
    </row>
    <row r="10" spans="1:10" ht="24.9" customHeight="1" x14ac:dyDescent="0.35">
      <c r="A10" t="s">
        <v>9</v>
      </c>
      <c r="B10" t="s">
        <v>10</v>
      </c>
      <c r="C10" t="s">
        <v>11</v>
      </c>
      <c r="D10" t="s">
        <v>12</v>
      </c>
    </row>
    <row r="11" spans="1:10" ht="24.9" customHeight="1" x14ac:dyDescent="0.35"/>
    <row r="12" spans="1:10" ht="24.9" customHeight="1" x14ac:dyDescent="0.35"/>
    <row r="13" spans="1:10" ht="24.9" customHeight="1" x14ac:dyDescent="0.35"/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Madame</vt:lpstr>
      <vt:lpstr>Monsieur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Fabien</dc:creator>
  <cp:lastModifiedBy>DUVERNOIS Arnaud</cp:lastModifiedBy>
  <dcterms:created xsi:type="dcterms:W3CDTF">2023-04-19T16:19:14Z</dcterms:created>
  <dcterms:modified xsi:type="dcterms:W3CDTF">2023-04-20T09:59:36Z</dcterms:modified>
</cp:coreProperties>
</file>