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E9689643-40F4-4322-961E-395EB26E3C54}" xr6:coauthVersionLast="47" xr6:coauthVersionMax="47" xr10:uidLastSave="{00000000-0000-0000-0000-000000000000}"/>
  <bookViews>
    <workbookView xWindow="-110" yWindow="-110" windowWidth="25820" windowHeight="14020" tabRatio="753" firstSheet="1" activeTab="3" xr2:uid="{00000000-000D-0000-FFFF-FFFF00000000}"/>
  </bookViews>
  <sheets>
    <sheet name="Informations" sheetId="20" state="hidden" r:id="rId1"/>
    <sheet name="BDD_PRESTA_ESTIME 2023" sheetId="16" r:id="rId2"/>
    <sheet name="PLANNING_PRESTA" sheetId="2" r:id="rId3"/>
    <sheet name="Etat des commandes passé par IO" sheetId="19" r:id="rId4"/>
    <sheet name="Paramètres" sheetId="14" r:id="rId5"/>
    <sheet name="Liste déroulante" sheetId="11" state="hidden" r:id="rId6"/>
  </sheets>
  <definedNames>
    <definedName name="_Feries">Tableau3[2023]</definedName>
    <definedName name="_xlnm._FilterDatabase" localSheetId="3" hidden="1">'Etat des commandes passé par IO'!$A$3:$U$12</definedName>
    <definedName name="DonnéesExternes_1" localSheetId="1" hidden="1">'BDD_PRESTA_ESTIME 2023'!$B$2:$Q$19</definedName>
    <definedName name="DonnéesExternes_2" localSheetId="1" hidden="1">'BDD_PRESTA_ESTIME 2023'!$S$2:$AC$79</definedName>
    <definedName name="fériés">OFFSET(Paramètres!#REF!,,,COUNTA(Paramètres!#REF!)-1)</definedName>
  </definedNames>
  <calcPr calcId="191029"/>
  <pivotCaches>
    <pivotCache cacheId="8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3" i="19" l="1"/>
  <c r="I20" i="16"/>
  <c r="J20" i="16"/>
  <c r="K20" i="16"/>
  <c r="L20" i="16"/>
  <c r="M20" i="16"/>
  <c r="N20" i="16"/>
  <c r="O20" i="16"/>
  <c r="P20" i="16"/>
  <c r="T4" i="19"/>
  <c r="U4" i="19" l="1"/>
  <c r="U5" i="19"/>
  <c r="U6" i="19"/>
  <c r="U7" i="19"/>
  <c r="U8" i="19"/>
  <c r="U9" i="19"/>
  <c r="U10" i="19"/>
  <c r="J15" i="2"/>
  <c r="K15" i="2" s="1"/>
  <c r="L15" i="2"/>
  <c r="J16" i="2"/>
  <c r="K16" i="2" s="1"/>
  <c r="J17" i="2"/>
  <c r="K17" i="2" s="1"/>
  <c r="L16" i="2"/>
  <c r="L17" i="2"/>
  <c r="F5" i="19"/>
  <c r="T12" i="19" l="1"/>
  <c r="J6" i="2" l="1"/>
  <c r="K6" i="2" s="1"/>
  <c r="L6" i="2"/>
  <c r="F12" i="19"/>
  <c r="N12" i="19"/>
  <c r="O12" i="19"/>
  <c r="P12" i="19"/>
  <c r="Q12" i="19"/>
  <c r="R12" i="19" l="1"/>
  <c r="G12" i="19" l="1"/>
  <c r="H12" i="19"/>
  <c r="I12" i="19"/>
  <c r="J12" i="19"/>
  <c r="K12" i="19"/>
  <c r="L12" i="19"/>
  <c r="M12" i="19"/>
  <c r="J3" i="2" l="1"/>
  <c r="K3" i="2" s="1"/>
  <c r="J4" i="2"/>
  <c r="K4" i="2" s="1"/>
  <c r="K5" i="2"/>
  <c r="L5" i="2"/>
  <c r="L3" i="2"/>
  <c r="L4" i="2"/>
  <c r="J19" i="2" l="1"/>
  <c r="K19" i="2" s="1"/>
  <c r="L19" i="2"/>
  <c r="J10" i="2"/>
  <c r="K10" i="2" s="1"/>
  <c r="L10" i="2"/>
  <c r="J8" i="2"/>
  <c r="K8" i="2" s="1"/>
  <c r="L8" i="2"/>
  <c r="J7" i="2" l="1"/>
  <c r="K7" i="2" s="1"/>
  <c r="J9" i="2"/>
  <c r="K9" i="2" s="1"/>
  <c r="J11" i="2"/>
  <c r="K11" i="2" s="1"/>
  <c r="J12" i="2"/>
  <c r="K12" i="2" s="1"/>
  <c r="J13" i="2"/>
  <c r="K13" i="2" s="1"/>
  <c r="J14" i="2"/>
  <c r="K14" i="2" s="1"/>
  <c r="J18" i="2"/>
  <c r="K18" i="2" s="1"/>
  <c r="L7" i="2"/>
  <c r="L9" i="2"/>
  <c r="L11" i="2"/>
  <c r="L12" i="2"/>
  <c r="L13" i="2"/>
  <c r="L14" i="2"/>
  <c r="L18" i="2"/>
  <c r="C4" i="14" l="1"/>
  <c r="C10" i="14" s="1"/>
  <c r="C15" i="14"/>
  <c r="C14" i="14"/>
  <c r="C13" i="14"/>
  <c r="C12" i="14"/>
  <c r="C11" i="14"/>
  <c r="C7" i="14"/>
  <c r="C6" i="14"/>
  <c r="C3" i="14"/>
  <c r="F9" i="2" l="1"/>
  <c r="C5" i="14"/>
  <c r="F15" i="2" s="1"/>
  <c r="C9" i="14"/>
  <c r="C8" i="14"/>
  <c r="F13" i="2" l="1"/>
  <c r="F7" i="2"/>
  <c r="F8" i="2"/>
  <c r="F19" i="2"/>
  <c r="F10" i="2"/>
  <c r="F16" i="2"/>
  <c r="F18" i="2"/>
  <c r="F14" i="2"/>
  <c r="F11" i="2"/>
  <c r="F12" i="2"/>
  <c r="F17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Royer, Elodie</author>
  </authors>
  <commentList>
    <comment ref="O7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Royer, Elodie:</t>
        </r>
        <r>
          <rPr>
            <sz val="9"/>
            <color indexed="81"/>
            <rFont val="Tahoma"/>
            <family val="2"/>
          </rPr>
          <t xml:space="preserve">
Réception sur commande 2022
</t>
        </r>
      </text>
    </comment>
    <comment ref="O9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Royer, Elodie:</t>
        </r>
        <r>
          <rPr>
            <sz val="9"/>
            <color indexed="81"/>
            <rFont val="Tahoma"/>
            <family val="2"/>
          </rPr>
          <t xml:space="preserve">
Réception sur commande 2022
</t>
        </r>
      </text>
    </comment>
    <comment ref="O18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Royer, Elodie:</t>
        </r>
        <r>
          <rPr>
            <sz val="9"/>
            <color indexed="81"/>
            <rFont val="Tahoma"/>
            <family val="2"/>
          </rPr>
          <t xml:space="preserve">
4,5 jours sur commande 2022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BDD_PRESTA_ESTIME3" description="Connexion à la requête « BDD_PRESTA_ESTIME3 » dans le classeur." type="5" refreshedVersion="6" background="1" saveData="1">
    <dbPr connection="Provider=Microsoft.Mashup.OleDb.1;Data Source=$Workbook$;Location=BDD_PRESTA_ESTIME3;Extended Properties=&quot;&quot;" command="SELECT * FROM [BDD_PRESTA_ESTIME3]"/>
  </connection>
  <connection id="2" xr16:uid="{0AB0E825-1E1C-4BD9-AC16-742197CB3E56}" keepAlive="1" name="Requête - BDD_PRESTA_ESTIME3 Baroute78" description="Connexion à la requête « BDD_PRESTA_ESTIME3 Baroute78 » dans le classeur." type="5" refreshedVersion="8" background="1" saveData="1">
    <dbPr connection="Provider=Microsoft.Mashup.OleDb.1;Data Source=$Workbook$;Location=&quot;BDD_PRESTA_ESTIME3 Baroute78&quot;;Extended Properties=&quot;&quot;" command="SELECT * FROM [BDD_PRESTA_ESTIME3 Baroute78]"/>
  </connection>
  <connection id="3" xr16:uid="{00000000-0015-0000-FFFF-FFFF01000000}" keepAlive="1" name="Requête - Fériés" description="Connexion à la requête « Fériés » dans le classeur." type="5" refreshedVersion="0" background="1">
    <dbPr connection="Provider=Microsoft.Mashup.OleDb.1;Data Source=$Workbook$;Location=Fériés;Extended Properties=&quot;&quot;" command="SELECT * FROM [Fériés]"/>
  </connection>
</connections>
</file>

<file path=xl/sharedStrings.xml><?xml version="1.0" encoding="utf-8"?>
<sst xmlns="http://schemas.openxmlformats.org/spreadsheetml/2006/main" count="703" uniqueCount="154">
  <si>
    <t>PO</t>
  </si>
  <si>
    <t>Société</t>
  </si>
  <si>
    <t>Prestataires</t>
  </si>
  <si>
    <t>601004 - PAS-X</t>
  </si>
  <si>
    <t>601000 - SAP 4 HANA</t>
  </si>
  <si>
    <t>601079 - Modernisation B80 L2 - 2022</t>
  </si>
  <si>
    <t>601005 - INFRA IT</t>
  </si>
  <si>
    <t>601007 - GLIMS</t>
  </si>
  <si>
    <t>601008 - EMPOWER</t>
  </si>
  <si>
    <t>600716 - Equipement Production OFM</t>
  </si>
  <si>
    <t>601072 - PILOTAGE</t>
  </si>
  <si>
    <t>601006 - MASTER CONTROL</t>
  </si>
  <si>
    <t>601009 - ONGUARD</t>
  </si>
  <si>
    <t xml:space="preserve">601006 - MASTER CONTROL </t>
  </si>
  <si>
    <t>601068 - PROCAL</t>
  </si>
  <si>
    <t>TJM</t>
  </si>
  <si>
    <t>Début</t>
  </si>
  <si>
    <t>Fin</t>
  </si>
  <si>
    <t>Total</t>
  </si>
  <si>
    <t>Projet</t>
  </si>
  <si>
    <t>Colonne1</t>
  </si>
  <si>
    <t>Reliquat 2022</t>
  </si>
  <si>
    <t>Jours Fériés</t>
  </si>
  <si>
    <t>Jour de l'An</t>
  </si>
  <si>
    <t>Lundi de Pâques</t>
  </si>
  <si>
    <t>Fête du travail</t>
  </si>
  <si>
    <t>Armistice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</si>
  <si>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</si>
  <si>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</si>
  <si>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</si>
  <si>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</si>
  <si>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</si>
  <si>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</si>
  <si>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</si>
  <si>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prév Janv</t>
  </si>
  <si>
    <t>Reçu Janv</t>
  </si>
  <si>
    <t>prév Fév</t>
  </si>
  <si>
    <t>Reçu Fév</t>
  </si>
  <si>
    <t>Prév Mars</t>
  </si>
  <si>
    <t>Prév Avr</t>
  </si>
  <si>
    <t>Reçu Avr</t>
  </si>
  <si>
    <t>Prév Mai</t>
  </si>
  <si>
    <t>Prév Juin</t>
  </si>
  <si>
    <t>Prév Juil</t>
  </si>
  <si>
    <t>Reçu Juil</t>
  </si>
  <si>
    <t>Prév Août</t>
  </si>
  <si>
    <t>Reçu Août</t>
  </si>
  <si>
    <t>Prév Sept</t>
  </si>
  <si>
    <t>Reçu Sept</t>
  </si>
  <si>
    <t>Prév Oct</t>
  </si>
  <si>
    <t>Reçu Oct</t>
  </si>
  <si>
    <t>Prév Nov</t>
  </si>
  <si>
    <t>Reçu Nov</t>
  </si>
  <si>
    <t>Prév Déc</t>
  </si>
  <si>
    <t>Reçu Déc</t>
  </si>
  <si>
    <t>Reçu Mars</t>
  </si>
  <si>
    <t>Reçu Mai</t>
  </si>
  <si>
    <t>Reçu Juin</t>
  </si>
  <si>
    <t>Jours prév</t>
  </si>
  <si>
    <t>Jours trav</t>
  </si>
  <si>
    <t>Jours rest</t>
  </si>
  <si>
    <t>Pâques</t>
  </si>
  <si>
    <t>Pentecôte</t>
  </si>
  <si>
    <t>2023</t>
  </si>
  <si>
    <t>janvier</t>
  </si>
  <si>
    <t>février</t>
  </si>
  <si>
    <t>mars</t>
  </si>
  <si>
    <t>avril</t>
  </si>
  <si>
    <t>PO-22-1161-01932</t>
  </si>
  <si>
    <t>PO-23-1161-00086</t>
  </si>
  <si>
    <t>PO-23-1161-00080</t>
  </si>
  <si>
    <t>PO-23-1161-00015</t>
  </si>
  <si>
    <t>mai</t>
  </si>
  <si>
    <t>juin</t>
  </si>
  <si>
    <t>juillet</t>
  </si>
  <si>
    <t>août</t>
  </si>
  <si>
    <t>Légende</t>
  </si>
  <si>
    <t>Cde en cours</t>
  </si>
  <si>
    <t>Cde close</t>
  </si>
  <si>
    <t>formules</t>
  </si>
  <si>
    <t>PO-23-1161-00135</t>
  </si>
  <si>
    <t>estimation</t>
  </si>
  <si>
    <t xml:space="preserve">Cde en attente </t>
  </si>
  <si>
    <t>PO-23-1161-00206</t>
  </si>
  <si>
    <t>PO-22-1161-02250</t>
  </si>
  <si>
    <t>PO-23-1161-00137</t>
  </si>
  <si>
    <t>PO-22-1161-00162</t>
  </si>
  <si>
    <t>N° Ordre Interne</t>
  </si>
  <si>
    <t>Désignation de l'IO</t>
  </si>
  <si>
    <t>Montant total</t>
  </si>
  <si>
    <t>Date de création</t>
  </si>
  <si>
    <t>Date de Mise en Service prévue</t>
  </si>
  <si>
    <t>Totaux:</t>
  </si>
  <si>
    <t>Janvier</t>
  </si>
  <si>
    <t>Février</t>
  </si>
  <si>
    <t>Mars</t>
  </si>
  <si>
    <t xml:space="preserve">Avril </t>
  </si>
  <si>
    <t>Mai</t>
  </si>
  <si>
    <t>Juin</t>
  </si>
  <si>
    <t>Juillet</t>
  </si>
  <si>
    <t>Aout</t>
  </si>
  <si>
    <t>Septembre</t>
  </si>
  <si>
    <t>estimé</t>
  </si>
  <si>
    <t>réel</t>
  </si>
  <si>
    <t>Octobre</t>
  </si>
  <si>
    <t>Novembre</t>
  </si>
  <si>
    <t>Décembre</t>
  </si>
  <si>
    <t>PO-23-1161-00312</t>
  </si>
  <si>
    <t>septembre</t>
  </si>
  <si>
    <t>PO-22-1161-02030</t>
  </si>
  <si>
    <t>PO-22-1161-02065</t>
  </si>
  <si>
    <t>PO-22-1161-00711</t>
  </si>
  <si>
    <t>Facturées IO au 31/01/2023</t>
  </si>
  <si>
    <t>Liste dépenses engagées</t>
  </si>
  <si>
    <t>Dépenses engagées IO</t>
  </si>
  <si>
    <t>Réel IO au 31/12/2022</t>
  </si>
  <si>
    <t>sommes figées au 31/12/2022</t>
  </si>
  <si>
    <t>sélectionner une date dans la liste déroulante et reporter le total de la colonne AA + le total correspondant au budget de la période sélectionnée dans le tableau Power query</t>
  </si>
  <si>
    <t>à calculer</t>
  </si>
  <si>
    <t>TYPE</t>
  </si>
  <si>
    <t>Matériel</t>
  </si>
  <si>
    <t xml:space="preserve">prestation </t>
  </si>
  <si>
    <t>contrat</t>
  </si>
  <si>
    <t>application</t>
  </si>
  <si>
    <t>Elodie</t>
  </si>
  <si>
    <t>Marion</t>
  </si>
  <si>
    <t>Sara</t>
  </si>
  <si>
    <t>Audric</t>
  </si>
  <si>
    <t>Bernard</t>
  </si>
  <si>
    <t>Johann</t>
  </si>
  <si>
    <t>ICL</t>
  </si>
  <si>
    <t>RENAUD</t>
  </si>
  <si>
    <t>ALIAGE</t>
  </si>
  <si>
    <t>SUPRE</t>
  </si>
  <si>
    <t>LONTAR</t>
  </si>
  <si>
    <t>Coût forfaitaire</t>
  </si>
  <si>
    <t>601000</t>
  </si>
  <si>
    <t>601004</t>
  </si>
  <si>
    <t>601006</t>
  </si>
  <si>
    <t>600716</t>
  </si>
  <si>
    <t>601003</t>
  </si>
  <si>
    <t>601229</t>
  </si>
  <si>
    <t>Application SAP</t>
  </si>
  <si>
    <t>Application TRUC</t>
  </si>
  <si>
    <t>Application MACHIN</t>
  </si>
  <si>
    <t>Application BIDULE</t>
  </si>
  <si>
    <t>CADRAGE</t>
  </si>
  <si>
    <t>GUIN</t>
  </si>
  <si>
    <t>Application ONGER</t>
  </si>
  <si>
    <t>Mois</t>
  </si>
  <si>
    <t>Valeur</t>
  </si>
  <si>
    <t>Total général</t>
  </si>
  <si>
    <t>Somme de Valeur</t>
  </si>
  <si>
    <t>Personnalisé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</si>
</sst>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[$-40C]mmmm\-yy;@"/>
    <numFmt numFmtId="166" formatCode="#,##0\ &quot;€&quot;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4"/>
      <color rgb="FF0061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79082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theme="9"/>
      </top>
      <bottom style="thin">
        <color theme="9"/>
      </bottom>
      <diagonal/>
    </border>
  </borders>
  <cellStyleXfs count="9">
    <xf numFmtId="0" fontId="0" fillId="0" borderId="0"/>
    <xf numFmtId="0" fontId="7" fillId="4" borderId="0" applyNumberFormat="0" applyBorder="0" applyAlignment="0" applyProtection="0"/>
    <xf numFmtId="0" fontId="11" fillId="0" borderId="0" applyNumberFormat="0" applyFill="0" applyBorder="0" applyAlignment="0" applyProtection="0"/>
    <xf numFmtId="44" fontId="1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44" fontId="12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3" fillId="9" borderId="0" applyNumberFormat="0" applyBorder="0" applyAlignment="0" applyProtection="0"/>
    <xf numFmtId="0" fontId="24" fillId="10" borderId="0" applyNumberFormat="0" applyBorder="0" applyAlignment="0" applyProtection="0"/>
  </cellStyleXfs>
  <cellXfs count="137"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left"/>
    </xf>
    <xf numFmtId="2" fontId="0" fillId="0" borderId="0" xfId="0" applyNumberFormat="1"/>
    <xf numFmtId="2" fontId="3" fillId="0" borderId="0" xfId="0" applyNumberFormat="1" applyFont="1"/>
    <xf numFmtId="2" fontId="2" fillId="0" borderId="0" xfId="0" applyNumberFormat="1" applyFont="1"/>
    <xf numFmtId="14" fontId="0" fillId="0" borderId="0" xfId="0" applyNumberFormat="1" applyAlignment="1">
      <alignment horizontal="left"/>
    </xf>
    <xf numFmtId="2" fontId="1" fillId="0" borderId="0" xfId="0" applyNumberFormat="1" applyFont="1" applyAlignment="1">
      <alignment horizontal="left"/>
    </xf>
    <xf numFmtId="0" fontId="5" fillId="3" borderId="0" xfId="0" applyFont="1" applyFill="1" applyAlignment="1">
      <alignment horizontal="left" vertical="center" wrapText="1"/>
    </xf>
    <xf numFmtId="49" fontId="5" fillId="3" borderId="0" xfId="0" applyNumberFormat="1" applyFont="1" applyFill="1" applyAlignment="1">
      <alignment horizontal="left" vertical="center" wrapText="1"/>
    </xf>
    <xf numFmtId="14" fontId="5" fillId="3" borderId="0" xfId="0" applyNumberFormat="1" applyFont="1" applyFill="1" applyAlignment="1">
      <alignment horizontal="left" vertical="center" wrapText="1"/>
    </xf>
    <xf numFmtId="0" fontId="5" fillId="3" borderId="0" xfId="0" applyFont="1" applyFill="1" applyAlignment="1">
      <alignment horizontal="center" vertical="center" wrapText="1"/>
    </xf>
    <xf numFmtId="165" fontId="5" fillId="3" borderId="0" xfId="0" applyNumberFormat="1" applyFont="1" applyFill="1" applyAlignment="1">
      <alignment horizontal="left" vertical="center" wrapText="1"/>
    </xf>
    <xf numFmtId="165" fontId="6" fillId="3" borderId="0" xfId="0" applyNumberFormat="1" applyFont="1" applyFill="1" applyAlignment="1">
      <alignment horizontal="left" vertical="center" wrapText="1"/>
    </xf>
    <xf numFmtId="0" fontId="5" fillId="3" borderId="0" xfId="0" applyFont="1" applyFill="1" applyAlignment="1">
      <alignment vertical="center" wrapText="1"/>
    </xf>
    <xf numFmtId="164" fontId="5" fillId="3" borderId="0" xfId="0" applyNumberFormat="1" applyFont="1" applyFill="1" applyAlignment="1">
      <alignment horizontal="left" vertical="center" wrapText="1"/>
    </xf>
    <xf numFmtId="2" fontId="5" fillId="3" borderId="0" xfId="0" applyNumberFormat="1" applyFont="1" applyFill="1" applyAlignment="1">
      <alignment horizontal="left" vertical="center" wrapText="1"/>
    </xf>
    <xf numFmtId="0" fontId="8" fillId="2" borderId="0" xfId="0" applyFont="1" applyFill="1" applyAlignment="1">
      <alignment horizontal="left"/>
    </xf>
    <xf numFmtId="49" fontId="8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8" fillId="2" borderId="0" xfId="0" applyFont="1" applyFill="1" applyAlignment="1">
      <alignment horizontal="center"/>
    </xf>
    <xf numFmtId="164" fontId="9" fillId="2" borderId="0" xfId="0" applyNumberFormat="1" applyFont="1" applyFill="1" applyAlignment="1">
      <alignment horizontal="left"/>
    </xf>
    <xf numFmtId="2" fontId="9" fillId="2" borderId="0" xfId="0" applyNumberFormat="1" applyFont="1" applyFill="1" applyAlignment="1">
      <alignment horizontal="left"/>
    </xf>
    <xf numFmtId="0" fontId="8" fillId="2" borderId="0" xfId="0" applyFont="1" applyFill="1"/>
    <xf numFmtId="2" fontId="8" fillId="2" borderId="0" xfId="0" applyNumberFormat="1" applyFont="1" applyFill="1"/>
    <xf numFmtId="2" fontId="8" fillId="2" borderId="0" xfId="0" applyNumberFormat="1" applyFont="1" applyFill="1" applyAlignment="1">
      <alignment horizontal="left"/>
    </xf>
    <xf numFmtId="2" fontId="9" fillId="5" borderId="0" xfId="0" applyNumberFormat="1" applyFont="1" applyFill="1" applyAlignment="1">
      <alignment horizontal="left"/>
    </xf>
    <xf numFmtId="2" fontId="8" fillId="5" borderId="0" xfId="0" applyNumberFormat="1" applyFont="1" applyFill="1" applyAlignment="1">
      <alignment horizontal="left"/>
    </xf>
    <xf numFmtId="14" fontId="9" fillId="2" borderId="0" xfId="0" applyNumberFormat="1" applyFont="1" applyFill="1" applyAlignment="1">
      <alignment horizontal="left"/>
    </xf>
    <xf numFmtId="14" fontId="9" fillId="2" borderId="0" xfId="1" applyNumberFormat="1" applyFont="1" applyFill="1" applyAlignment="1">
      <alignment horizontal="left"/>
    </xf>
    <xf numFmtId="0" fontId="1" fillId="0" borderId="0" xfId="0" applyFont="1" applyAlignment="1">
      <alignment horizontal="left"/>
    </xf>
    <xf numFmtId="0" fontId="10" fillId="3" borderId="0" xfId="0" applyFont="1" applyFill="1" applyAlignment="1">
      <alignment horizontal="left" vertical="center" wrapText="1"/>
    </xf>
    <xf numFmtId="0" fontId="11" fillId="0" borderId="0" xfId="2"/>
    <xf numFmtId="14" fontId="0" fillId="0" borderId="0" xfId="0" applyNumberFormat="1" applyAlignment="1">
      <alignment horizontal="center"/>
    </xf>
    <xf numFmtId="44" fontId="0" fillId="0" borderId="0" xfId="3" applyFont="1"/>
    <xf numFmtId="0" fontId="0" fillId="0" borderId="0" xfId="0" applyNumberFormat="1"/>
    <xf numFmtId="0" fontId="0" fillId="0" borderId="0" xfId="0" applyNumberFormat="1" applyFill="1"/>
    <xf numFmtId="44" fontId="0" fillId="0" borderId="0" xfId="3" applyFont="1" applyFill="1"/>
    <xf numFmtId="0" fontId="8" fillId="2" borderId="0" xfId="0" applyNumberFormat="1" applyFont="1" applyFill="1" applyAlignment="1">
      <alignment horizontal="center"/>
    </xf>
    <xf numFmtId="0" fontId="0" fillId="0" borderId="0" xfId="3" applyNumberFormat="1" applyFont="1"/>
    <xf numFmtId="2" fontId="0" fillId="0" borderId="0" xfId="0" applyNumberFormat="1" applyFill="1"/>
    <xf numFmtId="165" fontId="5" fillId="0" borderId="0" xfId="0" applyNumberFormat="1" applyFont="1" applyFill="1" applyAlignment="1">
      <alignment horizontal="left" vertical="center" wrapText="1"/>
    </xf>
    <xf numFmtId="2" fontId="8" fillId="0" borderId="0" xfId="0" applyNumberFormat="1" applyFont="1" applyFill="1" applyAlignment="1">
      <alignment horizontal="left"/>
    </xf>
    <xf numFmtId="2" fontId="1" fillId="0" borderId="0" xfId="0" applyNumberFormat="1" applyFont="1" applyFill="1" applyAlignment="1">
      <alignment horizontal="left"/>
    </xf>
    <xf numFmtId="164" fontId="0" fillId="0" borderId="0" xfId="0" applyNumberFormat="1" applyFill="1" applyAlignment="1">
      <alignment horizontal="left"/>
    </xf>
    <xf numFmtId="164" fontId="5" fillId="0" borderId="0" xfId="0" applyNumberFormat="1" applyFont="1" applyFill="1" applyAlignment="1">
      <alignment horizontal="left" vertical="center" wrapText="1"/>
    </xf>
    <xf numFmtId="164" fontId="9" fillId="0" borderId="0" xfId="0" applyNumberFormat="1" applyFont="1" applyFill="1" applyAlignment="1">
      <alignment horizontal="left"/>
    </xf>
    <xf numFmtId="164" fontId="0" fillId="0" borderId="0" xfId="0" applyNumberFormat="1" applyFill="1" applyAlignment="1">
      <alignment horizontal="center"/>
    </xf>
    <xf numFmtId="44" fontId="0" fillId="0" borderId="0" xfId="3" applyFont="1" applyAlignment="1">
      <alignment horizontal="center"/>
    </xf>
    <xf numFmtId="0" fontId="15" fillId="0" borderId="0" xfId="0" applyFont="1" applyAlignment="1">
      <alignment horizontal="left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0" xfId="0" applyFill="1"/>
    <xf numFmtId="14" fontId="16" fillId="0" borderId="0" xfId="4" applyNumberFormat="1" applyAlignment="1">
      <alignment horizontal="left"/>
    </xf>
    <xf numFmtId="14" fontId="18" fillId="2" borderId="0" xfId="1" applyNumberFormat="1" applyFont="1" applyFill="1" applyAlignment="1">
      <alignment horizontal="left"/>
    </xf>
    <xf numFmtId="14" fontId="18" fillId="2" borderId="0" xfId="0" applyNumberFormat="1" applyFont="1" applyFill="1" applyAlignment="1">
      <alignment horizontal="left"/>
    </xf>
    <xf numFmtId="0" fontId="17" fillId="2" borderId="0" xfId="0" applyFont="1" applyFill="1" applyAlignment="1">
      <alignment horizontal="center"/>
    </xf>
    <xf numFmtId="0" fontId="17" fillId="2" borderId="0" xfId="0" applyNumberFormat="1" applyFont="1" applyFill="1" applyAlignment="1">
      <alignment horizontal="center"/>
    </xf>
    <xf numFmtId="164" fontId="18" fillId="2" borderId="0" xfId="0" applyNumberFormat="1" applyFont="1" applyFill="1" applyAlignment="1">
      <alignment horizontal="left"/>
    </xf>
    <xf numFmtId="2" fontId="18" fillId="2" borderId="0" xfId="0" applyNumberFormat="1" applyFont="1" applyFill="1" applyAlignment="1">
      <alignment horizontal="left"/>
    </xf>
    <xf numFmtId="2" fontId="17" fillId="0" borderId="0" xfId="0" applyNumberFormat="1" applyFont="1" applyFill="1" applyAlignment="1">
      <alignment horizontal="left"/>
    </xf>
    <xf numFmtId="2" fontId="17" fillId="2" borderId="0" xfId="0" applyNumberFormat="1" applyFont="1" applyFill="1" applyAlignment="1">
      <alignment horizontal="left"/>
    </xf>
    <xf numFmtId="2" fontId="17" fillId="7" borderId="0" xfId="0" applyNumberFormat="1" applyFont="1" applyFill="1" applyAlignment="1">
      <alignment horizontal="left"/>
    </xf>
    <xf numFmtId="0" fontId="0" fillId="7" borderId="0" xfId="0" applyFill="1" applyAlignment="1">
      <alignment horizontal="left"/>
    </xf>
    <xf numFmtId="0" fontId="19" fillId="2" borderId="0" xfId="0" applyFont="1" applyFill="1" applyAlignment="1">
      <alignment horizontal="left"/>
    </xf>
    <xf numFmtId="49" fontId="19" fillId="2" borderId="0" xfId="0" applyNumberFormat="1" applyFont="1" applyFill="1" applyAlignment="1">
      <alignment horizontal="left"/>
    </xf>
    <xf numFmtId="0" fontId="19" fillId="2" borderId="0" xfId="0" applyFont="1" applyFill="1" applyAlignment="1">
      <alignment horizontal="center"/>
    </xf>
    <xf numFmtId="164" fontId="20" fillId="2" borderId="0" xfId="0" applyNumberFormat="1" applyFont="1" applyFill="1" applyAlignment="1">
      <alignment horizontal="left"/>
    </xf>
    <xf numFmtId="2" fontId="20" fillId="2" borderId="0" xfId="0" applyNumberFormat="1" applyFont="1" applyFill="1" applyAlignment="1">
      <alignment horizontal="left"/>
    </xf>
    <xf numFmtId="2" fontId="19" fillId="0" borderId="0" xfId="0" applyNumberFormat="1" applyFont="1" applyFill="1" applyAlignment="1">
      <alignment horizontal="left"/>
    </xf>
    <xf numFmtId="2" fontId="19" fillId="2" borderId="0" xfId="0" applyNumberFormat="1" applyFont="1" applyFill="1" applyAlignment="1">
      <alignment horizontal="left"/>
    </xf>
    <xf numFmtId="44" fontId="21" fillId="0" borderId="0" xfId="3" applyFont="1"/>
    <xf numFmtId="0" fontId="19" fillId="2" borderId="0" xfId="0" applyNumberFormat="1" applyFont="1" applyFill="1" applyAlignment="1">
      <alignment horizontal="center"/>
    </xf>
    <xf numFmtId="14" fontId="20" fillId="2" borderId="0" xfId="0" applyNumberFormat="1" applyFont="1" applyFill="1" applyAlignment="1">
      <alignment horizontal="left"/>
    </xf>
    <xf numFmtId="164" fontId="20" fillId="0" borderId="0" xfId="0" applyNumberFormat="1" applyFont="1" applyFill="1" applyAlignment="1">
      <alignment horizontal="left"/>
    </xf>
    <xf numFmtId="14" fontId="20" fillId="2" borderId="0" xfId="0" applyNumberFormat="1" applyFont="1" applyFill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0" fontId="19" fillId="2" borderId="0" xfId="0" applyFont="1" applyFill="1" applyAlignment="1">
      <alignment horizontal="center" wrapText="1"/>
    </xf>
    <xf numFmtId="164" fontId="20" fillId="2" borderId="0" xfId="0" applyNumberFormat="1" applyFont="1" applyFill="1" applyAlignment="1">
      <alignment horizontal="left" vertical="center" wrapText="1"/>
    </xf>
    <xf numFmtId="2" fontId="19" fillId="0" borderId="0" xfId="0" applyNumberFormat="1" applyFont="1" applyFill="1" applyAlignment="1">
      <alignment horizontal="left" vertical="center" wrapText="1"/>
    </xf>
    <xf numFmtId="2" fontId="19" fillId="2" borderId="0" xfId="0" applyNumberFormat="1" applyFont="1" applyFill="1" applyAlignment="1">
      <alignment horizontal="left" vertical="center" wrapText="1"/>
    </xf>
    <xf numFmtId="0" fontId="19" fillId="2" borderId="0" xfId="0" applyFont="1" applyFill="1" applyAlignment="1">
      <alignment vertical="center" wrapText="1"/>
    </xf>
    <xf numFmtId="0" fontId="19" fillId="2" borderId="0" xfId="0" applyFont="1" applyFill="1" applyAlignment="1">
      <alignment horizontal="left" vertical="center" wrapText="1"/>
    </xf>
    <xf numFmtId="49" fontId="8" fillId="8" borderId="0" xfId="0" applyNumberFormat="1" applyFont="1" applyFill="1" applyAlignment="1">
      <alignment horizontal="left"/>
    </xf>
    <xf numFmtId="14" fontId="9" fillId="8" borderId="0" xfId="1" applyNumberFormat="1" applyFont="1" applyFill="1" applyAlignment="1">
      <alignment horizontal="left"/>
    </xf>
    <xf numFmtId="14" fontId="9" fillId="8" borderId="0" xfId="0" applyNumberFormat="1" applyFont="1" applyFill="1" applyAlignment="1">
      <alignment horizontal="left"/>
    </xf>
    <xf numFmtId="0" fontId="9" fillId="8" borderId="0" xfId="0" applyFont="1" applyFill="1" applyAlignment="1">
      <alignment horizontal="left"/>
    </xf>
    <xf numFmtId="164" fontId="9" fillId="8" borderId="0" xfId="0" applyNumberFormat="1" applyFont="1" applyFill="1" applyAlignment="1">
      <alignment horizontal="left"/>
    </xf>
    <xf numFmtId="0" fontId="8" fillId="8" borderId="0" xfId="0" applyFont="1" applyFill="1" applyAlignment="1">
      <alignment horizontal="center"/>
    </xf>
    <xf numFmtId="0" fontId="8" fillId="8" borderId="0" xfId="0" applyNumberFormat="1" applyFont="1" applyFill="1" applyAlignment="1">
      <alignment horizontal="center"/>
    </xf>
    <xf numFmtId="2" fontId="9" fillId="8" borderId="0" xfId="0" applyNumberFormat="1" applyFont="1" applyFill="1" applyAlignment="1">
      <alignment horizontal="left"/>
    </xf>
    <xf numFmtId="2" fontId="8" fillId="8" borderId="0" xfId="0" applyNumberFormat="1" applyFont="1" applyFill="1" applyAlignment="1">
      <alignment horizontal="left"/>
    </xf>
    <xf numFmtId="0" fontId="8" fillId="8" borderId="0" xfId="0" applyFont="1" applyFill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166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2" xfId="0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15" fillId="0" borderId="0" xfId="0" applyFont="1" applyAlignment="1">
      <alignment vertical="center" wrapText="1"/>
    </xf>
    <xf numFmtId="0" fontId="27" fillId="11" borderId="2" xfId="0" applyFont="1" applyFill="1" applyBorder="1" applyAlignment="1">
      <alignment horizontal="center" vertical="center" wrapText="1"/>
    </xf>
    <xf numFmtId="0" fontId="25" fillId="14" borderId="3" xfId="0" applyFont="1" applyFill="1" applyBorder="1" applyAlignment="1">
      <alignment horizontal="center" vertical="center" wrapText="1"/>
    </xf>
    <xf numFmtId="0" fontId="1" fillId="13" borderId="2" xfId="0" applyFont="1" applyFill="1" applyBorder="1" applyAlignment="1">
      <alignment horizontal="center" vertical="center" wrapText="1"/>
    </xf>
    <xf numFmtId="166" fontId="24" fillId="10" borderId="2" xfId="8" applyNumberFormat="1" applyBorder="1" applyAlignment="1">
      <alignment horizontal="center" vertical="center" wrapText="1"/>
    </xf>
    <xf numFmtId="166" fontId="23" fillId="9" borderId="2" xfId="7" applyNumberFormat="1" applyBorder="1" applyAlignment="1">
      <alignment horizontal="center" vertical="center" wrapText="1"/>
    </xf>
    <xf numFmtId="44" fontId="16" fillId="0" borderId="0" xfId="3" applyFont="1" applyAlignment="1">
      <alignment horizontal="left" vertical="center" wrapText="1"/>
    </xf>
    <xf numFmtId="44" fontId="26" fillId="13" borderId="0" xfId="3" applyFont="1" applyFill="1" applyAlignment="1">
      <alignment vertical="center" wrapText="1"/>
    </xf>
    <xf numFmtId="44" fontId="1" fillId="13" borderId="0" xfId="3" applyFont="1" applyFill="1" applyAlignment="1">
      <alignment horizontal="center" vertical="center" wrapText="1"/>
    </xf>
    <xf numFmtId="44" fontId="0" fillId="0" borderId="0" xfId="3" applyFont="1" applyAlignment="1">
      <alignment vertical="center" wrapText="1"/>
    </xf>
    <xf numFmtId="44" fontId="0" fillId="12" borderId="0" xfId="3" applyFont="1" applyFill="1" applyAlignment="1">
      <alignment vertical="center" wrapText="1"/>
    </xf>
    <xf numFmtId="44" fontId="23" fillId="9" borderId="0" xfId="3" applyFont="1" applyFill="1" applyAlignment="1">
      <alignment vertical="center" wrapText="1"/>
    </xf>
    <xf numFmtId="44" fontId="23" fillId="9" borderId="0" xfId="3" applyFont="1" applyFill="1" applyAlignment="1">
      <alignment horizontal="center" vertical="center" wrapText="1"/>
    </xf>
    <xf numFmtId="0" fontId="28" fillId="0" borderId="0" xfId="6" applyFont="1" applyAlignment="1">
      <alignment vertical="center" wrapText="1"/>
    </xf>
    <xf numFmtId="0" fontId="25" fillId="14" borderId="4" xfId="0" applyFont="1" applyFill="1" applyBorder="1" applyAlignment="1">
      <alignment horizontal="center" vertical="center" wrapText="1"/>
    </xf>
    <xf numFmtId="0" fontId="25" fillId="14" borderId="5" xfId="0" applyFont="1" applyFill="1" applyBorder="1" applyAlignment="1">
      <alignment horizontal="center" vertical="center" wrapText="1"/>
    </xf>
    <xf numFmtId="166" fontId="0" fillId="7" borderId="2" xfId="0" applyNumberFormat="1" applyFill="1" applyBorder="1" applyAlignment="1">
      <alignment horizontal="center" vertical="center" wrapText="1"/>
    </xf>
    <xf numFmtId="49" fontId="8" fillId="12" borderId="0" xfId="0" applyNumberFormat="1" applyFont="1" applyFill="1" applyAlignment="1">
      <alignment horizontal="left"/>
    </xf>
    <xf numFmtId="44" fontId="19" fillId="0" borderId="0" xfId="3" applyFont="1" applyFill="1" applyAlignment="1">
      <alignment horizontal="left" vertical="center" wrapText="1"/>
    </xf>
    <xf numFmtId="14" fontId="20" fillId="2" borderId="0" xfId="1" applyNumberFormat="1" applyFont="1" applyFill="1" applyAlignment="1">
      <alignment horizontal="left"/>
    </xf>
    <xf numFmtId="44" fontId="23" fillId="9" borderId="0" xfId="7" applyNumberFormat="1" applyAlignment="1">
      <alignment vertical="center" wrapText="1"/>
    </xf>
    <xf numFmtId="44" fontId="23" fillId="9" borderId="0" xfId="7" applyNumberFormat="1"/>
    <xf numFmtId="44" fontId="23" fillId="9" borderId="6" xfId="7" applyNumberFormat="1" applyBorder="1"/>
    <xf numFmtId="14" fontId="0" fillId="0" borderId="0" xfId="0" applyNumberFormat="1"/>
    <xf numFmtId="14" fontId="29" fillId="9" borderId="2" xfId="7" applyNumberFormat="1" applyFont="1" applyBorder="1" applyAlignment="1">
      <alignment horizontal="center" vertical="center" wrapText="1"/>
    </xf>
    <xf numFmtId="44" fontId="30" fillId="0" borderId="0" xfId="3" applyFont="1" applyAlignment="1">
      <alignment horizontal="left" vertical="center" wrapText="1"/>
    </xf>
    <xf numFmtId="0" fontId="0" fillId="0" borderId="0" xfId="0" applyFont="1"/>
    <xf numFmtId="0" fontId="9" fillId="2" borderId="0" xfId="0" applyFont="1" applyFill="1" applyAlignment="1">
      <alignment horizontal="left" vertical="center" wrapText="1"/>
    </xf>
    <xf numFmtId="14" fontId="8" fillId="2" borderId="0" xfId="0" applyNumberFormat="1" applyFont="1" applyFill="1" applyAlignment="1">
      <alignment horizontal="left"/>
    </xf>
    <xf numFmtId="164" fontId="8" fillId="0" borderId="0" xfId="0" applyNumberFormat="1" applyFont="1" applyFill="1" applyAlignment="1">
      <alignment horizontal="left"/>
    </xf>
    <xf numFmtId="164" fontId="8" fillId="2" borderId="0" xfId="0" applyNumberFormat="1" applyFont="1" applyFill="1" applyAlignment="1">
      <alignment horizontal="center"/>
    </xf>
    <xf numFmtId="44" fontId="0" fillId="0" borderId="0" xfId="0" applyNumberFormat="1" applyFont="1"/>
    <xf numFmtId="0" fontId="0" fillId="0" borderId="0" xfId="0" pivotButton="1"/>
  </cellXfs>
  <cellStyles count="9">
    <cellStyle name="Insatisfaisant" xfId="1" builtinId="27"/>
    <cellStyle name="Lien hypertexte" xfId="2" builtinId="8"/>
    <cellStyle name="Monétaire" xfId="3" builtinId="4"/>
    <cellStyle name="Monétaire 2" xfId="5" xr:uid="{00000000-0005-0000-0000-000003000000}"/>
    <cellStyle name="Neutre" xfId="8" builtinId="28"/>
    <cellStyle name="Normal" xfId="0" builtinId="0"/>
    <cellStyle name="Satisfaisant" xfId="7" builtinId="26"/>
    <cellStyle name="Texte explicatif" xfId="4" builtinId="53"/>
    <cellStyle name="Titre" xfId="6" builtinId="15"/>
  </cellStyles>
  <dxfs count="111">
    <dxf>
      <numFmt numFmtId="0" formatCode="General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alignment horizontal="left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name val="Calibri"/>
        <scheme val="minor"/>
      </font>
      <fill>
        <patternFill>
          <fgColor indexed="64"/>
          <bgColor theme="0" tint="-0.249977111117893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numFmt numFmtId="0" formatCode="General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A1FD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1</xdr:row>
      <xdr:rowOff>19050</xdr:rowOff>
    </xdr:from>
    <xdr:to>
      <xdr:col>14</xdr:col>
      <xdr:colOff>485775</xdr:colOff>
      <xdr:row>16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28650" y="209550"/>
          <a:ext cx="10525125" cy="285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1- Ajout</a:t>
          </a:r>
          <a:r>
            <a:rPr lang="fr-FR" sz="1100" b="1" u="sng" baseline="0"/>
            <a:t> d'une nouvelle commande: </a:t>
          </a:r>
        </a:p>
        <a:p>
          <a:r>
            <a:rPr lang="fr-FR" sz="1100" baseline="0"/>
            <a:t>insérer une ligne dans le tableau "PLANNING_PRESTA" et compléter la date de début à partir de laquelle la réception est estimée dans Basware : cela permettra d'alimenter automatiquement le tableau "BDD_PRESTA_ESTIME 2023" </a:t>
          </a:r>
          <a:r>
            <a:rPr lang="fr-FR" sz="1100" b="1" baseline="0"/>
            <a:t>à partir du mois de la réception saisie. </a:t>
          </a:r>
        </a:p>
        <a:p>
          <a:r>
            <a:rPr lang="fr-FR" sz="1100" b="0" baseline="0"/>
            <a:t>Le tableau calculera alors automatiquement les montants estimées mois par mois tel un tableau d'amortissement.</a:t>
          </a:r>
        </a:p>
        <a:p>
          <a:r>
            <a:rPr lang="fr-FR" sz="1100" b="0" u="sng" baseline="0"/>
            <a:t>exemple:</a:t>
          </a:r>
          <a:r>
            <a:rPr lang="fr-FR" sz="1100" b="0" baseline="0"/>
            <a:t> une commande de matériel a été créée le 01/12/2022 mais la réception est prévue le 10/03/2023 alors saisir le </a:t>
          </a:r>
          <a:r>
            <a:rPr lang="fr-FR" sz="1100" b="1" baseline="0"/>
            <a:t>10/03/2023</a:t>
          </a:r>
          <a:r>
            <a:rPr lang="fr-FR" sz="1100" b="0" baseline="0"/>
            <a:t> dans la date de début.</a:t>
          </a:r>
        </a:p>
        <a:p>
          <a:r>
            <a:rPr lang="fr-FR" sz="1100" b="0" baseline="0"/>
            <a:t>Renseigner le nombre de jours :</a:t>
          </a:r>
        </a:p>
        <a:p>
          <a:r>
            <a:rPr lang="fr-FR" sz="1100" b="0" baseline="0"/>
            <a:t>Pour une prestation : nombre de jours estimée de la prestation</a:t>
          </a:r>
        </a:p>
        <a:p>
          <a:r>
            <a:rPr lang="fr-FR" sz="1100" b="0" baseline="0"/>
            <a:t>Pour du matériel : noter le jour exact de la réception </a:t>
          </a:r>
        </a:p>
        <a:p>
          <a:r>
            <a:rPr lang="fr-FR" sz="1100" b="0" baseline="0"/>
            <a:t>Pour un contrat: nombre de jours à partir de la date de début du contrat</a:t>
          </a:r>
        </a:p>
        <a:p>
          <a:endParaRPr lang="fr-FR" sz="1100" b="0" baseline="0"/>
        </a:p>
        <a:p>
          <a:endParaRPr lang="fr-FR" sz="1100" b="0" baseline="0"/>
        </a:p>
        <a:p>
          <a:endParaRPr lang="fr-FR" sz="1100" b="1" baseline="0"/>
        </a:p>
        <a:p>
          <a:endParaRPr lang="fr-FR" sz="1100" b="1" baseline="0"/>
        </a:p>
        <a:p>
          <a:endParaRPr lang="fr-FR" sz="1100" baseline="0"/>
        </a:p>
        <a:p>
          <a:endParaRPr lang="fr-FR" sz="1100" baseline="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977.457805324077" createdVersion="8" refreshedVersion="8" minRefreshableVersion="3" recordCount="77" xr:uid="{DEB1D065-3F55-4F33-A3B7-ECC7EC42BBAB}">
  <cacheSource type="worksheet">
    <worksheetSource name="BDD_PRESTA_ESTIME3_Baroute78"/>
  </cacheSource>
  <cacheFields count="11">
    <cacheField name="Projet" numFmtId="0">
      <sharedItems count="5">
        <s v="601000"/>
        <s v="601004"/>
        <s v="601006"/>
        <s v="600716"/>
        <s v="601003"/>
      </sharedItems>
    </cacheField>
    <cacheField name="PO" numFmtId="0">
      <sharedItems/>
    </cacheField>
    <cacheField name="Société" numFmtId="0">
      <sharedItems/>
    </cacheField>
    <cacheField name="Prestataires" numFmtId="0">
      <sharedItems containsBlank="1"/>
    </cacheField>
    <cacheField name="Début" numFmtId="14">
      <sharedItems containsSemiMixedTypes="0" containsNonDate="0" containsDate="1" containsString="0" minDate="2023-01-01T00:00:00" maxDate="2023-09-02T00:00:00"/>
    </cacheField>
    <cacheField name="Fin" numFmtId="14">
      <sharedItems containsSemiMixedTypes="0" containsNonDate="0" containsDate="1" containsString="0" minDate="2023-01-05T00:00:00" maxDate="2023-09-29T00:00:00"/>
    </cacheField>
    <cacheField name="Reliquat 2022" numFmtId="0">
      <sharedItems containsSemiMixedTypes="0" containsString="0" containsNumber="1" minValue="0" maxValue="26"/>
    </cacheField>
    <cacheField name="TJM" numFmtId="0">
      <sharedItems containsSemiMixedTypes="0" containsString="0" containsNumber="1" minValue="200" maxValue="10000"/>
    </cacheField>
    <cacheField name="Mois" numFmtId="0">
      <sharedItems count="10">
        <s v="janvier"/>
        <s v="février"/>
        <s v="mars"/>
        <s v="avril"/>
        <s v="Total"/>
        <s v="mai"/>
        <s v="juin"/>
        <s v="juillet"/>
        <s v="août"/>
        <s v="septembre"/>
      </sharedItems>
    </cacheField>
    <cacheField name="Valeur" numFmtId="0">
      <sharedItems containsSemiMixedTypes="0" containsString="0" containsNumber="1" minValue="535" maxValue="1670000"/>
    </cacheField>
    <cacheField name="Personnalisé" numFmtId="0">
      <sharedItems containsSemiMixedTypes="0" containsString="0" containsNumber="1" containsInteger="1" minValue="1" maxValue="13" count="10">
        <n v="1"/>
        <n v="2"/>
        <n v="3"/>
        <n v="4"/>
        <n v="13"/>
        <n v="5"/>
        <n v="6"/>
        <n v="7"/>
        <n v="8"/>
        <n v="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7">
  <r>
    <x v="0"/>
    <s v="PO-23-1161-00086"/>
    <s v="ALIAGE"/>
    <s v="Audric"/>
    <d v="2023-01-17T00:00:00"/>
    <d v="2023-04-10T00:00:00"/>
    <n v="7"/>
    <n v="505"/>
    <x v="0"/>
    <n v="5555"/>
    <x v="0"/>
  </r>
  <r>
    <x v="0"/>
    <s v="PO-23-1161-00086"/>
    <s v="ALIAGE"/>
    <s v="Audric"/>
    <d v="2023-01-17T00:00:00"/>
    <d v="2023-04-10T00:00:00"/>
    <n v="7"/>
    <n v="505"/>
    <x v="1"/>
    <n v="10100"/>
    <x v="1"/>
  </r>
  <r>
    <x v="0"/>
    <s v="PO-23-1161-00086"/>
    <s v="ALIAGE"/>
    <s v="Audric"/>
    <d v="2023-01-17T00:00:00"/>
    <d v="2023-04-10T00:00:00"/>
    <n v="7"/>
    <n v="505"/>
    <x v="2"/>
    <n v="11615"/>
    <x v="2"/>
  </r>
  <r>
    <x v="0"/>
    <s v="PO-23-1161-00086"/>
    <s v="ALIAGE"/>
    <s v="Audric"/>
    <d v="2023-01-17T00:00:00"/>
    <d v="2023-04-10T00:00:00"/>
    <n v="7"/>
    <n v="505"/>
    <x v="3"/>
    <n v="2525"/>
    <x v="3"/>
  </r>
  <r>
    <x v="0"/>
    <s v="PO-23-1161-00086"/>
    <s v="ALIAGE"/>
    <s v="Audric"/>
    <d v="2023-01-17T00:00:00"/>
    <d v="2023-04-10T00:00:00"/>
    <n v="7"/>
    <n v="505"/>
    <x v="4"/>
    <n v="29795"/>
    <x v="4"/>
  </r>
  <r>
    <x v="0"/>
    <s v="PO-23-1161-00135"/>
    <s v="ALIAGE"/>
    <s v="Elodie"/>
    <d v="2023-02-04T00:00:00"/>
    <d v="2023-04-26T00:00:00"/>
    <n v="15"/>
    <n v="515"/>
    <x v="1"/>
    <n v="8755"/>
    <x v="1"/>
  </r>
  <r>
    <x v="0"/>
    <s v="PO-23-1161-00135"/>
    <s v="ALIAGE"/>
    <s v="Elodie"/>
    <d v="2023-02-04T00:00:00"/>
    <d v="2023-04-26T00:00:00"/>
    <n v="15"/>
    <n v="515"/>
    <x v="2"/>
    <n v="11845"/>
    <x v="2"/>
  </r>
  <r>
    <x v="0"/>
    <s v="PO-23-1161-00135"/>
    <s v="ALIAGE"/>
    <s v="Elodie"/>
    <d v="2023-02-04T00:00:00"/>
    <d v="2023-04-26T00:00:00"/>
    <n v="15"/>
    <n v="515"/>
    <x v="3"/>
    <n v="8755"/>
    <x v="3"/>
  </r>
  <r>
    <x v="0"/>
    <s v="PO-23-1161-00135"/>
    <s v="ALIAGE"/>
    <s v="Elodie"/>
    <d v="2023-02-04T00:00:00"/>
    <d v="2023-04-26T00:00:00"/>
    <n v="15"/>
    <n v="515"/>
    <x v="4"/>
    <n v="29355"/>
    <x v="4"/>
  </r>
  <r>
    <x v="0"/>
    <s v="PO-22-1161-01932"/>
    <s v="ALIAGE"/>
    <s v="Sara"/>
    <d v="2023-01-14T00:00:00"/>
    <d v="2023-01-28T00:00:00"/>
    <n v="12.5"/>
    <n v="493"/>
    <x v="0"/>
    <n v="4683.5"/>
    <x v="0"/>
  </r>
  <r>
    <x v="0"/>
    <s v="PO-22-1161-01932"/>
    <s v="ALIAGE"/>
    <s v="Sara"/>
    <d v="2023-01-14T00:00:00"/>
    <d v="2023-01-28T00:00:00"/>
    <n v="12.5"/>
    <n v="493"/>
    <x v="4"/>
    <n v="4683.5"/>
    <x v="4"/>
  </r>
  <r>
    <x v="0"/>
    <s v="PO-23-1161-00135"/>
    <s v="ALIAGE"/>
    <s v="Elodie"/>
    <d v="2023-04-12T00:00:00"/>
    <d v="2023-08-23T00:00:00"/>
    <n v="0"/>
    <n v="515"/>
    <x v="3"/>
    <n v="6695"/>
    <x v="3"/>
  </r>
  <r>
    <x v="0"/>
    <s v="PO-23-1161-00135"/>
    <s v="ALIAGE"/>
    <s v="Elodie"/>
    <d v="2023-04-12T00:00:00"/>
    <d v="2023-08-23T00:00:00"/>
    <n v="0"/>
    <n v="515"/>
    <x v="5"/>
    <n v="9785"/>
    <x v="5"/>
  </r>
  <r>
    <x v="0"/>
    <s v="PO-23-1161-00135"/>
    <s v="ALIAGE"/>
    <s v="Elodie"/>
    <d v="2023-04-12T00:00:00"/>
    <d v="2023-08-23T00:00:00"/>
    <n v="0"/>
    <n v="515"/>
    <x v="6"/>
    <n v="11330"/>
    <x v="6"/>
  </r>
  <r>
    <x v="0"/>
    <s v="PO-23-1161-00135"/>
    <s v="ALIAGE"/>
    <s v="Elodie"/>
    <d v="2023-04-12T00:00:00"/>
    <d v="2023-08-23T00:00:00"/>
    <n v="0"/>
    <n v="515"/>
    <x v="7"/>
    <n v="10300"/>
    <x v="7"/>
  </r>
  <r>
    <x v="0"/>
    <s v="PO-23-1161-00135"/>
    <s v="ALIAGE"/>
    <s v="Elodie"/>
    <d v="2023-04-12T00:00:00"/>
    <d v="2023-08-23T00:00:00"/>
    <n v="0"/>
    <n v="515"/>
    <x v="8"/>
    <n v="8240"/>
    <x v="8"/>
  </r>
  <r>
    <x v="0"/>
    <s v="PO-23-1161-00135"/>
    <s v="ALIAGE"/>
    <s v="Elodie"/>
    <d v="2023-04-12T00:00:00"/>
    <d v="2023-08-23T00:00:00"/>
    <n v="0"/>
    <n v="515"/>
    <x v="4"/>
    <n v="46350"/>
    <x v="4"/>
  </r>
  <r>
    <x v="0"/>
    <s v="PO-23-1161-00137"/>
    <s v="ICL"/>
    <m/>
    <d v="2023-01-01T00:00:00"/>
    <d v="2023-08-31T00:00:00"/>
    <n v="0"/>
    <n v="200"/>
    <x v="0"/>
    <n v="4400"/>
    <x v="0"/>
  </r>
  <r>
    <x v="0"/>
    <s v="PO-23-1161-00137"/>
    <s v="ICL"/>
    <m/>
    <d v="2023-01-01T00:00:00"/>
    <d v="2023-08-31T00:00:00"/>
    <n v="0"/>
    <n v="200"/>
    <x v="1"/>
    <n v="4000"/>
    <x v="1"/>
  </r>
  <r>
    <x v="0"/>
    <s v="PO-23-1161-00137"/>
    <s v="ICL"/>
    <m/>
    <d v="2023-01-01T00:00:00"/>
    <d v="2023-08-31T00:00:00"/>
    <n v="0"/>
    <n v="200"/>
    <x v="2"/>
    <n v="4600"/>
    <x v="2"/>
  </r>
  <r>
    <x v="0"/>
    <s v="PO-23-1161-00137"/>
    <s v="ICL"/>
    <m/>
    <d v="2023-01-01T00:00:00"/>
    <d v="2023-08-31T00:00:00"/>
    <n v="0"/>
    <n v="200"/>
    <x v="3"/>
    <n v="3800"/>
    <x v="3"/>
  </r>
  <r>
    <x v="0"/>
    <s v="PO-23-1161-00137"/>
    <s v="ICL"/>
    <m/>
    <d v="2023-01-01T00:00:00"/>
    <d v="2023-08-31T00:00:00"/>
    <n v="0"/>
    <n v="200"/>
    <x v="5"/>
    <n v="3800"/>
    <x v="5"/>
  </r>
  <r>
    <x v="0"/>
    <s v="PO-23-1161-00137"/>
    <s v="ICL"/>
    <m/>
    <d v="2023-01-01T00:00:00"/>
    <d v="2023-08-31T00:00:00"/>
    <n v="0"/>
    <n v="200"/>
    <x v="6"/>
    <n v="4400"/>
    <x v="6"/>
  </r>
  <r>
    <x v="0"/>
    <s v="PO-23-1161-00137"/>
    <s v="ICL"/>
    <m/>
    <d v="2023-01-01T00:00:00"/>
    <d v="2023-08-31T00:00:00"/>
    <n v="0"/>
    <n v="200"/>
    <x v="7"/>
    <n v="4000"/>
    <x v="7"/>
  </r>
  <r>
    <x v="0"/>
    <s v="PO-23-1161-00137"/>
    <s v="ICL"/>
    <m/>
    <d v="2023-01-01T00:00:00"/>
    <d v="2023-08-31T00:00:00"/>
    <n v="0"/>
    <n v="200"/>
    <x v="8"/>
    <n v="4400"/>
    <x v="8"/>
  </r>
  <r>
    <x v="0"/>
    <s v="PO-23-1161-00137"/>
    <s v="ICL"/>
    <m/>
    <d v="2023-01-01T00:00:00"/>
    <d v="2023-08-31T00:00:00"/>
    <n v="0"/>
    <n v="200"/>
    <x v="4"/>
    <n v="33400"/>
    <x v="4"/>
  </r>
  <r>
    <x v="0"/>
    <s v="PO-22-1161-02250"/>
    <s v="ICL"/>
    <m/>
    <d v="2023-01-01T00:00:00"/>
    <d v="2023-08-31T00:00:00"/>
    <n v="0"/>
    <n v="10000"/>
    <x v="0"/>
    <n v="220000"/>
    <x v="0"/>
  </r>
  <r>
    <x v="0"/>
    <s v="PO-22-1161-02250"/>
    <s v="ICL"/>
    <m/>
    <d v="2023-01-01T00:00:00"/>
    <d v="2023-08-31T00:00:00"/>
    <n v="0"/>
    <n v="10000"/>
    <x v="1"/>
    <n v="200000"/>
    <x v="1"/>
  </r>
  <r>
    <x v="0"/>
    <s v="PO-22-1161-02250"/>
    <s v="ICL"/>
    <m/>
    <d v="2023-01-01T00:00:00"/>
    <d v="2023-08-31T00:00:00"/>
    <n v="0"/>
    <n v="10000"/>
    <x v="2"/>
    <n v="230000"/>
    <x v="2"/>
  </r>
  <r>
    <x v="0"/>
    <s v="PO-22-1161-02250"/>
    <s v="ICL"/>
    <m/>
    <d v="2023-01-01T00:00:00"/>
    <d v="2023-08-31T00:00:00"/>
    <n v="0"/>
    <n v="10000"/>
    <x v="3"/>
    <n v="190000"/>
    <x v="3"/>
  </r>
  <r>
    <x v="0"/>
    <s v="PO-22-1161-02250"/>
    <s v="ICL"/>
    <m/>
    <d v="2023-01-01T00:00:00"/>
    <d v="2023-08-31T00:00:00"/>
    <n v="0"/>
    <n v="10000"/>
    <x v="5"/>
    <n v="190000"/>
    <x v="5"/>
  </r>
  <r>
    <x v="0"/>
    <s v="PO-22-1161-02250"/>
    <s v="ICL"/>
    <m/>
    <d v="2023-01-01T00:00:00"/>
    <d v="2023-08-31T00:00:00"/>
    <n v="0"/>
    <n v="10000"/>
    <x v="6"/>
    <n v="220000"/>
    <x v="6"/>
  </r>
  <r>
    <x v="0"/>
    <s v="PO-22-1161-02250"/>
    <s v="ICL"/>
    <m/>
    <d v="2023-01-01T00:00:00"/>
    <d v="2023-08-31T00:00:00"/>
    <n v="0"/>
    <n v="10000"/>
    <x v="7"/>
    <n v="200000"/>
    <x v="7"/>
  </r>
  <r>
    <x v="0"/>
    <s v="PO-22-1161-02250"/>
    <s v="ICL"/>
    <m/>
    <d v="2023-01-01T00:00:00"/>
    <d v="2023-08-31T00:00:00"/>
    <n v="0"/>
    <n v="10000"/>
    <x v="8"/>
    <n v="220000"/>
    <x v="8"/>
  </r>
  <r>
    <x v="0"/>
    <s v="PO-22-1161-02250"/>
    <s v="ICL"/>
    <m/>
    <d v="2023-01-01T00:00:00"/>
    <d v="2023-08-31T00:00:00"/>
    <n v="0"/>
    <n v="10000"/>
    <x v="4"/>
    <n v="1670000"/>
    <x v="4"/>
  </r>
  <r>
    <x v="1"/>
    <s v="PO-22-1161-02030"/>
    <s v="ICL"/>
    <s v="Johann"/>
    <d v="2023-01-02T00:00:00"/>
    <d v="2023-01-05T00:00:00"/>
    <n v="0"/>
    <n v="680"/>
    <x v="0"/>
    <n v="2720"/>
    <x v="0"/>
  </r>
  <r>
    <x v="1"/>
    <s v="PO-22-1161-02030"/>
    <s v="ICL"/>
    <s v="Johann"/>
    <d v="2023-01-02T00:00:00"/>
    <d v="2023-01-05T00:00:00"/>
    <n v="0"/>
    <n v="680"/>
    <x v="4"/>
    <n v="2720"/>
    <x v="4"/>
  </r>
  <r>
    <x v="1"/>
    <s v="PO-23-1161-00015"/>
    <s v="ICL"/>
    <s v="Johann"/>
    <d v="2023-01-09T00:00:00"/>
    <d v="2023-04-09T00:00:00"/>
    <n v="4.5"/>
    <n v="680"/>
    <x v="0"/>
    <n v="11560"/>
    <x v="0"/>
  </r>
  <r>
    <x v="1"/>
    <s v="PO-23-1161-00015"/>
    <s v="ICL"/>
    <s v="Johann"/>
    <d v="2023-01-09T00:00:00"/>
    <d v="2023-04-09T00:00:00"/>
    <n v="4.5"/>
    <n v="680"/>
    <x v="1"/>
    <n v="13600"/>
    <x v="1"/>
  </r>
  <r>
    <x v="1"/>
    <s v="PO-23-1161-00015"/>
    <s v="ICL"/>
    <s v="Johann"/>
    <d v="2023-01-09T00:00:00"/>
    <d v="2023-04-09T00:00:00"/>
    <n v="4.5"/>
    <n v="680"/>
    <x v="2"/>
    <n v="15640"/>
    <x v="2"/>
  </r>
  <r>
    <x v="1"/>
    <s v="PO-23-1161-00015"/>
    <s v="ICL"/>
    <s v="Johann"/>
    <d v="2023-01-09T00:00:00"/>
    <d v="2023-04-09T00:00:00"/>
    <n v="4.5"/>
    <n v="680"/>
    <x v="3"/>
    <n v="3060"/>
    <x v="3"/>
  </r>
  <r>
    <x v="1"/>
    <s v="PO-23-1161-00015"/>
    <s v="ICL"/>
    <s v="Johann"/>
    <d v="2023-01-09T00:00:00"/>
    <d v="2023-04-09T00:00:00"/>
    <n v="4.5"/>
    <n v="680"/>
    <x v="4"/>
    <n v="43860"/>
    <x v="4"/>
  </r>
  <r>
    <x v="1"/>
    <s v="PO-22-1161-02065"/>
    <s v="ICL"/>
    <s v="LONTAR"/>
    <d v="2023-01-02T00:00:00"/>
    <d v="2023-01-10T00:00:00"/>
    <n v="0"/>
    <n v="500"/>
    <x v="0"/>
    <n v="3500"/>
    <x v="0"/>
  </r>
  <r>
    <x v="1"/>
    <s v="PO-22-1161-02065"/>
    <s v="ICL"/>
    <s v="LONTAR"/>
    <d v="2023-01-02T00:00:00"/>
    <d v="2023-01-10T00:00:00"/>
    <n v="0"/>
    <n v="500"/>
    <x v="4"/>
    <n v="3500"/>
    <x v="4"/>
  </r>
  <r>
    <x v="1"/>
    <s v="estimation"/>
    <s v="ICL"/>
    <s v="Johann"/>
    <d v="2023-04-06T00:00:00"/>
    <d v="2023-08-18T00:00:00"/>
    <n v="0"/>
    <n v="680"/>
    <x v="3"/>
    <n v="10880"/>
    <x v="3"/>
  </r>
  <r>
    <x v="1"/>
    <s v="estimation"/>
    <s v="ICL"/>
    <s v="Johann"/>
    <d v="2023-04-06T00:00:00"/>
    <d v="2023-08-18T00:00:00"/>
    <n v="0"/>
    <n v="680"/>
    <x v="5"/>
    <n v="12920"/>
    <x v="5"/>
  </r>
  <r>
    <x v="1"/>
    <s v="estimation"/>
    <s v="ICL"/>
    <s v="Johann"/>
    <d v="2023-04-06T00:00:00"/>
    <d v="2023-08-18T00:00:00"/>
    <n v="0"/>
    <n v="680"/>
    <x v="6"/>
    <n v="14960"/>
    <x v="6"/>
  </r>
  <r>
    <x v="1"/>
    <s v="estimation"/>
    <s v="ICL"/>
    <s v="Johann"/>
    <d v="2023-04-06T00:00:00"/>
    <d v="2023-08-18T00:00:00"/>
    <n v="0"/>
    <n v="680"/>
    <x v="7"/>
    <n v="13600"/>
    <x v="7"/>
  </r>
  <r>
    <x v="1"/>
    <s v="estimation"/>
    <s v="ICL"/>
    <s v="Johann"/>
    <d v="2023-04-06T00:00:00"/>
    <d v="2023-08-18T00:00:00"/>
    <n v="0"/>
    <n v="680"/>
    <x v="8"/>
    <n v="8840"/>
    <x v="8"/>
  </r>
  <r>
    <x v="1"/>
    <s v="estimation"/>
    <s v="ICL"/>
    <s v="Johann"/>
    <d v="2023-04-06T00:00:00"/>
    <d v="2023-08-18T00:00:00"/>
    <n v="0"/>
    <n v="680"/>
    <x v="4"/>
    <n v="61200"/>
    <x v="4"/>
  </r>
  <r>
    <x v="2"/>
    <s v="PO-22-1161-00711"/>
    <s v="ICL"/>
    <s v="Coût forfaitaire"/>
    <d v="2023-09-01T00:00:00"/>
    <d v="2023-09-28T00:00:00"/>
    <n v="0"/>
    <n v="1568.82"/>
    <x v="9"/>
    <n v="31376.399999999998"/>
    <x v="9"/>
  </r>
  <r>
    <x v="2"/>
    <s v="PO-22-1161-00711"/>
    <s v="ICL"/>
    <s v="Coût forfaitaire"/>
    <d v="2023-09-01T00:00:00"/>
    <d v="2023-09-28T00:00:00"/>
    <n v="0"/>
    <n v="1568.82"/>
    <x v="4"/>
    <n v="31376.399999999998"/>
    <x v="4"/>
  </r>
  <r>
    <x v="3"/>
    <s v="PO-23-1161-00080"/>
    <s v="RENAUD"/>
    <s v="Bernard"/>
    <d v="2023-03-04T00:00:00"/>
    <d v="2023-05-28T00:00:00"/>
    <n v="26"/>
    <n v="560"/>
    <x v="2"/>
    <n v="11200"/>
    <x v="2"/>
  </r>
  <r>
    <x v="3"/>
    <s v="PO-23-1161-00080"/>
    <s v="RENAUD"/>
    <s v="Bernard"/>
    <d v="2023-03-04T00:00:00"/>
    <d v="2023-05-28T00:00:00"/>
    <n v="26"/>
    <n v="560"/>
    <x v="3"/>
    <n v="10640"/>
    <x v="3"/>
  </r>
  <r>
    <x v="3"/>
    <s v="PO-23-1161-00080"/>
    <s v="RENAUD"/>
    <s v="Bernard"/>
    <d v="2023-03-04T00:00:00"/>
    <d v="2023-05-28T00:00:00"/>
    <n v="26"/>
    <n v="560"/>
    <x v="5"/>
    <n v="9520"/>
    <x v="5"/>
  </r>
  <r>
    <x v="3"/>
    <s v="PO-23-1161-00080"/>
    <s v="RENAUD"/>
    <s v="Bernard"/>
    <d v="2023-03-04T00:00:00"/>
    <d v="2023-05-28T00:00:00"/>
    <n v="26"/>
    <n v="560"/>
    <x v="4"/>
    <n v="31360"/>
    <x v="4"/>
  </r>
  <r>
    <x v="3"/>
    <s v="PO-23-1161-00080"/>
    <s v="RENAUD"/>
    <s v="Johann"/>
    <d v="2023-01-10T00:00:00"/>
    <d v="2023-04-03T00:00:00"/>
    <n v="0"/>
    <n v="535"/>
    <x v="0"/>
    <n v="8560"/>
    <x v="0"/>
  </r>
  <r>
    <x v="3"/>
    <s v="PO-23-1161-00080"/>
    <s v="RENAUD"/>
    <s v="Johann"/>
    <d v="2023-01-10T00:00:00"/>
    <d v="2023-04-03T00:00:00"/>
    <n v="0"/>
    <n v="535"/>
    <x v="1"/>
    <n v="10700"/>
    <x v="1"/>
  </r>
  <r>
    <x v="3"/>
    <s v="PO-23-1161-00080"/>
    <s v="RENAUD"/>
    <s v="Johann"/>
    <d v="2023-01-10T00:00:00"/>
    <d v="2023-04-03T00:00:00"/>
    <n v="0"/>
    <n v="535"/>
    <x v="2"/>
    <n v="12305"/>
    <x v="2"/>
  </r>
  <r>
    <x v="3"/>
    <s v="PO-23-1161-00080"/>
    <s v="RENAUD"/>
    <s v="Johann"/>
    <d v="2023-01-10T00:00:00"/>
    <d v="2023-04-03T00:00:00"/>
    <n v="0"/>
    <n v="535"/>
    <x v="3"/>
    <n v="535"/>
    <x v="3"/>
  </r>
  <r>
    <x v="3"/>
    <s v="PO-23-1161-00080"/>
    <s v="RENAUD"/>
    <s v="Johann"/>
    <d v="2023-01-10T00:00:00"/>
    <d v="2023-04-03T00:00:00"/>
    <n v="0"/>
    <n v="535"/>
    <x v="4"/>
    <n v="32100"/>
    <x v="4"/>
  </r>
  <r>
    <x v="4"/>
    <s v="PO-22-1161-00162"/>
    <s v="RENAUD"/>
    <m/>
    <d v="2023-01-01T00:00:00"/>
    <d v="2023-04-30T00:00:00"/>
    <n v="0"/>
    <n v="413.11"/>
    <x v="0"/>
    <n v="9088.42"/>
    <x v="0"/>
  </r>
  <r>
    <x v="4"/>
    <s v="PO-22-1161-00162"/>
    <s v="RENAUD"/>
    <m/>
    <d v="2023-01-01T00:00:00"/>
    <d v="2023-04-30T00:00:00"/>
    <n v="0"/>
    <n v="413.11"/>
    <x v="1"/>
    <n v="8262.2000000000007"/>
    <x v="1"/>
  </r>
  <r>
    <x v="4"/>
    <s v="PO-22-1161-00162"/>
    <s v="RENAUD"/>
    <m/>
    <d v="2023-01-01T00:00:00"/>
    <d v="2023-04-30T00:00:00"/>
    <n v="0"/>
    <n v="413.11"/>
    <x v="2"/>
    <n v="9501.5300000000007"/>
    <x v="2"/>
  </r>
  <r>
    <x v="4"/>
    <s v="PO-22-1161-00162"/>
    <s v="RENAUD"/>
    <m/>
    <d v="2023-01-01T00:00:00"/>
    <d v="2023-04-30T00:00:00"/>
    <n v="0"/>
    <n v="413.11"/>
    <x v="3"/>
    <n v="7849.09"/>
    <x v="3"/>
  </r>
  <r>
    <x v="4"/>
    <s v="PO-22-1161-00162"/>
    <s v="RENAUD"/>
    <m/>
    <d v="2023-01-01T00:00:00"/>
    <d v="2023-04-30T00:00:00"/>
    <n v="0"/>
    <n v="413.11"/>
    <x v="4"/>
    <n v="34701.240000000005"/>
    <x v="4"/>
  </r>
  <r>
    <x v="2"/>
    <s v="PO-23-1161-00206"/>
    <s v="SUPRE"/>
    <s v="Marion"/>
    <d v="2023-02-26T00:00:00"/>
    <d v="2023-05-06T00:00:00"/>
    <n v="24.5"/>
    <n v="493"/>
    <x v="1"/>
    <n v="986"/>
    <x v="1"/>
  </r>
  <r>
    <x v="2"/>
    <s v="PO-23-1161-00206"/>
    <s v="SUPRE"/>
    <s v="Marion"/>
    <d v="2023-02-26T00:00:00"/>
    <d v="2023-05-06T00:00:00"/>
    <n v="24.5"/>
    <n v="493"/>
    <x v="2"/>
    <n v="11339"/>
    <x v="2"/>
  </r>
  <r>
    <x v="2"/>
    <s v="PO-23-1161-00206"/>
    <s v="SUPRE"/>
    <s v="Marion"/>
    <d v="2023-02-26T00:00:00"/>
    <d v="2023-05-06T00:00:00"/>
    <n v="24.5"/>
    <n v="493"/>
    <x v="3"/>
    <n v="9367"/>
    <x v="3"/>
  </r>
  <r>
    <x v="2"/>
    <s v="PO-23-1161-00206"/>
    <s v="SUPRE"/>
    <s v="Marion"/>
    <d v="2023-02-26T00:00:00"/>
    <d v="2023-05-06T00:00:00"/>
    <n v="24.5"/>
    <n v="493"/>
    <x v="5"/>
    <n v="1725.5"/>
    <x v="5"/>
  </r>
  <r>
    <x v="2"/>
    <s v="PO-23-1161-00206"/>
    <s v="SUPRE"/>
    <s v="Marion"/>
    <d v="2023-02-26T00:00:00"/>
    <d v="2023-05-06T00:00:00"/>
    <n v="24.5"/>
    <n v="493"/>
    <x v="4"/>
    <n v="23417.5"/>
    <x v="4"/>
  </r>
  <r>
    <x v="2"/>
    <s v="estimation"/>
    <s v="SUPRE"/>
    <s v="Marion"/>
    <d v="2023-04-13T00:00:00"/>
    <d v="2023-08-24T00:00:00"/>
    <n v="0"/>
    <n v="493"/>
    <x v="3"/>
    <n v="5916"/>
    <x v="3"/>
  </r>
  <r>
    <x v="2"/>
    <s v="estimation"/>
    <s v="SUPRE"/>
    <s v="Marion"/>
    <d v="2023-04-13T00:00:00"/>
    <d v="2023-08-24T00:00:00"/>
    <n v="0"/>
    <n v="493"/>
    <x v="5"/>
    <n v="9367"/>
    <x v="5"/>
  </r>
  <r>
    <x v="2"/>
    <s v="estimation"/>
    <s v="SUPRE"/>
    <s v="Marion"/>
    <d v="2023-04-13T00:00:00"/>
    <d v="2023-08-24T00:00:00"/>
    <n v="0"/>
    <n v="493"/>
    <x v="6"/>
    <n v="10846"/>
    <x v="6"/>
  </r>
  <r>
    <x v="2"/>
    <s v="estimation"/>
    <s v="SUPRE"/>
    <s v="Marion"/>
    <d v="2023-04-13T00:00:00"/>
    <d v="2023-08-24T00:00:00"/>
    <n v="0"/>
    <n v="493"/>
    <x v="7"/>
    <n v="9860"/>
    <x v="7"/>
  </r>
  <r>
    <x v="2"/>
    <s v="estimation"/>
    <s v="SUPRE"/>
    <s v="Marion"/>
    <d v="2023-04-13T00:00:00"/>
    <d v="2023-08-24T00:00:00"/>
    <n v="0"/>
    <n v="493"/>
    <x v="8"/>
    <n v="8381"/>
    <x v="8"/>
  </r>
  <r>
    <x v="2"/>
    <s v="estimation"/>
    <s v="SUPRE"/>
    <s v="Marion"/>
    <d v="2023-04-13T00:00:00"/>
    <d v="2023-08-24T00:00:00"/>
    <n v="0"/>
    <n v="493"/>
    <x v="4"/>
    <n v="4437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854EBDC-70EA-4AC9-B6F6-8576FEC15B48}" name="Tableau croisé dynamique1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X2:AA36" firstHeaderRow="1" firstDataRow="1" firstDataCol="3"/>
  <pivotFields count="11">
    <pivotField axis="axisRow" compact="0" outline="0" showAll="0" defaultSubtotal="0">
      <items count="5">
        <item x="3"/>
        <item x="0"/>
        <item x="4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0">
        <item x="0"/>
        <item x="1"/>
        <item x="2"/>
        <item x="3"/>
        <item x="5"/>
        <item x="6"/>
        <item x="7"/>
        <item x="8"/>
        <item x="9"/>
        <item h="1"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11">
        <item x="0"/>
        <item x="1"/>
        <item x="2"/>
        <item x="3"/>
        <item x="5"/>
        <item x="6"/>
        <item x="7"/>
        <item x="8"/>
        <item x="9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8"/>
    <field x="10"/>
  </rowFields>
  <rowItems count="34">
    <i>
      <x/>
      <x/>
      <x/>
    </i>
    <i r="1">
      <x v="1"/>
      <x v="1"/>
    </i>
    <i r="1">
      <x v="2"/>
      <x v="2"/>
    </i>
    <i r="1">
      <x v="3"/>
      <x v="3"/>
    </i>
    <i r="1">
      <x v="4"/>
      <x v="4"/>
    </i>
    <i>
      <x v="1"/>
      <x/>
      <x/>
    </i>
    <i r="1">
      <x v="1"/>
      <x v="1"/>
    </i>
    <i r="1">
      <x v="2"/>
      <x v="2"/>
    </i>
    <i r="1">
      <x v="3"/>
      <x v="3"/>
    </i>
    <i r="1">
      <x v="4"/>
      <x v="4"/>
    </i>
    <i r="1">
      <x v="5"/>
      <x v="5"/>
    </i>
    <i r="1">
      <x v="6"/>
      <x v="6"/>
    </i>
    <i r="1">
      <x v="7"/>
      <x v="7"/>
    </i>
    <i>
      <x v="2"/>
      <x/>
      <x/>
    </i>
    <i r="1">
      <x v="1"/>
      <x v="1"/>
    </i>
    <i r="1">
      <x v="2"/>
      <x v="2"/>
    </i>
    <i r="1">
      <x v="3"/>
      <x v="3"/>
    </i>
    <i>
      <x v="3"/>
      <x/>
      <x/>
    </i>
    <i r="1">
      <x v="1"/>
      <x v="1"/>
    </i>
    <i r="1">
      <x v="2"/>
      <x v="2"/>
    </i>
    <i r="1">
      <x v="3"/>
      <x v="3"/>
    </i>
    <i r="1">
      <x v="4"/>
      <x v="4"/>
    </i>
    <i r="1">
      <x v="5"/>
      <x v="5"/>
    </i>
    <i r="1">
      <x v="6"/>
      <x v="6"/>
    </i>
    <i r="1">
      <x v="7"/>
      <x v="7"/>
    </i>
    <i>
      <x v="4"/>
      <x v="1"/>
      <x v="1"/>
    </i>
    <i r="1">
      <x v="2"/>
      <x v="2"/>
    </i>
    <i r="1">
      <x v="3"/>
      <x v="3"/>
    </i>
    <i r="1">
      <x v="4"/>
      <x v="4"/>
    </i>
    <i r="1">
      <x v="5"/>
      <x v="5"/>
    </i>
    <i r="1">
      <x v="6"/>
      <x v="6"/>
    </i>
    <i r="1">
      <x v="7"/>
      <x v="7"/>
    </i>
    <i r="1">
      <x v="8"/>
      <x v="8"/>
    </i>
    <i t="grand">
      <x/>
    </i>
  </rowItems>
  <colItems count="1">
    <i/>
  </colItems>
  <dataFields count="1">
    <dataField name="Somme de Valeur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00000000-0016-0000-0100-000000000000}" autoFormatId="16" applyNumberFormats="0" applyBorderFormats="0" applyFontFormats="0" applyPatternFormats="0" applyAlignmentFormats="0" applyWidthHeightFormats="0">
  <queryTableRefresh nextId="30">
    <queryTableFields count="16">
      <queryTableField id="1" name="Projet" tableColumnId="1"/>
      <queryTableField id="2" name="PO" tableColumnId="2"/>
      <queryTableField id="3" name="Société" tableColumnId="3"/>
      <queryTableField id="4" name="Prestataires" tableColumnId="4"/>
      <queryTableField id="5" name="Début" tableColumnId="5"/>
      <queryTableField id="6" name="Fin" tableColumnId="6"/>
      <queryTableField id="16" name="TJM" tableColumnId="12"/>
      <queryTableField id="8" name="Janvier" tableColumnId="8"/>
      <queryTableField id="9" name="Février" tableColumnId="9"/>
      <queryTableField id="10" name="Mars" tableColumnId="10"/>
      <queryTableField id="19" name="avril" tableColumnId="13"/>
      <queryTableField id="22" name="mai" tableColumnId="14"/>
      <queryTableField id="23" name="juin" tableColumnId="15"/>
      <queryTableField id="24" name="juillet" tableColumnId="16"/>
      <queryTableField id="27" name="août" tableColumnId="19"/>
      <queryTableField id="29" name="septembre" tableColumnId="7"/>
    </queryTableFields>
    <queryTableDeletedFields count="2">
      <deletedField name="Total"/>
      <deletedField name="Reliquat 2022"/>
    </queryTableDeleted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8EE7E447-C88F-4F67-A831-9F19F33F3EBC}" autoFormatId="16" applyNumberFormats="0" applyBorderFormats="0" applyFontFormats="0" applyPatternFormats="0" applyAlignmentFormats="0" applyWidthHeightFormats="0">
  <queryTableRefresh nextId="12">
    <queryTableFields count="11">
      <queryTableField id="1" name="Projet" tableColumnId="1"/>
      <queryTableField id="2" name="PO" tableColumnId="2"/>
      <queryTableField id="3" name="Société" tableColumnId="3"/>
      <queryTableField id="4" name="Prestataires" tableColumnId="4"/>
      <queryTableField id="5" name="Début" tableColumnId="5"/>
      <queryTableField id="6" name="Fin" tableColumnId="6"/>
      <queryTableField id="7" name="Reliquat 2022" tableColumnId="7"/>
      <queryTableField id="8" name="TJM" tableColumnId="8"/>
      <queryTableField id="9" name="Mois" tableColumnId="9"/>
      <queryTableField id="10" name="Valeur" tableColumnId="10"/>
      <queryTableField id="11" name="Personnalisé" tableColumnId="1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BDD_PRESTA_ESTIME3_2" displayName="BDD_PRESTA_ESTIME3_2" ref="B2:Q20" tableType="queryTable" totalsRowCount="1" headerRowDxfId="110">
  <autoFilter ref="B2:Q19" xr:uid="{00000000-0009-0000-0100-000004000000}"/>
  <tableColumns count="16">
    <tableColumn id="1" xr3:uid="{00000000-0010-0000-0000-000001000000}" uniqueName="1" name="Projet" totalsRowLabel="Total" queryTableFieldId="1" dataDxfId="109"/>
    <tableColumn id="2" xr3:uid="{00000000-0010-0000-0000-000002000000}" uniqueName="2" name="PO" queryTableFieldId="2"/>
    <tableColumn id="3" xr3:uid="{00000000-0010-0000-0000-000003000000}" uniqueName="3" name="Société" queryTableFieldId="3"/>
    <tableColumn id="4" xr3:uid="{00000000-0010-0000-0000-000004000000}" uniqueName="4" name="Prestataires" queryTableFieldId="4" dataDxfId="108"/>
    <tableColumn id="5" xr3:uid="{00000000-0010-0000-0000-000005000000}" uniqueName="5" name="Début" queryTableFieldId="5" dataDxfId="107" totalsRowDxfId="106"/>
    <tableColumn id="6" xr3:uid="{00000000-0010-0000-0000-000006000000}" uniqueName="6" name="Fin" queryTableFieldId="6" dataDxfId="105" totalsRowDxfId="104"/>
    <tableColumn id="12" xr3:uid="{00000000-0010-0000-0000-00000C000000}" uniqueName="12" name="TJM" queryTableFieldId="16" dataDxfId="103" totalsRowDxfId="102" dataCellStyle="Monétaire"/>
    <tableColumn id="8" xr3:uid="{00000000-0010-0000-0000-000008000000}" uniqueName="8" name="janvier" totalsRowFunction="sum" queryTableFieldId="8" dataDxfId="101" totalsRowDxfId="100" dataCellStyle="Monétaire"/>
    <tableColumn id="9" xr3:uid="{00000000-0010-0000-0000-000009000000}" uniqueName="9" name="février" totalsRowFunction="sum" queryTableFieldId="9" dataDxfId="99" totalsRowDxfId="98" dataCellStyle="Monétaire"/>
    <tableColumn id="10" xr3:uid="{00000000-0010-0000-0000-00000A000000}" uniqueName="10" name="mars" totalsRowFunction="sum" queryTableFieldId="10" dataDxfId="97" totalsRowDxfId="96" dataCellStyle="Monétaire"/>
    <tableColumn id="13" xr3:uid="{00000000-0010-0000-0000-00000D000000}" uniqueName="13" name="avril" totalsRowFunction="sum" queryTableFieldId="19" dataDxfId="95" totalsRowDxfId="94" dataCellStyle="Monétaire"/>
    <tableColumn id="14" xr3:uid="{00000000-0010-0000-0000-00000E000000}" uniqueName="14" name="mai" totalsRowFunction="sum" queryTableFieldId="22" dataDxfId="93" totalsRowDxfId="92" dataCellStyle="Monétaire"/>
    <tableColumn id="15" xr3:uid="{00000000-0010-0000-0000-00000F000000}" uniqueName="15" name="juin" totalsRowFunction="sum" queryTableFieldId="23" dataDxfId="91" totalsRowDxfId="90" dataCellStyle="Monétaire"/>
    <tableColumn id="16" xr3:uid="{00000000-0010-0000-0000-000010000000}" uniqueName="16" name="juillet" totalsRowFunction="sum" queryTableFieldId="24" dataDxfId="89" totalsRowDxfId="88" dataCellStyle="Monétaire"/>
    <tableColumn id="19" xr3:uid="{00000000-0010-0000-0000-000013000000}" uniqueName="19" name="août" totalsRowFunction="sum" queryTableFieldId="27" dataDxfId="87" totalsRowDxfId="86" dataCellStyle="Monétaire"/>
    <tableColumn id="7" xr3:uid="{00000000-0010-0000-0000-000007000000}" uniqueName="7" name="septembre" queryTableFieldId="29" dataDxfId="85" totalsRowDxfId="84" dataCellStyle="Monétaire"/>
  </tableColumns>
  <tableStyleInfo name="TableStyleLight14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F5E1A35-B60A-47A6-A0F9-08D2E7768641}" name="BDD_PRESTA_ESTIME3_Baroute78" displayName="BDD_PRESTA_ESTIME3_Baroute78" ref="S2:AC79" tableType="queryTable" totalsRowShown="0">
  <autoFilter ref="S2:AC79" xr:uid="{7F5E1A35-B60A-47A6-A0F9-08D2E7768641}"/>
  <tableColumns count="11">
    <tableColumn id="1" xr3:uid="{53CC43E8-84D8-4E15-8999-581DB68FBD84}" uniqueName="1" name="Projet" queryTableFieldId="1" dataDxfId="3" dataCellStyle="Monétaire"/>
    <tableColumn id="2" xr3:uid="{665273C6-6C28-474D-BEAC-21976B3E6846}" uniqueName="2" name="PO" queryTableFieldId="2" dataDxfId="6" dataCellStyle="Monétaire"/>
    <tableColumn id="3" xr3:uid="{B6793C90-A80F-49F8-A89D-136F7D79C83A}" uniqueName="3" name="Société" queryTableFieldId="3"/>
    <tableColumn id="4" xr3:uid="{DDD9C02D-C3EB-4258-8E6B-F88E794B5944}" uniqueName="4" name="Prestataires" queryTableFieldId="4"/>
    <tableColumn id="5" xr3:uid="{B1B2F50D-D8C1-4C70-8F24-6F6144445036}" uniqueName="5" name="Début" queryTableFieldId="5" dataDxfId="2"/>
    <tableColumn id="6" xr3:uid="{F0B57F71-CC65-423F-8519-AE2792ACFA1C}" uniqueName="6" name="Fin" queryTableFieldId="6" dataDxfId="1"/>
    <tableColumn id="7" xr3:uid="{43B995D7-444F-4A5B-AEC7-CD9A68C69144}" uniqueName="7" name="Reliquat 2022" queryTableFieldId="7"/>
    <tableColumn id="8" xr3:uid="{0D4D8ABF-FD42-42B5-8629-A8C89EB93926}" uniqueName="8" name="TJM" queryTableFieldId="8"/>
    <tableColumn id="9" xr3:uid="{364A6353-523A-4A3B-8E91-B670E87A785B}" uniqueName="9" name="Mois" queryTableFieldId="9" dataDxfId="0"/>
    <tableColumn id="10" xr3:uid="{F8A023AB-960C-4155-945D-ABB04E475ECB}" uniqueName="10" name="Valeur" queryTableFieldId="10"/>
    <tableColumn id="11" xr3:uid="{350DDCDF-7B37-4658-A650-753311975324}" uniqueName="11" name="Personnalisé" queryTableFieldId="11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BDD_PRESTA_ESTIME3" displayName="BDD_PRESTA_ESTIME3" ref="B2:AK20" totalsRowCount="1" headerRowDxfId="83" dataDxfId="82" totalsRowDxfId="81">
  <autoFilter ref="B2:AK19" xr:uid="{00000000-0009-0000-0100-000001000000}"/>
  <tableColumns count="36">
    <tableColumn id="1" xr3:uid="{00000000-0010-0000-0100-000001000000}" name="Projet" dataDxfId="80" totalsRowDxfId="79"/>
    <tableColumn id="2" xr3:uid="{00000000-0010-0000-0100-000002000000}" name="PO" dataDxfId="78" totalsRowDxfId="77"/>
    <tableColumn id="28" xr3:uid="{00000000-0010-0000-0100-00001C000000}" name="Société" dataDxfId="76" totalsRowDxfId="75"/>
    <tableColumn id="8" xr3:uid="{00000000-0010-0000-0100-000008000000}" name="Début" dataDxfId="74" totalsRowDxfId="73"/>
    <tableColumn id="11" xr3:uid="{00000000-0010-0000-0100-00000B000000}" name="Fin" dataDxfId="72" totalsRowDxfId="71">
      <calculatedColumnFormula>WORKDAY.INTL(BDD_PRESTA_ESTIME3[[#This Row],[Début]]-1,BDD_PRESTA_ESTIME3[[#This Row],[Jours prév]],1,_Feries)</calculatedColumnFormula>
    </tableColumn>
    <tableColumn id="12" xr3:uid="{00000000-0010-0000-0100-00000C000000}" name="Prestataires" dataDxfId="70" totalsRowDxfId="69"/>
    <tableColumn id="27" xr3:uid="{00000000-0010-0000-0100-00001B000000}" name="TJM" dataDxfId="68" totalsRowDxfId="67"/>
    <tableColumn id="6" xr3:uid="{00000000-0010-0000-0100-000006000000}" name="Jours prév" dataDxfId="66" totalsRowDxfId="65"/>
    <tableColumn id="13" xr3:uid="{00000000-0010-0000-0100-00000D000000}" name="Jours trav" dataDxfId="64" totalsRowDxfId="63">
      <calculatedColumnFormula>SUM(#REF!)</calculatedColumnFormula>
    </tableColumn>
    <tableColumn id="14" xr3:uid="{00000000-0010-0000-0100-00000E000000}" name="Jours rest" dataDxfId="62" totalsRowDxfId="61">
      <calculatedColumnFormula>BDD_PRESTA_ESTIME3[[#This Row],[Jours prév]]-BDD_PRESTA_ESTIME3[[#This Row],[Jours trav]]</calculatedColumnFormula>
    </tableColumn>
    <tableColumn id="9" xr3:uid="{00000000-0010-0000-0100-000009000000}" name="Total" dataDxfId="60" totalsRowDxfId="59">
      <calculatedColumnFormula>BDD_PRESTA_ESTIME3[[#This Row],[Jours prév]]*BDD_PRESTA_ESTIME3[[#This Row],[TJM]]</calculatedColumnFormula>
    </tableColumn>
    <tableColumn id="7" xr3:uid="{00000000-0010-0000-0100-000007000000}" name="Reliquat 2022" dataDxfId="58" totalsRowDxfId="57"/>
    <tableColumn id="23" xr3:uid="{00000000-0010-0000-0100-000017000000}" name="prév Janv" dataDxfId="56" totalsRowDxfId="55"/>
    <tableColumn id="15" xr3:uid="{00000000-0010-0000-0100-00000F000000}" name="Reçu Janv" dataDxfId="54" totalsRowDxfId="53"/>
    <tableColumn id="16" xr3:uid="{00000000-0010-0000-0100-000010000000}" name="prév Fév" dataDxfId="52" totalsRowDxfId="51"/>
    <tableColumn id="24" xr3:uid="{00000000-0010-0000-0100-000018000000}" name="Reçu Fév" dataDxfId="50" totalsRowDxfId="49"/>
    <tableColumn id="17" xr3:uid="{00000000-0010-0000-0100-000011000000}" name="Prév Mars" dataDxfId="48" totalsRowDxfId="47"/>
    <tableColumn id="25" xr3:uid="{00000000-0010-0000-0100-000019000000}" name="Reçu Mars" dataDxfId="46" totalsRowDxfId="45"/>
    <tableColumn id="18" xr3:uid="{00000000-0010-0000-0100-000012000000}" name="Prév Avr" dataDxfId="44" totalsRowDxfId="43"/>
    <tableColumn id="26" xr3:uid="{00000000-0010-0000-0100-00001A000000}" name="Reçu Avr" dataDxfId="42" totalsRowDxfId="41"/>
    <tableColumn id="19" xr3:uid="{00000000-0010-0000-0100-000013000000}" name="Prév Mai" dataDxfId="40" totalsRowDxfId="39"/>
    <tableColumn id="34" xr3:uid="{00000000-0010-0000-0100-000022000000}" name="Reçu Mai" dataDxfId="38" totalsRowDxfId="37"/>
    <tableColumn id="20" xr3:uid="{00000000-0010-0000-0100-000014000000}" name="Prév Juin" dataDxfId="36" totalsRowDxfId="35"/>
    <tableColumn id="35" xr3:uid="{00000000-0010-0000-0100-000023000000}" name="Reçu Juin" dataDxfId="34" totalsRowDxfId="33"/>
    <tableColumn id="21" xr3:uid="{00000000-0010-0000-0100-000015000000}" name="Prév Juil" dataDxfId="32" totalsRowDxfId="31"/>
    <tableColumn id="36" xr3:uid="{00000000-0010-0000-0100-000024000000}" name="Reçu Juil" dataDxfId="30" totalsRowDxfId="29"/>
    <tableColumn id="22" xr3:uid="{00000000-0010-0000-0100-000016000000}" name="Prév Août" dataDxfId="28" totalsRowDxfId="27"/>
    <tableColumn id="37" xr3:uid="{00000000-0010-0000-0100-000025000000}" name="Reçu Août" dataDxfId="26" totalsRowDxfId="25"/>
    <tableColumn id="29" xr3:uid="{00000000-0010-0000-0100-00001D000000}" name="Prév Sept" dataDxfId="24" totalsRowDxfId="23"/>
    <tableColumn id="38" xr3:uid="{00000000-0010-0000-0100-000026000000}" name="Reçu Sept" dataDxfId="22" totalsRowDxfId="21"/>
    <tableColumn id="30" xr3:uid="{00000000-0010-0000-0100-00001E000000}" name="Prév Oct" dataDxfId="20" totalsRowDxfId="19"/>
    <tableColumn id="39" xr3:uid="{00000000-0010-0000-0100-000027000000}" name="Reçu Oct" dataDxfId="18" totalsRowDxfId="17"/>
    <tableColumn id="31" xr3:uid="{00000000-0010-0000-0100-00001F000000}" name="Prév Nov" dataDxfId="16" totalsRowDxfId="15"/>
    <tableColumn id="40" xr3:uid="{00000000-0010-0000-0100-000028000000}" name="Reçu Nov" dataDxfId="14" totalsRowDxfId="13"/>
    <tableColumn id="32" xr3:uid="{00000000-0010-0000-0100-000020000000}" name="Prév Déc" dataDxfId="12" totalsRowDxfId="11"/>
    <tableColumn id="41" xr3:uid="{00000000-0010-0000-0100-000029000000}" name="Reçu Déc" dataDxfId="10" totalsRowDxfId="9"/>
  </tableColumns>
  <tableStyleInfo name="TableStyleLight1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B2:C15" totalsRowShown="0">
  <autoFilter ref="B2:C15" xr:uid="{00000000-0009-0000-0100-000003000000}">
    <filterColumn colId="0" hiddenButton="1"/>
    <filterColumn colId="1" hiddenButton="1"/>
  </autoFilter>
  <tableColumns count="2">
    <tableColumn id="1" xr3:uid="{00000000-0010-0000-0200-000001000000}" name="Jours Fériés"/>
    <tableColumn id="2" xr3:uid="{00000000-0010-0000-0200-000002000000}" name="2023" dataDxfId="8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leau5" displayName="Tableau5" ref="F2:F13" totalsRowShown="0">
  <autoFilter ref="F2:F13" xr:uid="{00000000-0009-0000-0100-000005000000}"/>
  <tableColumns count="1">
    <tableColumn id="1" xr3:uid="{00000000-0010-0000-0300-000001000000}" name="Liste dépenses engagées" dataDxfId="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IO" displayName="IO" ref="A1:A13" totalsRowShown="0">
  <autoFilter ref="A1:A13" xr:uid="{00000000-0009-0000-0100-000002000000}"/>
  <tableColumns count="1">
    <tableColumn id="1" xr3:uid="{00000000-0010-0000-0400-000001000000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AC79"/>
  <sheetViews>
    <sheetView showGridLines="0" topLeftCell="C1" zoomScale="70" zoomScaleNormal="70" workbookViewId="0">
      <selection activeCell="S2" sqref="S2:AB79"/>
    </sheetView>
  </sheetViews>
  <sheetFormatPr baseColWidth="10" defaultRowHeight="14.5" x14ac:dyDescent="0.35"/>
  <cols>
    <col min="1" max="1" width="3.7265625" customWidth="1"/>
    <col min="2" max="2" width="34.7265625" bestFit="1" customWidth="1"/>
    <col min="3" max="3" width="16.81640625" bestFit="1" customWidth="1"/>
    <col min="4" max="4" width="15.1796875" bestFit="1" customWidth="1"/>
    <col min="5" max="5" width="10.81640625" customWidth="1"/>
    <col min="6" max="7" width="10.54296875" bestFit="1" customWidth="1"/>
    <col min="8" max="8" width="11.81640625" bestFit="1" customWidth="1"/>
    <col min="9" max="10" width="14.26953125" style="36" bestFit="1" customWidth="1"/>
    <col min="11" max="16" width="12.81640625" style="36" bestFit="1" customWidth="1"/>
    <col min="17" max="17" width="12.81640625" style="36" customWidth="1"/>
    <col min="18" max="18" width="11.81640625" style="36" customWidth="1"/>
    <col min="19" max="19" width="9.08984375" style="36" bestFit="1" customWidth="1"/>
    <col min="20" max="20" width="16.26953125" style="36" bestFit="1" customWidth="1"/>
    <col min="21" max="21" width="10.08984375" bestFit="1" customWidth="1"/>
    <col min="22" max="22" width="13.7265625" bestFit="1" customWidth="1"/>
    <col min="23" max="24" width="10.54296875" bestFit="1" customWidth="1"/>
    <col min="25" max="25" width="14.90625" bestFit="1" customWidth="1"/>
    <col min="26" max="26" width="7.90625" bestFit="1" customWidth="1"/>
    <col min="27" max="27" width="9.90625" bestFit="1" customWidth="1"/>
    <col min="28" max="28" width="9.453125" bestFit="1" customWidth="1"/>
    <col min="29" max="29" width="14.54296875" bestFit="1" customWidth="1"/>
  </cols>
  <sheetData>
    <row r="2" spans="2:29" x14ac:dyDescent="0.35">
      <c r="B2" s="3" t="s">
        <v>19</v>
      </c>
      <c r="C2" s="3" t="s">
        <v>0</v>
      </c>
      <c r="D2" s="3" t="s">
        <v>1</v>
      </c>
      <c r="E2" s="3" t="s">
        <v>2</v>
      </c>
      <c r="F2" s="3" t="s">
        <v>16</v>
      </c>
      <c r="G2" s="3" t="s">
        <v>17</v>
      </c>
      <c r="H2" t="s">
        <v>15</v>
      </c>
      <c r="I2" s="50" t="s">
        <v>64</v>
      </c>
      <c r="J2" s="50" t="s">
        <v>65</v>
      </c>
      <c r="K2" s="50" t="s">
        <v>66</v>
      </c>
      <c r="L2" s="36" t="s">
        <v>67</v>
      </c>
      <c r="M2" s="36" t="s">
        <v>72</v>
      </c>
      <c r="N2" s="36" t="s">
        <v>73</v>
      </c>
      <c r="O2" s="36" t="s">
        <v>74</v>
      </c>
      <c r="P2" s="36" t="s">
        <v>75</v>
      </c>
      <c r="Q2" s="36" t="s">
        <v>108</v>
      </c>
      <c r="R2"/>
      <c r="S2" t="s">
        <v>19</v>
      </c>
      <c r="T2" t="s">
        <v>0</v>
      </c>
      <c r="U2" t="s">
        <v>1</v>
      </c>
      <c r="V2" t="s">
        <v>2</v>
      </c>
      <c r="W2" t="s">
        <v>16</v>
      </c>
      <c r="X2" t="s">
        <v>17</v>
      </c>
      <c r="Y2" t="s">
        <v>21</v>
      </c>
      <c r="Z2" t="s">
        <v>15</v>
      </c>
      <c r="AA2" t="s">
        <v>149</v>
      </c>
      <c r="AB2" t="s">
        <v>150</v>
      </c>
      <c r="AC2" t="s">
        <v>153</v>
      </c>
    </row>
    <row r="3" spans="2:29" x14ac:dyDescent="0.35">
      <c r="B3" t="s">
        <v>136</v>
      </c>
      <c r="C3" t="s">
        <v>69</v>
      </c>
      <c r="D3" t="s">
        <v>132</v>
      </c>
      <c r="E3" s="54" t="s">
        <v>127</v>
      </c>
      <c r="F3" s="35">
        <v>44943</v>
      </c>
      <c r="G3" s="35">
        <v>45026</v>
      </c>
      <c r="H3" s="37">
        <v>505</v>
      </c>
      <c r="I3" s="36">
        <v>5555</v>
      </c>
      <c r="J3" s="36">
        <v>10100</v>
      </c>
      <c r="K3" s="36">
        <v>11615</v>
      </c>
      <c r="L3" s="36">
        <v>2525</v>
      </c>
      <c r="Q3" s="73"/>
      <c r="R3"/>
      <c r="S3" s="37" t="s">
        <v>136</v>
      </c>
      <c r="T3" t="s">
        <v>69</v>
      </c>
      <c r="U3" t="s">
        <v>132</v>
      </c>
      <c r="V3" t="s">
        <v>127</v>
      </c>
      <c r="W3" s="127">
        <v>44943</v>
      </c>
      <c r="X3" s="127">
        <v>45026</v>
      </c>
      <c r="Y3">
        <v>7</v>
      </c>
      <c r="Z3">
        <v>505</v>
      </c>
      <c r="AA3" s="37" t="s">
        <v>64</v>
      </c>
      <c r="AB3">
        <v>5555</v>
      </c>
      <c r="AC3">
        <v>1</v>
      </c>
    </row>
    <row r="4" spans="2:29" x14ac:dyDescent="0.35">
      <c r="B4" t="s">
        <v>136</v>
      </c>
      <c r="C4" t="s">
        <v>80</v>
      </c>
      <c r="D4" t="s">
        <v>132</v>
      </c>
      <c r="E4" s="54" t="s">
        <v>124</v>
      </c>
      <c r="F4" s="35">
        <v>44961</v>
      </c>
      <c r="G4" s="35">
        <v>45042</v>
      </c>
      <c r="H4" s="37">
        <v>515</v>
      </c>
      <c r="J4" s="36">
        <v>8755</v>
      </c>
      <c r="K4" s="36">
        <v>11845</v>
      </c>
      <c r="L4" s="36">
        <v>8755</v>
      </c>
      <c r="Q4" s="73"/>
      <c r="R4"/>
      <c r="S4" s="37" t="s">
        <v>136</v>
      </c>
      <c r="T4" t="s">
        <v>69</v>
      </c>
      <c r="U4" t="s">
        <v>132</v>
      </c>
      <c r="V4" t="s">
        <v>127</v>
      </c>
      <c r="W4" s="127">
        <v>44943</v>
      </c>
      <c r="X4" s="127">
        <v>45026</v>
      </c>
      <c r="Y4">
        <v>7</v>
      </c>
      <c r="Z4">
        <v>505</v>
      </c>
      <c r="AA4" s="37" t="s">
        <v>65</v>
      </c>
      <c r="AB4">
        <v>10100</v>
      </c>
      <c r="AC4">
        <v>2</v>
      </c>
    </row>
    <row r="5" spans="2:29" x14ac:dyDescent="0.35">
      <c r="B5" t="s">
        <v>136</v>
      </c>
      <c r="C5" t="s">
        <v>68</v>
      </c>
      <c r="D5" t="s">
        <v>132</v>
      </c>
      <c r="E5" s="54" t="s">
        <v>126</v>
      </c>
      <c r="F5" s="35">
        <v>44940</v>
      </c>
      <c r="G5" s="35">
        <v>44954</v>
      </c>
      <c r="H5" s="37">
        <v>493</v>
      </c>
      <c r="I5" s="36">
        <v>4683.5</v>
      </c>
      <c r="Q5" s="73"/>
      <c r="R5"/>
      <c r="S5" s="37" t="s">
        <v>136</v>
      </c>
      <c r="T5" t="s">
        <v>69</v>
      </c>
      <c r="U5" t="s">
        <v>132</v>
      </c>
      <c r="V5" t="s">
        <v>127</v>
      </c>
      <c r="W5" s="127">
        <v>44943</v>
      </c>
      <c r="X5" s="127">
        <v>45026</v>
      </c>
      <c r="Y5">
        <v>7</v>
      </c>
      <c r="Z5">
        <v>505</v>
      </c>
      <c r="AA5" s="37" t="s">
        <v>66</v>
      </c>
      <c r="AB5">
        <v>11615</v>
      </c>
      <c r="AC5">
        <v>3</v>
      </c>
    </row>
    <row r="6" spans="2:29" x14ac:dyDescent="0.35">
      <c r="B6" t="s">
        <v>136</v>
      </c>
      <c r="C6" t="s">
        <v>80</v>
      </c>
      <c r="D6" t="s">
        <v>132</v>
      </c>
      <c r="E6" s="54" t="s">
        <v>124</v>
      </c>
      <c r="F6" s="35">
        <v>45028</v>
      </c>
      <c r="G6" s="35">
        <v>45161</v>
      </c>
      <c r="H6" s="38">
        <v>515</v>
      </c>
      <c r="I6" s="39"/>
      <c r="J6" s="39"/>
      <c r="K6" s="39"/>
      <c r="L6" s="36">
        <v>6695</v>
      </c>
      <c r="M6" s="36">
        <v>9785</v>
      </c>
      <c r="N6" s="36">
        <v>11330</v>
      </c>
      <c r="O6" s="36">
        <v>10300</v>
      </c>
      <c r="P6" s="36">
        <v>8240</v>
      </c>
      <c r="Q6" s="73"/>
      <c r="R6"/>
      <c r="S6" s="37" t="s">
        <v>136</v>
      </c>
      <c r="T6" t="s">
        <v>69</v>
      </c>
      <c r="U6" t="s">
        <v>132</v>
      </c>
      <c r="V6" t="s">
        <v>127</v>
      </c>
      <c r="W6" s="127">
        <v>44943</v>
      </c>
      <c r="X6" s="127">
        <v>45026</v>
      </c>
      <c r="Y6">
        <v>7</v>
      </c>
      <c r="Z6">
        <v>505</v>
      </c>
      <c r="AA6" s="37" t="s">
        <v>67</v>
      </c>
      <c r="AB6">
        <v>2525</v>
      </c>
      <c r="AC6">
        <v>4</v>
      </c>
    </row>
    <row r="7" spans="2:29" x14ac:dyDescent="0.35">
      <c r="B7" t="s">
        <v>136</v>
      </c>
      <c r="C7" t="s">
        <v>85</v>
      </c>
      <c r="D7" t="s">
        <v>130</v>
      </c>
      <c r="E7" s="54"/>
      <c r="F7" s="35">
        <v>44927</v>
      </c>
      <c r="G7" s="35">
        <v>45169</v>
      </c>
      <c r="H7" s="37">
        <v>200</v>
      </c>
      <c r="I7" s="36">
        <v>4400</v>
      </c>
      <c r="J7" s="36">
        <v>4000</v>
      </c>
      <c r="K7" s="36">
        <v>4600</v>
      </c>
      <c r="L7" s="36">
        <v>3800</v>
      </c>
      <c r="M7" s="36">
        <v>3800</v>
      </c>
      <c r="N7" s="36">
        <v>4400</v>
      </c>
      <c r="O7" s="36">
        <v>4000</v>
      </c>
      <c r="P7" s="36">
        <v>4400</v>
      </c>
      <c r="Q7" s="73"/>
      <c r="R7"/>
      <c r="S7" s="37" t="s">
        <v>136</v>
      </c>
      <c r="T7" t="s">
        <v>69</v>
      </c>
      <c r="U7" t="s">
        <v>132</v>
      </c>
      <c r="V7" t="s">
        <v>127</v>
      </c>
      <c r="W7" s="127">
        <v>44943</v>
      </c>
      <c r="X7" s="127">
        <v>45026</v>
      </c>
      <c r="Y7">
        <v>7</v>
      </c>
      <c r="Z7">
        <v>505</v>
      </c>
      <c r="AA7" s="37" t="s">
        <v>18</v>
      </c>
      <c r="AB7">
        <v>29795</v>
      </c>
      <c r="AC7">
        <v>13</v>
      </c>
    </row>
    <row r="8" spans="2:29" x14ac:dyDescent="0.35">
      <c r="B8" t="s">
        <v>136</v>
      </c>
      <c r="C8" t="s">
        <v>84</v>
      </c>
      <c r="D8" t="s">
        <v>130</v>
      </c>
      <c r="E8" s="54"/>
      <c r="F8" s="35">
        <v>44927</v>
      </c>
      <c r="G8" s="35">
        <v>45169</v>
      </c>
      <c r="H8" s="37">
        <v>10000</v>
      </c>
      <c r="I8" s="36">
        <v>220000</v>
      </c>
      <c r="J8" s="36">
        <v>200000</v>
      </c>
      <c r="K8" s="36">
        <v>230000</v>
      </c>
      <c r="L8" s="36">
        <v>190000</v>
      </c>
      <c r="M8" s="36">
        <v>190000</v>
      </c>
      <c r="N8" s="36">
        <v>220000</v>
      </c>
      <c r="O8" s="36">
        <v>200000</v>
      </c>
      <c r="P8" s="36">
        <v>220000</v>
      </c>
      <c r="Q8" s="73"/>
      <c r="R8"/>
      <c r="S8" s="37" t="s">
        <v>136</v>
      </c>
      <c r="T8" t="s">
        <v>80</v>
      </c>
      <c r="U8" t="s">
        <v>132</v>
      </c>
      <c r="V8" t="s">
        <v>124</v>
      </c>
      <c r="W8" s="127">
        <v>44961</v>
      </c>
      <c r="X8" s="127">
        <v>45042</v>
      </c>
      <c r="Y8">
        <v>15</v>
      </c>
      <c r="Z8">
        <v>515</v>
      </c>
      <c r="AA8" s="37" t="s">
        <v>65</v>
      </c>
      <c r="AB8">
        <v>8755</v>
      </c>
      <c r="AC8">
        <v>2</v>
      </c>
    </row>
    <row r="9" spans="2:29" x14ac:dyDescent="0.35">
      <c r="B9" s="37" t="s">
        <v>137</v>
      </c>
      <c r="C9" t="s">
        <v>109</v>
      </c>
      <c r="D9" t="s">
        <v>130</v>
      </c>
      <c r="E9" s="54" t="s">
        <v>129</v>
      </c>
      <c r="F9" s="35">
        <v>44928</v>
      </c>
      <c r="G9" s="35">
        <v>44931</v>
      </c>
      <c r="H9" s="41">
        <v>680</v>
      </c>
      <c r="I9" s="36">
        <v>2720</v>
      </c>
      <c r="Q9" s="73"/>
      <c r="R9"/>
      <c r="S9" s="37" t="s">
        <v>136</v>
      </c>
      <c r="T9" t="s">
        <v>80</v>
      </c>
      <c r="U9" t="s">
        <v>132</v>
      </c>
      <c r="V9" t="s">
        <v>124</v>
      </c>
      <c r="W9" s="127">
        <v>44961</v>
      </c>
      <c r="X9" s="127">
        <v>45042</v>
      </c>
      <c r="Y9">
        <v>15</v>
      </c>
      <c r="Z9">
        <v>515</v>
      </c>
      <c r="AA9" s="37" t="s">
        <v>66</v>
      </c>
      <c r="AB9">
        <v>11845</v>
      </c>
      <c r="AC9">
        <v>3</v>
      </c>
    </row>
    <row r="10" spans="2:29" x14ac:dyDescent="0.35">
      <c r="B10" s="37" t="s">
        <v>137</v>
      </c>
      <c r="C10" t="s">
        <v>71</v>
      </c>
      <c r="D10" t="s">
        <v>130</v>
      </c>
      <c r="E10" s="54" t="s">
        <v>129</v>
      </c>
      <c r="F10" s="35">
        <v>44935</v>
      </c>
      <c r="G10" s="35">
        <v>45025</v>
      </c>
      <c r="H10" s="41">
        <v>680</v>
      </c>
      <c r="I10" s="36">
        <v>11560</v>
      </c>
      <c r="J10" s="36">
        <v>13600</v>
      </c>
      <c r="K10" s="36">
        <v>15640</v>
      </c>
      <c r="L10" s="36">
        <v>3060</v>
      </c>
      <c r="Q10" s="73"/>
      <c r="R10"/>
      <c r="S10" s="37" t="s">
        <v>136</v>
      </c>
      <c r="T10" t="s">
        <v>80</v>
      </c>
      <c r="U10" t="s">
        <v>132</v>
      </c>
      <c r="V10" t="s">
        <v>124</v>
      </c>
      <c r="W10" s="127">
        <v>44961</v>
      </c>
      <c r="X10" s="127">
        <v>45042</v>
      </c>
      <c r="Y10">
        <v>15</v>
      </c>
      <c r="Z10">
        <v>515</v>
      </c>
      <c r="AA10" s="37" t="s">
        <v>67</v>
      </c>
      <c r="AB10">
        <v>8755</v>
      </c>
      <c r="AC10">
        <v>4</v>
      </c>
    </row>
    <row r="11" spans="2:29" x14ac:dyDescent="0.35">
      <c r="B11" s="37" t="s">
        <v>137</v>
      </c>
      <c r="C11" t="s">
        <v>110</v>
      </c>
      <c r="D11" t="s">
        <v>130</v>
      </c>
      <c r="E11" s="54" t="s">
        <v>134</v>
      </c>
      <c r="F11" s="35">
        <v>44928</v>
      </c>
      <c r="G11" s="35">
        <v>44936</v>
      </c>
      <c r="H11" s="41">
        <v>500</v>
      </c>
      <c r="I11" s="36">
        <v>3500</v>
      </c>
      <c r="Q11" s="73"/>
      <c r="R11"/>
      <c r="S11" s="37" t="s">
        <v>136</v>
      </c>
      <c r="T11" t="s">
        <v>80</v>
      </c>
      <c r="U11" t="s">
        <v>132</v>
      </c>
      <c r="V11" t="s">
        <v>124</v>
      </c>
      <c r="W11" s="127">
        <v>44961</v>
      </c>
      <c r="X11" s="127">
        <v>45042</v>
      </c>
      <c r="Y11">
        <v>15</v>
      </c>
      <c r="Z11">
        <v>515</v>
      </c>
      <c r="AA11" s="37" t="s">
        <v>18</v>
      </c>
      <c r="AB11">
        <v>29355</v>
      </c>
      <c r="AC11">
        <v>13</v>
      </c>
    </row>
    <row r="12" spans="2:29" x14ac:dyDescent="0.35">
      <c r="B12" s="37" t="s">
        <v>137</v>
      </c>
      <c r="C12" t="s">
        <v>81</v>
      </c>
      <c r="D12" t="s">
        <v>130</v>
      </c>
      <c r="E12" s="54" t="s">
        <v>129</v>
      </c>
      <c r="F12" s="35">
        <v>45022</v>
      </c>
      <c r="G12" s="35">
        <v>45156</v>
      </c>
      <c r="H12" s="41">
        <v>680</v>
      </c>
      <c r="L12" s="36">
        <v>10880</v>
      </c>
      <c r="M12" s="36">
        <v>12920</v>
      </c>
      <c r="N12" s="36">
        <v>14960</v>
      </c>
      <c r="O12" s="36">
        <v>13600</v>
      </c>
      <c r="P12" s="36">
        <v>8840</v>
      </c>
      <c r="Q12" s="73"/>
      <c r="R12"/>
      <c r="S12" s="37" t="s">
        <v>136</v>
      </c>
      <c r="T12" t="s">
        <v>68</v>
      </c>
      <c r="U12" t="s">
        <v>132</v>
      </c>
      <c r="V12" t="s">
        <v>126</v>
      </c>
      <c r="W12" s="127">
        <v>44940</v>
      </c>
      <c r="X12" s="127">
        <v>44954</v>
      </c>
      <c r="Y12">
        <v>12.5</v>
      </c>
      <c r="Z12">
        <v>493</v>
      </c>
      <c r="AA12" s="37" t="s">
        <v>64</v>
      </c>
      <c r="AB12">
        <v>4683.5</v>
      </c>
      <c r="AC12">
        <v>1</v>
      </c>
    </row>
    <row r="13" spans="2:29" x14ac:dyDescent="0.35">
      <c r="B13" s="37" t="s">
        <v>138</v>
      </c>
      <c r="C13" t="s">
        <v>111</v>
      </c>
      <c r="D13" t="s">
        <v>130</v>
      </c>
      <c r="E13" s="54" t="s">
        <v>135</v>
      </c>
      <c r="F13" s="35">
        <v>45170</v>
      </c>
      <c r="G13" s="35">
        <v>45197</v>
      </c>
      <c r="H13" s="41">
        <v>1568.82</v>
      </c>
      <c r="Q13" s="73">
        <v>31376.399999999998</v>
      </c>
      <c r="R13"/>
      <c r="S13" s="37" t="s">
        <v>136</v>
      </c>
      <c r="T13" t="s">
        <v>68</v>
      </c>
      <c r="U13" t="s">
        <v>132</v>
      </c>
      <c r="V13" t="s">
        <v>126</v>
      </c>
      <c r="W13" s="127">
        <v>44940</v>
      </c>
      <c r="X13" s="127">
        <v>44954</v>
      </c>
      <c r="Y13">
        <v>12.5</v>
      </c>
      <c r="Z13">
        <v>493</v>
      </c>
      <c r="AA13" s="37" t="s">
        <v>18</v>
      </c>
      <c r="AB13">
        <v>4683.5</v>
      </c>
      <c r="AC13">
        <v>13</v>
      </c>
    </row>
    <row r="14" spans="2:29" x14ac:dyDescent="0.35">
      <c r="B14" s="37" t="s">
        <v>139</v>
      </c>
      <c r="C14" t="s">
        <v>70</v>
      </c>
      <c r="D14" t="s">
        <v>131</v>
      </c>
      <c r="E14" s="54" t="s">
        <v>128</v>
      </c>
      <c r="F14" s="35">
        <v>44989</v>
      </c>
      <c r="G14" s="35">
        <v>45074</v>
      </c>
      <c r="H14" s="41">
        <v>560</v>
      </c>
      <c r="K14" s="36">
        <v>11200</v>
      </c>
      <c r="L14" s="36">
        <v>10640</v>
      </c>
      <c r="M14" s="36">
        <v>9520</v>
      </c>
      <c r="Q14" s="73"/>
      <c r="R14"/>
      <c r="S14" s="37" t="s">
        <v>136</v>
      </c>
      <c r="T14" t="s">
        <v>80</v>
      </c>
      <c r="U14" t="s">
        <v>132</v>
      </c>
      <c r="V14" t="s">
        <v>124</v>
      </c>
      <c r="W14" s="127">
        <v>45028</v>
      </c>
      <c r="X14" s="127">
        <v>45161</v>
      </c>
      <c r="Y14">
        <v>0</v>
      </c>
      <c r="Z14">
        <v>515</v>
      </c>
      <c r="AA14" s="37" t="s">
        <v>67</v>
      </c>
      <c r="AB14">
        <v>6695</v>
      </c>
      <c r="AC14">
        <v>4</v>
      </c>
    </row>
    <row r="15" spans="2:29" x14ac:dyDescent="0.35">
      <c r="B15" s="37" t="s">
        <v>139</v>
      </c>
      <c r="C15" t="s">
        <v>70</v>
      </c>
      <c r="D15" t="s">
        <v>131</v>
      </c>
      <c r="E15" s="54" t="s">
        <v>129</v>
      </c>
      <c r="F15" s="35">
        <v>44936</v>
      </c>
      <c r="G15" s="35">
        <v>45019</v>
      </c>
      <c r="H15" s="41">
        <v>535</v>
      </c>
      <c r="I15" s="36">
        <v>8560</v>
      </c>
      <c r="J15" s="36">
        <v>10700</v>
      </c>
      <c r="K15" s="36">
        <v>12305</v>
      </c>
      <c r="L15" s="36">
        <v>535</v>
      </c>
      <c r="Q15" s="73"/>
      <c r="R15"/>
      <c r="S15" s="37" t="s">
        <v>136</v>
      </c>
      <c r="T15" t="s">
        <v>80</v>
      </c>
      <c r="U15" t="s">
        <v>132</v>
      </c>
      <c r="V15" t="s">
        <v>124</v>
      </c>
      <c r="W15" s="127">
        <v>45028</v>
      </c>
      <c r="X15" s="127">
        <v>45161</v>
      </c>
      <c r="Y15">
        <v>0</v>
      </c>
      <c r="Z15">
        <v>515</v>
      </c>
      <c r="AA15" s="37" t="s">
        <v>72</v>
      </c>
      <c r="AB15">
        <v>9785</v>
      </c>
      <c r="AC15">
        <v>5</v>
      </c>
    </row>
    <row r="16" spans="2:29" x14ac:dyDescent="0.35">
      <c r="B16" s="37" t="s">
        <v>140</v>
      </c>
      <c r="C16" t="s">
        <v>86</v>
      </c>
      <c r="D16" t="s">
        <v>131</v>
      </c>
      <c r="E16" s="54"/>
      <c r="F16" s="35">
        <v>44927</v>
      </c>
      <c r="G16" s="35">
        <v>45046</v>
      </c>
      <c r="H16" s="41">
        <v>413.11</v>
      </c>
      <c r="I16" s="36">
        <v>9088.42</v>
      </c>
      <c r="J16" s="36">
        <v>8262.2000000000007</v>
      </c>
      <c r="K16" s="36">
        <v>9501.5300000000007</v>
      </c>
      <c r="L16" s="36">
        <v>7849.09</v>
      </c>
      <c r="Q16" s="73"/>
      <c r="R16"/>
      <c r="S16" s="37" t="s">
        <v>136</v>
      </c>
      <c r="T16" t="s">
        <v>80</v>
      </c>
      <c r="U16" t="s">
        <v>132</v>
      </c>
      <c r="V16" t="s">
        <v>124</v>
      </c>
      <c r="W16" s="127">
        <v>45028</v>
      </c>
      <c r="X16" s="127">
        <v>45161</v>
      </c>
      <c r="Y16">
        <v>0</v>
      </c>
      <c r="Z16">
        <v>515</v>
      </c>
      <c r="AA16" s="37" t="s">
        <v>73</v>
      </c>
      <c r="AB16">
        <v>11330</v>
      </c>
      <c r="AC16">
        <v>6</v>
      </c>
    </row>
    <row r="17" spans="2:29" x14ac:dyDescent="0.35">
      <c r="B17" s="37" t="s">
        <v>141</v>
      </c>
      <c r="C17" t="s">
        <v>107</v>
      </c>
      <c r="D17" t="s">
        <v>131</v>
      </c>
      <c r="E17" s="54"/>
      <c r="F17" s="35">
        <v>44963</v>
      </c>
      <c r="G17" s="35">
        <v>45107</v>
      </c>
      <c r="H17" s="41"/>
      <c r="I17" s="73"/>
      <c r="J17" s="73"/>
      <c r="K17" s="73"/>
      <c r="L17" s="73"/>
      <c r="M17" s="73"/>
      <c r="N17" s="73"/>
      <c r="O17" s="73"/>
      <c r="P17" s="73"/>
      <c r="Q17" s="73"/>
      <c r="R17"/>
      <c r="S17" s="37" t="s">
        <v>136</v>
      </c>
      <c r="T17" t="s">
        <v>80</v>
      </c>
      <c r="U17" t="s">
        <v>132</v>
      </c>
      <c r="V17" t="s">
        <v>124</v>
      </c>
      <c r="W17" s="127">
        <v>45028</v>
      </c>
      <c r="X17" s="127">
        <v>45161</v>
      </c>
      <c r="Y17">
        <v>0</v>
      </c>
      <c r="Z17">
        <v>515</v>
      </c>
      <c r="AA17" s="37" t="s">
        <v>74</v>
      </c>
      <c r="AB17">
        <v>10300</v>
      </c>
      <c r="AC17">
        <v>7</v>
      </c>
    </row>
    <row r="18" spans="2:29" x14ac:dyDescent="0.35">
      <c r="B18" s="37" t="s">
        <v>138</v>
      </c>
      <c r="C18" t="s">
        <v>83</v>
      </c>
      <c r="D18" t="s">
        <v>133</v>
      </c>
      <c r="E18" s="54" t="s">
        <v>125</v>
      </c>
      <c r="F18" s="35">
        <v>44983</v>
      </c>
      <c r="G18" s="35">
        <v>45052</v>
      </c>
      <c r="H18" s="41">
        <v>493</v>
      </c>
      <c r="I18" s="73"/>
      <c r="J18" s="73">
        <v>986</v>
      </c>
      <c r="K18" s="73">
        <v>11339</v>
      </c>
      <c r="L18" s="73">
        <v>9367</v>
      </c>
      <c r="M18" s="73">
        <v>1725.5</v>
      </c>
      <c r="N18" s="73"/>
      <c r="O18" s="73"/>
      <c r="P18" s="73"/>
      <c r="Q18" s="73"/>
      <c r="R18"/>
      <c r="S18" s="37" t="s">
        <v>136</v>
      </c>
      <c r="T18" t="s">
        <v>80</v>
      </c>
      <c r="U18" t="s">
        <v>132</v>
      </c>
      <c r="V18" t="s">
        <v>124</v>
      </c>
      <c r="W18" s="127">
        <v>45028</v>
      </c>
      <c r="X18" s="127">
        <v>45161</v>
      </c>
      <c r="Y18">
        <v>0</v>
      </c>
      <c r="Z18">
        <v>515</v>
      </c>
      <c r="AA18" s="37" t="s">
        <v>75</v>
      </c>
      <c r="AB18">
        <v>8240</v>
      </c>
      <c r="AC18">
        <v>8</v>
      </c>
    </row>
    <row r="19" spans="2:29" x14ac:dyDescent="0.35">
      <c r="B19" s="37" t="s">
        <v>138</v>
      </c>
      <c r="C19" t="s">
        <v>81</v>
      </c>
      <c r="D19" t="s">
        <v>133</v>
      </c>
      <c r="E19" s="54" t="s">
        <v>125</v>
      </c>
      <c r="F19" s="35">
        <v>45029</v>
      </c>
      <c r="G19" s="35">
        <v>45162</v>
      </c>
      <c r="H19" s="41">
        <v>493</v>
      </c>
      <c r="L19" s="36">
        <v>5916</v>
      </c>
      <c r="M19" s="36">
        <v>9367</v>
      </c>
      <c r="N19" s="36">
        <v>10846</v>
      </c>
      <c r="O19" s="36">
        <v>9860</v>
      </c>
      <c r="P19" s="36">
        <v>8381</v>
      </c>
      <c r="Q19" s="73"/>
      <c r="R19"/>
      <c r="S19" s="37" t="s">
        <v>136</v>
      </c>
      <c r="T19" t="s">
        <v>80</v>
      </c>
      <c r="U19" t="s">
        <v>132</v>
      </c>
      <c r="V19" t="s">
        <v>124</v>
      </c>
      <c r="W19" s="127">
        <v>45028</v>
      </c>
      <c r="X19" s="127">
        <v>45161</v>
      </c>
      <c r="Y19">
        <v>0</v>
      </c>
      <c r="Z19">
        <v>515</v>
      </c>
      <c r="AA19" s="37" t="s">
        <v>18</v>
      </c>
      <c r="AB19">
        <v>46350</v>
      </c>
      <c r="AC19">
        <v>13</v>
      </c>
    </row>
    <row r="20" spans="2:29" x14ac:dyDescent="0.35">
      <c r="B20" t="s">
        <v>18</v>
      </c>
      <c r="F20" s="35"/>
      <c r="G20" s="35"/>
      <c r="H20" s="37"/>
      <c r="I20" s="135">
        <f>SUBTOTAL(109,BDD_PRESTA_ESTIME3_2[janvier])</f>
        <v>270066.92</v>
      </c>
      <c r="J20" s="135">
        <f>SUBTOTAL(109,BDD_PRESTA_ESTIME3_2[février])</f>
        <v>256403.20000000001</v>
      </c>
      <c r="K20" s="135">
        <f>SUBTOTAL(109,BDD_PRESTA_ESTIME3_2[mars])</f>
        <v>318045.53000000003</v>
      </c>
      <c r="L20" s="135">
        <f>SUBTOTAL(109,BDD_PRESTA_ESTIME3_2[avril])</f>
        <v>260022.09</v>
      </c>
      <c r="M20" s="135">
        <f>SUBTOTAL(109,BDD_PRESTA_ESTIME3_2[mai])</f>
        <v>237117.5</v>
      </c>
      <c r="N20" s="135">
        <f>SUBTOTAL(109,BDD_PRESTA_ESTIME3_2[juin])</f>
        <v>261536</v>
      </c>
      <c r="O20" s="135">
        <f>SUBTOTAL(109,BDD_PRESTA_ESTIME3_2[juillet])</f>
        <v>237760</v>
      </c>
      <c r="P20" s="135">
        <f>SUBTOTAL(109,BDD_PRESTA_ESTIME3_2[août])</f>
        <v>249861</v>
      </c>
      <c r="Q20" s="130"/>
      <c r="R20"/>
      <c r="S20" s="37" t="s">
        <v>136</v>
      </c>
      <c r="T20" t="s">
        <v>85</v>
      </c>
      <c r="U20" t="s">
        <v>130</v>
      </c>
      <c r="W20" s="127">
        <v>44927</v>
      </c>
      <c r="X20" s="127">
        <v>45169</v>
      </c>
      <c r="Y20">
        <v>0</v>
      </c>
      <c r="Z20">
        <v>200</v>
      </c>
      <c r="AA20" s="37" t="s">
        <v>64</v>
      </c>
      <c r="AB20">
        <v>4400</v>
      </c>
      <c r="AC20">
        <v>1</v>
      </c>
    </row>
    <row r="21" spans="2:29" x14ac:dyDescent="0.35">
      <c r="R21"/>
      <c r="S21" s="37" t="s">
        <v>136</v>
      </c>
      <c r="T21" t="s">
        <v>85</v>
      </c>
      <c r="U21" t="s">
        <v>130</v>
      </c>
      <c r="W21" s="127">
        <v>44927</v>
      </c>
      <c r="X21" s="127">
        <v>45169</v>
      </c>
      <c r="Y21">
        <v>0</v>
      </c>
      <c r="Z21">
        <v>200</v>
      </c>
      <c r="AA21" s="37" t="s">
        <v>65</v>
      </c>
      <c r="AB21">
        <v>4000</v>
      </c>
      <c r="AC21">
        <v>2</v>
      </c>
    </row>
    <row r="22" spans="2:29" x14ac:dyDescent="0.35">
      <c r="R22"/>
      <c r="S22" s="37" t="s">
        <v>136</v>
      </c>
      <c r="T22" t="s">
        <v>85</v>
      </c>
      <c r="U22" t="s">
        <v>130</v>
      </c>
      <c r="W22" s="127">
        <v>44927</v>
      </c>
      <c r="X22" s="127">
        <v>45169</v>
      </c>
      <c r="Y22">
        <v>0</v>
      </c>
      <c r="Z22">
        <v>200</v>
      </c>
      <c r="AA22" s="37" t="s">
        <v>66</v>
      </c>
      <c r="AB22">
        <v>4600</v>
      </c>
      <c r="AC22">
        <v>3</v>
      </c>
    </row>
    <row r="23" spans="2:29" x14ac:dyDescent="0.35">
      <c r="R23"/>
      <c r="S23" s="37" t="s">
        <v>136</v>
      </c>
      <c r="T23" t="s">
        <v>85</v>
      </c>
      <c r="U23" t="s">
        <v>130</v>
      </c>
      <c r="W23" s="127">
        <v>44927</v>
      </c>
      <c r="X23" s="127">
        <v>45169</v>
      </c>
      <c r="Y23">
        <v>0</v>
      </c>
      <c r="Z23">
        <v>200</v>
      </c>
      <c r="AA23" s="37" t="s">
        <v>67</v>
      </c>
      <c r="AB23">
        <v>3800</v>
      </c>
      <c r="AC23">
        <v>4</v>
      </c>
    </row>
    <row r="24" spans="2:29" x14ac:dyDescent="0.35">
      <c r="R24"/>
      <c r="S24" s="37" t="s">
        <v>136</v>
      </c>
      <c r="T24" t="s">
        <v>85</v>
      </c>
      <c r="U24" t="s">
        <v>130</v>
      </c>
      <c r="W24" s="127">
        <v>44927</v>
      </c>
      <c r="X24" s="127">
        <v>45169</v>
      </c>
      <c r="Y24">
        <v>0</v>
      </c>
      <c r="Z24">
        <v>200</v>
      </c>
      <c r="AA24" s="37" t="s">
        <v>72</v>
      </c>
      <c r="AB24">
        <v>3800</v>
      </c>
      <c r="AC24">
        <v>5</v>
      </c>
    </row>
    <row r="25" spans="2:29" x14ac:dyDescent="0.35">
      <c r="R25"/>
      <c r="S25" s="37" t="s">
        <v>136</v>
      </c>
      <c r="T25" t="s">
        <v>85</v>
      </c>
      <c r="U25" t="s">
        <v>130</v>
      </c>
      <c r="W25" s="127">
        <v>44927</v>
      </c>
      <c r="X25" s="127">
        <v>45169</v>
      </c>
      <c r="Y25">
        <v>0</v>
      </c>
      <c r="Z25">
        <v>200</v>
      </c>
      <c r="AA25" s="37" t="s">
        <v>73</v>
      </c>
      <c r="AB25">
        <v>4400</v>
      </c>
      <c r="AC25">
        <v>6</v>
      </c>
    </row>
    <row r="26" spans="2:29" x14ac:dyDescent="0.35">
      <c r="R26"/>
      <c r="S26" s="37" t="s">
        <v>136</v>
      </c>
      <c r="T26" t="s">
        <v>85</v>
      </c>
      <c r="U26" t="s">
        <v>130</v>
      </c>
      <c r="W26" s="127">
        <v>44927</v>
      </c>
      <c r="X26" s="127">
        <v>45169</v>
      </c>
      <c r="Y26">
        <v>0</v>
      </c>
      <c r="Z26">
        <v>200</v>
      </c>
      <c r="AA26" s="37" t="s">
        <v>74</v>
      </c>
      <c r="AB26">
        <v>4000</v>
      </c>
      <c r="AC26">
        <v>7</v>
      </c>
    </row>
    <row r="27" spans="2:29" x14ac:dyDescent="0.35">
      <c r="R27"/>
      <c r="S27" s="37" t="s">
        <v>136</v>
      </c>
      <c r="T27" t="s">
        <v>85</v>
      </c>
      <c r="U27" t="s">
        <v>130</v>
      </c>
      <c r="W27" s="127">
        <v>44927</v>
      </c>
      <c r="X27" s="127">
        <v>45169</v>
      </c>
      <c r="Y27">
        <v>0</v>
      </c>
      <c r="Z27">
        <v>200</v>
      </c>
      <c r="AA27" s="37" t="s">
        <v>75</v>
      </c>
      <c r="AB27">
        <v>4400</v>
      </c>
      <c r="AC27">
        <v>8</v>
      </c>
    </row>
    <row r="28" spans="2:29" x14ac:dyDescent="0.35">
      <c r="R28"/>
      <c r="S28" s="37" t="s">
        <v>136</v>
      </c>
      <c r="T28" t="s">
        <v>85</v>
      </c>
      <c r="U28" t="s">
        <v>130</v>
      </c>
      <c r="W28" s="127">
        <v>44927</v>
      </c>
      <c r="X28" s="127">
        <v>45169</v>
      </c>
      <c r="Y28">
        <v>0</v>
      </c>
      <c r="Z28">
        <v>200</v>
      </c>
      <c r="AA28" s="37" t="s">
        <v>18</v>
      </c>
      <c r="AB28">
        <v>33400</v>
      </c>
      <c r="AC28">
        <v>13</v>
      </c>
    </row>
    <row r="29" spans="2:29" x14ac:dyDescent="0.35">
      <c r="R29"/>
      <c r="S29" s="37" t="s">
        <v>136</v>
      </c>
      <c r="T29" t="s">
        <v>84</v>
      </c>
      <c r="U29" t="s">
        <v>130</v>
      </c>
      <c r="W29" s="127">
        <v>44927</v>
      </c>
      <c r="X29" s="127">
        <v>45169</v>
      </c>
      <c r="Y29">
        <v>0</v>
      </c>
      <c r="Z29">
        <v>10000</v>
      </c>
      <c r="AA29" s="37" t="s">
        <v>64</v>
      </c>
      <c r="AB29">
        <v>220000</v>
      </c>
      <c r="AC29">
        <v>1</v>
      </c>
    </row>
    <row r="30" spans="2:29" x14ac:dyDescent="0.35">
      <c r="R30"/>
      <c r="S30" s="37" t="s">
        <v>136</v>
      </c>
      <c r="T30" t="s">
        <v>84</v>
      </c>
      <c r="U30" t="s">
        <v>130</v>
      </c>
      <c r="W30" s="127">
        <v>44927</v>
      </c>
      <c r="X30" s="127">
        <v>45169</v>
      </c>
      <c r="Y30">
        <v>0</v>
      </c>
      <c r="Z30">
        <v>10000</v>
      </c>
      <c r="AA30" s="37" t="s">
        <v>65</v>
      </c>
      <c r="AB30">
        <v>200000</v>
      </c>
      <c r="AC30">
        <v>2</v>
      </c>
    </row>
    <row r="31" spans="2:29" x14ac:dyDescent="0.35">
      <c r="R31"/>
      <c r="S31" s="37" t="s">
        <v>136</v>
      </c>
      <c r="T31" t="s">
        <v>84</v>
      </c>
      <c r="U31" t="s">
        <v>130</v>
      </c>
      <c r="W31" s="127">
        <v>44927</v>
      </c>
      <c r="X31" s="127">
        <v>45169</v>
      </c>
      <c r="Y31">
        <v>0</v>
      </c>
      <c r="Z31">
        <v>10000</v>
      </c>
      <c r="AA31" s="37" t="s">
        <v>66</v>
      </c>
      <c r="AB31">
        <v>230000</v>
      </c>
      <c r="AC31">
        <v>3</v>
      </c>
    </row>
    <row r="32" spans="2:29" x14ac:dyDescent="0.35">
      <c r="R32"/>
      <c r="S32" s="37" t="s">
        <v>136</v>
      </c>
      <c r="T32" t="s">
        <v>84</v>
      </c>
      <c r="U32" t="s">
        <v>130</v>
      </c>
      <c r="W32" s="127">
        <v>44927</v>
      </c>
      <c r="X32" s="127">
        <v>45169</v>
      </c>
      <c r="Y32">
        <v>0</v>
      </c>
      <c r="Z32">
        <v>10000</v>
      </c>
      <c r="AA32" s="37" t="s">
        <v>67</v>
      </c>
      <c r="AB32">
        <v>190000</v>
      </c>
      <c r="AC32">
        <v>4</v>
      </c>
    </row>
    <row r="33" spans="18:29" x14ac:dyDescent="0.35">
      <c r="R33"/>
      <c r="S33" s="37" t="s">
        <v>136</v>
      </c>
      <c r="T33" t="s">
        <v>84</v>
      </c>
      <c r="U33" t="s">
        <v>130</v>
      </c>
      <c r="W33" s="127">
        <v>44927</v>
      </c>
      <c r="X33" s="127">
        <v>45169</v>
      </c>
      <c r="Y33">
        <v>0</v>
      </c>
      <c r="Z33">
        <v>10000</v>
      </c>
      <c r="AA33" s="37" t="s">
        <v>72</v>
      </c>
      <c r="AB33">
        <v>190000</v>
      </c>
      <c r="AC33">
        <v>5</v>
      </c>
    </row>
    <row r="34" spans="18:29" x14ac:dyDescent="0.35">
      <c r="R34"/>
      <c r="S34" s="37" t="s">
        <v>136</v>
      </c>
      <c r="T34" t="s">
        <v>84</v>
      </c>
      <c r="U34" t="s">
        <v>130</v>
      </c>
      <c r="W34" s="127">
        <v>44927</v>
      </c>
      <c r="X34" s="127">
        <v>45169</v>
      </c>
      <c r="Y34">
        <v>0</v>
      </c>
      <c r="Z34">
        <v>10000</v>
      </c>
      <c r="AA34" s="37" t="s">
        <v>73</v>
      </c>
      <c r="AB34">
        <v>220000</v>
      </c>
      <c r="AC34">
        <v>6</v>
      </c>
    </row>
    <row r="35" spans="18:29" x14ac:dyDescent="0.35">
      <c r="R35"/>
      <c r="S35" s="37" t="s">
        <v>136</v>
      </c>
      <c r="T35" t="s">
        <v>84</v>
      </c>
      <c r="U35" t="s">
        <v>130</v>
      </c>
      <c r="W35" s="127">
        <v>44927</v>
      </c>
      <c r="X35" s="127">
        <v>45169</v>
      </c>
      <c r="Y35">
        <v>0</v>
      </c>
      <c r="Z35">
        <v>10000</v>
      </c>
      <c r="AA35" s="37" t="s">
        <v>74</v>
      </c>
      <c r="AB35">
        <v>200000</v>
      </c>
      <c r="AC35">
        <v>7</v>
      </c>
    </row>
    <row r="36" spans="18:29" x14ac:dyDescent="0.35">
      <c r="R36"/>
      <c r="S36" s="37" t="s">
        <v>136</v>
      </c>
      <c r="T36" t="s">
        <v>84</v>
      </c>
      <c r="U36" t="s">
        <v>130</v>
      </c>
      <c r="W36" s="127">
        <v>44927</v>
      </c>
      <c r="X36" s="127">
        <v>45169</v>
      </c>
      <c r="Y36">
        <v>0</v>
      </c>
      <c r="Z36">
        <v>10000</v>
      </c>
      <c r="AA36" s="37" t="s">
        <v>75</v>
      </c>
      <c r="AB36">
        <v>220000</v>
      </c>
      <c r="AC36">
        <v>8</v>
      </c>
    </row>
    <row r="37" spans="18:29" x14ac:dyDescent="0.35">
      <c r="R37"/>
      <c r="S37" s="37" t="s">
        <v>136</v>
      </c>
      <c r="T37" t="s">
        <v>84</v>
      </c>
      <c r="U37" t="s">
        <v>130</v>
      </c>
      <c r="W37" s="127">
        <v>44927</v>
      </c>
      <c r="X37" s="127">
        <v>45169</v>
      </c>
      <c r="Y37">
        <v>0</v>
      </c>
      <c r="Z37">
        <v>10000</v>
      </c>
      <c r="AA37" s="37" t="s">
        <v>18</v>
      </c>
      <c r="AB37">
        <v>1670000</v>
      </c>
      <c r="AC37">
        <v>13</v>
      </c>
    </row>
    <row r="38" spans="18:29" x14ac:dyDescent="0.35">
      <c r="R38"/>
      <c r="S38" s="37" t="s">
        <v>137</v>
      </c>
      <c r="T38" t="s">
        <v>109</v>
      </c>
      <c r="U38" t="s">
        <v>130</v>
      </c>
      <c r="V38" t="s">
        <v>129</v>
      </c>
      <c r="W38" s="127">
        <v>44928</v>
      </c>
      <c r="X38" s="127">
        <v>44931</v>
      </c>
      <c r="Y38">
        <v>0</v>
      </c>
      <c r="Z38">
        <v>680</v>
      </c>
      <c r="AA38" s="37" t="s">
        <v>64</v>
      </c>
      <c r="AB38">
        <v>2720</v>
      </c>
      <c r="AC38">
        <v>1</v>
      </c>
    </row>
    <row r="39" spans="18:29" x14ac:dyDescent="0.35">
      <c r="R39"/>
      <c r="S39" s="37" t="s">
        <v>137</v>
      </c>
      <c r="T39" t="s">
        <v>109</v>
      </c>
      <c r="U39" t="s">
        <v>130</v>
      </c>
      <c r="V39" t="s">
        <v>129</v>
      </c>
      <c r="W39" s="127">
        <v>44928</v>
      </c>
      <c r="X39" s="127">
        <v>44931</v>
      </c>
      <c r="Y39">
        <v>0</v>
      </c>
      <c r="Z39">
        <v>680</v>
      </c>
      <c r="AA39" s="37" t="s">
        <v>18</v>
      </c>
      <c r="AB39">
        <v>2720</v>
      </c>
      <c r="AC39">
        <v>13</v>
      </c>
    </row>
    <row r="40" spans="18:29" x14ac:dyDescent="0.35">
      <c r="R40"/>
      <c r="S40" s="37" t="s">
        <v>137</v>
      </c>
      <c r="T40" t="s">
        <v>71</v>
      </c>
      <c r="U40" t="s">
        <v>130</v>
      </c>
      <c r="V40" t="s">
        <v>129</v>
      </c>
      <c r="W40" s="127">
        <v>44935</v>
      </c>
      <c r="X40" s="127">
        <v>45025</v>
      </c>
      <c r="Y40">
        <v>4.5</v>
      </c>
      <c r="Z40">
        <v>680</v>
      </c>
      <c r="AA40" s="37" t="s">
        <v>64</v>
      </c>
      <c r="AB40">
        <v>11560</v>
      </c>
      <c r="AC40">
        <v>1</v>
      </c>
    </row>
    <row r="41" spans="18:29" x14ac:dyDescent="0.35">
      <c r="R41"/>
      <c r="S41" s="37" t="s">
        <v>137</v>
      </c>
      <c r="T41" t="s">
        <v>71</v>
      </c>
      <c r="U41" t="s">
        <v>130</v>
      </c>
      <c r="V41" t="s">
        <v>129</v>
      </c>
      <c r="W41" s="127">
        <v>44935</v>
      </c>
      <c r="X41" s="127">
        <v>45025</v>
      </c>
      <c r="Y41">
        <v>4.5</v>
      </c>
      <c r="Z41">
        <v>680</v>
      </c>
      <c r="AA41" s="37" t="s">
        <v>65</v>
      </c>
      <c r="AB41">
        <v>13600</v>
      </c>
      <c r="AC41">
        <v>2</v>
      </c>
    </row>
    <row r="42" spans="18:29" x14ac:dyDescent="0.35">
      <c r="R42"/>
      <c r="S42" s="37" t="s">
        <v>137</v>
      </c>
      <c r="T42" t="s">
        <v>71</v>
      </c>
      <c r="U42" t="s">
        <v>130</v>
      </c>
      <c r="V42" t="s">
        <v>129</v>
      </c>
      <c r="W42" s="127">
        <v>44935</v>
      </c>
      <c r="X42" s="127">
        <v>45025</v>
      </c>
      <c r="Y42">
        <v>4.5</v>
      </c>
      <c r="Z42">
        <v>680</v>
      </c>
      <c r="AA42" s="37" t="s">
        <v>66</v>
      </c>
      <c r="AB42">
        <v>15640</v>
      </c>
      <c r="AC42">
        <v>3</v>
      </c>
    </row>
    <row r="43" spans="18:29" x14ac:dyDescent="0.35">
      <c r="S43" s="41" t="s">
        <v>137</v>
      </c>
      <c r="T43" t="s">
        <v>71</v>
      </c>
      <c r="U43" t="s">
        <v>130</v>
      </c>
      <c r="V43" t="s">
        <v>129</v>
      </c>
      <c r="W43" s="127">
        <v>44935</v>
      </c>
      <c r="X43" s="127">
        <v>45025</v>
      </c>
      <c r="Y43">
        <v>4.5</v>
      </c>
      <c r="Z43">
        <v>680</v>
      </c>
      <c r="AA43" s="37" t="s">
        <v>67</v>
      </c>
      <c r="AB43">
        <v>3060</v>
      </c>
      <c r="AC43">
        <v>4</v>
      </c>
    </row>
    <row r="44" spans="18:29" x14ac:dyDescent="0.35">
      <c r="S44" s="41" t="s">
        <v>137</v>
      </c>
      <c r="T44" t="s">
        <v>71</v>
      </c>
      <c r="U44" t="s">
        <v>130</v>
      </c>
      <c r="V44" t="s">
        <v>129</v>
      </c>
      <c r="W44" s="127">
        <v>44935</v>
      </c>
      <c r="X44" s="127">
        <v>45025</v>
      </c>
      <c r="Y44">
        <v>4.5</v>
      </c>
      <c r="Z44">
        <v>680</v>
      </c>
      <c r="AA44" s="37" t="s">
        <v>18</v>
      </c>
      <c r="AB44">
        <v>43860</v>
      </c>
      <c r="AC44">
        <v>13</v>
      </c>
    </row>
    <row r="45" spans="18:29" x14ac:dyDescent="0.35">
      <c r="S45" s="41" t="s">
        <v>137</v>
      </c>
      <c r="T45" t="s">
        <v>110</v>
      </c>
      <c r="U45" t="s">
        <v>130</v>
      </c>
      <c r="V45" t="s">
        <v>134</v>
      </c>
      <c r="W45" s="127">
        <v>44928</v>
      </c>
      <c r="X45" s="127">
        <v>44936</v>
      </c>
      <c r="Y45">
        <v>0</v>
      </c>
      <c r="Z45">
        <v>500</v>
      </c>
      <c r="AA45" s="37" t="s">
        <v>64</v>
      </c>
      <c r="AB45">
        <v>3500</v>
      </c>
      <c r="AC45">
        <v>1</v>
      </c>
    </row>
    <row r="46" spans="18:29" x14ac:dyDescent="0.35">
      <c r="S46" s="41" t="s">
        <v>137</v>
      </c>
      <c r="T46" t="s">
        <v>110</v>
      </c>
      <c r="U46" t="s">
        <v>130</v>
      </c>
      <c r="V46" t="s">
        <v>134</v>
      </c>
      <c r="W46" s="127">
        <v>44928</v>
      </c>
      <c r="X46" s="127">
        <v>44936</v>
      </c>
      <c r="Y46">
        <v>0</v>
      </c>
      <c r="Z46">
        <v>500</v>
      </c>
      <c r="AA46" s="37" t="s">
        <v>18</v>
      </c>
      <c r="AB46">
        <v>3500</v>
      </c>
      <c r="AC46">
        <v>13</v>
      </c>
    </row>
    <row r="47" spans="18:29" x14ac:dyDescent="0.35">
      <c r="S47" s="41" t="s">
        <v>137</v>
      </c>
      <c r="T47" t="s">
        <v>81</v>
      </c>
      <c r="U47" t="s">
        <v>130</v>
      </c>
      <c r="V47" t="s">
        <v>129</v>
      </c>
      <c r="W47" s="127">
        <v>45022</v>
      </c>
      <c r="X47" s="127">
        <v>45156</v>
      </c>
      <c r="Y47">
        <v>0</v>
      </c>
      <c r="Z47">
        <v>680</v>
      </c>
      <c r="AA47" s="37" t="s">
        <v>67</v>
      </c>
      <c r="AB47">
        <v>10880</v>
      </c>
      <c r="AC47">
        <v>4</v>
      </c>
    </row>
    <row r="48" spans="18:29" x14ac:dyDescent="0.35">
      <c r="S48" s="41" t="s">
        <v>137</v>
      </c>
      <c r="T48" t="s">
        <v>81</v>
      </c>
      <c r="U48" t="s">
        <v>130</v>
      </c>
      <c r="V48" t="s">
        <v>129</v>
      </c>
      <c r="W48" s="127">
        <v>45022</v>
      </c>
      <c r="X48" s="127">
        <v>45156</v>
      </c>
      <c r="Y48">
        <v>0</v>
      </c>
      <c r="Z48">
        <v>680</v>
      </c>
      <c r="AA48" s="37" t="s">
        <v>72</v>
      </c>
      <c r="AB48">
        <v>12920</v>
      </c>
      <c r="AC48">
        <v>5</v>
      </c>
    </row>
    <row r="49" spans="19:29" x14ac:dyDescent="0.35">
      <c r="S49" s="41" t="s">
        <v>137</v>
      </c>
      <c r="T49" t="s">
        <v>81</v>
      </c>
      <c r="U49" t="s">
        <v>130</v>
      </c>
      <c r="V49" t="s">
        <v>129</v>
      </c>
      <c r="W49" s="127">
        <v>45022</v>
      </c>
      <c r="X49" s="127">
        <v>45156</v>
      </c>
      <c r="Y49">
        <v>0</v>
      </c>
      <c r="Z49">
        <v>680</v>
      </c>
      <c r="AA49" s="37" t="s">
        <v>73</v>
      </c>
      <c r="AB49">
        <v>14960</v>
      </c>
      <c r="AC49">
        <v>6</v>
      </c>
    </row>
    <row r="50" spans="19:29" x14ac:dyDescent="0.35">
      <c r="S50" s="41" t="s">
        <v>137</v>
      </c>
      <c r="T50" t="s">
        <v>81</v>
      </c>
      <c r="U50" t="s">
        <v>130</v>
      </c>
      <c r="V50" t="s">
        <v>129</v>
      </c>
      <c r="W50" s="127">
        <v>45022</v>
      </c>
      <c r="X50" s="127">
        <v>45156</v>
      </c>
      <c r="Y50">
        <v>0</v>
      </c>
      <c r="Z50">
        <v>680</v>
      </c>
      <c r="AA50" s="37" t="s">
        <v>74</v>
      </c>
      <c r="AB50">
        <v>13600</v>
      </c>
      <c r="AC50">
        <v>7</v>
      </c>
    </row>
    <row r="51" spans="19:29" x14ac:dyDescent="0.35">
      <c r="S51" s="41" t="s">
        <v>137</v>
      </c>
      <c r="T51" t="s">
        <v>81</v>
      </c>
      <c r="U51" t="s">
        <v>130</v>
      </c>
      <c r="V51" t="s">
        <v>129</v>
      </c>
      <c r="W51" s="127">
        <v>45022</v>
      </c>
      <c r="X51" s="127">
        <v>45156</v>
      </c>
      <c r="Y51">
        <v>0</v>
      </c>
      <c r="Z51">
        <v>680</v>
      </c>
      <c r="AA51" s="37" t="s">
        <v>75</v>
      </c>
      <c r="AB51">
        <v>8840</v>
      </c>
      <c r="AC51">
        <v>8</v>
      </c>
    </row>
    <row r="52" spans="19:29" x14ac:dyDescent="0.35">
      <c r="S52" s="41" t="s">
        <v>137</v>
      </c>
      <c r="T52" t="s">
        <v>81</v>
      </c>
      <c r="U52" t="s">
        <v>130</v>
      </c>
      <c r="V52" t="s">
        <v>129</v>
      </c>
      <c r="W52" s="127">
        <v>45022</v>
      </c>
      <c r="X52" s="127">
        <v>45156</v>
      </c>
      <c r="Y52">
        <v>0</v>
      </c>
      <c r="Z52">
        <v>680</v>
      </c>
      <c r="AA52" s="37" t="s">
        <v>18</v>
      </c>
      <c r="AB52">
        <v>61200</v>
      </c>
      <c r="AC52">
        <v>13</v>
      </c>
    </row>
    <row r="53" spans="19:29" x14ac:dyDescent="0.35">
      <c r="S53" s="41" t="s">
        <v>138</v>
      </c>
      <c r="T53" t="s">
        <v>111</v>
      </c>
      <c r="U53" t="s">
        <v>130</v>
      </c>
      <c r="V53" t="s">
        <v>135</v>
      </c>
      <c r="W53" s="127">
        <v>45170</v>
      </c>
      <c r="X53" s="127">
        <v>45197</v>
      </c>
      <c r="Y53">
        <v>0</v>
      </c>
      <c r="Z53">
        <v>1568.82</v>
      </c>
      <c r="AA53" s="37" t="s">
        <v>108</v>
      </c>
      <c r="AB53">
        <v>31376.399999999998</v>
      </c>
      <c r="AC53">
        <v>9</v>
      </c>
    </row>
    <row r="54" spans="19:29" x14ac:dyDescent="0.35">
      <c r="S54" s="41" t="s">
        <v>138</v>
      </c>
      <c r="T54" t="s">
        <v>111</v>
      </c>
      <c r="U54" t="s">
        <v>130</v>
      </c>
      <c r="V54" t="s">
        <v>135</v>
      </c>
      <c r="W54" s="127">
        <v>45170</v>
      </c>
      <c r="X54" s="127">
        <v>45197</v>
      </c>
      <c r="Y54">
        <v>0</v>
      </c>
      <c r="Z54">
        <v>1568.82</v>
      </c>
      <c r="AA54" s="37" t="s">
        <v>18</v>
      </c>
      <c r="AB54">
        <v>31376.399999999998</v>
      </c>
      <c r="AC54">
        <v>13</v>
      </c>
    </row>
    <row r="55" spans="19:29" x14ac:dyDescent="0.35">
      <c r="S55" s="41" t="s">
        <v>139</v>
      </c>
      <c r="T55" t="s">
        <v>70</v>
      </c>
      <c r="U55" t="s">
        <v>131</v>
      </c>
      <c r="V55" t="s">
        <v>128</v>
      </c>
      <c r="W55" s="127">
        <v>44989</v>
      </c>
      <c r="X55" s="127">
        <v>45074</v>
      </c>
      <c r="Y55">
        <v>26</v>
      </c>
      <c r="Z55">
        <v>560</v>
      </c>
      <c r="AA55" s="37" t="s">
        <v>66</v>
      </c>
      <c r="AB55">
        <v>11200</v>
      </c>
      <c r="AC55">
        <v>3</v>
      </c>
    </row>
    <row r="56" spans="19:29" x14ac:dyDescent="0.35">
      <c r="S56" s="41" t="s">
        <v>139</v>
      </c>
      <c r="T56" t="s">
        <v>70</v>
      </c>
      <c r="U56" t="s">
        <v>131</v>
      </c>
      <c r="V56" t="s">
        <v>128</v>
      </c>
      <c r="W56" s="127">
        <v>44989</v>
      </c>
      <c r="X56" s="127">
        <v>45074</v>
      </c>
      <c r="Y56">
        <v>26</v>
      </c>
      <c r="Z56">
        <v>560</v>
      </c>
      <c r="AA56" s="37" t="s">
        <v>67</v>
      </c>
      <c r="AB56">
        <v>10640</v>
      </c>
      <c r="AC56">
        <v>4</v>
      </c>
    </row>
    <row r="57" spans="19:29" x14ac:dyDescent="0.35">
      <c r="S57" s="41" t="s">
        <v>139</v>
      </c>
      <c r="T57" t="s">
        <v>70</v>
      </c>
      <c r="U57" t="s">
        <v>131</v>
      </c>
      <c r="V57" t="s">
        <v>128</v>
      </c>
      <c r="W57" s="127">
        <v>44989</v>
      </c>
      <c r="X57" s="127">
        <v>45074</v>
      </c>
      <c r="Y57">
        <v>26</v>
      </c>
      <c r="Z57">
        <v>560</v>
      </c>
      <c r="AA57" s="37" t="s">
        <v>72</v>
      </c>
      <c r="AB57">
        <v>9520</v>
      </c>
      <c r="AC57">
        <v>5</v>
      </c>
    </row>
    <row r="58" spans="19:29" x14ac:dyDescent="0.35">
      <c r="S58" s="41" t="s">
        <v>139</v>
      </c>
      <c r="T58" t="s">
        <v>70</v>
      </c>
      <c r="U58" t="s">
        <v>131</v>
      </c>
      <c r="V58" t="s">
        <v>128</v>
      </c>
      <c r="W58" s="127">
        <v>44989</v>
      </c>
      <c r="X58" s="127">
        <v>45074</v>
      </c>
      <c r="Y58">
        <v>26</v>
      </c>
      <c r="Z58">
        <v>560</v>
      </c>
      <c r="AA58" s="37" t="s">
        <v>18</v>
      </c>
      <c r="AB58">
        <v>31360</v>
      </c>
      <c r="AC58">
        <v>13</v>
      </c>
    </row>
    <row r="59" spans="19:29" x14ac:dyDescent="0.35">
      <c r="S59" s="41" t="s">
        <v>139</v>
      </c>
      <c r="T59" t="s">
        <v>70</v>
      </c>
      <c r="U59" t="s">
        <v>131</v>
      </c>
      <c r="V59" t="s">
        <v>129</v>
      </c>
      <c r="W59" s="127">
        <v>44936</v>
      </c>
      <c r="X59" s="127">
        <v>45019</v>
      </c>
      <c r="Y59">
        <v>0</v>
      </c>
      <c r="Z59">
        <v>535</v>
      </c>
      <c r="AA59" s="37" t="s">
        <v>64</v>
      </c>
      <c r="AB59">
        <v>8560</v>
      </c>
      <c r="AC59">
        <v>1</v>
      </c>
    </row>
    <row r="60" spans="19:29" x14ac:dyDescent="0.35">
      <c r="S60" s="41" t="s">
        <v>139</v>
      </c>
      <c r="T60" t="s">
        <v>70</v>
      </c>
      <c r="U60" t="s">
        <v>131</v>
      </c>
      <c r="V60" t="s">
        <v>129</v>
      </c>
      <c r="W60" s="127">
        <v>44936</v>
      </c>
      <c r="X60" s="127">
        <v>45019</v>
      </c>
      <c r="Y60">
        <v>0</v>
      </c>
      <c r="Z60">
        <v>535</v>
      </c>
      <c r="AA60" s="37" t="s">
        <v>65</v>
      </c>
      <c r="AB60">
        <v>10700</v>
      </c>
      <c r="AC60">
        <v>2</v>
      </c>
    </row>
    <row r="61" spans="19:29" x14ac:dyDescent="0.35">
      <c r="S61" s="41" t="s">
        <v>139</v>
      </c>
      <c r="T61" t="s">
        <v>70</v>
      </c>
      <c r="U61" t="s">
        <v>131</v>
      </c>
      <c r="V61" t="s">
        <v>129</v>
      </c>
      <c r="W61" s="127">
        <v>44936</v>
      </c>
      <c r="X61" s="127">
        <v>45019</v>
      </c>
      <c r="Y61">
        <v>0</v>
      </c>
      <c r="Z61">
        <v>535</v>
      </c>
      <c r="AA61" s="37" t="s">
        <v>66</v>
      </c>
      <c r="AB61">
        <v>12305</v>
      </c>
      <c r="AC61">
        <v>3</v>
      </c>
    </row>
    <row r="62" spans="19:29" x14ac:dyDescent="0.35">
      <c r="S62" s="41" t="s">
        <v>139</v>
      </c>
      <c r="T62" t="s">
        <v>70</v>
      </c>
      <c r="U62" t="s">
        <v>131</v>
      </c>
      <c r="V62" t="s">
        <v>129</v>
      </c>
      <c r="W62" s="127">
        <v>44936</v>
      </c>
      <c r="X62" s="127">
        <v>45019</v>
      </c>
      <c r="Y62">
        <v>0</v>
      </c>
      <c r="Z62">
        <v>535</v>
      </c>
      <c r="AA62" s="37" t="s">
        <v>67</v>
      </c>
      <c r="AB62">
        <v>535</v>
      </c>
      <c r="AC62">
        <v>4</v>
      </c>
    </row>
    <row r="63" spans="19:29" x14ac:dyDescent="0.35">
      <c r="S63" s="41" t="s">
        <v>139</v>
      </c>
      <c r="T63" t="s">
        <v>70</v>
      </c>
      <c r="U63" t="s">
        <v>131</v>
      </c>
      <c r="V63" t="s">
        <v>129</v>
      </c>
      <c r="W63" s="127">
        <v>44936</v>
      </c>
      <c r="X63" s="127">
        <v>45019</v>
      </c>
      <c r="Y63">
        <v>0</v>
      </c>
      <c r="Z63">
        <v>535</v>
      </c>
      <c r="AA63" s="37" t="s">
        <v>18</v>
      </c>
      <c r="AB63">
        <v>32100</v>
      </c>
      <c r="AC63">
        <v>13</v>
      </c>
    </row>
    <row r="64" spans="19:29" x14ac:dyDescent="0.35">
      <c r="S64" s="41" t="s">
        <v>140</v>
      </c>
      <c r="T64" t="s">
        <v>86</v>
      </c>
      <c r="U64" t="s">
        <v>131</v>
      </c>
      <c r="W64" s="127">
        <v>44927</v>
      </c>
      <c r="X64" s="127">
        <v>45046</v>
      </c>
      <c r="Y64">
        <v>0</v>
      </c>
      <c r="Z64">
        <v>413.11</v>
      </c>
      <c r="AA64" s="37" t="s">
        <v>64</v>
      </c>
      <c r="AB64">
        <v>9088.42</v>
      </c>
      <c r="AC64">
        <v>1</v>
      </c>
    </row>
    <row r="65" spans="19:29" x14ac:dyDescent="0.35">
      <c r="S65" s="41" t="s">
        <v>140</v>
      </c>
      <c r="T65" t="s">
        <v>86</v>
      </c>
      <c r="U65" t="s">
        <v>131</v>
      </c>
      <c r="W65" s="127">
        <v>44927</v>
      </c>
      <c r="X65" s="127">
        <v>45046</v>
      </c>
      <c r="Y65">
        <v>0</v>
      </c>
      <c r="Z65">
        <v>413.11</v>
      </c>
      <c r="AA65" s="37" t="s">
        <v>65</v>
      </c>
      <c r="AB65">
        <v>8262.2000000000007</v>
      </c>
      <c r="AC65">
        <v>2</v>
      </c>
    </row>
    <row r="66" spans="19:29" x14ac:dyDescent="0.35">
      <c r="S66" s="41" t="s">
        <v>140</v>
      </c>
      <c r="T66" t="s">
        <v>86</v>
      </c>
      <c r="U66" t="s">
        <v>131</v>
      </c>
      <c r="W66" s="127">
        <v>44927</v>
      </c>
      <c r="X66" s="127">
        <v>45046</v>
      </c>
      <c r="Y66">
        <v>0</v>
      </c>
      <c r="Z66">
        <v>413.11</v>
      </c>
      <c r="AA66" s="37" t="s">
        <v>66</v>
      </c>
      <c r="AB66">
        <v>9501.5300000000007</v>
      </c>
      <c r="AC66">
        <v>3</v>
      </c>
    </row>
    <row r="67" spans="19:29" x14ac:dyDescent="0.35">
      <c r="S67" s="41" t="s">
        <v>140</v>
      </c>
      <c r="T67" t="s">
        <v>86</v>
      </c>
      <c r="U67" t="s">
        <v>131</v>
      </c>
      <c r="W67" s="127">
        <v>44927</v>
      </c>
      <c r="X67" s="127">
        <v>45046</v>
      </c>
      <c r="Y67">
        <v>0</v>
      </c>
      <c r="Z67">
        <v>413.11</v>
      </c>
      <c r="AA67" s="37" t="s">
        <v>67</v>
      </c>
      <c r="AB67">
        <v>7849.09</v>
      </c>
      <c r="AC67">
        <v>4</v>
      </c>
    </row>
    <row r="68" spans="19:29" x14ac:dyDescent="0.35">
      <c r="S68" s="41" t="s">
        <v>140</v>
      </c>
      <c r="T68" t="s">
        <v>86</v>
      </c>
      <c r="U68" t="s">
        <v>131</v>
      </c>
      <c r="W68" s="127">
        <v>44927</v>
      </c>
      <c r="X68" s="127">
        <v>45046</v>
      </c>
      <c r="Y68">
        <v>0</v>
      </c>
      <c r="Z68">
        <v>413.11</v>
      </c>
      <c r="AA68" s="37" t="s">
        <v>18</v>
      </c>
      <c r="AB68">
        <v>34701.240000000005</v>
      </c>
      <c r="AC68">
        <v>13</v>
      </c>
    </row>
    <row r="69" spans="19:29" x14ac:dyDescent="0.35">
      <c r="S69" s="41" t="s">
        <v>138</v>
      </c>
      <c r="T69" t="s">
        <v>83</v>
      </c>
      <c r="U69" t="s">
        <v>133</v>
      </c>
      <c r="V69" t="s">
        <v>125</v>
      </c>
      <c r="W69" s="127">
        <v>44983</v>
      </c>
      <c r="X69" s="127">
        <v>45052</v>
      </c>
      <c r="Y69">
        <v>24.5</v>
      </c>
      <c r="Z69">
        <v>493</v>
      </c>
      <c r="AA69" s="37" t="s">
        <v>65</v>
      </c>
      <c r="AB69">
        <v>986</v>
      </c>
      <c r="AC69">
        <v>2</v>
      </c>
    </row>
    <row r="70" spans="19:29" x14ac:dyDescent="0.35">
      <c r="S70" s="41" t="s">
        <v>138</v>
      </c>
      <c r="T70" t="s">
        <v>83</v>
      </c>
      <c r="U70" t="s">
        <v>133</v>
      </c>
      <c r="V70" t="s">
        <v>125</v>
      </c>
      <c r="W70" s="127">
        <v>44983</v>
      </c>
      <c r="X70" s="127">
        <v>45052</v>
      </c>
      <c r="Y70">
        <v>24.5</v>
      </c>
      <c r="Z70">
        <v>493</v>
      </c>
      <c r="AA70" s="37" t="s">
        <v>66</v>
      </c>
      <c r="AB70">
        <v>11339</v>
      </c>
      <c r="AC70">
        <v>3</v>
      </c>
    </row>
    <row r="71" spans="19:29" x14ac:dyDescent="0.35">
      <c r="S71" s="41" t="s">
        <v>138</v>
      </c>
      <c r="T71" t="s">
        <v>83</v>
      </c>
      <c r="U71" t="s">
        <v>133</v>
      </c>
      <c r="V71" t="s">
        <v>125</v>
      </c>
      <c r="W71" s="127">
        <v>44983</v>
      </c>
      <c r="X71" s="127">
        <v>45052</v>
      </c>
      <c r="Y71">
        <v>24.5</v>
      </c>
      <c r="Z71">
        <v>493</v>
      </c>
      <c r="AA71" s="37" t="s">
        <v>67</v>
      </c>
      <c r="AB71">
        <v>9367</v>
      </c>
      <c r="AC71">
        <v>4</v>
      </c>
    </row>
    <row r="72" spans="19:29" x14ac:dyDescent="0.35">
      <c r="S72" s="41" t="s">
        <v>138</v>
      </c>
      <c r="T72" t="s">
        <v>83</v>
      </c>
      <c r="U72" t="s">
        <v>133</v>
      </c>
      <c r="V72" t="s">
        <v>125</v>
      </c>
      <c r="W72" s="127">
        <v>44983</v>
      </c>
      <c r="X72" s="127">
        <v>45052</v>
      </c>
      <c r="Y72">
        <v>24.5</v>
      </c>
      <c r="Z72">
        <v>493</v>
      </c>
      <c r="AA72" s="37" t="s">
        <v>72</v>
      </c>
      <c r="AB72">
        <v>1725.5</v>
      </c>
      <c r="AC72">
        <v>5</v>
      </c>
    </row>
    <row r="73" spans="19:29" x14ac:dyDescent="0.35">
      <c r="S73" s="41" t="s">
        <v>138</v>
      </c>
      <c r="T73" t="s">
        <v>83</v>
      </c>
      <c r="U73" t="s">
        <v>133</v>
      </c>
      <c r="V73" t="s">
        <v>125</v>
      </c>
      <c r="W73" s="127">
        <v>44983</v>
      </c>
      <c r="X73" s="127">
        <v>45052</v>
      </c>
      <c r="Y73">
        <v>24.5</v>
      </c>
      <c r="Z73">
        <v>493</v>
      </c>
      <c r="AA73" s="37" t="s">
        <v>18</v>
      </c>
      <c r="AB73">
        <v>23417.5</v>
      </c>
      <c r="AC73">
        <v>13</v>
      </c>
    </row>
    <row r="74" spans="19:29" x14ac:dyDescent="0.35">
      <c r="S74" s="41" t="s">
        <v>138</v>
      </c>
      <c r="T74" t="s">
        <v>81</v>
      </c>
      <c r="U74" t="s">
        <v>133</v>
      </c>
      <c r="V74" t="s">
        <v>125</v>
      </c>
      <c r="W74" s="127">
        <v>45029</v>
      </c>
      <c r="X74" s="127">
        <v>45162</v>
      </c>
      <c r="Y74">
        <v>0</v>
      </c>
      <c r="Z74">
        <v>493</v>
      </c>
      <c r="AA74" s="37" t="s">
        <v>67</v>
      </c>
      <c r="AB74">
        <v>5916</v>
      </c>
      <c r="AC74">
        <v>4</v>
      </c>
    </row>
    <row r="75" spans="19:29" x14ac:dyDescent="0.35">
      <c r="S75" s="41" t="s">
        <v>138</v>
      </c>
      <c r="T75" t="s">
        <v>81</v>
      </c>
      <c r="U75" t="s">
        <v>133</v>
      </c>
      <c r="V75" t="s">
        <v>125</v>
      </c>
      <c r="W75" s="127">
        <v>45029</v>
      </c>
      <c r="X75" s="127">
        <v>45162</v>
      </c>
      <c r="Y75">
        <v>0</v>
      </c>
      <c r="Z75">
        <v>493</v>
      </c>
      <c r="AA75" s="37" t="s">
        <v>72</v>
      </c>
      <c r="AB75">
        <v>9367</v>
      </c>
      <c r="AC75">
        <v>5</v>
      </c>
    </row>
    <row r="76" spans="19:29" x14ac:dyDescent="0.35">
      <c r="S76" s="41" t="s">
        <v>138</v>
      </c>
      <c r="T76" t="s">
        <v>81</v>
      </c>
      <c r="U76" t="s">
        <v>133</v>
      </c>
      <c r="V76" t="s">
        <v>125</v>
      </c>
      <c r="W76" s="127">
        <v>45029</v>
      </c>
      <c r="X76" s="127">
        <v>45162</v>
      </c>
      <c r="Y76">
        <v>0</v>
      </c>
      <c r="Z76">
        <v>493</v>
      </c>
      <c r="AA76" s="37" t="s">
        <v>73</v>
      </c>
      <c r="AB76">
        <v>10846</v>
      </c>
      <c r="AC76">
        <v>6</v>
      </c>
    </row>
    <row r="77" spans="19:29" x14ac:dyDescent="0.35">
      <c r="S77" s="41" t="s">
        <v>138</v>
      </c>
      <c r="T77" t="s">
        <v>81</v>
      </c>
      <c r="U77" t="s">
        <v>133</v>
      </c>
      <c r="V77" t="s">
        <v>125</v>
      </c>
      <c r="W77" s="127">
        <v>45029</v>
      </c>
      <c r="X77" s="127">
        <v>45162</v>
      </c>
      <c r="Y77">
        <v>0</v>
      </c>
      <c r="Z77">
        <v>493</v>
      </c>
      <c r="AA77" s="37" t="s">
        <v>74</v>
      </c>
      <c r="AB77">
        <v>9860</v>
      </c>
      <c r="AC77">
        <v>7</v>
      </c>
    </row>
    <row r="78" spans="19:29" x14ac:dyDescent="0.35">
      <c r="S78" s="41" t="s">
        <v>138</v>
      </c>
      <c r="T78" t="s">
        <v>81</v>
      </c>
      <c r="U78" t="s">
        <v>133</v>
      </c>
      <c r="V78" t="s">
        <v>125</v>
      </c>
      <c r="W78" s="127">
        <v>45029</v>
      </c>
      <c r="X78" s="127">
        <v>45162</v>
      </c>
      <c r="Y78">
        <v>0</v>
      </c>
      <c r="Z78">
        <v>493</v>
      </c>
      <c r="AA78" s="37" t="s">
        <v>75</v>
      </c>
      <c r="AB78">
        <v>8381</v>
      </c>
      <c r="AC78">
        <v>8</v>
      </c>
    </row>
    <row r="79" spans="19:29" x14ac:dyDescent="0.35">
      <c r="S79" s="41" t="s">
        <v>138</v>
      </c>
      <c r="T79" t="s">
        <v>81</v>
      </c>
      <c r="U79" t="s">
        <v>133</v>
      </c>
      <c r="V79" t="s">
        <v>125</v>
      </c>
      <c r="W79" s="127">
        <v>45029</v>
      </c>
      <c r="X79" s="127">
        <v>45162</v>
      </c>
      <c r="Y79">
        <v>0</v>
      </c>
      <c r="Z79">
        <v>493</v>
      </c>
      <c r="AA79" s="37" t="s">
        <v>18</v>
      </c>
      <c r="AB79">
        <v>44370</v>
      </c>
      <c r="AC79">
        <v>13</v>
      </c>
    </row>
  </sheetData>
  <phoneticPr fontId="4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theme="0"/>
    <pageSetUpPr autoPageBreaks="0"/>
  </sheetPr>
  <dimension ref="A1:AL22"/>
  <sheetViews>
    <sheetView zoomScaleNormal="100" workbookViewId="0">
      <pane xSplit="2" ySplit="2" topLeftCell="C3" activePane="bottomRight" state="frozen"/>
      <selection pane="topRight" activeCell="B1" sqref="B1"/>
      <selection pane="bottomLeft" activeCell="A3" sqref="A3"/>
      <selection pane="bottomRight" activeCell="B3" sqref="B3:B19"/>
    </sheetView>
  </sheetViews>
  <sheetFormatPr baseColWidth="10" defaultRowHeight="14.5" x14ac:dyDescent="0.35"/>
  <cols>
    <col min="2" max="2" width="40.81640625" style="1" customWidth="1"/>
    <col min="3" max="3" width="16.1796875" style="2" bestFit="1" customWidth="1"/>
    <col min="4" max="4" width="22.81640625" style="1" bestFit="1" customWidth="1"/>
    <col min="5" max="5" width="13.54296875" style="1" customWidth="1"/>
    <col min="6" max="6" width="13.54296875" style="8" customWidth="1"/>
    <col min="7" max="7" width="38.26953125" style="32" customWidth="1"/>
    <col min="8" max="8" width="12.453125" style="46" bestFit="1" customWidth="1"/>
    <col min="9" max="9" width="7.81640625" customWidth="1"/>
    <col min="10" max="11" width="7.81640625" style="3" customWidth="1"/>
    <col min="12" max="12" width="13.54296875" style="3" bestFit="1" customWidth="1"/>
    <col min="13" max="13" width="7.54296875" style="4" hidden="1" customWidth="1"/>
    <col min="14" max="14" width="12.453125" style="4" customWidth="1"/>
    <col min="15" max="15" width="12.453125" style="45" customWidth="1"/>
    <col min="16" max="31" width="12.453125" style="5" customWidth="1"/>
    <col min="32" max="33" width="12.453125" style="7" customWidth="1"/>
    <col min="34" max="37" width="12.453125" style="6" customWidth="1"/>
    <col min="38" max="38" width="5.54296875" style="6" customWidth="1"/>
  </cols>
  <sheetData>
    <row r="1" spans="1:38" x14ac:dyDescent="0.35">
      <c r="B1" s="51" t="s">
        <v>76</v>
      </c>
      <c r="C1" s="52" t="s">
        <v>77</v>
      </c>
      <c r="D1" s="53" t="s">
        <v>78</v>
      </c>
      <c r="E1" s="65" t="s">
        <v>82</v>
      </c>
      <c r="F1" s="55" t="s">
        <v>79</v>
      </c>
      <c r="I1" s="3"/>
      <c r="L1" s="4"/>
      <c r="M1" s="9"/>
      <c r="N1" s="9"/>
      <c r="O1" s="42"/>
      <c r="AD1" s="7"/>
      <c r="AE1" s="7"/>
      <c r="AF1" s="6"/>
      <c r="AG1" s="6"/>
      <c r="AL1"/>
    </row>
    <row r="2" spans="1:38" s="16" customFormat="1" ht="24" x14ac:dyDescent="0.35">
      <c r="A2" s="16" t="s">
        <v>119</v>
      </c>
      <c r="B2" s="10" t="s">
        <v>19</v>
      </c>
      <c r="C2" s="11" t="s">
        <v>0</v>
      </c>
      <c r="D2" s="10" t="s">
        <v>1</v>
      </c>
      <c r="E2" s="12" t="s">
        <v>16</v>
      </c>
      <c r="F2" s="12" t="s">
        <v>17</v>
      </c>
      <c r="G2" s="33" t="s">
        <v>2</v>
      </c>
      <c r="H2" s="47" t="s">
        <v>15</v>
      </c>
      <c r="I2" s="13" t="s">
        <v>58</v>
      </c>
      <c r="J2" s="13" t="s">
        <v>59</v>
      </c>
      <c r="K2" s="13" t="s">
        <v>60</v>
      </c>
      <c r="L2" s="17" t="s">
        <v>18</v>
      </c>
      <c r="M2" s="18" t="s">
        <v>21</v>
      </c>
      <c r="N2" s="14" t="s">
        <v>34</v>
      </c>
      <c r="O2" s="43" t="s">
        <v>35</v>
      </c>
      <c r="P2" s="14" t="s">
        <v>36</v>
      </c>
      <c r="Q2" s="14" t="s">
        <v>37</v>
      </c>
      <c r="R2" s="14" t="s">
        <v>38</v>
      </c>
      <c r="S2" s="14" t="s">
        <v>55</v>
      </c>
      <c r="T2" s="14" t="s">
        <v>39</v>
      </c>
      <c r="U2" s="14" t="s">
        <v>40</v>
      </c>
      <c r="V2" s="14" t="s">
        <v>41</v>
      </c>
      <c r="W2" s="14" t="s">
        <v>56</v>
      </c>
      <c r="X2" s="15" t="s">
        <v>42</v>
      </c>
      <c r="Y2" s="14" t="s">
        <v>57</v>
      </c>
      <c r="Z2" s="14" t="s">
        <v>43</v>
      </c>
      <c r="AA2" s="14" t="s">
        <v>44</v>
      </c>
      <c r="AB2" s="16" t="s">
        <v>45</v>
      </c>
      <c r="AC2" s="16" t="s">
        <v>46</v>
      </c>
      <c r="AD2" s="16" t="s">
        <v>47</v>
      </c>
      <c r="AE2" s="16" t="s">
        <v>48</v>
      </c>
      <c r="AF2" s="16" t="s">
        <v>49</v>
      </c>
      <c r="AG2" s="16" t="s">
        <v>50</v>
      </c>
      <c r="AH2" s="16" t="s">
        <v>51</v>
      </c>
      <c r="AI2" s="16" t="s">
        <v>52</v>
      </c>
      <c r="AJ2" s="16" t="s">
        <v>53</v>
      </c>
      <c r="AK2" s="16" t="s">
        <v>54</v>
      </c>
    </row>
    <row r="3" spans="1:38" s="16" customFormat="1" x14ac:dyDescent="0.35">
      <c r="A3" s="16" t="s">
        <v>120</v>
      </c>
      <c r="B3" s="19">
        <v>601000</v>
      </c>
      <c r="C3" s="20" t="s">
        <v>84</v>
      </c>
      <c r="D3" s="19" t="s">
        <v>130</v>
      </c>
      <c r="E3" s="75">
        <v>44927</v>
      </c>
      <c r="F3" s="77">
        <v>45169</v>
      </c>
      <c r="G3" s="131"/>
      <c r="H3" s="36">
        <v>10000</v>
      </c>
      <c r="I3" s="79">
        <v>7</v>
      </c>
      <c r="J3" s="22">
        <f>SUM(BDD_PRESTA_ESTIME3[[#This Row],[Reçu Janv]:[Prév Déc]])</f>
        <v>0</v>
      </c>
      <c r="K3" s="74">
        <f>BDD_PRESTA_ESTIME3[[#This Row],[Jours prév]]-BDD_PRESTA_ESTIME3[[#This Row],[Jours trav]]</f>
        <v>7</v>
      </c>
      <c r="L3" s="80">
        <f>BDD_PRESTA_ESTIME3[[#This Row],[Jours prév]]*BDD_PRESTA_ESTIME3[[#This Row],[TJM]]</f>
        <v>70000</v>
      </c>
      <c r="M3" s="70"/>
      <c r="N3" s="70"/>
      <c r="O3" s="81"/>
      <c r="P3" s="82"/>
      <c r="Q3" s="72"/>
      <c r="R3" s="82"/>
      <c r="S3" s="72"/>
      <c r="T3" s="82"/>
      <c r="U3" s="72"/>
      <c r="V3" s="82"/>
      <c r="W3" s="72"/>
      <c r="X3" s="82"/>
      <c r="Y3" s="72"/>
      <c r="Z3" s="82"/>
      <c r="AA3" s="72"/>
      <c r="AB3" s="82"/>
      <c r="AC3" s="72"/>
      <c r="AD3" s="83"/>
      <c r="AE3" s="72"/>
      <c r="AF3" s="83"/>
      <c r="AG3" s="72"/>
      <c r="AH3" s="83"/>
      <c r="AI3" s="72"/>
      <c r="AJ3" s="83"/>
      <c r="AK3" s="84"/>
    </row>
    <row r="4" spans="1:38" s="16" customFormat="1" x14ac:dyDescent="0.35">
      <c r="A4" s="16" t="s">
        <v>121</v>
      </c>
      <c r="B4" s="19">
        <v>601000</v>
      </c>
      <c r="C4" s="20" t="s">
        <v>85</v>
      </c>
      <c r="D4" s="19" t="s">
        <v>130</v>
      </c>
      <c r="E4" s="75">
        <v>44927</v>
      </c>
      <c r="F4" s="77">
        <v>45169</v>
      </c>
      <c r="G4" s="78"/>
      <c r="H4" s="36">
        <v>200</v>
      </c>
      <c r="I4" s="79"/>
      <c r="J4" s="22">
        <f>SUM(BDD_PRESTA_ESTIME3[[#This Row],[Reçu Janv]:[Prév Déc]])</f>
        <v>0</v>
      </c>
      <c r="K4" s="74">
        <f>BDD_PRESTA_ESTIME3[[#This Row],[Jours prév]]-BDD_PRESTA_ESTIME3[[#This Row],[Jours trav]]</f>
        <v>0</v>
      </c>
      <c r="L4" s="80">
        <f>BDD_PRESTA_ESTIME3[[#This Row],[Jours prév]]*BDD_PRESTA_ESTIME3[[#This Row],[TJM]]</f>
        <v>0</v>
      </c>
      <c r="M4" s="70"/>
      <c r="N4" s="70"/>
      <c r="O4" s="81"/>
      <c r="P4" s="82"/>
      <c r="Q4" s="72"/>
      <c r="R4" s="82"/>
      <c r="S4" s="72"/>
      <c r="T4" s="82"/>
      <c r="U4" s="72"/>
      <c r="V4" s="82"/>
      <c r="W4" s="72"/>
      <c r="X4" s="82"/>
      <c r="Y4" s="72"/>
      <c r="Z4" s="82"/>
      <c r="AA4" s="72"/>
      <c r="AB4" s="82"/>
      <c r="AC4" s="72"/>
      <c r="AD4" s="83"/>
      <c r="AE4" s="72"/>
      <c r="AF4" s="83"/>
      <c r="AG4" s="72"/>
      <c r="AH4" s="83"/>
      <c r="AI4" s="72"/>
      <c r="AJ4" s="83"/>
      <c r="AK4" s="84"/>
    </row>
    <row r="5" spans="1:38" s="16" customFormat="1" ht="13" x14ac:dyDescent="0.3">
      <c r="A5" s="16" t="s">
        <v>122</v>
      </c>
      <c r="B5" s="19">
        <v>601003</v>
      </c>
      <c r="C5" s="121" t="s">
        <v>86</v>
      </c>
      <c r="D5" s="19" t="s">
        <v>131</v>
      </c>
      <c r="E5" s="75">
        <v>44927</v>
      </c>
      <c r="F5" s="77">
        <v>45046</v>
      </c>
      <c r="G5" s="78"/>
      <c r="H5" s="76">
        <v>413.11</v>
      </c>
      <c r="I5" s="79">
        <v>4</v>
      </c>
      <c r="J5" s="22"/>
      <c r="K5" s="74">
        <f>BDD_PRESTA_ESTIME3[[#This Row],[Jours prév]]-BDD_PRESTA_ESTIME3[[#This Row],[Jours trav]]</f>
        <v>4</v>
      </c>
      <c r="L5" s="80">
        <f>BDD_PRESTA_ESTIME3[[#This Row],[Jours prév]]*BDD_PRESTA_ESTIME3[[#This Row],[TJM]]</f>
        <v>1652.44</v>
      </c>
      <c r="M5" s="70"/>
      <c r="N5" s="70"/>
      <c r="O5" s="122">
        <v>17350</v>
      </c>
      <c r="P5" s="82"/>
      <c r="Q5" s="72"/>
      <c r="R5" s="82"/>
      <c r="S5" s="72"/>
      <c r="T5" s="82"/>
      <c r="U5" s="72"/>
      <c r="V5" s="82"/>
      <c r="W5" s="72"/>
      <c r="X5" s="82"/>
      <c r="Y5" s="72"/>
      <c r="Z5" s="82"/>
      <c r="AA5" s="72"/>
      <c r="AB5" s="82"/>
      <c r="AC5" s="72"/>
      <c r="AD5" s="83"/>
      <c r="AE5" s="72"/>
      <c r="AF5" s="83"/>
      <c r="AG5" s="72"/>
      <c r="AH5" s="83"/>
      <c r="AI5" s="72"/>
      <c r="AJ5" s="83"/>
      <c r="AK5" s="84"/>
    </row>
    <row r="6" spans="1:38" s="16" customFormat="1" ht="43.5" customHeight="1" x14ac:dyDescent="0.3">
      <c r="A6" s="16" t="s">
        <v>123</v>
      </c>
      <c r="B6" s="66">
        <v>601229</v>
      </c>
      <c r="C6" s="67" t="s">
        <v>107</v>
      </c>
      <c r="D6" s="19" t="s">
        <v>131</v>
      </c>
      <c r="E6" s="75">
        <v>44963</v>
      </c>
      <c r="F6" s="77">
        <v>45107</v>
      </c>
      <c r="G6" s="78"/>
      <c r="H6" s="76"/>
      <c r="I6" s="79"/>
      <c r="J6" s="22">
        <f>SUM(BDD_PRESTA_ESTIME3[[#This Row],[Reçu Janv]:[Prév Déc]])</f>
        <v>0</v>
      </c>
      <c r="K6" s="74">
        <f>BDD_PRESTA_ESTIME3[[#This Row],[Jours prév]]-BDD_PRESTA_ESTIME3[[#This Row],[Jours trav]]</f>
        <v>0</v>
      </c>
      <c r="L6" s="80">
        <f>BDD_PRESTA_ESTIME3[[#This Row],[Jours prév]]*BDD_PRESTA_ESTIME3[[#This Row],[TJM]]</f>
        <v>0</v>
      </c>
      <c r="M6" s="70"/>
      <c r="N6" s="70"/>
      <c r="O6" s="81"/>
      <c r="P6" s="82"/>
      <c r="Q6" s="72"/>
      <c r="R6" s="82"/>
      <c r="S6" s="72"/>
      <c r="T6" s="82"/>
      <c r="U6" s="72"/>
      <c r="V6" s="82"/>
      <c r="W6" s="72"/>
      <c r="X6" s="82"/>
      <c r="Y6" s="72"/>
      <c r="Z6" s="82"/>
      <c r="AA6" s="72"/>
      <c r="AB6" s="82"/>
      <c r="AC6" s="72"/>
      <c r="AD6" s="83"/>
      <c r="AE6" s="72"/>
      <c r="AF6" s="83"/>
      <c r="AG6" s="72"/>
      <c r="AH6" s="83"/>
      <c r="AI6" s="72"/>
      <c r="AJ6" s="83"/>
      <c r="AK6" s="84"/>
    </row>
    <row r="7" spans="1:38" s="25" customFormat="1" ht="13" x14ac:dyDescent="0.3">
      <c r="A7" s="16" t="s">
        <v>121</v>
      </c>
      <c r="B7" s="19">
        <v>601000</v>
      </c>
      <c r="C7" s="20" t="s">
        <v>80</v>
      </c>
      <c r="D7" s="19" t="s">
        <v>132</v>
      </c>
      <c r="E7" s="31">
        <v>44946</v>
      </c>
      <c r="F7" s="30">
        <f>WORKDAY.INTL(BDD_PRESTA_ESTIME3[[#This Row],[Début]]-1,BDD_PRESTA_ESTIME3[[#This Row],[Jours prév]],1,_Feries)</f>
        <v>45027</v>
      </c>
      <c r="G7" s="21" t="s">
        <v>124</v>
      </c>
      <c r="H7" s="48">
        <v>515</v>
      </c>
      <c r="I7" s="22">
        <v>57</v>
      </c>
      <c r="J7" s="22">
        <f>SUM(BDD_PRESTA_ESTIME3[[#This Row],[Reçu Janv]:[Prév Déc]])</f>
        <v>0</v>
      </c>
      <c r="K7" s="40">
        <f>BDD_PRESTA_ESTIME3[[#This Row],[Jours prév]]-BDD_PRESTA_ESTIME3[[#This Row],[Jours trav]]</f>
        <v>57</v>
      </c>
      <c r="L7" s="23">
        <f>BDD_PRESTA_ESTIME3[[#This Row],[Jours prév]]*BDD_PRESTA_ESTIME3[[#This Row],[TJM]]</f>
        <v>29355</v>
      </c>
      <c r="M7" s="24">
        <v>15</v>
      </c>
      <c r="N7" s="28"/>
      <c r="O7" s="44"/>
      <c r="P7" s="29"/>
      <c r="Q7" s="29"/>
      <c r="R7" s="29"/>
      <c r="S7" s="29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</row>
    <row r="8" spans="1:38" s="25" customFormat="1" ht="13" x14ac:dyDescent="0.3">
      <c r="A8" s="16" t="s">
        <v>121</v>
      </c>
      <c r="B8" s="19">
        <v>601000</v>
      </c>
      <c r="C8" s="20" t="s">
        <v>80</v>
      </c>
      <c r="D8" s="19" t="s">
        <v>132</v>
      </c>
      <c r="E8" s="56">
        <v>45028</v>
      </c>
      <c r="F8" s="57">
        <f>WORKDAY.INTL(BDD_PRESTA_ESTIME3[[#This Row],[Début]]-1,BDD_PRESTA_ESTIME3[[#This Row],[Jours prév]],1,_Feries)</f>
        <v>45161</v>
      </c>
      <c r="G8" s="21" t="s">
        <v>124</v>
      </c>
      <c r="H8" s="48">
        <v>515</v>
      </c>
      <c r="I8" s="58">
        <v>90</v>
      </c>
      <c r="J8" s="22">
        <f>SUM(BDD_PRESTA_ESTIME3[[#This Row],[Reçu Janv]:[Prév Déc]])</f>
        <v>0</v>
      </c>
      <c r="K8" s="59">
        <f>BDD_PRESTA_ESTIME3[[#This Row],[Jours prév]]-BDD_PRESTA_ESTIME3[[#This Row],[Jours trav]]</f>
        <v>90</v>
      </c>
      <c r="L8" s="60">
        <f>BDD_PRESTA_ESTIME3[[#This Row],[Jours prév]]*BDD_PRESTA_ESTIME3[[#This Row],[TJM]]</f>
        <v>46350</v>
      </c>
      <c r="M8" s="61"/>
      <c r="N8" s="61"/>
      <c r="O8" s="62"/>
      <c r="P8" s="63"/>
      <c r="Q8" s="63"/>
      <c r="R8" s="63"/>
      <c r="S8" s="63"/>
      <c r="T8" s="64"/>
      <c r="U8" s="64"/>
      <c r="V8" s="64"/>
      <c r="W8" s="64"/>
      <c r="X8" s="64"/>
      <c r="Y8" s="64"/>
      <c r="Z8" s="64"/>
      <c r="AA8" s="64"/>
      <c r="AB8" s="64"/>
      <c r="AC8" s="64"/>
      <c r="AD8" s="63"/>
      <c r="AE8" s="63"/>
      <c r="AF8" s="63"/>
      <c r="AG8" s="63"/>
      <c r="AH8" s="63"/>
      <c r="AI8" s="63"/>
      <c r="AJ8" s="63"/>
      <c r="AK8" s="63"/>
    </row>
    <row r="9" spans="1:38" s="25" customFormat="1" ht="13" x14ac:dyDescent="0.3">
      <c r="A9" s="16" t="s">
        <v>121</v>
      </c>
      <c r="B9" s="19">
        <v>601006</v>
      </c>
      <c r="C9" s="20" t="s">
        <v>83</v>
      </c>
      <c r="D9" s="19" t="s">
        <v>133</v>
      </c>
      <c r="E9" s="31">
        <v>44959</v>
      </c>
      <c r="F9" s="30">
        <f>WORKDAY.INTL(BDD_PRESTA_ESTIME3[[#This Row],[Début]]-1,BDD_PRESTA_ESTIME3[[#This Row],[Jours prév]],1,_Feries)</f>
        <v>45028</v>
      </c>
      <c r="G9" s="21" t="s">
        <v>125</v>
      </c>
      <c r="H9" s="48">
        <v>493</v>
      </c>
      <c r="I9" s="22">
        <v>49</v>
      </c>
      <c r="J9" s="22">
        <f>SUM(BDD_PRESTA_ESTIME3[[#This Row],[Reçu Janv]:[Prév Déc]])</f>
        <v>0</v>
      </c>
      <c r="K9" s="40">
        <f>BDD_PRESTA_ESTIME3[[#This Row],[Jours prév]]-BDD_PRESTA_ESTIME3[[#This Row],[Jours trav]]</f>
        <v>49</v>
      </c>
      <c r="L9" s="23">
        <f>BDD_PRESTA_ESTIME3[[#This Row],[Jours prév]]*BDD_PRESTA_ESTIME3[[#This Row],[TJM]]</f>
        <v>24157</v>
      </c>
      <c r="M9" s="24">
        <v>24.5</v>
      </c>
      <c r="N9" s="24"/>
      <c r="O9" s="44"/>
      <c r="P9" s="29"/>
      <c r="Q9" s="29"/>
      <c r="R9" s="29"/>
      <c r="S9" s="29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</row>
    <row r="10" spans="1:38" s="25" customFormat="1" ht="12" customHeight="1" x14ac:dyDescent="0.3">
      <c r="A10" s="16" t="s">
        <v>121</v>
      </c>
      <c r="B10" s="19">
        <v>601006</v>
      </c>
      <c r="C10" s="20" t="s">
        <v>81</v>
      </c>
      <c r="D10" s="19" t="s">
        <v>133</v>
      </c>
      <c r="E10" s="56">
        <v>45029</v>
      </c>
      <c r="F10" s="57">
        <f>WORKDAY.INTL(BDD_PRESTA_ESTIME3[[#This Row],[Début]]-1,BDD_PRESTA_ESTIME3[[#This Row],[Jours prév]],1,_Feries)</f>
        <v>45162</v>
      </c>
      <c r="G10" s="21" t="s">
        <v>125</v>
      </c>
      <c r="H10" s="48">
        <v>493</v>
      </c>
      <c r="I10" s="58">
        <v>90</v>
      </c>
      <c r="J10" s="22">
        <f>SUM(BDD_PRESTA_ESTIME3[[#This Row],[Reçu Janv]:[Prév Déc]])</f>
        <v>0</v>
      </c>
      <c r="K10" s="59">
        <f>BDD_PRESTA_ESTIME3[[#This Row],[Jours prév]]-BDD_PRESTA_ESTIME3[[#This Row],[Jours trav]]</f>
        <v>90</v>
      </c>
      <c r="L10" s="60">
        <f>BDD_PRESTA_ESTIME3[[#This Row],[Jours prév]]*BDD_PRESTA_ESTIME3[[#This Row],[TJM]]</f>
        <v>44370</v>
      </c>
      <c r="M10" s="61"/>
      <c r="N10" s="61"/>
      <c r="O10" s="62"/>
      <c r="P10" s="63"/>
      <c r="Q10" s="63"/>
      <c r="R10" s="63"/>
      <c r="S10" s="63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3"/>
      <c r="AE10" s="63"/>
      <c r="AF10" s="63"/>
      <c r="AG10" s="63"/>
      <c r="AH10" s="63"/>
      <c r="AI10" s="63"/>
      <c r="AJ10" s="63"/>
      <c r="AK10" s="63"/>
    </row>
    <row r="11" spans="1:38" s="94" customFormat="1" ht="13" x14ac:dyDescent="0.3">
      <c r="A11" s="16" t="s">
        <v>121</v>
      </c>
      <c r="B11" s="19">
        <v>601000</v>
      </c>
      <c r="C11" s="85" t="s">
        <v>68</v>
      </c>
      <c r="D11" s="19" t="s">
        <v>132</v>
      </c>
      <c r="E11" s="86">
        <v>44928</v>
      </c>
      <c r="F11" s="87">
        <f>WORKDAY.INTL(BDD_PRESTA_ESTIME3[[#This Row],[Début]]-1,BDD_PRESTA_ESTIME3[[#This Row],[Jours prév]],1,_Feries)</f>
        <v>44942</v>
      </c>
      <c r="G11" s="88" t="s">
        <v>126</v>
      </c>
      <c r="H11" s="89">
        <v>493</v>
      </c>
      <c r="I11" s="90">
        <v>11.5</v>
      </c>
      <c r="J11" s="90">
        <f>SUM(BDD_PRESTA_ESTIME3[[#This Row],[Reçu Janv]:[Prév Déc]])</f>
        <v>5</v>
      </c>
      <c r="K11" s="91">
        <f>BDD_PRESTA_ESTIME3[[#This Row],[Jours prév]]-BDD_PRESTA_ESTIME3[[#This Row],[Jours trav]]</f>
        <v>6.5</v>
      </c>
      <c r="L11" s="89">
        <f>BDD_PRESTA_ESTIME3[[#This Row],[Jours prév]]*BDD_PRESTA_ESTIME3[[#This Row],[TJM]]</f>
        <v>5669.5</v>
      </c>
      <c r="M11" s="92">
        <v>11.5</v>
      </c>
      <c r="N11" s="92"/>
      <c r="O11" s="93">
        <v>5</v>
      </c>
      <c r="P11" s="93"/>
      <c r="Q11" s="93"/>
      <c r="R11" s="93"/>
      <c r="S11" s="93"/>
      <c r="T11" s="93"/>
      <c r="U11" s="93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3"/>
      <c r="AH11" s="93"/>
      <c r="AI11" s="93"/>
      <c r="AJ11" s="93"/>
      <c r="AK11" s="93"/>
    </row>
    <row r="12" spans="1:38" s="25" customFormat="1" ht="13" x14ac:dyDescent="0.3">
      <c r="A12" s="16" t="s">
        <v>121</v>
      </c>
      <c r="B12" s="19">
        <v>601000</v>
      </c>
      <c r="C12" s="20" t="s">
        <v>69</v>
      </c>
      <c r="D12" s="19" t="s">
        <v>132</v>
      </c>
      <c r="E12" s="31">
        <v>44936</v>
      </c>
      <c r="F12" s="30">
        <f>WORKDAY.INTL(BDD_PRESTA_ESTIME3[[#This Row],[Début]]-1,BDD_PRESTA_ESTIME3[[#This Row],[Jours prév]],1,_Feries)</f>
        <v>45019</v>
      </c>
      <c r="G12" s="21" t="s">
        <v>127</v>
      </c>
      <c r="H12" s="48">
        <v>505</v>
      </c>
      <c r="I12" s="22">
        <v>60</v>
      </c>
      <c r="J12" s="22">
        <f>SUM(BDD_PRESTA_ESTIME3[[#This Row],[Reçu Janv]:[Prév Déc]])</f>
        <v>0</v>
      </c>
      <c r="K12" s="40">
        <f>BDD_PRESTA_ESTIME3[[#This Row],[Jours prév]]-BDD_PRESTA_ESTIME3[[#This Row],[Jours trav]]</f>
        <v>60</v>
      </c>
      <c r="L12" s="23">
        <f>BDD_PRESTA_ESTIME3[[#This Row],[Jours prév]]*BDD_PRESTA_ESTIME3[[#This Row],[TJM]]</f>
        <v>30300</v>
      </c>
      <c r="M12" s="24">
        <v>7</v>
      </c>
      <c r="N12" s="28"/>
      <c r="O12" s="29"/>
      <c r="P12" s="29"/>
      <c r="Q12" s="29"/>
      <c r="R12" s="29"/>
      <c r="S12" s="29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</row>
    <row r="13" spans="1:38" s="25" customFormat="1" ht="13" x14ac:dyDescent="0.3">
      <c r="A13" s="16" t="s">
        <v>121</v>
      </c>
      <c r="B13" s="19">
        <v>600716</v>
      </c>
      <c r="C13" s="20" t="s">
        <v>70</v>
      </c>
      <c r="D13" s="19" t="s">
        <v>131</v>
      </c>
      <c r="E13" s="31">
        <v>44963</v>
      </c>
      <c r="F13" s="30">
        <f>WORKDAY.INTL(BDD_PRESTA_ESTIME3[[#This Row],[Début]]-1,BDD_PRESTA_ESTIME3[[#This Row],[Jours prév]],1,_Feries)</f>
        <v>45048</v>
      </c>
      <c r="G13" s="21" t="s">
        <v>128</v>
      </c>
      <c r="H13" s="48">
        <v>560</v>
      </c>
      <c r="I13" s="22">
        <v>60</v>
      </c>
      <c r="J13" s="22">
        <f>SUM(BDD_PRESTA_ESTIME3[[#This Row],[Reçu Janv]:[Prév Déc]])</f>
        <v>0</v>
      </c>
      <c r="K13" s="40">
        <f>BDD_PRESTA_ESTIME3[[#This Row],[Jours prév]]-BDD_PRESTA_ESTIME3[[#This Row],[Jours trav]]</f>
        <v>60</v>
      </c>
      <c r="L13" s="23">
        <f>BDD_PRESTA_ESTIME3[[#This Row],[Jours prév]]*BDD_PRESTA_ESTIME3[[#This Row],[TJM]]</f>
        <v>33600</v>
      </c>
      <c r="M13" s="24">
        <v>26</v>
      </c>
      <c r="N13" s="24"/>
      <c r="O13" s="44"/>
      <c r="P13" s="29"/>
      <c r="Q13" s="29"/>
      <c r="R13" s="29"/>
      <c r="S13" s="29"/>
      <c r="T13" s="29"/>
      <c r="U13" s="29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</row>
    <row r="14" spans="1:38" s="25" customFormat="1" ht="13" x14ac:dyDescent="0.3">
      <c r="A14" s="16" t="s">
        <v>121</v>
      </c>
      <c r="B14" s="19">
        <v>600716</v>
      </c>
      <c r="C14" s="20" t="s">
        <v>70</v>
      </c>
      <c r="D14" s="19" t="s">
        <v>131</v>
      </c>
      <c r="E14" s="31">
        <v>44936</v>
      </c>
      <c r="F14" s="30">
        <f>WORKDAY.INTL(BDD_PRESTA_ESTIME3[[#This Row],[Début]]-1,BDD_PRESTA_ESTIME3[[#This Row],[Jours prév]],1,_Feries)</f>
        <v>45019</v>
      </c>
      <c r="G14" s="21" t="s">
        <v>129</v>
      </c>
      <c r="H14" s="48">
        <v>535</v>
      </c>
      <c r="I14" s="22">
        <v>60</v>
      </c>
      <c r="J14" s="22">
        <f>SUM(BDD_PRESTA_ESTIME3[[#This Row],[Reçu Janv]:[Prév Déc]])</f>
        <v>0</v>
      </c>
      <c r="K14" s="40">
        <f>BDD_PRESTA_ESTIME3[[#This Row],[Jours prév]]-BDD_PRESTA_ESTIME3[[#This Row],[Jours trav]]</f>
        <v>60</v>
      </c>
      <c r="L14" s="23">
        <f>BDD_PRESTA_ESTIME3[[#This Row],[Jours prév]]*BDD_PRESTA_ESTIME3[[#This Row],[TJM]]</f>
        <v>32100</v>
      </c>
      <c r="M14" s="24"/>
      <c r="N14" s="24"/>
      <c r="O14" s="44"/>
      <c r="P14" s="29"/>
      <c r="Q14" s="29"/>
      <c r="R14" s="29"/>
      <c r="S14" s="29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</row>
    <row r="15" spans="1:38" s="25" customFormat="1" ht="13" x14ac:dyDescent="0.3">
      <c r="A15" s="16" t="s">
        <v>121</v>
      </c>
      <c r="B15" s="19">
        <v>601006</v>
      </c>
      <c r="C15" s="67" t="s">
        <v>111</v>
      </c>
      <c r="D15" s="19" t="s">
        <v>130</v>
      </c>
      <c r="E15" s="123">
        <v>45170</v>
      </c>
      <c r="F15" s="75">
        <f>WORKDAY.INTL(BDD_PRESTA_ESTIME3[[#This Row],[Début]]-1,BDD_PRESTA_ESTIME3[[#This Row],[Jours prév]],1,_Feries)</f>
        <v>45197</v>
      </c>
      <c r="G15" s="21" t="s">
        <v>135</v>
      </c>
      <c r="H15" s="76">
        <v>1568.82</v>
      </c>
      <c r="I15" s="68">
        <v>20</v>
      </c>
      <c r="J15" s="22">
        <f>SUM(BDD_PRESTA_ESTIME3[[#This Row],[Reçu Janv]:[Prév Déc]])</f>
        <v>0</v>
      </c>
      <c r="K15" s="74">
        <f>BDD_PRESTA_ESTIME3[[#This Row],[Jours prév]]-BDD_PRESTA_ESTIME3[[#This Row],[Jours trav]]</f>
        <v>20</v>
      </c>
      <c r="L15" s="69">
        <f>BDD_PRESTA_ESTIME3[[#This Row],[Jours prév]]*BDD_PRESTA_ESTIME3[[#This Row],[TJM]]</f>
        <v>31376.399999999998</v>
      </c>
      <c r="M15" s="70"/>
      <c r="N15" s="70"/>
      <c r="O15" s="71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72"/>
      <c r="AB15" s="72"/>
      <c r="AC15" s="72"/>
      <c r="AD15" s="72"/>
      <c r="AE15" s="72"/>
      <c r="AF15" s="72"/>
      <c r="AG15" s="72"/>
      <c r="AH15" s="72"/>
      <c r="AI15" s="72"/>
      <c r="AJ15" s="72"/>
      <c r="AK15" s="72"/>
    </row>
    <row r="16" spans="1:38" s="25" customFormat="1" ht="13" x14ac:dyDescent="0.3">
      <c r="A16" s="16" t="s">
        <v>121</v>
      </c>
      <c r="B16" s="19">
        <v>601004</v>
      </c>
      <c r="C16" s="67" t="s">
        <v>110</v>
      </c>
      <c r="D16" s="19" t="s">
        <v>130</v>
      </c>
      <c r="E16" s="123">
        <v>44928</v>
      </c>
      <c r="F16" s="75">
        <f>WORKDAY.INTL(BDD_PRESTA_ESTIME3[[#This Row],[Début]]-1,BDD_PRESTA_ESTIME3[[#This Row],[Jours prév]],1,_Feries)</f>
        <v>44936</v>
      </c>
      <c r="G16" s="21" t="s">
        <v>134</v>
      </c>
      <c r="H16" s="76">
        <v>500</v>
      </c>
      <c r="I16" s="68">
        <v>7</v>
      </c>
      <c r="J16" s="22">
        <f>SUM(BDD_PRESTA_ESTIME3[[#This Row],[Reçu Janv]:[Prév Déc]])</f>
        <v>7</v>
      </c>
      <c r="K16" s="74">
        <f>BDD_PRESTA_ESTIME3[[#This Row],[Jours prév]]-BDD_PRESTA_ESTIME3[[#This Row],[Jours trav]]</f>
        <v>0</v>
      </c>
      <c r="L16" s="69">
        <f>BDD_PRESTA_ESTIME3[[#This Row],[Jours prév]]*BDD_PRESTA_ESTIME3[[#This Row],[TJM]]</f>
        <v>3500</v>
      </c>
      <c r="M16" s="70"/>
      <c r="N16" s="70"/>
      <c r="O16" s="71">
        <v>7</v>
      </c>
      <c r="P16" s="72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72"/>
      <c r="AB16" s="72"/>
      <c r="AC16" s="72"/>
      <c r="AD16" s="72"/>
      <c r="AE16" s="72"/>
      <c r="AF16" s="72"/>
      <c r="AG16" s="72"/>
      <c r="AH16" s="72"/>
      <c r="AI16" s="72"/>
      <c r="AJ16" s="72"/>
      <c r="AK16" s="72"/>
    </row>
    <row r="17" spans="1:38" s="25" customFormat="1" ht="13" x14ac:dyDescent="0.3">
      <c r="A17" s="16" t="s">
        <v>121</v>
      </c>
      <c r="B17" s="19">
        <v>601004</v>
      </c>
      <c r="C17" s="67" t="s">
        <v>109</v>
      </c>
      <c r="D17" s="19" t="s">
        <v>130</v>
      </c>
      <c r="E17" s="123">
        <v>44928</v>
      </c>
      <c r="F17" s="75">
        <f>WORKDAY.INTL(BDD_PRESTA_ESTIME3[[#This Row],[Début]]-1,BDD_PRESTA_ESTIME3[[#This Row],[Jours prév]],1,_Feries)</f>
        <v>44931</v>
      </c>
      <c r="G17" s="21" t="s">
        <v>129</v>
      </c>
      <c r="H17" s="48">
        <v>680</v>
      </c>
      <c r="I17" s="68">
        <v>4.5</v>
      </c>
      <c r="J17" s="22">
        <f>SUM(BDD_PRESTA_ESTIME3[[#This Row],[Reçu Janv]:[Prév Déc]])</f>
        <v>4.5</v>
      </c>
      <c r="K17" s="74">
        <f>BDD_PRESTA_ESTIME3[[#This Row],[Jours prév]]-BDD_PRESTA_ESTIME3[[#This Row],[Jours trav]]</f>
        <v>0</v>
      </c>
      <c r="L17" s="69">
        <f>BDD_PRESTA_ESTIME3[[#This Row],[Jours prév]]*BDD_PRESTA_ESTIME3[[#This Row],[TJM]]</f>
        <v>3060</v>
      </c>
      <c r="M17" s="70"/>
      <c r="N17" s="70"/>
      <c r="O17" s="71">
        <v>4.5</v>
      </c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2"/>
      <c r="AB17" s="72"/>
      <c r="AC17" s="72"/>
      <c r="AD17" s="72"/>
      <c r="AE17" s="72"/>
      <c r="AF17" s="72"/>
      <c r="AG17" s="72"/>
      <c r="AH17" s="72"/>
      <c r="AI17" s="72"/>
      <c r="AJ17" s="72"/>
      <c r="AK17" s="72"/>
    </row>
    <row r="18" spans="1:38" s="25" customFormat="1" ht="13" x14ac:dyDescent="0.3">
      <c r="A18" s="16" t="s">
        <v>121</v>
      </c>
      <c r="B18" s="19">
        <v>601004</v>
      </c>
      <c r="C18" s="20" t="s">
        <v>71</v>
      </c>
      <c r="D18" s="19" t="s">
        <v>130</v>
      </c>
      <c r="E18" s="31">
        <v>44931</v>
      </c>
      <c r="F18" s="30">
        <f>WORKDAY.INTL(BDD_PRESTA_ESTIME3[[#This Row],[Début]]-1,BDD_PRESTA_ESTIME3[[#This Row],[Jours prév]],1,_Feries)</f>
        <v>45021</v>
      </c>
      <c r="G18" s="21" t="s">
        <v>129</v>
      </c>
      <c r="H18" s="48">
        <v>680</v>
      </c>
      <c r="I18" s="22">
        <v>65</v>
      </c>
      <c r="J18" s="22">
        <f>SUM(BDD_PRESTA_ESTIME3[[#This Row],[Reçu Janv]:[Prév Déc]])</f>
        <v>15.5</v>
      </c>
      <c r="K18" s="40">
        <f>BDD_PRESTA_ESTIME3[[#This Row],[Jours prév]]-BDD_PRESTA_ESTIME3[[#This Row],[Jours trav]]</f>
        <v>49.5</v>
      </c>
      <c r="L18" s="23">
        <f>BDD_PRESTA_ESTIME3[[#This Row],[Jours prév]]*BDD_PRESTA_ESTIME3[[#This Row],[TJM]]</f>
        <v>44200</v>
      </c>
      <c r="M18" s="24">
        <v>4.5</v>
      </c>
      <c r="N18" s="28">
        <v>15.5</v>
      </c>
      <c r="O18" s="29">
        <v>15.5</v>
      </c>
      <c r="P18" s="29"/>
      <c r="Q18" s="29"/>
      <c r="R18" s="29"/>
      <c r="S18" s="29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</row>
    <row r="19" spans="1:38" s="25" customFormat="1" ht="13" x14ac:dyDescent="0.3">
      <c r="A19" s="16" t="s">
        <v>121</v>
      </c>
      <c r="B19" s="19">
        <v>601004</v>
      </c>
      <c r="C19" s="20" t="s">
        <v>81</v>
      </c>
      <c r="D19" s="19" t="s">
        <v>130</v>
      </c>
      <c r="E19" s="56">
        <v>45022</v>
      </c>
      <c r="F19" s="57">
        <f>WORKDAY.INTL(BDD_PRESTA_ESTIME3[[#This Row],[Début]]-1,BDD_PRESTA_ESTIME3[[#This Row],[Jours prév]],1,_Feries)</f>
        <v>45156</v>
      </c>
      <c r="G19" s="21" t="s">
        <v>129</v>
      </c>
      <c r="H19" s="48">
        <v>680</v>
      </c>
      <c r="I19" s="58">
        <v>90</v>
      </c>
      <c r="J19" s="22">
        <f>SUM(BDD_PRESTA_ESTIME3[[#This Row],[Reçu Janv]:[Prév Déc]])</f>
        <v>0</v>
      </c>
      <c r="K19" s="59">
        <f>BDD_PRESTA_ESTIME3[[#This Row],[Jours prév]]-BDD_PRESTA_ESTIME3[[#This Row],[Jours trav]]</f>
        <v>90</v>
      </c>
      <c r="L19" s="60">
        <f>BDD_PRESTA_ESTIME3[[#This Row],[Jours prév]]*BDD_PRESTA_ESTIME3[[#This Row],[TJM]]</f>
        <v>61200</v>
      </c>
      <c r="M19" s="61"/>
      <c r="N19" s="61"/>
      <c r="O19" s="62"/>
      <c r="P19" s="63"/>
      <c r="Q19" s="63"/>
      <c r="R19" s="63"/>
      <c r="S19" s="63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3"/>
      <c r="AE19" s="63"/>
      <c r="AF19" s="63"/>
      <c r="AG19" s="63"/>
      <c r="AH19" s="63"/>
      <c r="AI19" s="63"/>
      <c r="AJ19" s="63"/>
      <c r="AK19" s="63"/>
    </row>
    <row r="20" spans="1:38" s="25" customFormat="1" x14ac:dyDescent="0.35">
      <c r="B20" s="19"/>
      <c r="C20" s="20"/>
      <c r="D20" s="1"/>
      <c r="E20" s="19"/>
      <c r="F20" s="132"/>
      <c r="G20" s="21"/>
      <c r="H20" s="133"/>
      <c r="I20" s="134"/>
      <c r="J20" s="22"/>
      <c r="K20" s="22"/>
      <c r="L20" s="23"/>
      <c r="M20" s="24"/>
      <c r="N20" s="24"/>
      <c r="O20" s="44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6"/>
      <c r="AE20" s="26"/>
      <c r="AF20" s="26"/>
      <c r="AG20" s="26"/>
      <c r="AH20" s="26"/>
      <c r="AI20" s="26"/>
      <c r="AJ20" s="26"/>
      <c r="AK20" s="19"/>
      <c r="AL20" s="26"/>
    </row>
    <row r="21" spans="1:38" x14ac:dyDescent="0.35">
      <c r="H21" s="49"/>
    </row>
    <row r="22" spans="1:38" x14ac:dyDescent="0.35">
      <c r="H22" s="49"/>
    </row>
  </sheetData>
  <phoneticPr fontId="4" type="noConversion"/>
  <conditionalFormatting sqref="O3:AK19">
    <cfRule type="cellIs" dxfId="5" priority="6" operator="greaterThan">
      <formula>0</formula>
    </cfRule>
  </conditionalFormatting>
  <conditionalFormatting sqref="E3:F19">
    <cfRule type="colorScale" priority="420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1"/>
  <headerFooter>
    <oddHeader>&amp;L&amp;"Calibri"&amp;12&amp;K00B294Interne-Proprietary&amp;1#</oddHeader>
    <oddFooter>&amp;L&amp;"Times New Roman,Regular"&amp;12&amp;K00C0C0Interne&amp;K0000FF-&amp;K00C0C0Proprietary</oddFooter>
    <evenFooter>&amp;L&amp;"Times New Roman,Regular"&amp;12&amp;K00C0C0Interne&amp;K0000FF-&amp;K00C0C0Proprietary</evenFooter>
    <firstFooter>&amp;L&amp;"Times New Roman,Regular"&amp;12&amp;K00C0C0Interne&amp;K0000FF-&amp;K00C0C0Proprietary</firstFooter>
  </headerFooter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autoPageBreaks="0" fitToPage="1"/>
  </sheetPr>
  <dimension ref="A1:AA69"/>
  <sheetViews>
    <sheetView tabSelected="1" topLeftCell="I1" zoomScale="70" zoomScaleNormal="70" workbookViewId="0">
      <selection activeCell="U4" sqref="U4"/>
    </sheetView>
  </sheetViews>
  <sheetFormatPr baseColWidth="10" defaultColWidth="11.54296875" defaultRowHeight="14.5" x14ac:dyDescent="0.35"/>
  <cols>
    <col min="1" max="1" width="11.453125" style="101" customWidth="1"/>
    <col min="2" max="2" width="43.54296875" style="98" customWidth="1"/>
    <col min="3" max="3" width="15.453125" style="101" customWidth="1"/>
    <col min="4" max="4" width="13.453125" style="101" customWidth="1"/>
    <col min="5" max="5" width="17.54296875" style="101" customWidth="1"/>
    <col min="6" max="17" width="14.26953125" style="101" customWidth="1"/>
    <col min="18" max="19" width="22.54296875" style="113" customWidth="1"/>
    <col min="20" max="21" width="23.54296875" style="113" customWidth="1"/>
    <col min="22" max="23" width="11.54296875" style="98"/>
    <col min="24" max="24" width="20.1796875" style="98" bestFit="1" customWidth="1"/>
    <col min="25" max="25" width="9.81640625" style="98" bestFit="1" customWidth="1"/>
    <col min="26" max="26" width="14.54296875" style="98" bestFit="1" customWidth="1"/>
    <col min="27" max="27" width="15.54296875" style="98" bestFit="1" customWidth="1"/>
    <col min="28" max="16384" width="11.54296875" style="98"/>
  </cols>
  <sheetData>
    <row r="1" spans="1:27" ht="141.75" customHeight="1" x14ac:dyDescent="0.35">
      <c r="B1" s="117"/>
      <c r="R1" s="129" t="s">
        <v>118</v>
      </c>
      <c r="S1" s="129" t="s">
        <v>116</v>
      </c>
      <c r="T1" s="129" t="s">
        <v>117</v>
      </c>
      <c r="U1" s="110"/>
    </row>
    <row r="2" spans="1:27" ht="24.75" customHeight="1" x14ac:dyDescent="0.35">
      <c r="E2" s="98"/>
      <c r="F2" s="106" t="s">
        <v>103</v>
      </c>
      <c r="G2" s="106" t="s">
        <v>102</v>
      </c>
      <c r="H2" s="106" t="s">
        <v>102</v>
      </c>
      <c r="I2" s="106" t="s">
        <v>102</v>
      </c>
      <c r="J2" s="106" t="s">
        <v>102</v>
      </c>
      <c r="K2" s="106" t="s">
        <v>102</v>
      </c>
      <c r="L2" s="106" t="s">
        <v>102</v>
      </c>
      <c r="M2" s="106" t="s">
        <v>102</v>
      </c>
      <c r="N2" s="106" t="s">
        <v>102</v>
      </c>
      <c r="O2" s="106" t="s">
        <v>102</v>
      </c>
      <c r="P2" s="106" t="s">
        <v>102</v>
      </c>
      <c r="Q2" s="106" t="s">
        <v>102</v>
      </c>
      <c r="R2" s="111"/>
      <c r="S2" s="111"/>
      <c r="T2" s="128">
        <v>44986</v>
      </c>
      <c r="U2" s="115"/>
      <c r="X2" s="136" t="s">
        <v>19</v>
      </c>
      <c r="Y2" s="136" t="s">
        <v>149</v>
      </c>
      <c r="Z2" s="136" t="s">
        <v>153</v>
      </c>
      <c r="AA2" t="s">
        <v>152</v>
      </c>
    </row>
    <row r="3" spans="1:27" s="102" customFormat="1" ht="29.5" thickBot="1" x14ac:dyDescent="0.4">
      <c r="A3" s="107" t="s">
        <v>87</v>
      </c>
      <c r="B3" s="107" t="s">
        <v>88</v>
      </c>
      <c r="C3" s="107" t="s">
        <v>89</v>
      </c>
      <c r="D3" s="107" t="s">
        <v>90</v>
      </c>
      <c r="E3" s="107" t="s">
        <v>91</v>
      </c>
      <c r="F3" s="119" t="s">
        <v>93</v>
      </c>
      <c r="G3" s="118" t="s">
        <v>94</v>
      </c>
      <c r="H3" s="118" t="s">
        <v>95</v>
      </c>
      <c r="I3" s="118" t="s">
        <v>96</v>
      </c>
      <c r="J3" s="118" t="s">
        <v>97</v>
      </c>
      <c r="K3" s="118" t="s">
        <v>98</v>
      </c>
      <c r="L3" s="118" t="s">
        <v>99</v>
      </c>
      <c r="M3" s="118" t="s">
        <v>100</v>
      </c>
      <c r="N3" s="118" t="s">
        <v>101</v>
      </c>
      <c r="O3" s="118" t="s">
        <v>104</v>
      </c>
      <c r="P3" s="118" t="s">
        <v>105</v>
      </c>
      <c r="Q3" s="118" t="s">
        <v>106</v>
      </c>
      <c r="R3" s="112" t="s">
        <v>112</v>
      </c>
      <c r="S3" s="112" t="s">
        <v>115</v>
      </c>
      <c r="T3" s="116" t="s">
        <v>114</v>
      </c>
      <c r="U3" s="116" t="str">
        <f>"reste à dépenser au "&amp;TEXT(T2,"jj/mm/aaaa")</f>
        <v>reste à dépenser au 01/03/2023</v>
      </c>
      <c r="X3" t="s">
        <v>139</v>
      </c>
      <c r="Y3" t="s">
        <v>64</v>
      </c>
      <c r="Z3">
        <v>1</v>
      </c>
      <c r="AA3" s="37">
        <v>8560</v>
      </c>
    </row>
    <row r="4" spans="1:27" ht="87" customHeight="1" thickTop="1" x14ac:dyDescent="0.35">
      <c r="A4" s="95">
        <v>601000</v>
      </c>
      <c r="B4" s="96" t="s">
        <v>142</v>
      </c>
      <c r="C4" s="120">
        <v>34000</v>
      </c>
      <c r="D4" s="100">
        <v>44397</v>
      </c>
      <c r="E4" s="100">
        <v>44926</v>
      </c>
      <c r="F4" s="126">
        <v>294543.5</v>
      </c>
      <c r="G4" s="108">
        <v>312655</v>
      </c>
      <c r="H4" s="108">
        <v>354235</v>
      </c>
      <c r="I4" s="108">
        <v>324380</v>
      </c>
      <c r="J4" s="108">
        <v>304365</v>
      </c>
      <c r="K4" s="108">
        <v>353360</v>
      </c>
      <c r="L4" s="108">
        <v>305645</v>
      </c>
      <c r="M4" s="108">
        <v>283860</v>
      </c>
      <c r="N4" s="97"/>
      <c r="O4" s="97"/>
      <c r="P4" s="97"/>
      <c r="Q4" s="97"/>
      <c r="S4" s="125">
        <v>5989577.7800000003</v>
      </c>
      <c r="T4" s="113">
        <f ca="1">SUM(INDIRECT(LEFT(ADDRESS(1,6,4),1)&amp;ROW(S4)&amp;":"&amp;LEFT(ADDRESS(1,6+MONTH($T$2)-2,4),1)&amp;ROW(S4)))</f>
        <v>607198.5</v>
      </c>
      <c r="U4" s="113">
        <f ca="1">SUMIFS($AA:$AA,$X:$X,$A4,$Z:$Z,"&lt;"&amp;MONTH(T2))-T4</f>
        <v>-149705</v>
      </c>
      <c r="X4" t="s">
        <v>139</v>
      </c>
      <c r="Y4" t="s">
        <v>65</v>
      </c>
      <c r="Z4">
        <v>2</v>
      </c>
      <c r="AA4" s="37">
        <v>10700</v>
      </c>
    </row>
    <row r="5" spans="1:27" x14ac:dyDescent="0.35">
      <c r="A5" s="103">
        <v>601003</v>
      </c>
      <c r="B5" s="96" t="s">
        <v>143</v>
      </c>
      <c r="C5" s="120">
        <v>36000</v>
      </c>
      <c r="D5" s="100">
        <v>44405</v>
      </c>
      <c r="E5" s="100">
        <v>44926</v>
      </c>
      <c r="F5" s="109">
        <f>17350+7350</f>
        <v>24700</v>
      </c>
      <c r="G5" s="108">
        <v>13652</v>
      </c>
      <c r="H5" s="108">
        <v>14551</v>
      </c>
      <c r="I5" s="108">
        <v>17191</v>
      </c>
      <c r="J5" s="97"/>
      <c r="K5" s="97"/>
      <c r="L5" s="97"/>
      <c r="M5" s="97"/>
      <c r="N5" s="97"/>
      <c r="O5" s="97"/>
      <c r="P5" s="97"/>
      <c r="Q5" s="97"/>
      <c r="S5" s="124">
        <v>258000</v>
      </c>
      <c r="U5" s="113">
        <f t="shared" ref="U4:U10" si="0">C5-T5</f>
        <v>36000</v>
      </c>
      <c r="X5" t="s">
        <v>139</v>
      </c>
      <c r="Y5" t="s">
        <v>66</v>
      </c>
      <c r="Z5">
        <v>3</v>
      </c>
      <c r="AA5" s="37">
        <v>23505</v>
      </c>
    </row>
    <row r="6" spans="1:27" x14ac:dyDescent="0.35">
      <c r="A6" s="103">
        <v>601229</v>
      </c>
      <c r="B6" s="96" t="s">
        <v>144</v>
      </c>
      <c r="C6" s="120">
        <v>789000</v>
      </c>
      <c r="D6" s="100">
        <v>44405</v>
      </c>
      <c r="E6" s="100">
        <v>44926</v>
      </c>
      <c r="F6" s="109">
        <v>60762.879999999997</v>
      </c>
      <c r="G6" s="108">
        <v>45420</v>
      </c>
      <c r="H6" s="108">
        <v>40722</v>
      </c>
      <c r="I6" s="108">
        <v>34660</v>
      </c>
      <c r="J6" s="108">
        <v>12920</v>
      </c>
      <c r="K6" s="108">
        <v>14960</v>
      </c>
      <c r="L6" s="108">
        <v>13600</v>
      </c>
      <c r="M6" s="108">
        <v>8840</v>
      </c>
      <c r="N6" s="97"/>
      <c r="O6" s="97"/>
      <c r="P6" s="97"/>
      <c r="Q6" s="97"/>
      <c r="S6" s="124">
        <v>584257.52</v>
      </c>
      <c r="U6" s="113">
        <f t="shared" si="0"/>
        <v>789000</v>
      </c>
      <c r="X6" t="s">
        <v>139</v>
      </c>
      <c r="Y6" t="s">
        <v>67</v>
      </c>
      <c r="Z6">
        <v>4</v>
      </c>
      <c r="AA6" s="37">
        <v>11175</v>
      </c>
    </row>
    <row r="7" spans="1:27" x14ac:dyDescent="0.35">
      <c r="A7" s="103">
        <v>601006</v>
      </c>
      <c r="B7" s="96" t="s">
        <v>145</v>
      </c>
      <c r="C7" s="120">
        <v>671091</v>
      </c>
      <c r="D7" s="100">
        <v>44405</v>
      </c>
      <c r="E7" s="100">
        <v>44926</v>
      </c>
      <c r="F7" s="97"/>
      <c r="G7" s="97"/>
      <c r="H7" s="97"/>
      <c r="I7" s="97"/>
      <c r="J7" s="97"/>
      <c r="K7" s="97"/>
      <c r="L7" s="97"/>
      <c r="M7" s="97"/>
      <c r="N7" s="97"/>
      <c r="O7" s="97"/>
      <c r="P7" s="97"/>
      <c r="Q7" s="97"/>
      <c r="S7" s="124">
        <v>639128.25</v>
      </c>
      <c r="U7" s="113">
        <f t="shared" si="0"/>
        <v>671091</v>
      </c>
      <c r="X7" t="s">
        <v>139</v>
      </c>
      <c r="Y7" t="s">
        <v>72</v>
      </c>
      <c r="Z7">
        <v>5</v>
      </c>
      <c r="AA7" s="37">
        <v>9520</v>
      </c>
    </row>
    <row r="8" spans="1:27" x14ac:dyDescent="0.35">
      <c r="A8" s="103">
        <v>601000</v>
      </c>
      <c r="B8" s="96" t="s">
        <v>148</v>
      </c>
      <c r="C8" s="120">
        <v>269300</v>
      </c>
      <c r="D8" s="100">
        <v>44405</v>
      </c>
      <c r="E8" s="100">
        <v>44926</v>
      </c>
      <c r="F8" s="109">
        <v>5775</v>
      </c>
      <c r="G8" s="108">
        <v>14540</v>
      </c>
      <c r="H8" s="108">
        <v>23690</v>
      </c>
      <c r="I8" s="108">
        <v>3150</v>
      </c>
      <c r="J8" s="97"/>
      <c r="K8" s="97"/>
      <c r="L8" s="97"/>
      <c r="M8" s="97"/>
      <c r="N8" s="97"/>
      <c r="O8" s="97"/>
      <c r="P8" s="97"/>
      <c r="Q8" s="97"/>
      <c r="S8" s="124">
        <v>251824.55</v>
      </c>
      <c r="U8" s="113">
        <f t="shared" si="0"/>
        <v>269300</v>
      </c>
      <c r="X8" t="s">
        <v>136</v>
      </c>
      <c r="Y8" t="s">
        <v>64</v>
      </c>
      <c r="Z8">
        <v>1</v>
      </c>
      <c r="AA8" s="37">
        <v>234638.5</v>
      </c>
    </row>
    <row r="9" spans="1:27" x14ac:dyDescent="0.35">
      <c r="A9" s="99">
        <v>600716</v>
      </c>
      <c r="B9" s="96" t="s">
        <v>146</v>
      </c>
      <c r="C9" s="120">
        <v>215240</v>
      </c>
      <c r="D9" s="100">
        <v>44529</v>
      </c>
      <c r="E9" s="100">
        <v>44561</v>
      </c>
      <c r="F9" s="97"/>
      <c r="G9" s="97"/>
      <c r="H9" s="97"/>
      <c r="I9" s="97"/>
      <c r="J9" s="97"/>
      <c r="K9" s="97"/>
      <c r="L9" s="97"/>
      <c r="M9" s="97"/>
      <c r="N9" s="97"/>
      <c r="O9" s="97"/>
      <c r="P9" s="97"/>
      <c r="Q9" s="97"/>
      <c r="U9" s="113">
        <f t="shared" si="0"/>
        <v>215240</v>
      </c>
      <c r="X9" t="s">
        <v>136</v>
      </c>
      <c r="Y9" t="s">
        <v>65</v>
      </c>
      <c r="Z9">
        <v>2</v>
      </c>
      <c r="AA9" s="37">
        <v>222855</v>
      </c>
    </row>
    <row r="10" spans="1:27" x14ac:dyDescent="0.35">
      <c r="A10" s="99">
        <v>601004</v>
      </c>
      <c r="B10" s="96" t="s">
        <v>147</v>
      </c>
      <c r="C10" s="120">
        <v>400000</v>
      </c>
      <c r="D10" s="100">
        <v>44552</v>
      </c>
      <c r="E10" s="100">
        <v>44926</v>
      </c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U10" s="113">
        <f t="shared" si="0"/>
        <v>400000</v>
      </c>
      <c r="X10" t="s">
        <v>136</v>
      </c>
      <c r="Y10" t="s">
        <v>66</v>
      </c>
      <c r="Z10">
        <v>3</v>
      </c>
      <c r="AA10" s="37">
        <v>258060</v>
      </c>
    </row>
    <row r="11" spans="1:27" x14ac:dyDescent="0.35">
      <c r="X11" t="s">
        <v>136</v>
      </c>
      <c r="Y11" t="s">
        <v>67</v>
      </c>
      <c r="Z11">
        <v>4</v>
      </c>
      <c r="AA11" s="37">
        <v>211775</v>
      </c>
    </row>
    <row r="12" spans="1:27" x14ac:dyDescent="0.35">
      <c r="B12" s="104"/>
      <c r="C12" s="104"/>
      <c r="D12" s="104"/>
      <c r="E12" s="105" t="s">
        <v>92</v>
      </c>
      <c r="F12" s="97">
        <f t="shared" ref="F12:Q12" si="1">SUM(F4:F10)</f>
        <v>385781.38</v>
      </c>
      <c r="G12" s="97">
        <f t="shared" si="1"/>
        <v>386267</v>
      </c>
      <c r="H12" s="97">
        <f t="shared" si="1"/>
        <v>433198</v>
      </c>
      <c r="I12" s="97">
        <f t="shared" si="1"/>
        <v>379381</v>
      </c>
      <c r="J12" s="97">
        <f t="shared" si="1"/>
        <v>317285</v>
      </c>
      <c r="K12" s="97">
        <f t="shared" si="1"/>
        <v>368320</v>
      </c>
      <c r="L12" s="97">
        <f t="shared" si="1"/>
        <v>319245</v>
      </c>
      <c r="M12" s="97">
        <f t="shared" si="1"/>
        <v>292700</v>
      </c>
      <c r="N12" s="97">
        <f t="shared" si="1"/>
        <v>0</v>
      </c>
      <c r="O12" s="97">
        <f t="shared" si="1"/>
        <v>0</v>
      </c>
      <c r="P12" s="97">
        <f t="shared" si="1"/>
        <v>0</v>
      </c>
      <c r="Q12" s="97">
        <f t="shared" si="1"/>
        <v>0</v>
      </c>
      <c r="R12" s="114">
        <f>SUM(R4:R11)</f>
        <v>0</v>
      </c>
      <c r="S12" s="114"/>
      <c r="T12" s="114">
        <f ca="1">SUM(T4:T11)</f>
        <v>607198.5</v>
      </c>
      <c r="U12" s="114"/>
      <c r="X12" t="s">
        <v>136</v>
      </c>
      <c r="Y12" t="s">
        <v>72</v>
      </c>
      <c r="Z12">
        <v>5</v>
      </c>
      <c r="AA12" s="37">
        <v>203585</v>
      </c>
    </row>
    <row r="13" spans="1:27" x14ac:dyDescent="0.35">
      <c r="X13" t="s">
        <v>136</v>
      </c>
      <c r="Y13" t="s">
        <v>73</v>
      </c>
      <c r="Z13">
        <v>6</v>
      </c>
      <c r="AA13" s="37">
        <v>235730</v>
      </c>
    </row>
    <row r="14" spans="1:27" x14ac:dyDescent="0.35">
      <c r="X14" t="s">
        <v>136</v>
      </c>
      <c r="Y14" t="s">
        <v>74</v>
      </c>
      <c r="Z14">
        <v>7</v>
      </c>
      <c r="AA14" s="37">
        <v>214300</v>
      </c>
    </row>
    <row r="15" spans="1:27" x14ac:dyDescent="0.35">
      <c r="X15" t="s">
        <v>136</v>
      </c>
      <c r="Y15" t="s">
        <v>75</v>
      </c>
      <c r="Z15">
        <v>8</v>
      </c>
      <c r="AA15" s="37">
        <v>232640</v>
      </c>
    </row>
    <row r="16" spans="1:27" x14ac:dyDescent="0.35">
      <c r="X16" t="s">
        <v>140</v>
      </c>
      <c r="Y16" t="s">
        <v>64</v>
      </c>
      <c r="Z16">
        <v>1</v>
      </c>
      <c r="AA16" s="37">
        <v>9088.42</v>
      </c>
    </row>
    <row r="17" spans="24:27" x14ac:dyDescent="0.35">
      <c r="X17" t="s">
        <v>140</v>
      </c>
      <c r="Y17" t="s">
        <v>65</v>
      </c>
      <c r="Z17">
        <v>2</v>
      </c>
      <c r="AA17" s="37">
        <v>8262.2000000000007</v>
      </c>
    </row>
    <row r="18" spans="24:27" x14ac:dyDescent="0.35">
      <c r="X18" t="s">
        <v>140</v>
      </c>
      <c r="Y18" t="s">
        <v>66</v>
      </c>
      <c r="Z18">
        <v>3</v>
      </c>
      <c r="AA18" s="37">
        <v>9501.5300000000007</v>
      </c>
    </row>
    <row r="19" spans="24:27" x14ac:dyDescent="0.35">
      <c r="X19" t="s">
        <v>140</v>
      </c>
      <c r="Y19" t="s">
        <v>67</v>
      </c>
      <c r="Z19">
        <v>4</v>
      </c>
      <c r="AA19" s="37">
        <v>7849.09</v>
      </c>
    </row>
    <row r="20" spans="24:27" x14ac:dyDescent="0.35">
      <c r="X20" t="s">
        <v>137</v>
      </c>
      <c r="Y20" t="s">
        <v>64</v>
      </c>
      <c r="Z20">
        <v>1</v>
      </c>
      <c r="AA20" s="37">
        <v>17780</v>
      </c>
    </row>
    <row r="21" spans="24:27" x14ac:dyDescent="0.35">
      <c r="X21" t="s">
        <v>137</v>
      </c>
      <c r="Y21" t="s">
        <v>65</v>
      </c>
      <c r="Z21">
        <v>2</v>
      </c>
      <c r="AA21" s="37">
        <v>13600</v>
      </c>
    </row>
    <row r="22" spans="24:27" x14ac:dyDescent="0.35">
      <c r="X22" t="s">
        <v>137</v>
      </c>
      <c r="Y22" t="s">
        <v>66</v>
      </c>
      <c r="Z22">
        <v>3</v>
      </c>
      <c r="AA22" s="37">
        <v>15640</v>
      </c>
    </row>
    <row r="23" spans="24:27" x14ac:dyDescent="0.35">
      <c r="X23" t="s">
        <v>137</v>
      </c>
      <c r="Y23" t="s">
        <v>67</v>
      </c>
      <c r="Z23">
        <v>4</v>
      </c>
      <c r="AA23" s="37">
        <v>13940</v>
      </c>
    </row>
    <row r="24" spans="24:27" x14ac:dyDescent="0.35">
      <c r="X24" t="s">
        <v>137</v>
      </c>
      <c r="Y24" t="s">
        <v>72</v>
      </c>
      <c r="Z24">
        <v>5</v>
      </c>
      <c r="AA24" s="37">
        <v>12920</v>
      </c>
    </row>
    <row r="25" spans="24:27" x14ac:dyDescent="0.35">
      <c r="X25" t="s">
        <v>137</v>
      </c>
      <c r="Y25" t="s">
        <v>73</v>
      </c>
      <c r="Z25">
        <v>6</v>
      </c>
      <c r="AA25" s="37">
        <v>14960</v>
      </c>
    </row>
    <row r="26" spans="24:27" x14ac:dyDescent="0.35">
      <c r="X26" t="s">
        <v>137</v>
      </c>
      <c r="Y26" t="s">
        <v>74</v>
      </c>
      <c r="Z26">
        <v>7</v>
      </c>
      <c r="AA26" s="37">
        <v>13600</v>
      </c>
    </row>
    <row r="27" spans="24:27" x14ac:dyDescent="0.35">
      <c r="X27" t="s">
        <v>137</v>
      </c>
      <c r="Y27" t="s">
        <v>75</v>
      </c>
      <c r="Z27">
        <v>8</v>
      </c>
      <c r="AA27" s="37">
        <v>8840</v>
      </c>
    </row>
    <row r="28" spans="24:27" x14ac:dyDescent="0.35">
      <c r="X28" t="s">
        <v>138</v>
      </c>
      <c r="Y28" t="s">
        <v>65</v>
      </c>
      <c r="Z28">
        <v>2</v>
      </c>
      <c r="AA28" s="37">
        <v>986</v>
      </c>
    </row>
    <row r="29" spans="24:27" x14ac:dyDescent="0.35">
      <c r="X29" t="s">
        <v>138</v>
      </c>
      <c r="Y29" t="s">
        <v>66</v>
      </c>
      <c r="Z29">
        <v>3</v>
      </c>
      <c r="AA29" s="37">
        <v>11339</v>
      </c>
    </row>
    <row r="30" spans="24:27" x14ac:dyDescent="0.35">
      <c r="X30" t="s">
        <v>138</v>
      </c>
      <c r="Y30" t="s">
        <v>67</v>
      </c>
      <c r="Z30">
        <v>4</v>
      </c>
      <c r="AA30" s="37">
        <v>15283</v>
      </c>
    </row>
    <row r="31" spans="24:27" x14ac:dyDescent="0.35">
      <c r="X31" t="s">
        <v>138</v>
      </c>
      <c r="Y31" t="s">
        <v>72</v>
      </c>
      <c r="Z31">
        <v>5</v>
      </c>
      <c r="AA31" s="37">
        <v>11092.5</v>
      </c>
    </row>
    <row r="32" spans="24:27" x14ac:dyDescent="0.35">
      <c r="X32" t="s">
        <v>138</v>
      </c>
      <c r="Y32" t="s">
        <v>73</v>
      </c>
      <c r="Z32">
        <v>6</v>
      </c>
      <c r="AA32" s="37">
        <v>10846</v>
      </c>
    </row>
    <row r="33" spans="24:27" x14ac:dyDescent="0.35">
      <c r="X33" t="s">
        <v>138</v>
      </c>
      <c r="Y33" t="s">
        <v>74</v>
      </c>
      <c r="Z33">
        <v>7</v>
      </c>
      <c r="AA33" s="37">
        <v>9860</v>
      </c>
    </row>
    <row r="34" spans="24:27" x14ac:dyDescent="0.35">
      <c r="X34" t="s">
        <v>138</v>
      </c>
      <c r="Y34" t="s">
        <v>75</v>
      </c>
      <c r="Z34">
        <v>8</v>
      </c>
      <c r="AA34" s="37">
        <v>8381</v>
      </c>
    </row>
    <row r="35" spans="24:27" x14ac:dyDescent="0.35">
      <c r="X35" t="s">
        <v>138</v>
      </c>
      <c r="Y35" t="s">
        <v>108</v>
      </c>
      <c r="Z35">
        <v>9</v>
      </c>
      <c r="AA35" s="37">
        <v>31376.399999999998</v>
      </c>
    </row>
    <row r="36" spans="24:27" x14ac:dyDescent="0.35">
      <c r="X36" t="s">
        <v>151</v>
      </c>
      <c r="Y36"/>
      <c r="Z36"/>
      <c r="AA36" s="37">
        <v>2122188.64</v>
      </c>
    </row>
    <row r="37" spans="24:27" x14ac:dyDescent="0.35">
      <c r="X37"/>
      <c r="Y37"/>
      <c r="Z37"/>
      <c r="AA37"/>
    </row>
    <row r="38" spans="24:27" x14ac:dyDescent="0.35">
      <c r="X38"/>
      <c r="Y38"/>
      <c r="Z38"/>
      <c r="AA38"/>
    </row>
    <row r="39" spans="24:27" x14ac:dyDescent="0.35">
      <c r="X39"/>
      <c r="Y39"/>
      <c r="Z39"/>
      <c r="AA39"/>
    </row>
    <row r="40" spans="24:27" x14ac:dyDescent="0.35">
      <c r="X40"/>
      <c r="Y40"/>
      <c r="Z40"/>
      <c r="AA40"/>
    </row>
    <row r="41" spans="24:27" x14ac:dyDescent="0.35">
      <c r="X41"/>
      <c r="Y41"/>
      <c r="Z41"/>
      <c r="AA41"/>
    </row>
    <row r="42" spans="24:27" x14ac:dyDescent="0.35">
      <c r="X42"/>
      <c r="Y42"/>
      <c r="Z42"/>
      <c r="AA42"/>
    </row>
    <row r="43" spans="24:27" x14ac:dyDescent="0.35">
      <c r="X43"/>
      <c r="Y43"/>
      <c r="Z43"/>
      <c r="AA43"/>
    </row>
    <row r="44" spans="24:27" x14ac:dyDescent="0.35">
      <c r="X44"/>
      <c r="Y44"/>
      <c r="Z44"/>
      <c r="AA44"/>
    </row>
    <row r="45" spans="24:27" x14ac:dyDescent="0.35">
      <c r="X45"/>
      <c r="Y45"/>
      <c r="Z45"/>
      <c r="AA45"/>
    </row>
    <row r="46" spans="24:27" x14ac:dyDescent="0.35">
      <c r="X46"/>
      <c r="Y46"/>
      <c r="Z46"/>
      <c r="AA46"/>
    </row>
    <row r="47" spans="24:27" x14ac:dyDescent="0.35">
      <c r="X47"/>
      <c r="Y47"/>
      <c r="Z47"/>
      <c r="AA47"/>
    </row>
    <row r="48" spans="24:27" x14ac:dyDescent="0.35">
      <c r="X48"/>
      <c r="Y48"/>
      <c r="Z48"/>
      <c r="AA48"/>
    </row>
    <row r="49" spans="24:27" x14ac:dyDescent="0.35">
      <c r="X49"/>
      <c r="Y49"/>
      <c r="Z49"/>
      <c r="AA49"/>
    </row>
    <row r="50" spans="24:27" x14ac:dyDescent="0.35">
      <c r="X50"/>
      <c r="Y50"/>
      <c r="Z50"/>
      <c r="AA50"/>
    </row>
    <row r="51" spans="24:27" x14ac:dyDescent="0.35">
      <c r="X51"/>
      <c r="Y51"/>
      <c r="Z51"/>
      <c r="AA51"/>
    </row>
    <row r="52" spans="24:27" x14ac:dyDescent="0.35">
      <c r="X52"/>
      <c r="Y52"/>
      <c r="Z52"/>
      <c r="AA52"/>
    </row>
    <row r="53" spans="24:27" x14ac:dyDescent="0.35">
      <c r="X53"/>
      <c r="Y53"/>
      <c r="Z53"/>
      <c r="AA53"/>
    </row>
    <row r="54" spans="24:27" x14ac:dyDescent="0.35">
      <c r="X54"/>
      <c r="Y54"/>
      <c r="Z54"/>
      <c r="AA54"/>
    </row>
    <row r="55" spans="24:27" x14ac:dyDescent="0.35">
      <c r="X55"/>
      <c r="Y55"/>
      <c r="Z55"/>
      <c r="AA55"/>
    </row>
    <row r="56" spans="24:27" x14ac:dyDescent="0.35">
      <c r="X56"/>
      <c r="Y56"/>
      <c r="Z56"/>
      <c r="AA56"/>
    </row>
    <row r="57" spans="24:27" x14ac:dyDescent="0.35">
      <c r="X57"/>
      <c r="Y57"/>
      <c r="Z57"/>
      <c r="AA57"/>
    </row>
    <row r="58" spans="24:27" x14ac:dyDescent="0.35">
      <c r="X58"/>
      <c r="Y58"/>
      <c r="Z58"/>
      <c r="AA58"/>
    </row>
    <row r="59" spans="24:27" x14ac:dyDescent="0.35">
      <c r="X59"/>
      <c r="Y59"/>
      <c r="Z59"/>
      <c r="AA59"/>
    </row>
    <row r="60" spans="24:27" x14ac:dyDescent="0.35">
      <c r="X60"/>
      <c r="Y60"/>
      <c r="Z60"/>
      <c r="AA60"/>
    </row>
    <row r="61" spans="24:27" x14ac:dyDescent="0.35">
      <c r="X61"/>
      <c r="Y61"/>
      <c r="Z61"/>
      <c r="AA61"/>
    </row>
    <row r="62" spans="24:27" x14ac:dyDescent="0.35">
      <c r="X62"/>
      <c r="Y62"/>
      <c r="Z62"/>
      <c r="AA62"/>
    </row>
    <row r="63" spans="24:27" x14ac:dyDescent="0.35">
      <c r="X63"/>
      <c r="Y63"/>
      <c r="Z63"/>
      <c r="AA63"/>
    </row>
    <row r="64" spans="24:27" x14ac:dyDescent="0.35">
      <c r="X64"/>
      <c r="Y64"/>
      <c r="Z64"/>
      <c r="AA64"/>
    </row>
    <row r="65" spans="24:27" x14ac:dyDescent="0.35">
      <c r="X65"/>
      <c r="Y65"/>
      <c r="Z65"/>
      <c r="AA65"/>
    </row>
    <row r="66" spans="24:27" x14ac:dyDescent="0.35">
      <c r="X66"/>
      <c r="Y66"/>
      <c r="Z66"/>
      <c r="AA66"/>
    </row>
    <row r="67" spans="24:27" x14ac:dyDescent="0.35">
      <c r="X67"/>
      <c r="Y67"/>
      <c r="Z67"/>
      <c r="AA67"/>
    </row>
    <row r="68" spans="24:27" x14ac:dyDescent="0.35">
      <c r="X68"/>
      <c r="Y68"/>
      <c r="Z68"/>
      <c r="AA68"/>
    </row>
    <row r="69" spans="24:27" x14ac:dyDescent="0.35">
      <c r="X69"/>
      <c r="Y69"/>
      <c r="Z69"/>
      <c r="AA69"/>
    </row>
  </sheetData>
  <autoFilter ref="A3:U12" xr:uid="{00000000-0009-0000-0000-000003000000}">
    <sortState xmlns:xlrd2="http://schemas.microsoft.com/office/spreadsheetml/2017/richdata2" ref="A3:AV223">
      <sortCondition ref="A2:A223"/>
    </sortState>
  </autoFilter>
  <conditionalFormatting sqref="T4:U10">
    <cfRule type="cellIs" dxfId="4" priority="6" operator="lessThan">
      <formula>0</formula>
    </cfRule>
  </conditionalFormatting>
  <pageMargins left="0.7" right="0.7" top="0.75" bottom="0.75" header="0.3" footer="0.3"/>
  <pageSetup paperSize="9" scale="79" orientation="landscape" r:id="rId2"/>
  <headerFooter>
    <oddFooter>&amp;L&amp;"Times New Roman,Regular"&amp;12&amp;KFF0000Sensible&amp;K0000FF-&amp;KFF0000Sensitive</oddFooter>
    <evenFooter>&amp;L&amp;"Times New Roman,Regular"&amp;12&amp;KFF0000Sensible&amp;K0000FF-&amp;KFF0000Sensitive</evenFooter>
    <firstFooter>&amp;L&amp;"Times New Roman,Regular"&amp;12&amp;KFF0000Sensible&amp;K0000FF-&amp;KFF0000Sensitive</firstFooter>
  </headerFooter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300-000000000000}">
          <x14:formula1>
            <xm:f>Paramètres!$F$3:$F$13</xm:f>
          </x14:formula1>
          <xm:sqref>T2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2:F15"/>
  <sheetViews>
    <sheetView showGridLines="0" workbookViewId="0">
      <selection activeCell="F3" sqref="F3"/>
    </sheetView>
  </sheetViews>
  <sheetFormatPr baseColWidth="10" defaultRowHeight="14.5" x14ac:dyDescent="0.35"/>
  <cols>
    <col min="1" max="1" width="3.7265625" customWidth="1"/>
    <col min="2" max="2" width="16.7265625" bestFit="1" customWidth="1"/>
    <col min="4" max="4" width="3.7265625" customWidth="1"/>
    <col min="6" max="6" width="25.54296875" bestFit="1" customWidth="1"/>
  </cols>
  <sheetData>
    <row r="2" spans="2:6" x14ac:dyDescent="0.35">
      <c r="B2" t="s">
        <v>22</v>
      </c>
      <c r="C2" s="3" t="s">
        <v>63</v>
      </c>
      <c r="F2" t="s">
        <v>113</v>
      </c>
    </row>
    <row r="3" spans="2:6" x14ac:dyDescent="0.35">
      <c r="B3" t="s">
        <v>23</v>
      </c>
      <c r="C3" s="35">
        <f>DATE($C$2,1,1)</f>
        <v>44927</v>
      </c>
      <c r="E3" s="34"/>
      <c r="F3" s="127">
        <v>44958</v>
      </c>
    </row>
    <row r="4" spans="2:6" x14ac:dyDescent="0.35">
      <c r="B4" t="s">
        <v>61</v>
      </c>
      <c r="C4" s="35">
        <f>FLOOR(DAY(MINUTE($C$2/38)/2+56)&amp;"/5/"&amp;$C$2,7)-34</f>
        <v>45025</v>
      </c>
      <c r="F4" s="127">
        <v>44986</v>
      </c>
    </row>
    <row r="5" spans="2:6" x14ac:dyDescent="0.35">
      <c r="B5" t="s">
        <v>24</v>
      </c>
      <c r="C5" s="35">
        <f>C4+1</f>
        <v>45026</v>
      </c>
      <c r="F5" s="127">
        <v>45017</v>
      </c>
    </row>
    <row r="6" spans="2:6" x14ac:dyDescent="0.35">
      <c r="B6" t="s">
        <v>25</v>
      </c>
      <c r="C6" s="35">
        <f>DATE($C$2,5,1)</f>
        <v>45047</v>
      </c>
      <c r="F6" s="127">
        <v>45047</v>
      </c>
    </row>
    <row r="7" spans="2:6" x14ac:dyDescent="0.35">
      <c r="B7" t="s">
        <v>26</v>
      </c>
      <c r="C7" s="35">
        <f>DATE($C$2,5,8)</f>
        <v>45054</v>
      </c>
      <c r="F7" s="127">
        <v>45078</v>
      </c>
    </row>
    <row r="8" spans="2:6" x14ac:dyDescent="0.35">
      <c r="B8" t="s">
        <v>27</v>
      </c>
      <c r="C8" s="35">
        <f>C4+39</f>
        <v>45064</v>
      </c>
      <c r="F8" s="127">
        <v>45108</v>
      </c>
    </row>
    <row r="9" spans="2:6" x14ac:dyDescent="0.35">
      <c r="B9" t="s">
        <v>62</v>
      </c>
      <c r="C9" s="35">
        <f>C4+49</f>
        <v>45074</v>
      </c>
      <c r="F9" s="127">
        <v>45139</v>
      </c>
    </row>
    <row r="10" spans="2:6" x14ac:dyDescent="0.35">
      <c r="B10" t="s">
        <v>28</v>
      </c>
      <c r="C10" s="35">
        <f>C4+50</f>
        <v>45075</v>
      </c>
      <c r="F10" s="127">
        <v>45170</v>
      </c>
    </row>
    <row r="11" spans="2:6" x14ac:dyDescent="0.35">
      <c r="B11" t="s">
        <v>29</v>
      </c>
      <c r="C11" s="35">
        <f>DATE($C$2,7,14)</f>
        <v>45121</v>
      </c>
      <c r="F11" s="127">
        <v>45200</v>
      </c>
    </row>
    <row r="12" spans="2:6" x14ac:dyDescent="0.35">
      <c r="B12" t="s">
        <v>30</v>
      </c>
      <c r="C12" s="35">
        <f>DATE($C$2,8,15)</f>
        <v>45153</v>
      </c>
      <c r="F12" s="127">
        <v>45231</v>
      </c>
    </row>
    <row r="13" spans="2:6" x14ac:dyDescent="0.35">
      <c r="B13" t="s">
        <v>31</v>
      </c>
      <c r="C13" s="35">
        <f>DATE($C$2,11,1)</f>
        <v>45231</v>
      </c>
      <c r="F13" s="127">
        <v>45261</v>
      </c>
    </row>
    <row r="14" spans="2:6" x14ac:dyDescent="0.35">
      <c r="B14" t="s">
        <v>32</v>
      </c>
      <c r="C14" s="35">
        <f>DATE($C$2,11,11)</f>
        <v>45241</v>
      </c>
    </row>
    <row r="15" spans="2:6" x14ac:dyDescent="0.35">
      <c r="B15" t="s">
        <v>33</v>
      </c>
      <c r="C15" s="35">
        <f>DATE($C$2,12,25)</f>
        <v>45285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1:A13"/>
  <sheetViews>
    <sheetView workbookViewId="0">
      <selection activeCell="A2" sqref="A2:A13"/>
    </sheetView>
  </sheetViews>
  <sheetFormatPr baseColWidth="10" defaultRowHeight="14.5" x14ac:dyDescent="0.35"/>
  <cols>
    <col min="1" max="1" width="46.26953125" bestFit="1" customWidth="1"/>
  </cols>
  <sheetData>
    <row r="1" spans="1:1" x14ac:dyDescent="0.35">
      <c r="A1" t="s">
        <v>20</v>
      </c>
    </row>
    <row r="2" spans="1:1" x14ac:dyDescent="0.35">
      <c r="A2" t="s">
        <v>3</v>
      </c>
    </row>
    <row r="3" spans="1:1" x14ac:dyDescent="0.35">
      <c r="A3" t="s">
        <v>4</v>
      </c>
    </row>
    <row r="4" spans="1:1" x14ac:dyDescent="0.35">
      <c r="A4" t="s">
        <v>5</v>
      </c>
    </row>
    <row r="5" spans="1:1" x14ac:dyDescent="0.35">
      <c r="A5" t="s">
        <v>6</v>
      </c>
    </row>
    <row r="6" spans="1:1" x14ac:dyDescent="0.35">
      <c r="A6" t="s">
        <v>7</v>
      </c>
    </row>
    <row r="7" spans="1:1" x14ac:dyDescent="0.35">
      <c r="A7" t="s">
        <v>8</v>
      </c>
    </row>
    <row r="8" spans="1:1" x14ac:dyDescent="0.35">
      <c r="A8" t="s">
        <v>9</v>
      </c>
    </row>
    <row r="9" spans="1:1" x14ac:dyDescent="0.35">
      <c r="A9" t="s">
        <v>10</v>
      </c>
    </row>
    <row r="10" spans="1:1" x14ac:dyDescent="0.35">
      <c r="A10" t="s">
        <v>11</v>
      </c>
    </row>
    <row r="11" spans="1:1" x14ac:dyDescent="0.35">
      <c r="A11" t="s">
        <v>12</v>
      </c>
    </row>
    <row r="12" spans="1:1" x14ac:dyDescent="0.35">
      <c r="A12" t="s">
        <v>13</v>
      </c>
    </row>
    <row r="13" spans="1:1" x14ac:dyDescent="0.35">
      <c r="A13" t="s">
        <v>14</v>
      </c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DA1C03E-1211-487E-9583-D303DF6143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Informations</vt:lpstr>
      <vt:lpstr>BDD_PRESTA_ESTIME 2023</vt:lpstr>
      <vt:lpstr>PLANNING_PRESTA</vt:lpstr>
      <vt:lpstr>Etat des commandes passé par IO</vt:lpstr>
      <vt:lpstr>Paramètres</vt:lpstr>
      <vt:lpstr>Liste déroulante</vt:lpstr>
      <vt:lpstr>_Feries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DUVERNOIS Arnaud</cp:lastModifiedBy>
  <dcterms:created xsi:type="dcterms:W3CDTF">2021-12-23T11:25:24Z</dcterms:created>
  <dcterms:modified xsi:type="dcterms:W3CDTF">2023-02-20T10:02:07Z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2021-12-23T11:26:12Z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8725851a-c5fb-48f6-b686-664cba237718</vt:lpwstr>
  </property>
  <property fmtid="{D5CDD505-2E9C-101B-9397-08002B2CF9AE}" pid="8" name="MSIP_Label_afd1e3ad-c799-4853-a6fa-a1843e00f4cc_ContentBits">
    <vt:lpwstr>1</vt:lpwstr>
  </property>
  <property fmtid="{D5CDD505-2E9C-101B-9397-08002B2CF9AE}" pid="9" name="MerckAIPLabel">
    <vt:lpwstr>Proprietary</vt:lpwstr>
  </property>
  <property fmtid="{D5CDD505-2E9C-101B-9397-08002B2CF9AE}" pid="10" name="MerckAIPDataExchange">
    <vt:lpwstr>!MRKMIP@Proprietary</vt:lpwstr>
  </property>
</Properties>
</file>