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6722"/>
  <workbookPr autoCompressPictures="0"/>
  <bookViews>
    <workbookView xWindow="0" yWindow="0" windowWidth="25600" windowHeight="16060" activeTab="1"/>
  </bookViews>
  <sheets>
    <sheet name="Fiche RECAP" sheetId="8" r:id="rId1"/>
    <sheet name="Fiche Horaire" sheetId="17" r:id="rId2"/>
    <sheet name="XTIME" sheetId="9" r:id="rId3"/>
    <sheet name="Feuil2" sheetId="13" r:id="rId4"/>
  </sheets>
  <calcPr calcId="14000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BD3" i="17" l="1"/>
  <c r="AM2" i="17"/>
  <c r="BC7" i="17"/>
  <c r="AV3" i="17"/>
  <c r="AV4" i="17"/>
  <c r="AV5" i="17"/>
  <c r="AV6" i="17"/>
  <c r="AV7" i="17"/>
  <c r="AV8" i="17"/>
  <c r="AV9" i="17"/>
  <c r="AV10" i="17"/>
  <c r="AV11" i="17"/>
  <c r="AV12" i="17"/>
  <c r="AV13" i="17"/>
  <c r="AV14" i="17"/>
  <c r="AV15" i="17"/>
  <c r="AV16" i="17"/>
  <c r="AV17" i="17"/>
  <c r="AV18" i="17"/>
  <c r="AV19" i="17"/>
  <c r="AV20" i="17"/>
  <c r="AV21" i="17"/>
  <c r="AV22" i="17"/>
  <c r="AN2" i="17"/>
  <c r="AO2" i="17"/>
  <c r="BC2" i="17"/>
  <c r="AI2" i="17"/>
  <c r="BC10" i="17"/>
  <c r="BC9" i="17"/>
  <c r="BC8" i="17"/>
  <c r="BC3" i="17"/>
  <c r="BC4" i="17"/>
  <c r="BC5" i="17"/>
  <c r="BC6" i="17"/>
  <c r="BB7" i="17"/>
  <c r="AV2" i="17"/>
  <c r="BB10" i="17"/>
  <c r="BB9" i="17"/>
  <c r="BB8" i="17"/>
  <c r="BB6" i="17"/>
  <c r="BB5" i="17"/>
  <c r="BB4" i="17"/>
  <c r="BB3" i="17"/>
  <c r="BB2" i="17"/>
  <c r="AY2" i="17"/>
  <c r="AY3" i="17"/>
  <c r="AY4" i="17"/>
  <c r="AY5" i="17"/>
  <c r="AY6" i="17"/>
  <c r="AY7" i="17"/>
  <c r="AY8" i="17"/>
  <c r="AY9" i="17"/>
  <c r="AY10" i="17"/>
  <c r="AY11" i="17"/>
  <c r="AY12" i="17"/>
  <c r="AY13" i="17"/>
  <c r="AY14" i="17"/>
  <c r="AY15" i="17"/>
  <c r="AY16" i="17"/>
  <c r="AY17" i="17"/>
  <c r="AY18" i="17"/>
  <c r="AY19" i="17"/>
  <c r="AY20" i="17"/>
  <c r="AY21" i="17"/>
  <c r="AY22" i="17"/>
  <c r="AX3" i="17"/>
  <c r="AX4" i="17"/>
  <c r="AX5" i="17"/>
  <c r="AX6" i="17"/>
  <c r="AX7" i="17"/>
  <c r="AX8" i="17"/>
  <c r="AX9" i="17"/>
  <c r="AX10" i="17"/>
  <c r="AX11" i="17"/>
  <c r="AX12" i="17"/>
  <c r="AX13" i="17"/>
  <c r="AX14" i="17"/>
  <c r="AX15" i="17"/>
  <c r="AX16" i="17"/>
  <c r="AX17" i="17"/>
  <c r="AX18" i="17"/>
  <c r="AX19" i="17"/>
  <c r="AX20" i="17"/>
  <c r="AX21" i="17"/>
  <c r="AX22" i="17"/>
  <c r="AX2" i="17"/>
  <c r="AP2" i="17"/>
  <c r="A2" i="17"/>
  <c r="A3" i="17"/>
  <c r="A4" i="17"/>
  <c r="A5" i="17"/>
  <c r="A6" i="17"/>
  <c r="A7" i="17"/>
  <c r="A8" i="17"/>
  <c r="A9" i="17"/>
  <c r="A10" i="17"/>
  <c r="A11" i="17"/>
  <c r="A12" i="17"/>
  <c r="A13" i="17"/>
  <c r="A14" i="17"/>
  <c r="A15" i="17"/>
  <c r="A16" i="17"/>
  <c r="A17" i="17"/>
  <c r="A18" i="17"/>
  <c r="A19" i="17"/>
  <c r="A20" i="17"/>
  <c r="A21" i="17"/>
  <c r="A22" i="17"/>
  <c r="G11" i="8"/>
  <c r="J46" i="8"/>
  <c r="J45" i="8"/>
  <c r="J44" i="8"/>
  <c r="J43" i="8"/>
  <c r="J42" i="8"/>
  <c r="J41" i="8"/>
  <c r="J39" i="8"/>
  <c r="J38" i="8"/>
  <c r="J37" i="8"/>
  <c r="J36" i="8"/>
  <c r="J35" i="8"/>
  <c r="J34" i="8"/>
  <c r="J32" i="8"/>
  <c r="J31" i="8"/>
  <c r="J30" i="8"/>
  <c r="J29" i="8"/>
  <c r="J28" i="8"/>
  <c r="J27" i="8"/>
  <c r="J25" i="8"/>
  <c r="J24" i="8"/>
  <c r="J23" i="8"/>
  <c r="J22" i="8"/>
  <c r="J21" i="8"/>
  <c r="J20" i="8"/>
  <c r="J18" i="8"/>
  <c r="J17" i="8"/>
  <c r="J16" i="8"/>
  <c r="J15" i="8"/>
  <c r="J14" i="8"/>
  <c r="J13" i="8"/>
  <c r="J6" i="8"/>
  <c r="J7" i="8"/>
  <c r="J8" i="8"/>
  <c r="J9" i="8"/>
  <c r="J10" i="8"/>
  <c r="J11" i="8"/>
  <c r="H6" i="8"/>
  <c r="H7" i="8"/>
  <c r="H8" i="8"/>
  <c r="H9" i="8"/>
  <c r="H10" i="8"/>
  <c r="H11" i="8"/>
  <c r="H12" i="8"/>
  <c r="H13" i="8"/>
  <c r="H14" i="8"/>
  <c r="H15" i="8"/>
  <c r="H16" i="8"/>
  <c r="H17" i="8"/>
  <c r="H18" i="8"/>
  <c r="H19" i="8"/>
  <c r="H20" i="8"/>
  <c r="H21" i="8"/>
  <c r="H22" i="8"/>
  <c r="H23" i="8"/>
  <c r="H24" i="8"/>
  <c r="H25" i="8"/>
  <c r="H26" i="8"/>
  <c r="H27" i="8"/>
  <c r="H28" i="8"/>
  <c r="H29" i="8"/>
  <c r="H30" i="8"/>
  <c r="H31" i="8"/>
  <c r="H32" i="8"/>
  <c r="H33" i="8"/>
  <c r="H34" i="8"/>
  <c r="H35" i="8"/>
  <c r="H36" i="8"/>
  <c r="H37" i="8"/>
  <c r="H38" i="8"/>
  <c r="H39" i="8"/>
  <c r="H40" i="8"/>
  <c r="H41" i="8"/>
  <c r="H42" i="8"/>
  <c r="H43" i="8"/>
  <c r="H44" i="8"/>
  <c r="H45" i="8"/>
  <c r="H46" i="8"/>
  <c r="H47" i="8"/>
  <c r="I53" i="8"/>
  <c r="K4" i="8"/>
  <c r="AH2" i="17"/>
  <c r="AJ2" i="17"/>
  <c r="AK2" i="17"/>
  <c r="AL2" i="17"/>
  <c r="AG2" i="17"/>
  <c r="E11" i="8"/>
  <c r="AQ2" i="17"/>
  <c r="F11" i="8"/>
  <c r="AS2" i="17"/>
  <c r="AG3" i="17"/>
  <c r="AO3" i="17"/>
  <c r="AS3" i="17"/>
  <c r="AG4" i="17"/>
  <c r="AO4" i="17"/>
  <c r="AS4" i="17"/>
  <c r="AG5" i="17"/>
  <c r="AO5" i="17"/>
  <c r="AS5" i="17"/>
  <c r="AG6" i="17"/>
  <c r="AO6" i="17"/>
  <c r="AS6" i="17"/>
  <c r="AG7" i="17"/>
  <c r="AO7" i="17"/>
  <c r="AS7" i="17"/>
  <c r="AG8" i="17"/>
  <c r="AO8" i="17"/>
  <c r="AS8" i="17"/>
  <c r="AG9" i="17"/>
  <c r="AO9" i="17"/>
  <c r="AS9" i="17"/>
  <c r="AG10" i="17"/>
  <c r="AO10" i="17"/>
  <c r="AS10" i="17"/>
  <c r="AG11" i="17"/>
  <c r="AO11" i="17"/>
  <c r="AS11" i="17"/>
  <c r="AG12" i="17"/>
  <c r="AO12" i="17"/>
  <c r="AS12" i="17"/>
  <c r="AG13" i="17"/>
  <c r="AO13" i="17"/>
  <c r="AS13" i="17"/>
  <c r="AG14" i="17"/>
  <c r="AO14" i="17"/>
  <c r="AS14" i="17"/>
  <c r="AG15" i="17"/>
  <c r="AO15" i="17"/>
  <c r="AS15" i="17"/>
  <c r="AG16" i="17"/>
  <c r="AO16" i="17"/>
  <c r="AS16" i="17"/>
  <c r="AG17" i="17"/>
  <c r="AO17" i="17"/>
  <c r="AS17" i="17"/>
  <c r="AG18" i="17"/>
  <c r="AO18" i="17"/>
  <c r="AS18" i="17"/>
  <c r="AG19" i="17"/>
  <c r="AO19" i="17"/>
  <c r="AS19" i="17"/>
  <c r="AG20" i="17"/>
  <c r="AO20" i="17"/>
  <c r="AS20" i="17"/>
  <c r="AG21" i="17"/>
  <c r="AO21" i="17"/>
  <c r="AS21" i="17"/>
  <c r="AG22" i="17"/>
  <c r="AO22" i="17"/>
  <c r="AS22" i="17"/>
  <c r="AU2" i="17"/>
  <c r="AU3" i="17"/>
  <c r="AU4" i="17"/>
  <c r="AU5" i="17"/>
  <c r="AU6" i="17"/>
  <c r="AU7" i="17"/>
  <c r="AU8" i="17"/>
  <c r="AU9" i="17"/>
  <c r="AU10" i="17"/>
  <c r="AU11" i="17"/>
  <c r="AU12" i="17"/>
  <c r="AU13" i="17"/>
  <c r="AU14" i="17"/>
  <c r="AU15" i="17"/>
  <c r="AU16" i="17"/>
  <c r="AU17" i="17"/>
  <c r="AU18" i="17"/>
  <c r="AU19" i="17"/>
  <c r="AU20" i="17"/>
  <c r="AU21" i="17"/>
  <c r="AU22" i="17"/>
  <c r="AM3" i="17"/>
  <c r="AN3" i="17"/>
  <c r="AM4" i="17"/>
  <c r="AN4" i="17"/>
  <c r="AM5" i="17"/>
  <c r="AN5" i="17"/>
  <c r="AM6" i="17"/>
  <c r="AN6" i="17"/>
  <c r="AM7" i="17"/>
  <c r="AN7" i="17"/>
  <c r="AM8" i="17"/>
  <c r="AN8" i="17"/>
  <c r="AM9" i="17"/>
  <c r="AN9" i="17"/>
  <c r="AM10" i="17"/>
  <c r="AN10" i="17"/>
  <c r="AM11" i="17"/>
  <c r="AN11" i="17"/>
  <c r="AM12" i="17"/>
  <c r="AN12" i="17"/>
  <c r="AM13" i="17"/>
  <c r="AN13" i="17"/>
  <c r="AM14" i="17"/>
  <c r="AN14" i="17"/>
  <c r="AM15" i="17"/>
  <c r="AN15" i="17"/>
  <c r="AM16" i="17"/>
  <c r="AN16" i="17"/>
  <c r="AM17" i="17"/>
  <c r="AN17" i="17"/>
  <c r="AM18" i="17"/>
  <c r="AN18" i="17"/>
  <c r="AM19" i="17"/>
  <c r="AN19" i="17"/>
  <c r="AM20" i="17"/>
  <c r="AN20" i="17"/>
  <c r="AM21" i="17"/>
  <c r="AN21" i="17"/>
  <c r="AM22" i="17"/>
  <c r="AN22" i="17"/>
  <c r="AH3" i="17"/>
  <c r="AI3" i="17"/>
  <c r="AK3" i="17"/>
  <c r="AL3" i="17"/>
  <c r="AJ3" i="17"/>
  <c r="AH4" i="17"/>
  <c r="AI4" i="17"/>
  <c r="AK4" i="17"/>
  <c r="AL4" i="17"/>
  <c r="AJ4" i="17"/>
  <c r="AH5" i="17"/>
  <c r="AI5" i="17"/>
  <c r="AK5" i="17"/>
  <c r="AL5" i="17"/>
  <c r="AJ5" i="17"/>
  <c r="AH6" i="17"/>
  <c r="AI6" i="17"/>
  <c r="AK6" i="17"/>
  <c r="AL6" i="17"/>
  <c r="AJ6" i="17"/>
  <c r="AH7" i="17"/>
  <c r="AI7" i="17"/>
  <c r="AK7" i="17"/>
  <c r="AL7" i="17"/>
  <c r="AJ7" i="17"/>
  <c r="AH8" i="17"/>
  <c r="AI8" i="17"/>
  <c r="AK8" i="17"/>
  <c r="AL8" i="17"/>
  <c r="AJ8" i="17"/>
  <c r="AH9" i="17"/>
  <c r="AI9" i="17"/>
  <c r="AK9" i="17"/>
  <c r="AL9" i="17"/>
  <c r="AJ9" i="17"/>
  <c r="AH10" i="17"/>
  <c r="AI10" i="17"/>
  <c r="AK10" i="17"/>
  <c r="AL10" i="17"/>
  <c r="AJ10" i="17"/>
  <c r="AH11" i="17"/>
  <c r="AI11" i="17"/>
  <c r="AK11" i="17"/>
  <c r="AL11" i="17"/>
  <c r="AJ11" i="17"/>
  <c r="AH12" i="17"/>
  <c r="AI12" i="17"/>
  <c r="AK12" i="17"/>
  <c r="AL12" i="17"/>
  <c r="AJ12" i="17"/>
  <c r="AH13" i="17"/>
  <c r="AI13" i="17"/>
  <c r="AK13" i="17"/>
  <c r="AL13" i="17"/>
  <c r="AJ13" i="17"/>
  <c r="AH14" i="17"/>
  <c r="AI14" i="17"/>
  <c r="AK14" i="17"/>
  <c r="AL14" i="17"/>
  <c r="AJ14" i="17"/>
  <c r="AH15" i="17"/>
  <c r="AI15" i="17"/>
  <c r="AK15" i="17"/>
  <c r="AL15" i="17"/>
  <c r="AJ15" i="17"/>
  <c r="AH16" i="17"/>
  <c r="AI16" i="17"/>
  <c r="AK16" i="17"/>
  <c r="AL16" i="17"/>
  <c r="AJ16" i="17"/>
  <c r="AH17" i="17"/>
  <c r="AI17" i="17"/>
  <c r="AK17" i="17"/>
  <c r="AL17" i="17"/>
  <c r="AJ17" i="17"/>
  <c r="AH18" i="17"/>
  <c r="AI18" i="17"/>
  <c r="AK18" i="17"/>
  <c r="AL18" i="17"/>
  <c r="AJ18" i="17"/>
  <c r="AH19" i="17"/>
  <c r="AI19" i="17"/>
  <c r="AK19" i="17"/>
  <c r="AL19" i="17"/>
  <c r="AJ19" i="17"/>
  <c r="AH20" i="17"/>
  <c r="AI20" i="17"/>
  <c r="AK20" i="17"/>
  <c r="AL20" i="17"/>
  <c r="AJ20" i="17"/>
  <c r="AH21" i="17"/>
  <c r="AI21" i="17"/>
  <c r="AK21" i="17"/>
  <c r="AL21" i="17"/>
  <c r="AJ21" i="17"/>
  <c r="AH22" i="17"/>
  <c r="AI22" i="17"/>
  <c r="AK22" i="17"/>
  <c r="AL22" i="17"/>
  <c r="AJ22" i="17"/>
  <c r="AQ3" i="17"/>
  <c r="AQ4" i="17"/>
  <c r="AQ5" i="17"/>
  <c r="AQ6" i="17"/>
  <c r="AQ7" i="17"/>
  <c r="AQ8" i="17"/>
  <c r="AQ9" i="17"/>
  <c r="AQ10" i="17"/>
  <c r="AQ11" i="17"/>
  <c r="AQ12" i="17"/>
  <c r="AQ13" i="17"/>
  <c r="AQ14" i="17"/>
  <c r="AQ15" i="17"/>
  <c r="AQ16" i="17"/>
  <c r="AQ17" i="17"/>
  <c r="AQ18" i="17"/>
  <c r="AQ19" i="17"/>
  <c r="AQ20" i="17"/>
  <c r="AQ21" i="17"/>
  <c r="AQ22" i="17"/>
  <c r="AP3" i="17"/>
  <c r="AP4" i="17"/>
  <c r="AP5" i="17"/>
  <c r="AP6" i="17"/>
  <c r="AP7" i="17"/>
  <c r="AP8" i="17"/>
  <c r="AP9" i="17"/>
  <c r="AP10" i="17"/>
  <c r="AP11" i="17"/>
  <c r="AP12" i="17"/>
  <c r="AP13" i="17"/>
  <c r="AP14" i="17"/>
  <c r="AP15" i="17"/>
  <c r="AP16" i="17"/>
  <c r="AP17" i="17"/>
  <c r="AP18" i="17"/>
  <c r="AP19" i="17"/>
  <c r="AP20" i="17"/>
  <c r="AP21" i="17"/>
  <c r="AP22" i="17"/>
  <c r="B2" i="17"/>
  <c r="C2" i="17"/>
  <c r="D2" i="17"/>
  <c r="K2" i="17"/>
  <c r="AR2" i="17"/>
  <c r="B3" i="17"/>
  <c r="C3" i="17"/>
  <c r="D3" i="17"/>
  <c r="K3" i="17"/>
  <c r="AR3" i="17"/>
  <c r="B4" i="17"/>
  <c r="C4" i="17"/>
  <c r="D4" i="17"/>
  <c r="K4" i="17"/>
  <c r="AR4" i="17"/>
  <c r="B5" i="17"/>
  <c r="C5" i="17"/>
  <c r="D5" i="17"/>
  <c r="K5" i="17"/>
  <c r="AR5" i="17"/>
  <c r="B6" i="17"/>
  <c r="C6" i="17"/>
  <c r="D6" i="17"/>
  <c r="K6" i="17"/>
  <c r="AR6" i="17"/>
  <c r="B7" i="17"/>
  <c r="C7" i="17"/>
  <c r="D7" i="17"/>
  <c r="K7" i="17"/>
  <c r="AR7" i="17"/>
  <c r="B8" i="17"/>
  <c r="C8" i="17"/>
  <c r="D8" i="17"/>
  <c r="K8" i="17"/>
  <c r="AR8" i="17"/>
  <c r="B9" i="17"/>
  <c r="C9" i="17"/>
  <c r="D9" i="17"/>
  <c r="K9" i="17"/>
  <c r="AR9" i="17"/>
  <c r="B10" i="17"/>
  <c r="C10" i="17"/>
  <c r="D10" i="17"/>
  <c r="K10" i="17"/>
  <c r="AR10" i="17"/>
  <c r="B11" i="17"/>
  <c r="C11" i="17"/>
  <c r="D11" i="17"/>
  <c r="K11" i="17"/>
  <c r="AR11" i="17"/>
  <c r="B12" i="17"/>
  <c r="C12" i="17"/>
  <c r="D12" i="17"/>
  <c r="K12" i="17"/>
  <c r="AR12" i="17"/>
  <c r="B13" i="17"/>
  <c r="C13" i="17"/>
  <c r="D13" i="17"/>
  <c r="K13" i="17"/>
  <c r="AR13" i="17"/>
  <c r="B14" i="17"/>
  <c r="C14" i="17"/>
  <c r="D14" i="17"/>
  <c r="K14" i="17"/>
  <c r="AR14" i="17"/>
  <c r="B15" i="17"/>
  <c r="C15" i="17"/>
  <c r="D15" i="17"/>
  <c r="K15" i="17"/>
  <c r="AR15" i="17"/>
  <c r="B16" i="17"/>
  <c r="C16" i="17"/>
  <c r="D16" i="17"/>
  <c r="K16" i="17"/>
  <c r="AR16" i="17"/>
  <c r="B17" i="17"/>
  <c r="C17" i="17"/>
  <c r="D17" i="17"/>
  <c r="K17" i="17"/>
  <c r="AR17" i="17"/>
  <c r="B18" i="17"/>
  <c r="C18" i="17"/>
  <c r="D18" i="17"/>
  <c r="K18" i="17"/>
  <c r="AR18" i="17"/>
  <c r="B19" i="17"/>
  <c r="C19" i="17"/>
  <c r="D19" i="17"/>
  <c r="K19" i="17"/>
  <c r="AR19" i="17"/>
  <c r="B20" i="17"/>
  <c r="C20" i="17"/>
  <c r="D20" i="17"/>
  <c r="K20" i="17"/>
  <c r="AR20" i="17"/>
  <c r="B21" i="17"/>
  <c r="C21" i="17"/>
  <c r="D21" i="17"/>
  <c r="K21" i="17"/>
  <c r="AR21" i="17"/>
  <c r="B22" i="17"/>
  <c r="C22" i="17"/>
  <c r="D22" i="17"/>
  <c r="K22" i="17"/>
  <c r="AR22" i="17"/>
  <c r="I10" i="8"/>
  <c r="AT2" i="17"/>
  <c r="AT3" i="17"/>
  <c r="AT4" i="17"/>
  <c r="AT5" i="17"/>
  <c r="AT6" i="17"/>
  <c r="AT7" i="17"/>
  <c r="AT8" i="17"/>
  <c r="AT9" i="17"/>
  <c r="AT10" i="17"/>
  <c r="AT11" i="17"/>
  <c r="AT12" i="17"/>
  <c r="AT13" i="17"/>
  <c r="AT14" i="17"/>
  <c r="AT15" i="17"/>
  <c r="AT16" i="17"/>
  <c r="AT17" i="17"/>
  <c r="AT18" i="17"/>
  <c r="AT19" i="17"/>
  <c r="AT20" i="17"/>
  <c r="AT21" i="17"/>
  <c r="AT22" i="17"/>
  <c r="J12" i="8"/>
  <c r="J19" i="8"/>
  <c r="J26" i="8"/>
  <c r="J33" i="8"/>
  <c r="J40" i="8"/>
  <c r="J47" i="8"/>
  <c r="M55" i="8"/>
  <c r="I34" i="8"/>
  <c r="I35" i="8"/>
  <c r="I36" i="8"/>
  <c r="I37" i="8"/>
  <c r="I38" i="8"/>
  <c r="I39" i="8"/>
  <c r="I40" i="8"/>
  <c r="I27" i="8"/>
  <c r="I28" i="8"/>
  <c r="I29" i="8"/>
  <c r="I30" i="8"/>
  <c r="I31" i="8"/>
  <c r="I32" i="8"/>
  <c r="I33" i="8"/>
  <c r="I20" i="8"/>
  <c r="I21" i="8"/>
  <c r="I22" i="8"/>
  <c r="I23" i="8"/>
  <c r="I24" i="8"/>
  <c r="I25" i="8"/>
  <c r="I26" i="8"/>
  <c r="I13" i="8"/>
  <c r="I14" i="8"/>
  <c r="I15" i="8"/>
  <c r="I16" i="8"/>
  <c r="I17" i="8"/>
  <c r="I18" i="8"/>
  <c r="I19" i="8"/>
  <c r="I6" i="8"/>
  <c r="I7" i="8"/>
  <c r="I8" i="8"/>
  <c r="I9" i="8"/>
  <c r="I11" i="8"/>
  <c r="I12" i="8"/>
  <c r="I41" i="8"/>
  <c r="I42" i="8"/>
  <c r="I43" i="8"/>
  <c r="I44" i="8"/>
  <c r="I45" i="8"/>
  <c r="I46" i="8"/>
  <c r="I47" i="8"/>
  <c r="M54" i="8"/>
  <c r="D34" i="8"/>
  <c r="D35" i="8"/>
  <c r="D36" i="8"/>
  <c r="D37" i="8"/>
  <c r="D38" i="8"/>
  <c r="D39" i="8"/>
  <c r="D40" i="8"/>
  <c r="E34" i="8"/>
  <c r="E35" i="8"/>
  <c r="E36" i="8"/>
  <c r="E37" i="8"/>
  <c r="E38" i="8"/>
  <c r="E39" i="8"/>
  <c r="E40" i="8"/>
  <c r="G34" i="8"/>
  <c r="G35" i="8"/>
  <c r="G36" i="8"/>
  <c r="G37" i="8"/>
  <c r="G38" i="8"/>
  <c r="G39" i="8"/>
  <c r="G40" i="8"/>
  <c r="F34" i="8"/>
  <c r="F35" i="8"/>
  <c r="F36" i="8"/>
  <c r="F37" i="8"/>
  <c r="F38" i="8"/>
  <c r="F39" i="8"/>
  <c r="F40" i="8"/>
  <c r="M35" i="8"/>
  <c r="M40" i="8"/>
  <c r="M37" i="8"/>
  <c r="D41" i="8"/>
  <c r="D42" i="8"/>
  <c r="D43" i="8"/>
  <c r="D44" i="8"/>
  <c r="D45" i="8"/>
  <c r="D46" i="8"/>
  <c r="D47" i="8"/>
  <c r="E41" i="8"/>
  <c r="E42" i="8"/>
  <c r="E43" i="8"/>
  <c r="E44" i="8"/>
  <c r="E45" i="8"/>
  <c r="E46" i="8"/>
  <c r="E47" i="8"/>
  <c r="G41" i="8"/>
  <c r="G42" i="8"/>
  <c r="G43" i="8"/>
  <c r="G44" i="8"/>
  <c r="G45" i="8"/>
  <c r="G46" i="8"/>
  <c r="G47" i="8"/>
  <c r="F41" i="8"/>
  <c r="F42" i="8"/>
  <c r="F43" i="8"/>
  <c r="F44" i="8"/>
  <c r="F45" i="8"/>
  <c r="F46" i="8"/>
  <c r="F47" i="8"/>
  <c r="M42" i="8"/>
  <c r="M47" i="8"/>
  <c r="M44" i="8"/>
  <c r="D27" i="8"/>
  <c r="D28" i="8"/>
  <c r="D29" i="8"/>
  <c r="D30" i="8"/>
  <c r="D31" i="8"/>
  <c r="D32" i="8"/>
  <c r="D33" i="8"/>
  <c r="E27" i="8"/>
  <c r="E28" i="8"/>
  <c r="E29" i="8"/>
  <c r="E30" i="8"/>
  <c r="E31" i="8"/>
  <c r="E32" i="8"/>
  <c r="E33" i="8"/>
  <c r="G27" i="8"/>
  <c r="G28" i="8"/>
  <c r="G29" i="8"/>
  <c r="G30" i="8"/>
  <c r="G31" i="8"/>
  <c r="G32" i="8"/>
  <c r="G33" i="8"/>
  <c r="F27" i="8"/>
  <c r="F28" i="8"/>
  <c r="F29" i="8"/>
  <c r="F30" i="8"/>
  <c r="F31" i="8"/>
  <c r="F32" i="8"/>
  <c r="F33" i="8"/>
  <c r="M28" i="8"/>
  <c r="M33" i="8"/>
  <c r="M30" i="8"/>
  <c r="D20" i="8"/>
  <c r="D21" i="8"/>
  <c r="D22" i="8"/>
  <c r="D23" i="8"/>
  <c r="D24" i="8"/>
  <c r="D25" i="8"/>
  <c r="D26" i="8"/>
  <c r="E20" i="8"/>
  <c r="E21" i="8"/>
  <c r="E22" i="8"/>
  <c r="E23" i="8"/>
  <c r="E24" i="8"/>
  <c r="E25" i="8"/>
  <c r="E26" i="8"/>
  <c r="G20" i="8"/>
  <c r="G21" i="8"/>
  <c r="G22" i="8"/>
  <c r="G23" i="8"/>
  <c r="G24" i="8"/>
  <c r="G25" i="8"/>
  <c r="G26" i="8"/>
  <c r="F20" i="8"/>
  <c r="F21" i="8"/>
  <c r="F22" i="8"/>
  <c r="F23" i="8"/>
  <c r="F24" i="8"/>
  <c r="F25" i="8"/>
  <c r="F26" i="8"/>
  <c r="M21" i="8"/>
  <c r="M26" i="8"/>
  <c r="M23" i="8"/>
  <c r="D13" i="8"/>
  <c r="D14" i="8"/>
  <c r="D15" i="8"/>
  <c r="D16" i="8"/>
  <c r="D17" i="8"/>
  <c r="D18" i="8"/>
  <c r="D19" i="8"/>
  <c r="E13" i="8"/>
  <c r="E14" i="8"/>
  <c r="E15" i="8"/>
  <c r="E16" i="8"/>
  <c r="E17" i="8"/>
  <c r="E18" i="8"/>
  <c r="E19" i="8"/>
  <c r="G13" i="8"/>
  <c r="G14" i="8"/>
  <c r="G15" i="8"/>
  <c r="G16" i="8"/>
  <c r="G17" i="8"/>
  <c r="G18" i="8"/>
  <c r="G19" i="8"/>
  <c r="F13" i="8"/>
  <c r="F14" i="8"/>
  <c r="F15" i="8"/>
  <c r="F16" i="8"/>
  <c r="F17" i="8"/>
  <c r="F18" i="8"/>
  <c r="F19" i="8"/>
  <c r="M14" i="8"/>
  <c r="M19" i="8"/>
  <c r="M16" i="8"/>
  <c r="D6" i="8"/>
  <c r="D7" i="8"/>
  <c r="D8" i="8"/>
  <c r="D9" i="8"/>
  <c r="D10" i="8"/>
  <c r="D11" i="8"/>
  <c r="D12" i="8"/>
  <c r="E6" i="8"/>
  <c r="E7" i="8"/>
  <c r="E8" i="8"/>
  <c r="E9" i="8"/>
  <c r="E10" i="8"/>
  <c r="E12" i="8"/>
  <c r="G6" i="8"/>
  <c r="G7" i="8"/>
  <c r="G8" i="8"/>
  <c r="G9" i="8"/>
  <c r="G10" i="8"/>
  <c r="G12" i="8"/>
  <c r="F6" i="8"/>
  <c r="F7" i="8"/>
  <c r="F8" i="8"/>
  <c r="F9" i="8"/>
  <c r="F10" i="8"/>
  <c r="F12" i="8"/>
  <c r="M7" i="8"/>
  <c r="M12" i="8"/>
  <c r="M9" i="8"/>
  <c r="M52" i="8"/>
  <c r="M43" i="8"/>
  <c r="M36" i="8"/>
  <c r="M29" i="8"/>
  <c r="M22" i="8"/>
  <c r="M15" i="8"/>
  <c r="M8" i="8"/>
  <c r="M51" i="8"/>
  <c r="M32" i="8"/>
  <c r="M25" i="8"/>
  <c r="M17" i="8"/>
  <c r="M10" i="8"/>
  <c r="M38" i="8"/>
  <c r="M45" i="8"/>
  <c r="M53" i="8"/>
  <c r="M18" i="8"/>
  <c r="I52" i="8"/>
  <c r="E53" i="8"/>
  <c r="E54" i="8"/>
  <c r="E60" i="8"/>
  <c r="E59" i="8"/>
  <c r="E58" i="8"/>
  <c r="E57" i="8"/>
  <c r="E56" i="8"/>
  <c r="E55" i="8"/>
  <c r="E52" i="8"/>
  <c r="E50" i="8"/>
  <c r="E51" i="8"/>
  <c r="E49" i="8"/>
  <c r="M46" i="8"/>
  <c r="L41" i="8"/>
  <c r="M39" i="8"/>
  <c r="L34" i="8"/>
  <c r="M31" i="8"/>
  <c r="L27" i="8"/>
  <c r="L13" i="8"/>
  <c r="M24" i="8"/>
  <c r="L20" i="8"/>
  <c r="B6" i="8"/>
  <c r="L6" i="8"/>
  <c r="M11" i="8"/>
  <c r="C13" i="8"/>
  <c r="C14" i="8"/>
  <c r="C15" i="8"/>
  <c r="C16" i="8"/>
  <c r="C17" i="8"/>
  <c r="C18" i="8"/>
  <c r="C20" i="8"/>
  <c r="C21" i="8"/>
  <c r="C22" i="8"/>
  <c r="C23" i="8"/>
  <c r="C24" i="8"/>
  <c r="C25" i="8"/>
  <c r="C27" i="8"/>
  <c r="C28" i="8"/>
  <c r="C29" i="8"/>
  <c r="C30" i="8"/>
  <c r="C31" i="8"/>
  <c r="C32" i="8"/>
  <c r="C34" i="8"/>
  <c r="C35" i="8"/>
  <c r="C36" i="8"/>
  <c r="C37" i="8"/>
  <c r="C38" i="8"/>
  <c r="C39" i="8"/>
  <c r="C41" i="8"/>
  <c r="C42" i="8"/>
  <c r="C43" i="8"/>
  <c r="C44" i="8"/>
  <c r="C45" i="8"/>
  <c r="C46" i="8"/>
  <c r="B1" i="8"/>
  <c r="B41" i="8"/>
  <c r="B4" i="8"/>
  <c r="B3" i="8"/>
  <c r="B13" i="8"/>
  <c r="B20" i="8"/>
  <c r="B27" i="8"/>
  <c r="B34" i="8"/>
  <c r="I54" i="8"/>
</calcChain>
</file>

<file path=xl/sharedStrings.xml><?xml version="1.0" encoding="utf-8"?>
<sst xmlns="http://schemas.openxmlformats.org/spreadsheetml/2006/main" count="167" uniqueCount="104">
  <si>
    <t>DATE</t>
  </si>
  <si>
    <t>HEURES EFFECTIVES</t>
  </si>
  <si>
    <t>TOTAL HEURES</t>
  </si>
  <si>
    <t>HS 125%</t>
  </si>
  <si>
    <t>HS 150%</t>
  </si>
  <si>
    <t>MODULATION</t>
  </si>
  <si>
    <t>ACOMPTE MODULATION</t>
  </si>
  <si>
    <t>JF</t>
  </si>
  <si>
    <t>PRESENCE</t>
  </si>
  <si>
    <t>TOTAL</t>
  </si>
  <si>
    <t>MODUL.</t>
  </si>
  <si>
    <t>PAIEMENT JF</t>
  </si>
  <si>
    <t>MAJORATION</t>
  </si>
  <si>
    <t>BASE HORAIRE</t>
  </si>
  <si>
    <t>FORMATION</t>
  </si>
  <si>
    <t>MATRICULE</t>
  </si>
  <si>
    <t>POSITION</t>
  </si>
  <si>
    <t>NOM</t>
  </si>
  <si>
    <t>PRENOM</t>
  </si>
  <si>
    <t>BASE CONTRAT</t>
  </si>
  <si>
    <t>Maladie</t>
  </si>
  <si>
    <t>Accident Travail</t>
  </si>
  <si>
    <t>Absence injustifiée</t>
  </si>
  <si>
    <t>Congé Spécial</t>
  </si>
  <si>
    <t>Congé Payé</t>
  </si>
  <si>
    <t>REPORT SOLDE M-1</t>
  </si>
  <si>
    <t>MODULATION MENSUELLE</t>
  </si>
  <si>
    <t>SOLDE</t>
  </si>
  <si>
    <t>Paternité</t>
  </si>
  <si>
    <t>Maternité</t>
  </si>
  <si>
    <t>AUTRES</t>
  </si>
  <si>
    <t>DEL</t>
  </si>
  <si>
    <t>DIR</t>
  </si>
  <si>
    <t>CP</t>
  </si>
  <si>
    <t>HEURES</t>
  </si>
  <si>
    <t>NOMBRE DE JOURS</t>
  </si>
  <si>
    <t>Mise à pied</t>
  </si>
  <si>
    <t>M</t>
  </si>
  <si>
    <t>MAT</t>
  </si>
  <si>
    <t>AT</t>
  </si>
  <si>
    <t>PAT</t>
  </si>
  <si>
    <t>AI</t>
  </si>
  <si>
    <t>MP</t>
  </si>
  <si>
    <t>CS</t>
  </si>
  <si>
    <t>CONDUITE</t>
  </si>
  <si>
    <t>Total Km</t>
  </si>
  <si>
    <t>Km Fin</t>
  </si>
  <si>
    <t>Km Début</t>
  </si>
  <si>
    <t>N° Camion</t>
  </si>
  <si>
    <t>Chauffeur</t>
  </si>
  <si>
    <t>Semaine</t>
  </si>
  <si>
    <t>Mois</t>
  </si>
  <si>
    <t>Année</t>
  </si>
  <si>
    <t>Référence</t>
  </si>
  <si>
    <t>DEBUT</t>
  </si>
  <si>
    <t>FIN</t>
  </si>
  <si>
    <t>FIN4</t>
  </si>
  <si>
    <t>FIN7</t>
  </si>
  <si>
    <t>FIN10</t>
  </si>
  <si>
    <t>FIN13</t>
  </si>
  <si>
    <t>FIN16</t>
  </si>
  <si>
    <t>FIN11</t>
  </si>
  <si>
    <t>FIN12</t>
  </si>
  <si>
    <t>FIN14</t>
  </si>
  <si>
    <t>FIN15</t>
  </si>
  <si>
    <t>ACTIVITE</t>
  </si>
  <si>
    <t>ACTIVITE2</t>
  </si>
  <si>
    <t>ACTIVITE3</t>
  </si>
  <si>
    <t>ACTIVITE4</t>
  </si>
  <si>
    <t>ACTIVITE5</t>
  </si>
  <si>
    <t>ACTIVITE6</t>
  </si>
  <si>
    <t>ACTIVITE7</t>
  </si>
  <si>
    <t>ACTIVITE8</t>
  </si>
  <si>
    <t>ACTIVITE9</t>
  </si>
  <si>
    <t>ACTIVITE10</t>
  </si>
  <si>
    <t>GASOIL/EMBALLAGE</t>
  </si>
  <si>
    <t>CHARGEMENT</t>
  </si>
  <si>
    <t>DECHARGEMENT</t>
  </si>
  <si>
    <t>ADMINISTRATIF</t>
  </si>
  <si>
    <t>REPOS</t>
  </si>
  <si>
    <t>ABSENCE
+ JF</t>
  </si>
  <si>
    <t>GASOIL
EMBALLAGE</t>
  </si>
  <si>
    <t>TOTAL EFFECTIF</t>
  </si>
  <si>
    <t>HN21</t>
  </si>
  <si>
    <t>HN22</t>
  </si>
  <si>
    <t>AC HS</t>
  </si>
  <si>
    <t>H TUNNEL</t>
  </si>
  <si>
    <t>Temps Total</t>
  </si>
  <si>
    <t>ALERTE 4H30</t>
  </si>
  <si>
    <t>Alerte 10</t>
  </si>
  <si>
    <t>Alerte 6</t>
  </si>
  <si>
    <t>Alerte 4h30</t>
  </si>
  <si>
    <t>PAUSE 2</t>
  </si>
  <si>
    <t>PAUSE 1</t>
  </si>
  <si>
    <t>TOTAL PAUSE</t>
  </si>
  <si>
    <t>ALERTE 10H</t>
  </si>
  <si>
    <t>ALERTE 6H</t>
  </si>
  <si>
    <t>=SI(OU(M2=CHARGEMENT";M2="DECHARGEMENT";M2="ADMINISTRATIF";M2="DEL";M2="DIR";M2="FORMATION";M2="GASOIL/EMBALLAGE");SI(M2="PAUSE 2";L2;SI(O2="PAUSE 2";N2-L2;SI(Q2="PAUSE 2";P2-L2;SI(S2="PAUSE 2";R2-L2;SI(U2="PAUSE 2";T2-L2;SI(W2="PAUSE 2";V2-L2;SI(Y2="PAUSE 2";X2-L2;SI(AA2="PAUSE 2";Z2-L2;SI(AC2="PAUSE 2";AB2-L2;SI(AE2="PAUSE 2";AD2-L2;""))))))))))-($N2-$L2);)"</t>
  </si>
  <si>
    <t>Temps Conduite avant pause 1</t>
  </si>
  <si>
    <t>Temps de conduite avant pause 2</t>
  </si>
  <si>
    <t>JACKSON</t>
  </si>
  <si>
    <t>Jackson</t>
  </si>
  <si>
    <t>Temps travail avant pause 1</t>
  </si>
  <si>
    <t>Temps travail avant pause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</si>
</sst>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h:mm;@"/>
    <numFmt numFmtId="165" formatCode="mmm"/>
    <numFmt numFmtId="166" formatCode="yyyy"/>
  </numFmts>
  <fonts count="18" x14ac:knownFonts="1">
    <font>
      <sz val="11"/>
      <color theme="1"/>
      <name val="Calibri"/>
      <family val="2"/>
      <scheme val="minor"/>
    </font>
    <font>
      <b/>
      <u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u/>
      <sz val="18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u/>
      <sz val="26"/>
      <color theme="1"/>
      <name val="Calibri"/>
      <family val="2"/>
      <scheme val="minor"/>
    </font>
    <font>
      <i/>
      <sz val="12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2"/>
      <color theme="0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  <font>
      <sz val="11"/>
      <color rgb="FFFF0000"/>
      <name val="Calibri"/>
      <scheme val="minor"/>
    </font>
  </fonts>
  <fills count="6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/>
        <bgColor theme="4"/>
      </patternFill>
    </fill>
    <fill>
      <patternFill patternType="solid">
        <fgColor theme="0"/>
        <bgColor indexed="64"/>
      </patternFill>
    </fill>
  </fills>
  <borders count="4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double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 style="double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double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double">
        <color auto="1"/>
      </bottom>
      <diagonal/>
    </border>
    <border>
      <left/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/>
      <right style="thin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/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29">
    <xf numFmtId="0" fontId="0" fillId="0" borderId="0"/>
    <xf numFmtId="0" fontId="15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6" fillId="0" borderId="0" applyNumberFormat="0" applyFill="0" applyBorder="0" applyAlignment="0" applyProtection="0"/>
  </cellStyleXfs>
  <cellXfs count="139">
    <xf numFmtId="0" fontId="0" fillId="0" borderId="0" xfId="0"/>
    <xf numFmtId="0" fontId="0" fillId="0" borderId="0" xfId="0" applyAlignment="1">
      <alignment horizontal="center" vertical="center" textRotation="90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6" fillId="0" borderId="11" xfId="0" applyFont="1" applyBorder="1" applyAlignment="1">
      <alignment horizontal="center" vertical="center" wrapText="1"/>
    </xf>
    <xf numFmtId="0" fontId="6" fillId="0" borderId="13" xfId="0" applyFont="1" applyBorder="1" applyAlignment="1">
      <alignment horizontal="center" vertical="center" wrapText="1"/>
    </xf>
    <xf numFmtId="14" fontId="0" fillId="0" borderId="14" xfId="0" applyNumberFormat="1" applyBorder="1" applyAlignment="1">
      <alignment horizontal="center" vertical="center"/>
    </xf>
    <xf numFmtId="14" fontId="0" fillId="0" borderId="15" xfId="0" applyNumberFormat="1" applyBorder="1" applyAlignment="1">
      <alignment horizontal="center" vertical="center"/>
    </xf>
    <xf numFmtId="0" fontId="6" fillId="0" borderId="10" xfId="0" applyFont="1" applyBorder="1" applyAlignment="1">
      <alignment horizontal="center" vertical="center" wrapText="1"/>
    </xf>
    <xf numFmtId="14" fontId="7" fillId="0" borderId="17" xfId="0" applyNumberFormat="1" applyFont="1" applyBorder="1" applyAlignment="1">
      <alignment horizontal="center" vertical="center"/>
    </xf>
    <xf numFmtId="0" fontId="7" fillId="0" borderId="18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9" fillId="0" borderId="0" xfId="0" applyFont="1" applyAlignment="1">
      <alignment horizontal="left" vertical="center"/>
    </xf>
    <xf numFmtId="0" fontId="11" fillId="0" borderId="11" xfId="0" applyFont="1" applyBorder="1" applyAlignment="1">
      <alignment horizontal="center" vertical="center" wrapText="1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8" fillId="0" borderId="0" xfId="0" applyFont="1" applyAlignment="1">
      <alignment vertical="top"/>
    </xf>
    <xf numFmtId="0" fontId="7" fillId="0" borderId="17" xfId="0" applyNumberFormat="1" applyFont="1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1" fillId="0" borderId="0" xfId="0" applyFont="1" applyBorder="1" applyAlignment="1">
      <alignment vertical="center"/>
    </xf>
    <xf numFmtId="0" fontId="0" fillId="0" borderId="0" xfId="0" applyBorder="1" applyAlignment="1">
      <alignment horizontal="center" vertical="center"/>
    </xf>
    <xf numFmtId="0" fontId="0" fillId="0" borderId="6" xfId="0" applyFont="1" applyBorder="1" applyAlignment="1">
      <alignment horizontal="center" vertical="center" wrapText="1"/>
    </xf>
    <xf numFmtId="0" fontId="0" fillId="0" borderId="7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26" xfId="0" applyFont="1" applyBorder="1" applyAlignment="1">
      <alignment horizontal="center" vertical="center"/>
    </xf>
    <xf numFmtId="0" fontId="2" fillId="0" borderId="34" xfId="0" applyFont="1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13" fillId="4" borderId="16" xfId="0" applyFont="1" applyFill="1" applyBorder="1" applyAlignment="1">
      <alignment horizontal="center" vertical="center"/>
    </xf>
    <xf numFmtId="0" fontId="13" fillId="4" borderId="35" xfId="0" applyFont="1" applyFill="1" applyBorder="1" applyAlignment="1">
      <alignment horizontal="center" vertical="center"/>
    </xf>
    <xf numFmtId="14" fontId="13" fillId="4" borderId="16" xfId="0" applyNumberFormat="1" applyFont="1" applyFill="1" applyBorder="1" applyAlignment="1">
      <alignment horizontal="center" vertical="center"/>
    </xf>
    <xf numFmtId="166" fontId="0" fillId="3" borderId="16" xfId="0" applyNumberFormat="1" applyFont="1" applyFill="1" applyBorder="1" applyAlignment="1">
      <alignment horizontal="center" vertical="center"/>
    </xf>
    <xf numFmtId="165" fontId="0" fillId="2" borderId="16" xfId="0" applyNumberFormat="1" applyFont="1" applyFill="1" applyBorder="1" applyAlignment="1">
      <alignment horizontal="center" vertical="center"/>
    </xf>
    <xf numFmtId="0" fontId="0" fillId="2" borderId="16" xfId="0" applyFont="1" applyFill="1" applyBorder="1" applyAlignment="1">
      <alignment horizontal="center" vertical="center"/>
    </xf>
    <xf numFmtId="166" fontId="0" fillId="0" borderId="16" xfId="0" applyNumberFormat="1" applyFont="1" applyBorder="1" applyAlignment="1">
      <alignment horizontal="center" vertical="center"/>
    </xf>
    <xf numFmtId="165" fontId="0" fillId="0" borderId="16" xfId="0" applyNumberFormat="1" applyFont="1" applyBorder="1" applyAlignment="1">
      <alignment horizontal="center" vertical="center"/>
    </xf>
    <xf numFmtId="0" fontId="0" fillId="0" borderId="16" xfId="0" applyFont="1" applyBorder="1" applyAlignment="1">
      <alignment horizontal="center" vertical="center"/>
    </xf>
    <xf numFmtId="166" fontId="0" fillId="2" borderId="16" xfId="0" applyNumberFormat="1" applyFont="1" applyFill="1" applyBorder="1" applyAlignment="1">
      <alignment horizontal="center" vertical="center"/>
    </xf>
    <xf numFmtId="0" fontId="0" fillId="0" borderId="0" xfId="0" applyAlignment="1" applyProtection="1">
      <alignment horizontal="center" vertical="center"/>
      <protection locked="0"/>
    </xf>
    <xf numFmtId="0" fontId="0" fillId="2" borderId="35" xfId="0" applyFont="1" applyFill="1" applyBorder="1" applyAlignment="1">
      <alignment horizontal="center" vertical="center"/>
    </xf>
    <xf numFmtId="14" fontId="0" fillId="2" borderId="16" xfId="0" applyNumberFormat="1" applyFont="1" applyFill="1" applyBorder="1" applyAlignment="1">
      <alignment horizontal="center" vertical="center"/>
    </xf>
    <xf numFmtId="0" fontId="0" fillId="3" borderId="16" xfId="0" applyFont="1" applyFill="1" applyBorder="1" applyAlignment="1">
      <alignment horizontal="center" vertical="center"/>
    </xf>
    <xf numFmtId="0" fontId="0" fillId="0" borderId="35" xfId="0" applyFont="1" applyBorder="1" applyAlignment="1">
      <alignment horizontal="center" vertical="center"/>
    </xf>
    <xf numFmtId="14" fontId="0" fillId="0" borderId="16" xfId="0" applyNumberFormat="1" applyFont="1" applyBorder="1" applyAlignment="1">
      <alignment horizontal="center" vertical="center"/>
    </xf>
    <xf numFmtId="164" fontId="0" fillId="3" borderId="16" xfId="0" applyNumberFormat="1" applyFont="1" applyFill="1" applyBorder="1" applyAlignment="1">
      <alignment horizontal="center" vertical="center"/>
    </xf>
    <xf numFmtId="164" fontId="0" fillId="0" borderId="16" xfId="0" applyNumberFormat="1" applyFont="1" applyBorder="1" applyAlignment="1">
      <alignment horizontal="center" vertical="center"/>
    </xf>
    <xf numFmtId="164" fontId="0" fillId="2" borderId="16" xfId="0" applyNumberFormat="1" applyFont="1" applyFill="1" applyBorder="1" applyAlignment="1">
      <alignment horizontal="center" vertical="center"/>
    </xf>
    <xf numFmtId="164" fontId="0" fillId="2" borderId="15" xfId="0" applyNumberFormat="1" applyFont="1" applyFill="1" applyBorder="1" applyAlignment="1">
      <alignment horizontal="center" vertical="center"/>
    </xf>
    <xf numFmtId="14" fontId="13" fillId="4" borderId="16" xfId="0" applyNumberFormat="1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20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21" xfId="0" applyBorder="1" applyAlignment="1">
      <alignment horizontal="center" vertical="center" wrapText="1"/>
    </xf>
    <xf numFmtId="14" fontId="0" fillId="0" borderId="4" xfId="0" applyNumberFormat="1" applyBorder="1" applyAlignment="1">
      <alignment horizontal="center" vertical="center"/>
    </xf>
    <xf numFmtId="14" fontId="0" fillId="0" borderId="6" xfId="0" applyNumberFormat="1" applyBorder="1" applyAlignment="1">
      <alignment horizontal="center" vertical="center"/>
    </xf>
    <xf numFmtId="14" fontId="0" fillId="0" borderId="23" xfId="0" applyNumberFormat="1" applyBorder="1" applyAlignment="1">
      <alignment horizontal="center" vertical="center"/>
    </xf>
    <xf numFmtId="20" fontId="0" fillId="0" borderId="0" xfId="0" applyNumberFormat="1"/>
    <xf numFmtId="164" fontId="0" fillId="0" borderId="0" xfId="0" applyNumberFormat="1" applyAlignment="1">
      <alignment horizontal="center" vertical="center"/>
    </xf>
    <xf numFmtId="0" fontId="6" fillId="0" borderId="30" xfId="0" applyFont="1" applyBorder="1" applyAlignment="1">
      <alignment horizontal="center" vertical="center" wrapText="1"/>
    </xf>
    <xf numFmtId="0" fontId="6" fillId="0" borderId="12" xfId="0" applyFont="1" applyBorder="1" applyAlignment="1">
      <alignment horizontal="center" vertical="center" wrapText="1"/>
    </xf>
    <xf numFmtId="0" fontId="0" fillId="3" borderId="1" xfId="0" applyFont="1" applyFill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0" fillId="2" borderId="1" xfId="0" applyFont="1" applyFill="1" applyBorder="1" applyAlignment="1">
      <alignment horizontal="center" vertical="center"/>
    </xf>
    <xf numFmtId="0" fontId="2" fillId="0" borderId="40" xfId="0" applyNumberFormat="1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0" xfId="0" applyNumberForma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0" fontId="0" fillId="0" borderId="4" xfId="0" applyFont="1" applyBorder="1" applyAlignment="1">
      <alignment horizontal="center" vertical="center"/>
    </xf>
    <xf numFmtId="164" fontId="0" fillId="3" borderId="1" xfId="0" applyNumberFormat="1" applyFont="1" applyFill="1" applyBorder="1" applyAlignment="1" applyProtection="1">
      <alignment horizontal="center" vertical="center"/>
      <protection locked="0"/>
    </xf>
    <xf numFmtId="0" fontId="0" fillId="5" borderId="1" xfId="0" applyFont="1" applyFill="1" applyBorder="1" applyAlignment="1" applyProtection="1">
      <alignment horizontal="center" vertical="center"/>
      <protection locked="0"/>
    </xf>
    <xf numFmtId="0" fontId="0" fillId="3" borderId="1" xfId="0" applyFont="1" applyFill="1" applyBorder="1" applyAlignment="1" applyProtection="1">
      <alignment horizontal="center" vertical="center"/>
      <protection locked="0"/>
    </xf>
    <xf numFmtId="0" fontId="0" fillId="0" borderId="0" xfId="0" applyFill="1" applyAlignment="1" applyProtection="1">
      <alignment horizontal="center" vertical="center"/>
      <protection locked="0"/>
    </xf>
    <xf numFmtId="164" fontId="17" fillId="3" borderId="1" xfId="0" applyNumberFormat="1" applyFont="1" applyFill="1" applyBorder="1" applyAlignment="1" applyProtection="1">
      <alignment horizontal="center" vertical="center"/>
      <protection locked="0"/>
    </xf>
    <xf numFmtId="0" fontId="0" fillId="0" borderId="4" xfId="0" applyNumberFormat="1" applyBorder="1" applyAlignment="1">
      <alignment horizontal="center" vertical="center" wrapText="1"/>
    </xf>
    <xf numFmtId="0" fontId="0" fillId="0" borderId="6" xfId="0" applyNumberFormat="1" applyBorder="1" applyAlignment="1">
      <alignment horizontal="center" vertical="center" wrapText="1"/>
    </xf>
    <xf numFmtId="0" fontId="0" fillId="0" borderId="23" xfId="0" applyNumberFormat="1" applyBorder="1" applyAlignment="1">
      <alignment horizontal="center" vertical="center" wrapText="1"/>
    </xf>
    <xf numFmtId="164" fontId="0" fillId="0" borderId="16" xfId="0" applyNumberFormat="1" applyFont="1" applyFill="1" applyBorder="1" applyAlignment="1">
      <alignment horizontal="center" vertical="center"/>
    </xf>
    <xf numFmtId="164" fontId="0" fillId="0" borderId="1" xfId="0" applyNumberFormat="1" applyFont="1" applyFill="1" applyBorder="1" applyAlignment="1" applyProtection="1">
      <alignment horizontal="center" vertical="center"/>
      <protection locked="0"/>
    </xf>
    <xf numFmtId="164" fontId="17" fillId="0" borderId="1" xfId="0" applyNumberFormat="1" applyFont="1" applyFill="1" applyBorder="1" applyAlignment="1" applyProtection="1">
      <alignment horizontal="center" vertical="center"/>
      <protection locked="0"/>
    </xf>
    <xf numFmtId="164" fontId="0" fillId="3" borderId="1" xfId="0" applyNumberFormat="1" applyFont="1" applyFill="1" applyBorder="1" applyAlignment="1">
      <alignment horizontal="center" vertical="center"/>
    </xf>
    <xf numFmtId="164" fontId="0" fillId="0" borderId="0" xfId="0" applyNumberFormat="1" applyAlignment="1" applyProtection="1">
      <alignment horizontal="center" vertical="center"/>
      <protection locked="0"/>
    </xf>
    <xf numFmtId="166" fontId="0" fillId="2" borderId="1" xfId="0" applyNumberFormat="1" applyFont="1" applyFill="1" applyBorder="1" applyAlignment="1">
      <alignment horizontal="center" vertical="center"/>
    </xf>
    <xf numFmtId="165" fontId="0" fillId="2" borderId="1" xfId="0" applyNumberFormat="1" applyFont="1" applyFill="1" applyBorder="1" applyAlignment="1">
      <alignment horizontal="center" vertical="center"/>
    </xf>
    <xf numFmtId="14" fontId="0" fillId="2" borderId="1" xfId="0" applyNumberFormat="1" applyFont="1" applyFill="1" applyBorder="1" applyAlignment="1">
      <alignment horizontal="center" vertical="center"/>
    </xf>
    <xf numFmtId="164" fontId="0" fillId="2" borderId="1" xfId="0" applyNumberFormat="1" applyFont="1" applyFill="1" applyBorder="1" applyAlignment="1">
      <alignment horizontal="center" vertical="center"/>
    </xf>
    <xf numFmtId="0" fontId="0" fillId="0" borderId="0" xfId="0" applyNumberFormat="1" applyAlignment="1" applyProtection="1">
      <alignment horizontal="center" vertical="center" wrapText="1"/>
      <protection locked="0"/>
    </xf>
    <xf numFmtId="0" fontId="0" fillId="0" borderId="0" xfId="0" applyAlignment="1" applyProtection="1">
      <alignment horizontal="center" vertical="center" wrapText="1"/>
      <protection locked="0"/>
    </xf>
    <xf numFmtId="0" fontId="14" fillId="4" borderId="1" xfId="0" applyFont="1" applyFill="1" applyBorder="1" applyAlignment="1" applyProtection="1">
      <alignment horizontal="center" vertical="center"/>
      <protection locked="0"/>
    </xf>
    <xf numFmtId="0" fontId="14" fillId="4" borderId="42" xfId="0" applyFont="1" applyFill="1" applyBorder="1" applyAlignment="1" applyProtection="1">
      <alignment horizontal="center" vertical="center"/>
      <protection locked="0"/>
    </xf>
    <xf numFmtId="0" fontId="0" fillId="0" borderId="7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" fillId="0" borderId="30" xfId="0" applyFont="1" applyBorder="1" applyAlignment="1">
      <alignment horizontal="center" vertical="center"/>
    </xf>
    <xf numFmtId="0" fontId="1" fillId="0" borderId="32" xfId="0" applyFont="1" applyBorder="1" applyAlignment="1">
      <alignment horizontal="center" vertical="center"/>
    </xf>
    <xf numFmtId="0" fontId="8" fillId="0" borderId="0" xfId="0" applyFont="1" applyAlignment="1">
      <alignment horizontal="center" vertical="top"/>
    </xf>
    <xf numFmtId="0" fontId="10" fillId="0" borderId="5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0" fillId="0" borderId="2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2" fillId="0" borderId="2" xfId="0" applyFont="1" applyBorder="1" applyAlignment="1">
      <alignment horizontal="center" vertical="center" textRotation="90"/>
    </xf>
    <xf numFmtId="0" fontId="2" fillId="0" borderId="5" xfId="0" applyFont="1" applyBorder="1" applyAlignment="1">
      <alignment horizontal="center" vertical="center" textRotation="90"/>
    </xf>
    <xf numFmtId="0" fontId="2" fillId="0" borderId="7" xfId="0" applyFont="1" applyBorder="1" applyAlignment="1">
      <alignment horizontal="center" vertical="center" textRotation="90"/>
    </xf>
    <xf numFmtId="0" fontId="6" fillId="0" borderId="10" xfId="0" applyFont="1" applyBorder="1" applyAlignment="1">
      <alignment horizontal="center" vertical="center" wrapText="1"/>
    </xf>
    <xf numFmtId="0" fontId="6" fillId="0" borderId="13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5" fillId="0" borderId="0" xfId="0" applyFont="1" applyAlignment="1">
      <alignment horizontal="left" vertical="center"/>
    </xf>
    <xf numFmtId="0" fontId="12" fillId="0" borderId="36" xfId="0" applyFont="1" applyBorder="1" applyAlignment="1">
      <alignment horizontal="center" vertical="center" textRotation="90"/>
    </xf>
    <xf numFmtId="0" fontId="12" fillId="0" borderId="37" xfId="0" applyFont="1" applyBorder="1" applyAlignment="1">
      <alignment horizontal="center" vertical="center" textRotation="90"/>
    </xf>
    <xf numFmtId="0" fontId="12" fillId="0" borderId="38" xfId="0" applyFont="1" applyBorder="1" applyAlignment="1">
      <alignment horizontal="center" vertical="center" textRotation="90"/>
    </xf>
    <xf numFmtId="0" fontId="12" fillId="0" borderId="39" xfId="0" applyFont="1" applyBorder="1" applyAlignment="1">
      <alignment horizontal="center" vertical="center" textRotation="90"/>
    </xf>
    <xf numFmtId="0" fontId="12" fillId="0" borderId="0" xfId="0" applyFont="1" applyBorder="1" applyAlignment="1">
      <alignment horizontal="center" vertical="center" textRotation="90"/>
    </xf>
    <xf numFmtId="0" fontId="12" fillId="0" borderId="24" xfId="0" applyFont="1" applyBorder="1" applyAlignment="1">
      <alignment horizontal="center" vertical="center" textRotation="90"/>
    </xf>
    <xf numFmtId="0" fontId="0" fillId="0" borderId="2" xfId="0" applyBorder="1" applyAlignment="1">
      <alignment horizontal="center" vertical="center"/>
    </xf>
    <xf numFmtId="0" fontId="1" fillId="0" borderId="31" xfId="0" applyFont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</cellXfs>
  <cellStyles count="29">
    <cellStyle name="Lien hypertexte" xfId="1" builtinId="8" hidden="1"/>
    <cellStyle name="Lien hypertexte" xfId="3" builtinId="8" hidden="1"/>
    <cellStyle name="Lien hypertexte" xfId="5" builtinId="8" hidden="1"/>
    <cellStyle name="Lien hypertexte" xfId="7" builtinId="8" hidden="1"/>
    <cellStyle name="Lien hypertexte" xfId="9" builtinId="8" hidden="1"/>
    <cellStyle name="Lien hypertexte" xfId="11" builtinId="8" hidden="1"/>
    <cellStyle name="Lien hypertexte" xfId="13" builtinId="8" hidden="1"/>
    <cellStyle name="Lien hypertexte" xfId="15" builtinId="8" hidden="1"/>
    <cellStyle name="Lien hypertexte" xfId="17" builtinId="8" hidden="1"/>
    <cellStyle name="Lien hypertexte" xfId="19" builtinId="8" hidden="1"/>
    <cellStyle name="Lien hypertexte" xfId="21" builtinId="8" hidden="1"/>
    <cellStyle name="Lien hypertexte" xfId="23" builtinId="8" hidden="1"/>
    <cellStyle name="Lien hypertexte" xfId="25" builtinId="8" hidden="1"/>
    <cellStyle name="Lien hypertexte" xfId="27" builtinId="8" hidden="1"/>
    <cellStyle name="Lien hypertexte visité" xfId="2" builtinId="9" hidden="1"/>
    <cellStyle name="Lien hypertexte visité" xfId="4" builtinId="9" hidden="1"/>
    <cellStyle name="Lien hypertexte visité" xfId="6" builtinId="9" hidden="1"/>
    <cellStyle name="Lien hypertexte visité" xfId="8" builtinId="9" hidden="1"/>
    <cellStyle name="Lien hypertexte visité" xfId="10" builtinId="9" hidden="1"/>
    <cellStyle name="Lien hypertexte visité" xfId="12" builtinId="9" hidden="1"/>
    <cellStyle name="Lien hypertexte visité" xfId="14" builtinId="9" hidden="1"/>
    <cellStyle name="Lien hypertexte visité" xfId="16" builtinId="9" hidden="1"/>
    <cellStyle name="Lien hypertexte visité" xfId="18" builtinId="9" hidden="1"/>
    <cellStyle name="Lien hypertexte visité" xfId="20" builtinId="9" hidden="1"/>
    <cellStyle name="Lien hypertexte visité" xfId="22" builtinId="9" hidden="1"/>
    <cellStyle name="Lien hypertexte visité" xfId="24" builtinId="9" hidden="1"/>
    <cellStyle name="Lien hypertexte visité" xfId="26" builtinId="9" hidden="1"/>
    <cellStyle name="Lien hypertexte visité" xfId="28" builtinId="9" hidden="1"/>
    <cellStyle name="Normal" xfId="0" builtinId="0"/>
  </cellStyles>
  <dxfs count="58">
    <dxf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indexed="64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h:mm;@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scheme val="minor"/>
      </font>
      <numFmt numFmtId="164" formatCode="h:mm;@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h:mm;@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h:mm;@"/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h:mm;@"/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h:mm;@"/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h:mm;@"/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/>
        <top style="thin">
          <color auto="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h:mm;@"/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/>
        <top style="thin">
          <color auto="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h:mm;@"/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h:mm;@"/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h:mm;@"/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h:mm;@"/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h:mm;@"/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h:mm;@"/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h:mm;@"/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h:mm;@"/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h:mm;@"/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h:mm;@"/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h:mm;@"/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h:mm;@"/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h:mm;@"/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h:mm;@"/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h:mm;@"/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h:mm;@"/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h:mm;@"/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h:mm;@"/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h:mm;@"/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7" formatCode="dd/mm/yyyy"/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5" formatCode="mmm"/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6" formatCode="yyyy"/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auto="1"/>
        </top>
        <bottom/>
      </border>
    </dxf>
    <dxf>
      <border outline="0">
        <left style="thin">
          <color indexed="64"/>
        </left>
        <right style="thin">
          <color auto="1"/>
        </right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fill>
        <patternFill patternType="solid">
          <fgColor theme="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theme" Target="theme/theme1.xml"/><Relationship Id="rId6" Type="http://schemas.openxmlformats.org/officeDocument/2006/relationships/styles" Target="styles.xml"/><Relationship Id="rId7" Type="http://schemas.openxmlformats.org/officeDocument/2006/relationships/sharedStrings" Target="sharedStrings.xml"/><Relationship Id="rId8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tables/table1.xml><?xml version="1.0" encoding="utf-8"?>
<table xmlns="http://schemas.openxmlformats.org/spreadsheetml/2006/main" id="3" name="Tableau3" displayName="Tableau3" ref="A1:AV22" totalsRowShown="0" headerRowDxfId="57" dataDxfId="56" tableBorderDxfId="55">
  <autoFilter ref="A1:AV22"/>
  <tableColumns count="48">
    <tableColumn id="1" name="Référence" dataDxfId="54">
      <calculatedColumnFormula>CONCATENATE($F2,$E2)</calculatedColumnFormula>
    </tableColumn>
    <tableColumn id="2" name="Année" dataDxfId="53">
      <calculatedColumnFormula>IF(E2="","",$E2)</calculatedColumnFormula>
    </tableColumn>
    <tableColumn id="3" name="Mois" dataDxfId="52">
      <calculatedColumnFormula>IF(E2="","",E2)</calculatedColumnFormula>
    </tableColumn>
    <tableColumn id="4" name="Semaine" dataDxfId="51">
      <calculatedColumnFormula>IF(E2="","",WEEKNUM(E2,2))</calculatedColumnFormula>
    </tableColumn>
    <tableColumn id="5" name="DATE" dataDxfId="50"/>
    <tableColumn id="6" name="Chauffeur" dataDxfId="49"/>
    <tableColumn id="7" name="ABSENCE_x000a_+ JF" dataDxfId="48"/>
    <tableColumn id="8" name="N° Camion" dataDxfId="47"/>
    <tableColumn id="9" name="Km Début" dataDxfId="46"/>
    <tableColumn id="10" name="Km Fin" dataDxfId="45"/>
    <tableColumn id="11" name="Total Km" dataDxfId="44">
      <calculatedColumnFormula>Tableau3[[#This Row],[Km Fin]]-Tableau3[[#This Row],[Km Début]]</calculatedColumnFormula>
    </tableColumn>
    <tableColumn id="12" name="DEBUT" dataDxfId="43"/>
    <tableColumn id="13" name="ACTIVITE" dataDxfId="42"/>
    <tableColumn id="14" name="FIN" dataDxfId="41"/>
    <tableColumn id="16" name="ACTIVITE2" dataDxfId="40"/>
    <tableColumn id="17" name="FIN4" dataDxfId="39"/>
    <tableColumn id="19" name="ACTIVITE3" dataDxfId="38"/>
    <tableColumn id="20" name="FIN7" dataDxfId="37"/>
    <tableColumn id="22" name="ACTIVITE4" dataDxfId="36"/>
    <tableColumn id="23" name="FIN10" dataDxfId="35"/>
    <tableColumn id="24" name="ACTIVITE5" dataDxfId="34"/>
    <tableColumn id="25" name="FIN11" dataDxfId="33"/>
    <tableColumn id="26" name="ACTIVITE6" dataDxfId="32"/>
    <tableColumn id="27" name="FIN12" dataDxfId="31"/>
    <tableColumn id="28" name="ACTIVITE7" dataDxfId="30"/>
    <tableColumn id="29" name="FIN13" dataDxfId="29"/>
    <tableColumn id="30" name="ACTIVITE8" dataDxfId="28"/>
    <tableColumn id="31" name="FIN14" dataDxfId="27"/>
    <tableColumn id="32" name="ACTIVITE9" dataDxfId="26"/>
    <tableColumn id="33" name="FIN15" dataDxfId="25"/>
    <tableColumn id="34" name="ACTIVITE10" dataDxfId="24"/>
    <tableColumn id="35" name="FIN16" dataDxfId="23"/>
    <tableColumn id="42" name="TOTAL EFFECTIF" dataDxfId="22">
      <calculatedColumnFormula>MOD(Tableau3[[#This Row],[CHARGEMENT]]+Tableau3[[#This Row],[DECHARGEMENT]]+Tableau3[[#This Row],[CONDUITE]]+Tableau3[[#This Row],[GASOIL
EMBALLAGE]]+Tableau3[[#This Row],[ADMINISTRATIF]],1)</calculatedColumnFormula>
    </tableColumn>
    <tableColumn id="43" name="CHARGEMENT" dataDxfId="21">
      <calculatedColumnFormula>MOD(IF($M2=AH$1,$N2-$L2,0)+IF($O2=AH$1,$P2-$N2,0)+IF($Q2=AH$1,$R2-$P2,0)+IF($S2=AH$1,$T2-$R2,0)+IF($U2=AH$1,$V2-$T2,0)+IF($W2=AH$1,$X2-$V2,0)+IF($Y2=AH$1,$Z2-$X2,0)+IF($AA2=AH$1,$AB2-$Z2,0)+IF($AC2=AH$1,$AD2-$AB2,0)+IF($AE2=AH$1,$AF2-$AD2,0),1)</calculatedColumnFormula>
    </tableColumn>
    <tableColumn id="44" name="CONDUITE" dataDxfId="20">
      <calculatedColumnFormula>MOD(IF($M2=AI$1,$N2-$L2,0)+IF($O2=AI$1,$P2-$N2,0)+IF($Q2=AI$1,$R2-$P2,0)+IF($S2=AI$1,$T2-$R2,0)+IF($U2=AI$1,$V2-$T2,0)+IF($W2=AI$1,$X2-$V2,0)+IF($Y2=AI$1,$Z2-$X2,0)+IF($AA2=AI$1,$AB2-$Z2,0)+IF($AC2=AI$1,$AD2-$AB2,0)+IF($AE2=AI$1,$AF2-$AD2,0),1)</calculatedColumnFormula>
    </tableColumn>
    <tableColumn id="45" name="DECHARGEMENT" dataDxfId="19">
      <calculatedColumnFormula>MOD(IF($M2=AJ$1,$N2-$L2,0)+IF($O2=AJ$1,$P2-$N2,0)+IF($Q2=AJ$1,$R2-$P2,0)+IF($S2=AJ$1,$T2-$R2,0)+IF($U2=AJ$1,$V2-$T2,0)+IF($W2=AJ$1,$X2-$V2,0)+IF($Y2=AJ$1,$Z2-$X2,0)+IF($AA2=AJ$1,$AB2-$Z2,0)+IF($AC2=AJ$1,$AD2-$AB2,0)+IF($AE2=AJ$1,$AF2-$AD2,0),1)</calculatedColumnFormula>
    </tableColumn>
    <tableColumn id="46" name="GASOIL_x000a_EMBALLAGE" dataDxfId="18">
      <calculatedColumnFormula>MOD(IF($M2=AK$1,$N2-$L2,0)+IF($O2=AK$1,$P2-$N2,0)+IF($Q2=AK$1,$R2-$P2,0)+IF($S2=AK$1,$T2-$R2,0)+IF($U2=AK$1,$V2-$T2,0)+IF($W2=AK$1,$X2-$V2,0)+IF($Y2=AK$1,$Z2-$X2,0)+IF($AA2=AK$1,$AB2-$Z2,0)+IF($AC2=AK$1,$AD2-$AB2,0)+IF($AE2=AK$1,$AF2-$AD2,0),1)</calculatedColumnFormula>
    </tableColumn>
    <tableColumn id="47" name="ADMINISTRATIF" dataDxfId="17">
      <calculatedColumnFormula>MOD(IF($M2=AL$1,$N2-$L2,0)+IF($O2=AL$1,$P2-$N2,0)+IF($Q2=AL$1,$R2-$P2,0)+IF($S2=AL$1,$T2-$R2,0)+IF($U2=AL$1,$V2-$T2,0)+IF($W2=AL$1,$X2-$V2,0)+IF($Y2=AL$1,$Z2-$X2,0)+IF($AA2=AL$1,$AB2-$Z2,0)+IF($AC2=AL$1,$AD2-$AB2,0)+IF($AE2=AL$1,$AF2-$AD2,0),1)</calculatedColumnFormula>
    </tableColumn>
    <tableColumn id="48" name="PAUSE 1" dataDxfId="16">
      <calculatedColumnFormula>MOD(IF($M2=AM$1,$N2-$L2,0)+IF($O2=AM$1,$P2-$N2,0)+IF($Q2=AM$1,$R2-$P2,0)+IF($S2=AM$1,$T2-$R2,0)+IF($U2=AM$1,$V2-$T2,0)+IF($W2=AM$1,$X2-$V2,0)+IF($Y2=AM$1,$Z2-$X2,0)+IF($AA2=AM$1,$AB2-$Z2,0)+IF($AC2=AM$1,$AD2-$AB2,0)+IF($AE2=AM$1,$AF2-$AD2,0),1)</calculatedColumnFormula>
    </tableColumn>
    <tableColumn id="15" name="PAUSE 2" dataDxfId="15">
      <calculatedColumnFormula>MOD(IF($M2=AN$1,$N2-$L2,0)+IF($O2=AN$1,$P2-$N2,0)+IF($Q2=AN$1,$R2-$P2,0)+IF($S2=AN$1,$T2-$R2,0)+IF($U2=AN$1,$V2-$T2,0)+IF($W2=AN$1,$X2-$V2,0)+IF($Y2=AN$1,$Z2-$X2,0)+IF($AA2=AN$1,$AB2-$Z2,0)+IF($AC2=AN$1,$AD2-$AB2,0)+IF($AE2=AN$1,$AF2-$AD2,0),1)</calculatedColumnFormula>
    </tableColumn>
    <tableColumn id="38" name="TOTAL PAUSE" dataDxfId="14">
      <calculatedColumnFormula>MOD(Tableau3[[#This Row],[PAUSE 1]]+Tableau3[[#This Row],[PAUSE 2]],1)</calculatedColumnFormula>
    </tableColumn>
    <tableColumn id="49" name="DEL" dataDxfId="13">
      <calculatedColumnFormula>MOD(IF($M2=AP$1,$N2-$L2,0)+IF($O2=AP$1,$P2-$N2,0)+IF($Q2=AP$1,$R2-$P2,0)+IF($S2=AP$1,$T2-$R2,0)+IF($U2=AP$1,$V2-$T2,0)+IF($W2=AP$1,$X2-$V2,0)+IF($Y2=AP$1,$Z2-$X2,0)+IF($AA2=AP$1,$AB2-$Z2,0)+IF($AC2=AP$1,$AD2-$AB2,0)+IF($AE2=AP$1,$AF2-$AD2,0),1)</calculatedColumnFormula>
    </tableColumn>
    <tableColumn id="50" name="DIR" dataDxfId="12">
      <calculatedColumnFormula>MOD(IF($M2=AQ$1,$N2-$L2,0)+IF($O2=AQ$1,$P2-$N2,0)+IF($Q2=AQ$1,$R2-$P2,0)+IF($S2=AQ$1,$T2-$R2,0)+IF($U2=AQ$1,$V2-$T2,0)+IF($W2=AQ$1,$X2-$V2,0)+IF($Y2=AQ$1,$Z2-$X2,0)+IF($AA2=AQ$1,$AB2-$Z2,0)+IF($AC2=AQ$1,$AD2-$AB2,0)+IF($AE2=AQ$1,$AF2-$AD2,0),1)</calculatedColumnFormula>
    </tableColumn>
    <tableColumn id="51" name="FORMATION" dataDxfId="11">
      <calculatedColumnFormula>MOD(IF($M2=AR$1,$N2-$L2,0)+IF($O2=AR$1,$P2-$N2,0)+IF($Q2=AR$1,$R2-$P2,0)+IF($S2=AR$1,$T2-$R2,0)+IF($U2=AR$1,$V2-$T2,0)+IF($W2=AR$1,$X2-$V2,0)+IF($Y2=AR$1,$Z2-$X2,0)+IF($AA2=AR$1,$AB2-$Z2,0)+IF($AC2=AR$1,$AD2-$AB2,0)+IF($AE2=AR$1,$AF2-$AD2,0),1)</calculatedColumnFormula>
    </tableColumn>
    <tableColumn id="18" name="Temps Total" dataDxfId="10">
      <calculatedColumnFormula>Tableau3[[#This Row],[TOTAL EFFECTIF]]+Tableau3[[#This Row],[TOTAL PAUSE]]</calculatedColumnFormula>
    </tableColumn>
    <tableColumn id="21" name="ALERTE 10H" dataDxfId="9">
      <calculatedColumnFormula>IF(Tableau3[[#This Row],[TOTAL EFFECTIF]]+Tableau3[[#This Row],[DEL]]+Tableau3[[#This Row],[DIR]]+Tableau3[[#This Row],[FORMATION]]&gt;Feuil2!$E$2,"INFRACTION","")</calculatedColumnFormula>
    </tableColumn>
    <tableColumn id="36" name="ALERTE 6H" dataDxfId="8">
      <calculatedColumnFormula>IFERROR(IF(Tableau3[[#This Row],[TOTAL EFFECTIF]]&gt;=Feuil2!$F$2,IF(Tableau3[[#This Row],[PAUSE 1]]&gt;0,IF(IF(M2="PAUSE 1",L2,IF(O2="PAUSE 1",N2,IF(Q2="PAUSE 1",P2,IF(S2="PAUSE 1",R2,IF(U2="PAUSE 1",T2,IF(W2="PAUSE 1",V2,IF(Y2="PAUSE 1",X2,IF(AA2="PAUSE 1",Z2,IF(AC2="PAUSE 1",AB2,IF(AE2="PAUSE 1",AD2,""))))))))))-Tableau3[[#This Row],[DEBUT]]&lt;Feuil2!$F$2,IF(AM2&gt;=Feuil2!$F$3,"",IF(IF(M2="PAUSE 2",L2,IF(O2="PAUSE 2",N2,IF(Q2="PAUSE 2",P2,IF(S2="PAUSE 2",R2,IF(U2="PAUSE 2",T2,IF(W2="PAUSE 2",V2,IF(Y2="PAUSE 2",X2,IF(AA2="PAUSE 2",Z2,IF(AC2="PAUSE 2",AB2,IF(AE2="PAUSE 2",AD2,""))))))))))-L2&lt;Feuil2!$F$2,IF(AN2&gt;0,IF(AO2&gt;=Feuil2!$F$3,"","Infraction"),"Infraction"),"Infraction")),"Infraction"),"Infraction"),""),"Infraction")</calculatedColumnFormula>
    </tableColumn>
    <tableColumn id="37" name="ALERTE 4H30" dataDxfId="7">
      <calculatedColumnFormula>IF($AI2&gt;=Feuil2!$G$2,IF(AM2&gt;0,IF(IF(M2="PAUSE 1",L2,IF(O2="PAUSE 1",N2-L2,IF(Q2="PAUSE 1",P2-L2,IF(S2="PAUSE 1",R2-L2,IF(U2="PAUSE 1",T2-L2,IF(W2="PAUSE 1",V2-L2,IF(Y2="PAUSE 1",X2-L2,IF(AA2="PAUSE 1",Z2-L2,IF(AC2="PAUSE 1",AB2-L2,IF(AE2="PAUSE 1",AD2-L2,""))))))))))-$N2&lt;=Feuil2!$G$2,IF(AM2&lt;Feuil2!$G$3,"Infraction",IF(AM2&gt;=Feuil2!$G$5,"",IF(AN2&gt;0,IF(IF(M2="PAUSE 2",L2,IF(O2="PAUSE 2",N2,IF(Q2="PAUSE 2",P2,IF(S2="PAUSE 2",R2,IF(U2="PAUSE 2",T2,IF(W2="PAUSE 2",V2,IF(Y2="PAUSE 2",X2,IF(AA2="PAUSE 2",Z2,IF(AC2="PAUSE 2",AB2,IF(AE2="PAUSE 2",AD2,""))))))))))-$N2&lt;=Feuil2!$G$2,IF(AN2&lt;Feuil2!$G$4,"Infraction",IF(AO2&gt;=Feuil2!$G$5,"","Infraction")),"Infraction"),"Infraction"))),"Infraction"),"Infraction"),"")</calculatedColumnFormula>
    </tableColumn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1" name="Tableau1" displayName="Tableau1" ref="A1:E31" totalsRowShown="0" headerRowDxfId="6" dataDxfId="5">
  <autoFilter ref="A1:E31"/>
  <tableColumns count="5">
    <tableColumn id="1" name="POSITION" dataDxfId="4"/>
    <tableColumn id="2" name="MATRICULE" dataDxfId="3"/>
    <tableColumn id="3" name="NOM" dataDxfId="2"/>
    <tableColumn id="4" name="PRENOM" dataDxfId="1"/>
    <tableColumn id="5" name="BASE CONTRAT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pageSetUpPr fitToPage="1"/>
  </sheetPr>
  <dimension ref="A1:Q495"/>
  <sheetViews>
    <sheetView workbookViewId="0">
      <selection activeCell="S9" sqref="S9"/>
    </sheetView>
  </sheetViews>
  <sheetFormatPr baseColWidth="10" defaultRowHeight="14" x14ac:dyDescent="0"/>
  <cols>
    <col min="1" max="1" width="6.5" style="3" customWidth="1"/>
    <col min="2" max="2" width="5" style="1" customWidth="1"/>
    <col min="3" max="3" width="10.83203125" style="2"/>
    <col min="4" max="4" width="12.1640625" style="2" customWidth="1"/>
    <col min="5" max="7" width="11.6640625" style="2" customWidth="1"/>
    <col min="8" max="8" width="11.6640625" style="3" customWidth="1"/>
    <col min="9" max="10" width="11.6640625" style="2" customWidth="1"/>
    <col min="11" max="11" width="7.33203125" style="2" customWidth="1"/>
    <col min="12" max="12" width="15" style="2" customWidth="1"/>
    <col min="13" max="13" width="11.6640625" style="2" customWidth="1"/>
    <col min="14" max="14" width="3.6640625" style="2" customWidth="1"/>
    <col min="15" max="15" width="14.33203125" style="2" customWidth="1"/>
    <col min="16" max="16384" width="10.83203125" style="2"/>
  </cols>
  <sheetData>
    <row r="1" spans="1:17" s="3" customFormat="1" ht="25" customHeight="1">
      <c r="B1" s="114" t="str">
        <f>CONCATENATE("SUIVI ANNUALISATION MOIS DE ",CHOOSE(MONTH(C20),"JANVIER","FEVRIER","MARS","AVRIL","MAI","JUIN","JUILLET","AOUT","SEPTEMBRE","OCTOBRE","NOVEMBRE","DECEMBRE")," ",YEAR(C14))</f>
        <v>SUIVI ANNUALISATION MOIS DE SEPTEMBRE 2018</v>
      </c>
      <c r="C1" s="114"/>
      <c r="D1" s="114"/>
      <c r="E1" s="114"/>
      <c r="F1" s="114"/>
      <c r="G1" s="114"/>
      <c r="H1" s="114"/>
      <c r="I1" s="114"/>
      <c r="J1" s="114"/>
      <c r="K1" s="114"/>
      <c r="L1" s="114"/>
      <c r="M1" s="114"/>
      <c r="N1" s="22"/>
      <c r="O1" s="22"/>
    </row>
    <row r="2" spans="1:17" s="3" customFormat="1" ht="25" customHeight="1">
      <c r="B2" s="114"/>
      <c r="C2" s="114"/>
      <c r="D2" s="114"/>
      <c r="E2" s="114"/>
      <c r="F2" s="114"/>
      <c r="G2" s="114"/>
      <c r="H2" s="114"/>
      <c r="I2" s="114"/>
      <c r="J2" s="114"/>
      <c r="K2" s="114"/>
      <c r="L2" s="114"/>
      <c r="M2" s="114"/>
    </row>
    <row r="3" spans="1:17" ht="25" customHeight="1">
      <c r="A3" s="8">
        <v>1</v>
      </c>
      <c r="B3" s="127" t="str">
        <f>CONCATENATE("MATRICULE"," ",":"," ",VLOOKUP(A3,XTIME!$A$1:$E$31,2,FALSE))</f>
        <v xml:space="preserve">MATRICULE : </v>
      </c>
      <c r="C3" s="127"/>
      <c r="D3" s="127"/>
      <c r="E3" s="127"/>
      <c r="F3" s="127"/>
      <c r="G3" s="127"/>
      <c r="H3" s="127"/>
      <c r="I3" s="127"/>
      <c r="J3" s="127"/>
      <c r="K3" s="126" t="s">
        <v>13</v>
      </c>
      <c r="L3" s="126"/>
      <c r="N3" s="20"/>
    </row>
    <row r="4" spans="1:17" s="3" customFormat="1" ht="25" customHeight="1" thickBot="1">
      <c r="B4" s="128" t="str">
        <f>CONCATENATE("NOM : ",VLOOKUP(A3,XTIME!$A$1:$E$31,3,FALSE)," ",VLOOKUP(A3,XTIME!$A$1:$E$31,4,FALSE))</f>
        <v xml:space="preserve">NOM : Jackson </v>
      </c>
      <c r="C4" s="128"/>
      <c r="D4" s="128"/>
      <c r="E4" s="128"/>
      <c r="F4" s="128"/>
      <c r="G4" s="128"/>
      <c r="H4" s="128"/>
      <c r="I4" s="128"/>
      <c r="J4" s="128"/>
      <c r="K4" s="120">
        <f>VLOOKUP(A3,XTIME!$A$1:$E$31,5,FALSE)</f>
        <v>43</v>
      </c>
      <c r="L4" s="120"/>
      <c r="N4" s="21"/>
    </row>
    <row r="5" spans="1:17" s="7" customFormat="1" ht="25" customHeight="1" thickBot="1">
      <c r="B5" s="124" t="s">
        <v>0</v>
      </c>
      <c r="C5" s="125"/>
      <c r="D5" s="13" t="s">
        <v>8</v>
      </c>
      <c r="E5" s="9" t="s">
        <v>31</v>
      </c>
      <c r="F5" s="9" t="s">
        <v>32</v>
      </c>
      <c r="G5" s="19" t="s">
        <v>14</v>
      </c>
      <c r="H5" s="10" t="s">
        <v>30</v>
      </c>
      <c r="I5" s="77" t="s">
        <v>83</v>
      </c>
      <c r="J5" s="78" t="s">
        <v>84</v>
      </c>
      <c r="Q5" s="3"/>
    </row>
    <row r="6" spans="1:17" ht="25" customHeight="1" thickBot="1">
      <c r="B6" s="121" t="str">
        <f>CONCATENATE("SEMAINE"," ",WEEKNUM(C11))</f>
        <v>SEMAINE 35</v>
      </c>
      <c r="C6" s="11"/>
      <c r="D6" s="66" t="str">
        <f>IF(ISNA((HOUR(VLOOKUP(CONCATENATE(VLOOKUP($A$3,XTIME!$A$1:$E$31,3,FALSE),$C6),Tableau3[[Référence]:[FORMATION]],34,FALSE))*60+MINUTE(VLOOKUP(CONCATENATE(VLOOKUP($A$3,XTIME!$A$1:$E$31,3,FALSE),$C6),Tableau3[[Référence]:[FORMATION]],34,FALSE)))/60)=TRUE,"",((HOUR(VLOOKUP(CONCATENATE(VLOOKUP($A$3,XTIME!$A$1:$E$31,3,FALSE),$C6),Tableau3[[Référence]:[FORMATION]],34,FALSE))*60+MINUTE(VLOOKUP(CONCATENATE(VLOOKUP($A$3,XTIME!$A$1:$E$31,3,FALSE),$C6),Tableau3[[Référence]:[FORMATION]],34,FALSE)))/60))</f>
        <v/>
      </c>
      <c r="E6" s="69" t="str">
        <f>IF(ISNA((HOUR(VLOOKUP(CONCATENATE(VLOOKUP($A$3,XTIME!$A$1:$E$31,3,FALSE),$C6),Tableau3[[Référence]:[FORMATION]],40,FALSE))*60+MINUTE(VLOOKUP(CONCATENATE(VLOOKUP($A$3,XTIME!$A$1:$E$31,3,FALSE),$C6),Tableau3[[Référence]:[FORMATION]],40,FALSE)))/60)=TRUE,"",((HOUR(VLOOKUP(CONCATENATE(VLOOKUP($A$3,XTIME!$A$1:$E$31,3,FALSE),$C6),Tableau3[[Référence]:[FORMATION]],40,FALSE))*60+MINUTE(VLOOKUP(CONCATENATE(VLOOKUP($A$3,XTIME!$A$1:$E$31,3,FALSE),$C6),Tableau3[[Référence]:[FORMATION]],40,FALSE)))/60))</f>
        <v/>
      </c>
      <c r="F6" s="69" t="str">
        <f>IF(ISNA((HOUR(VLOOKUP(CONCATENATE(VLOOKUP($A$3,XTIME!$A$1:$E$31,3,FALSE),$C6),Tableau3[[Référence]:[FORMATION]],41,FALSE))*60+MINUTE(VLOOKUP(CONCATENATE(VLOOKUP($A$3,XTIME!$A$1:$E$31,3,FALSE),$C6),Tableau3[[Référence]:[FORMATION]],41,FALSE)))/60)=TRUE,"",((HOUR(VLOOKUP(CONCATENATE(VLOOKUP($A$3,XTIME!$A$1:$E$31,3,FALSE),$C6),Tableau3[[Référence]:[FORMATION]],41,FALSE))*60+MINUTE(VLOOKUP(CONCATENATE(VLOOKUP($A$3,XTIME!$A$1:$E$31,3,FALSE),$C6),Tableau3[[Référence]:[FORMATION]],41,FALSE)))/60))</f>
        <v/>
      </c>
      <c r="G6" s="39" t="str">
        <f>IF(ISNA((HOUR(VLOOKUP(CONCATENATE(VLOOKUP($A$3,XTIME!$A$1:$E$31,3,FALSE),$C6),Tableau3[[Référence]:[FORMATION]],42,FALSE))*60+MINUTE(VLOOKUP(CONCATENATE(VLOOKUP($A$3,XTIME!$A$1:$E$31,3,FALSE),$C6),Tableau3[[Référence]:[FORMATION]],42,FALSE)))/60)=TRUE,"",((HOUR(VLOOKUP(CONCATENATE(VLOOKUP($A$3,XTIME!$A$1:$E$31,3,FALSE),$C6),Tableau3[[Référence]:[FORMATION]],42,FALSE))*60+MINUTE(VLOOKUP(CONCATENATE(VLOOKUP($A$3,XTIME!$A$1:$E$31,3,FALSE),$C6),Tableau3[[Référence]:[FORMATION]],42,FALSE)))/60))</f>
        <v/>
      </c>
      <c r="H6" s="5" t="str">
        <f>IF(ISNA(VLOOKUP(CONCATENATE(VLOOKUP($A$3,XTIME!$A$1:$E$31,3,FALSE),$C6),Tableau3[[Référence]:[FORMATION]],7,FALSE))=TRUE,"",VLOOKUP(CONCATENATE(VLOOKUP($A$3,XTIME!$A$1:$E$31,3,FALSE),$C6),Tableau3[[Référence]:[FORMATION]],7,FALSE))</f>
        <v/>
      </c>
      <c r="I6" s="38" t="str">
        <f>IFERROR((HOUR(IF(C6="","",MIN(IF((VLOOKUP(CONCATENATE(VLOOKUP($A$3,XTIME!$A$1:$E$31,3,FALSE),C6),'Fiche Horaire'!A:AR,12,FALSE)+VLOOKUP(CONCATENATE(VLOOKUP($A$3,XTIME!$A$1:$E$31,3,FALSE),C6),'Fiche Horaire'!A:AR,33,FALSE))&gt;Feuil2!$C$2,VLOOKUP(CONCATENATE(VLOOKUP($A$3,XTIME!$A$1:$E$31,3,FALSE),C6),'Fiche Horaire'!A:AR,33,FALSE)+VLOOKUP(CONCATENATE(VLOOKUP($A$3,XTIME!$A$1:$E$31,3,FALSE),C6),'Fiche Horaire'!A:AR,12,FALSE)-Feuil2!$C$2,"X"),Feuil2!$C$3)))*60+MINUTE(IF(C6="","",MIN(IF((VLOOKUP(CONCATENATE(VLOOKUP($A$3,XTIME!$A$1:$E$31,3,FALSE),C6),'Fiche Horaire'!A:AR,12,FALSE)+VLOOKUP(CONCATENATE(VLOOKUP($A$3,XTIME!$A$1:$E$31,3,FALSE),C6),'Fiche Horaire'!A:AR,33,FALSE))&gt;Feuil2!$C$2,VLOOKUP(CONCATENATE(VLOOKUP($A$3,XTIME!$A$1:$E$31,3,FALSE),C6),'Fiche Horaire'!A:AR,33,FALSE)+VLOOKUP(CONCATENATE(VLOOKUP($A$3,XTIME!$A$1:$E$31,3,FALSE),C6),'Fiche Horaire'!A:AR,12,FALSE)-Feuil2!$C$2,"X"),Feuil2!$C$3))))/60,"")</f>
        <v/>
      </c>
      <c r="J6" s="92" t="str">
        <f>IFERROR((HOUR(IF(C6="","",IF(VLOOKUP(CONCATENATE(VLOOKUP($A$3,XTIME!$A$1:$E$31,3,FALSE),C6),'Fiche Horaire'!A:AR,12,FALSE)="","",IF((VLOOKUP(CONCATENATE(VLOOKUP($A$3,XTIME!$A$1:$E$31,3,FALSE),C6),'Fiche Horaire'!A:AR,12,FALSE))&lt;Feuil2!$D$2,Feuil2!$D$2-VLOOKUP(CONCATENATE(VLOOKUP($A$3,XTIME!$A$1:$E$31,3,FALSE),C6),'Fiche Horaire'!A:AR,12,FALSE),IF((VLOOKUP(CONCATENATE(VLOOKUP($A$3,XTIME!$A$1:$E$31,3,FALSE),C6),'Fiche Horaire'!A:AR,12,FALSE)+VLOOKUP(CONCATENATE(VLOOKUP($A$3,XTIME!$A$1:$E$31,3,FALSE),C6),'Fiche Horaire'!A:AR,33,FALSE))&gt;Feuil2!$D$3,VLOOKUP(CONCATENATE(VLOOKUP($A$3,XTIME!$A$1:$E$31,3,FALSE),C6),'Fiche Horaire'!A:AR,33,FALSE)+VLOOKUP(CONCATENATE(VLOOKUP($A$3,XTIME!$A$1:$E$31,3,FALSE),C6),'Fiche Horaire'!A:AR,12,FALSE)-Feuil2!$D$3,"")))))*60+MINUTE(IF(C6="","",IF(VLOOKUP(CONCATENATE(VLOOKUP($A$3,XTIME!$A$1:$E$31,3,FALSE),C6),'Fiche Horaire'!A:AR,12,FALSE)="","",IF((VLOOKUP(CONCATENATE(VLOOKUP($A$3,XTIME!$A$1:$E$31,3,FALSE),C6),'Fiche Horaire'!A:AR,12,FALSE))&lt;Feuil2!$D$2,Feuil2!$D$2-VLOOKUP(CONCATENATE(VLOOKUP($A$3,XTIME!$A$1:$E$31,3,FALSE),C6),'Fiche Horaire'!A:AR,12,FALSE),IF((VLOOKUP(CONCATENATE(VLOOKUP($A$3,XTIME!$A$1:$E$31,3,FALSE),C6),'Fiche Horaire'!A:AR,12,FALSE)+VLOOKUP(CONCATENATE(VLOOKUP($A$3,XTIME!$A$1:$E$31,3,FALSE),C6),'Fiche Horaire'!A:AR,33,FALSE))&gt;Feuil2!$D$3,VLOOKUP(CONCATENATE(VLOOKUP($A$3,XTIME!$A$1:$E$31,3,FALSE),C6),'Fiche Horaire'!A:AR,33,FALSE)+VLOOKUP(CONCATENATE(VLOOKUP($A$3,XTIME!$A$1:$E$31,3,FALSE),C6),'Fiche Horaire'!A:AR,12,FALSE)-Feuil2!$D$3,""))))))/60,"")</f>
        <v/>
      </c>
      <c r="L6" s="112" t="str">
        <f>B6</f>
        <v>SEMAINE 35</v>
      </c>
      <c r="M6" s="113"/>
      <c r="P6" s="3"/>
    </row>
    <row r="7" spans="1:17" ht="25" customHeight="1">
      <c r="B7" s="122"/>
      <c r="C7" s="12"/>
      <c r="D7" s="67" t="str">
        <f>IF(ISNA((HOUR(VLOOKUP(CONCATENATE(VLOOKUP($A$3,XTIME!$A$1:$E$31,3,FALSE),$C7),Tableau3[[Référence]:[FORMATION]],34,FALSE))*60+MINUTE(VLOOKUP(CONCATENATE(VLOOKUP($A$3,XTIME!$A$1:$E$31,3,FALSE),$C7),Tableau3[[Référence]:[FORMATION]],34,FALSE)))/60)=TRUE,"",((HOUR(VLOOKUP(CONCATENATE(VLOOKUP($A$3,XTIME!$A$1:$E$31,3,FALSE),$C7),Tableau3[[Référence]:[FORMATION]],34,FALSE))*60+MINUTE(VLOOKUP(CONCATENATE(VLOOKUP($A$3,XTIME!$A$1:$E$31,3,FALSE),$C7),Tableau3[[Référence]:[FORMATION]],34,FALSE)))/60))</f>
        <v/>
      </c>
      <c r="E7" s="70" t="str">
        <f>IF(ISNA((HOUR(VLOOKUP(CONCATENATE(VLOOKUP($A$3,XTIME!$A$1:$E$31,3,FALSE),$C7),Tableau3[[Référence]:[FORMATION]],40,FALSE))*60+MINUTE(VLOOKUP(CONCATENATE(VLOOKUP($A$3,XTIME!$A$1:$E$31,3,FALSE),$C7),Tableau3[[Référence]:[FORMATION]],40,FALSE)))/60)=TRUE,"",((HOUR(VLOOKUP(CONCATENATE(VLOOKUP($A$3,XTIME!$A$1:$E$31,3,FALSE),$C7),Tableau3[[Référence]:[FORMATION]],40,FALSE))*60+MINUTE(VLOOKUP(CONCATENATE(VLOOKUP($A$3,XTIME!$A$1:$E$31,3,FALSE),$C7),Tableau3[[Référence]:[FORMATION]],40,FALSE)))/60))</f>
        <v/>
      </c>
      <c r="F7" s="70" t="str">
        <f>IF(ISNA((HOUR(VLOOKUP(CONCATENATE(VLOOKUP($A$3,XTIME!$A$1:$E$31,3,FALSE),$C7),Tableau3[[Référence]:[FORMATION]],41,FALSE))*60+MINUTE(VLOOKUP(CONCATENATE(VLOOKUP($A$3,XTIME!$A$1:$E$31,3,FALSE),$C7),Tableau3[[Référence]:[FORMATION]],41,FALSE)))/60)=TRUE,"",((HOUR(VLOOKUP(CONCATENATE(VLOOKUP($A$3,XTIME!$A$1:$E$31,3,FALSE),$C7),Tableau3[[Référence]:[FORMATION]],41,FALSE))*60+MINUTE(VLOOKUP(CONCATENATE(VLOOKUP($A$3,XTIME!$A$1:$E$31,3,FALSE),$C7),Tableau3[[Référence]:[FORMATION]],41,FALSE)))/60))</f>
        <v/>
      </c>
      <c r="G7" s="40" t="str">
        <f>IF(ISNA((HOUR(VLOOKUP(CONCATENATE(VLOOKUP($A$3,XTIME!$A$1:$E$31,3,FALSE),$C7),Tableau3[[Référence]:[FORMATION]],42,FALSE))*60+MINUTE(VLOOKUP(CONCATENATE(VLOOKUP($A$3,XTIME!$A$1:$E$31,3,FALSE),$C7),Tableau3[[Référence]:[FORMATION]],42,FALSE)))/60)=TRUE,"",((HOUR(VLOOKUP(CONCATENATE(VLOOKUP($A$3,XTIME!$A$1:$E$31,3,FALSE),$C7),Tableau3[[Référence]:[FORMATION]],42,FALSE))*60+MINUTE(VLOOKUP(CONCATENATE(VLOOKUP($A$3,XTIME!$A$1:$E$31,3,FALSE),$C7),Tableau3[[Référence]:[FORMATION]],42,FALSE)))/60))</f>
        <v/>
      </c>
      <c r="H7" s="6" t="str">
        <f>IF(ISNA(VLOOKUP(CONCATENATE(VLOOKUP($A$3,XTIME!$A$1:$E$31,3,FALSE),$C7),Tableau3[[Référence]:[FORMATION]],7,FALSE))=TRUE,"",VLOOKUP(CONCATENATE(VLOOKUP($A$3,XTIME!$A$1:$E$31,3,FALSE),$C7),Tableau3[[Référence]:[FORMATION]],7,FALSE))</f>
        <v/>
      </c>
      <c r="I7" s="41" t="str">
        <f>IFERROR((HOUR(IF(C7="","",MIN(IF((VLOOKUP(CONCATENATE(VLOOKUP($A$3,XTIME!$A$1:$E$31,3,FALSE),C7),'Fiche Horaire'!A:AR,12,FALSE)+VLOOKUP(CONCATENATE(VLOOKUP($A$3,XTIME!$A$1:$E$31,3,FALSE),C7),'Fiche Horaire'!A:AR,33,FALSE))&gt;Feuil2!$C$2,VLOOKUP(CONCATENATE(VLOOKUP($A$3,XTIME!$A$1:$E$31,3,FALSE),C7),'Fiche Horaire'!A:AR,33,FALSE)+VLOOKUP(CONCATENATE(VLOOKUP($A$3,XTIME!$A$1:$E$31,3,FALSE),C7),'Fiche Horaire'!A:AR,12,FALSE)-Feuil2!$C$2,"X"),Feuil2!$C$3)))*60+MINUTE(IF(C7="","",MIN(IF((VLOOKUP(CONCATENATE(VLOOKUP($A$3,XTIME!$A$1:$E$31,3,FALSE),C7),'Fiche Horaire'!A:AR,12,FALSE)+VLOOKUP(CONCATENATE(VLOOKUP($A$3,XTIME!$A$1:$E$31,3,FALSE),C7),'Fiche Horaire'!A:AR,33,FALSE))&gt;Feuil2!$C$2,VLOOKUP(CONCATENATE(VLOOKUP($A$3,XTIME!$A$1:$E$31,3,FALSE),C7),'Fiche Horaire'!A:AR,33,FALSE)+VLOOKUP(CONCATENATE(VLOOKUP($A$3,XTIME!$A$1:$E$31,3,FALSE),C7),'Fiche Horaire'!A:AR,12,FALSE)-Feuil2!$C$2,"X"),Feuil2!$C$3))))/60,"")</f>
        <v/>
      </c>
      <c r="J7" s="93" t="str">
        <f>IFERROR((HOUR(IF(C7="","",IF(VLOOKUP(CONCATENATE(VLOOKUP($A$3,XTIME!$A$1:$E$31,3,FALSE),C7),'Fiche Horaire'!A:AR,12,FALSE)="","",IF((VLOOKUP(CONCATENATE(VLOOKUP($A$3,XTIME!$A$1:$E$31,3,FALSE),C7),'Fiche Horaire'!A:AR,12,FALSE))&lt;Feuil2!$D$2,Feuil2!$D$2-VLOOKUP(CONCATENATE(VLOOKUP($A$3,XTIME!$A$1:$E$31,3,FALSE),C7),'Fiche Horaire'!A:AR,12,FALSE),IF((VLOOKUP(CONCATENATE(VLOOKUP($A$3,XTIME!$A$1:$E$31,3,FALSE),C7),'Fiche Horaire'!A:AR,12,FALSE)+VLOOKUP(CONCATENATE(VLOOKUP($A$3,XTIME!$A$1:$E$31,3,FALSE),C7),'Fiche Horaire'!A:AR,33,FALSE))&gt;Feuil2!$D$3,VLOOKUP(CONCATENATE(VLOOKUP($A$3,XTIME!$A$1:$E$31,3,FALSE),C7),'Fiche Horaire'!A:AR,33,FALSE)+VLOOKUP(CONCATENATE(VLOOKUP($A$3,XTIME!$A$1:$E$31,3,FALSE),C7),'Fiche Horaire'!A:AR,12,FALSE)-Feuil2!$D$3,"")))))*60+MINUTE(IF(C7="","",IF(VLOOKUP(CONCATENATE(VLOOKUP($A$3,XTIME!$A$1:$E$31,3,FALSE),C7),'Fiche Horaire'!A:AR,12,FALSE)="","",IF((VLOOKUP(CONCATENATE(VLOOKUP($A$3,XTIME!$A$1:$E$31,3,FALSE),C7),'Fiche Horaire'!A:AR,12,FALSE))&lt;Feuil2!$D$2,Feuil2!$D$2-VLOOKUP(CONCATENATE(VLOOKUP($A$3,XTIME!$A$1:$E$31,3,FALSE),C7),'Fiche Horaire'!A:AR,12,FALSE),IF((VLOOKUP(CONCATENATE(VLOOKUP($A$3,XTIME!$A$1:$E$31,3,FALSE),C7),'Fiche Horaire'!A:AR,12,FALSE)+VLOOKUP(CONCATENATE(VLOOKUP($A$3,XTIME!$A$1:$E$31,3,FALSE),C7),'Fiche Horaire'!A:AR,33,FALSE))&gt;Feuil2!$D$3,VLOOKUP(CONCATENATE(VLOOKUP($A$3,XTIME!$A$1:$E$31,3,FALSE),C7),'Fiche Horaire'!A:AR,33,FALSE)+VLOOKUP(CONCATENATE(VLOOKUP($A$3,XTIME!$A$1:$E$31,3,FALSE),C7),'Fiche Horaire'!A:AR,12,FALSE)-Feuil2!$D$3,""))))))/60,"")</f>
        <v/>
      </c>
      <c r="L7" s="31" t="s">
        <v>2</v>
      </c>
      <c r="M7" s="35">
        <f>D12+E12+G12+H12+F12</f>
        <v>5.5</v>
      </c>
      <c r="O7" s="84"/>
      <c r="P7" s="85"/>
    </row>
    <row r="8" spans="1:17" ht="25" customHeight="1">
      <c r="B8" s="122"/>
      <c r="C8" s="12"/>
      <c r="D8" s="67" t="str">
        <f>IF(ISNA((HOUR(VLOOKUP(CONCATENATE(VLOOKUP($A$3,XTIME!$A$1:$E$31,3,FALSE),$C8),Tableau3[[Référence]:[FORMATION]],34,FALSE))*60+MINUTE(VLOOKUP(CONCATENATE(VLOOKUP($A$3,XTIME!$A$1:$E$31,3,FALSE),$C8),Tableau3[[Référence]:[FORMATION]],34,FALSE)))/60)=TRUE,"",((HOUR(VLOOKUP(CONCATENATE(VLOOKUP($A$3,XTIME!$A$1:$E$31,3,FALSE),$C8),Tableau3[[Référence]:[FORMATION]],34,FALSE))*60+MINUTE(VLOOKUP(CONCATENATE(VLOOKUP($A$3,XTIME!$A$1:$E$31,3,FALSE),$C8),Tableau3[[Référence]:[FORMATION]],34,FALSE)))/60))</f>
        <v/>
      </c>
      <c r="E8" s="70" t="str">
        <f>IF(ISNA((HOUR(VLOOKUP(CONCATENATE(VLOOKUP($A$3,XTIME!$A$1:$E$31,3,FALSE),$C8),Tableau3[[Référence]:[FORMATION]],40,FALSE))*60+MINUTE(VLOOKUP(CONCATENATE(VLOOKUP($A$3,XTIME!$A$1:$E$31,3,FALSE),$C8),Tableau3[[Référence]:[FORMATION]],40,FALSE)))/60)=TRUE,"",((HOUR(VLOOKUP(CONCATENATE(VLOOKUP($A$3,XTIME!$A$1:$E$31,3,FALSE),$C8),Tableau3[[Référence]:[FORMATION]],40,FALSE))*60+MINUTE(VLOOKUP(CONCATENATE(VLOOKUP($A$3,XTIME!$A$1:$E$31,3,FALSE),$C8),Tableau3[[Référence]:[FORMATION]],40,FALSE)))/60))</f>
        <v/>
      </c>
      <c r="F8" s="70" t="str">
        <f>IF(ISNA((HOUR(VLOOKUP(CONCATENATE(VLOOKUP($A$3,XTIME!$A$1:$E$31,3,FALSE),$C8),Tableau3[[Référence]:[FORMATION]],41,FALSE))*60+MINUTE(VLOOKUP(CONCATENATE(VLOOKUP($A$3,XTIME!$A$1:$E$31,3,FALSE),$C8),Tableau3[[Référence]:[FORMATION]],41,FALSE)))/60)=TRUE,"",((HOUR(VLOOKUP(CONCATENATE(VLOOKUP($A$3,XTIME!$A$1:$E$31,3,FALSE),$C8),Tableau3[[Référence]:[FORMATION]],41,FALSE))*60+MINUTE(VLOOKUP(CONCATENATE(VLOOKUP($A$3,XTIME!$A$1:$E$31,3,FALSE),$C8),Tableau3[[Référence]:[FORMATION]],41,FALSE)))/60))</f>
        <v/>
      </c>
      <c r="G8" s="40" t="str">
        <f>IF(ISNA((HOUR(VLOOKUP(CONCATENATE(VLOOKUP($A$3,XTIME!$A$1:$E$31,3,FALSE),$C8),Tableau3[[Référence]:[FORMATION]],42,FALSE))*60+MINUTE(VLOOKUP(CONCATENATE(VLOOKUP($A$3,XTIME!$A$1:$E$31,3,FALSE),$C8),Tableau3[[Référence]:[FORMATION]],42,FALSE)))/60)=TRUE,"",((HOUR(VLOOKUP(CONCATENATE(VLOOKUP($A$3,XTIME!$A$1:$E$31,3,FALSE),$C8),Tableau3[[Référence]:[FORMATION]],42,FALSE))*60+MINUTE(VLOOKUP(CONCATENATE(VLOOKUP($A$3,XTIME!$A$1:$E$31,3,FALSE),$C8),Tableau3[[Référence]:[FORMATION]],42,FALSE)))/60))</f>
        <v/>
      </c>
      <c r="H8" s="6" t="str">
        <f>IF(ISNA(VLOOKUP(CONCATENATE(VLOOKUP($A$3,XTIME!$A$1:$E$31,3,FALSE),$C8),Tableau3[[Référence]:[FORMATION]],7,FALSE))=TRUE,"",VLOOKUP(CONCATENATE(VLOOKUP($A$3,XTIME!$A$1:$E$31,3,FALSE),$C8),Tableau3[[Référence]:[FORMATION]],7,FALSE))</f>
        <v/>
      </c>
      <c r="I8" s="41" t="str">
        <f>IFERROR((HOUR(IF(C8="","",MIN(IF((VLOOKUP(CONCATENATE(VLOOKUP($A$3,XTIME!$A$1:$E$31,3,FALSE),C8),'Fiche Horaire'!A:AR,12,FALSE)+VLOOKUP(CONCATENATE(VLOOKUP($A$3,XTIME!$A$1:$E$31,3,FALSE),C8),'Fiche Horaire'!A:AR,33,FALSE))&gt;Feuil2!$C$2,VLOOKUP(CONCATENATE(VLOOKUP($A$3,XTIME!$A$1:$E$31,3,FALSE),C8),'Fiche Horaire'!A:AR,33,FALSE)+VLOOKUP(CONCATENATE(VLOOKUP($A$3,XTIME!$A$1:$E$31,3,FALSE),C8),'Fiche Horaire'!A:AR,12,FALSE)-Feuil2!$C$2,"X"),Feuil2!$C$3)))*60+MINUTE(IF(C8="","",MIN(IF((VLOOKUP(CONCATENATE(VLOOKUP($A$3,XTIME!$A$1:$E$31,3,FALSE),C8),'Fiche Horaire'!A:AR,12,FALSE)+VLOOKUP(CONCATENATE(VLOOKUP($A$3,XTIME!$A$1:$E$31,3,FALSE),C8),'Fiche Horaire'!A:AR,33,FALSE))&gt;Feuil2!$C$2,VLOOKUP(CONCATENATE(VLOOKUP($A$3,XTIME!$A$1:$E$31,3,FALSE),C8),'Fiche Horaire'!A:AR,33,FALSE)+VLOOKUP(CONCATENATE(VLOOKUP($A$3,XTIME!$A$1:$E$31,3,FALSE),C8),'Fiche Horaire'!A:AR,12,FALSE)-Feuil2!$C$2,"X"),Feuil2!$C$3))))/60,"")</f>
        <v/>
      </c>
      <c r="J8" s="93" t="str">
        <f>IFERROR((HOUR(IF(C8="","",IF(VLOOKUP(CONCATENATE(VLOOKUP($A$3,XTIME!$A$1:$E$31,3,FALSE),C8),'Fiche Horaire'!A:AR,12,FALSE)="","",IF((VLOOKUP(CONCATENATE(VLOOKUP($A$3,XTIME!$A$1:$E$31,3,FALSE),C8),'Fiche Horaire'!A:AR,12,FALSE))&lt;Feuil2!$D$2,Feuil2!$D$2-VLOOKUP(CONCATENATE(VLOOKUP($A$3,XTIME!$A$1:$E$31,3,FALSE),C8),'Fiche Horaire'!A:AR,12,FALSE),IF((VLOOKUP(CONCATENATE(VLOOKUP($A$3,XTIME!$A$1:$E$31,3,FALSE),C8),'Fiche Horaire'!A:AR,12,FALSE)+VLOOKUP(CONCATENATE(VLOOKUP($A$3,XTIME!$A$1:$E$31,3,FALSE),C8),'Fiche Horaire'!A:AR,33,FALSE))&gt;Feuil2!$D$3,VLOOKUP(CONCATENATE(VLOOKUP($A$3,XTIME!$A$1:$E$31,3,FALSE),C8),'Fiche Horaire'!A:AR,33,FALSE)+VLOOKUP(CONCATENATE(VLOOKUP($A$3,XTIME!$A$1:$E$31,3,FALSE),C8),'Fiche Horaire'!A:AR,12,FALSE)-Feuil2!$D$3,"")))))*60+MINUTE(IF(C8="","",IF(VLOOKUP(CONCATENATE(VLOOKUP($A$3,XTIME!$A$1:$E$31,3,FALSE),C8),'Fiche Horaire'!A:AR,12,FALSE)="","",IF((VLOOKUP(CONCATENATE(VLOOKUP($A$3,XTIME!$A$1:$E$31,3,FALSE),C8),'Fiche Horaire'!A:AR,12,FALSE))&lt;Feuil2!$D$2,Feuil2!$D$2-VLOOKUP(CONCATENATE(VLOOKUP($A$3,XTIME!$A$1:$E$31,3,FALSE),C8),'Fiche Horaire'!A:AR,12,FALSE),IF((VLOOKUP(CONCATENATE(VLOOKUP($A$3,XTIME!$A$1:$E$31,3,FALSE),C8),'Fiche Horaire'!A:AR,12,FALSE)+VLOOKUP(CONCATENATE(VLOOKUP($A$3,XTIME!$A$1:$E$31,3,FALSE),C8),'Fiche Horaire'!A:AR,33,FALSE))&gt;Feuil2!$D$3,VLOOKUP(CONCATENATE(VLOOKUP($A$3,XTIME!$A$1:$E$31,3,FALSE),C8),'Fiche Horaire'!A:AR,33,FALSE)+VLOOKUP(CONCATENATE(VLOOKUP($A$3,XTIME!$A$1:$E$31,3,FALSE),C8),'Fiche Horaire'!A:AR,12,FALSE)-Feuil2!$D$3,""))))))/60,"")</f>
        <v/>
      </c>
      <c r="L8" s="31" t="s">
        <v>85</v>
      </c>
      <c r="M8" s="35">
        <f>MIN(IF(M7=0,0,IF(M7&gt;=35,M7-35,0)),2)</f>
        <v>0</v>
      </c>
      <c r="O8" s="84"/>
      <c r="P8" s="85"/>
    </row>
    <row r="9" spans="1:17" ht="25" customHeight="1">
      <c r="B9" s="122"/>
      <c r="C9" s="12"/>
      <c r="D9" s="67" t="str">
        <f>IF(ISNA((HOUR(VLOOKUP(CONCATENATE(VLOOKUP($A$3,XTIME!$A$1:$E$31,3,FALSE),$C9),Tableau3[[Référence]:[FORMATION]],34,FALSE))*60+MINUTE(VLOOKUP(CONCATENATE(VLOOKUP($A$3,XTIME!$A$1:$E$31,3,FALSE),$C9),Tableau3[[Référence]:[FORMATION]],34,FALSE)))/60)=TRUE,"",((HOUR(VLOOKUP(CONCATENATE(VLOOKUP($A$3,XTIME!$A$1:$E$31,3,FALSE),$C9),Tableau3[[Référence]:[FORMATION]],34,FALSE))*60+MINUTE(VLOOKUP(CONCATENATE(VLOOKUP($A$3,XTIME!$A$1:$E$31,3,FALSE),$C9),Tableau3[[Référence]:[FORMATION]],34,FALSE)))/60))</f>
        <v/>
      </c>
      <c r="E9" s="70" t="str">
        <f>IF(ISNA((HOUR(VLOOKUP(CONCATENATE(VLOOKUP($A$3,XTIME!$A$1:$E$31,3,FALSE),$C9),Tableau3[[Référence]:[FORMATION]],40,FALSE))*60+MINUTE(VLOOKUP(CONCATENATE(VLOOKUP($A$3,XTIME!$A$1:$E$31,3,FALSE),$C9),Tableau3[[Référence]:[FORMATION]],40,FALSE)))/60)=TRUE,"",((HOUR(VLOOKUP(CONCATENATE(VLOOKUP($A$3,XTIME!$A$1:$E$31,3,FALSE),$C9),Tableau3[[Référence]:[FORMATION]],40,FALSE))*60+MINUTE(VLOOKUP(CONCATENATE(VLOOKUP($A$3,XTIME!$A$1:$E$31,3,FALSE),$C9),Tableau3[[Référence]:[FORMATION]],40,FALSE)))/60))</f>
        <v/>
      </c>
      <c r="F9" s="70" t="str">
        <f>IF(ISNA((HOUR(VLOOKUP(CONCATENATE(VLOOKUP($A$3,XTIME!$A$1:$E$31,3,FALSE),$C9),Tableau3[[Référence]:[FORMATION]],41,FALSE))*60+MINUTE(VLOOKUP(CONCATENATE(VLOOKUP($A$3,XTIME!$A$1:$E$31,3,FALSE),$C9),Tableau3[[Référence]:[FORMATION]],41,FALSE)))/60)=TRUE,"",((HOUR(VLOOKUP(CONCATENATE(VLOOKUP($A$3,XTIME!$A$1:$E$31,3,FALSE),$C9),Tableau3[[Référence]:[FORMATION]],41,FALSE))*60+MINUTE(VLOOKUP(CONCATENATE(VLOOKUP($A$3,XTIME!$A$1:$E$31,3,FALSE),$C9),Tableau3[[Référence]:[FORMATION]],41,FALSE)))/60))</f>
        <v/>
      </c>
      <c r="G9" s="40" t="str">
        <f>IF(ISNA((HOUR(VLOOKUP(CONCATENATE(VLOOKUP($A$3,XTIME!$A$1:$E$31,3,FALSE),$C9),Tableau3[[Référence]:[FORMATION]],42,FALSE))*60+MINUTE(VLOOKUP(CONCATENATE(VLOOKUP($A$3,XTIME!$A$1:$E$31,3,FALSE),$C9),Tableau3[[Référence]:[FORMATION]],42,FALSE)))/60)=TRUE,"",((HOUR(VLOOKUP(CONCATENATE(VLOOKUP($A$3,XTIME!$A$1:$E$31,3,FALSE),$C9),Tableau3[[Référence]:[FORMATION]],42,FALSE))*60+MINUTE(VLOOKUP(CONCATENATE(VLOOKUP($A$3,XTIME!$A$1:$E$31,3,FALSE),$C9),Tableau3[[Référence]:[FORMATION]],42,FALSE)))/60))</f>
        <v/>
      </c>
      <c r="H9" s="6" t="str">
        <f>IF(ISNA(VLOOKUP(CONCATENATE(VLOOKUP($A$3,XTIME!$A$1:$E$31,3,FALSE),$C9),Tableau3[[Référence]:[FORMATION]],7,FALSE))=TRUE,"",VLOOKUP(CONCATENATE(VLOOKUP($A$3,XTIME!$A$1:$E$31,3,FALSE),$C9),Tableau3[[Référence]:[FORMATION]],7,FALSE))</f>
        <v/>
      </c>
      <c r="I9" s="41" t="str">
        <f>IFERROR((HOUR(IF(C9="","",MIN(IF((VLOOKUP(CONCATENATE(VLOOKUP($A$3,XTIME!$A$1:$E$31,3,FALSE),C9),'Fiche Horaire'!A:AR,12,FALSE)+VLOOKUP(CONCATENATE(VLOOKUP($A$3,XTIME!$A$1:$E$31,3,FALSE),C9),'Fiche Horaire'!A:AR,33,FALSE))&gt;Feuil2!$C$2,VLOOKUP(CONCATENATE(VLOOKUP($A$3,XTIME!$A$1:$E$31,3,FALSE),C9),'Fiche Horaire'!A:AR,33,FALSE)+VLOOKUP(CONCATENATE(VLOOKUP($A$3,XTIME!$A$1:$E$31,3,FALSE),C9),'Fiche Horaire'!A:AR,12,FALSE)-Feuil2!$C$2,"X"),Feuil2!$C$3)))*60+MINUTE(IF(C9="","",MIN(IF((VLOOKUP(CONCATENATE(VLOOKUP($A$3,XTIME!$A$1:$E$31,3,FALSE),C9),'Fiche Horaire'!A:AR,12,FALSE)+VLOOKUP(CONCATENATE(VLOOKUP($A$3,XTIME!$A$1:$E$31,3,FALSE),C9),'Fiche Horaire'!A:AR,33,FALSE))&gt;Feuil2!$C$2,VLOOKUP(CONCATENATE(VLOOKUP($A$3,XTIME!$A$1:$E$31,3,FALSE),C9),'Fiche Horaire'!A:AR,33,FALSE)+VLOOKUP(CONCATENATE(VLOOKUP($A$3,XTIME!$A$1:$E$31,3,FALSE),C9),'Fiche Horaire'!A:AR,12,FALSE)-Feuil2!$C$2,"X"),Feuil2!$C$3))))/60,"")</f>
        <v/>
      </c>
      <c r="J9" s="93" t="str">
        <f>IFERROR((HOUR(IF(C9="","",IF(VLOOKUP(CONCATENATE(VLOOKUP($A$3,XTIME!$A$1:$E$31,3,FALSE),C9),'Fiche Horaire'!A:AR,12,FALSE)="","",IF((VLOOKUP(CONCATENATE(VLOOKUP($A$3,XTIME!$A$1:$E$31,3,FALSE),C9),'Fiche Horaire'!A:AR,12,FALSE))&lt;Feuil2!$D$2,Feuil2!$D$2-VLOOKUP(CONCATENATE(VLOOKUP($A$3,XTIME!$A$1:$E$31,3,FALSE),C9),'Fiche Horaire'!A:AR,12,FALSE),IF((VLOOKUP(CONCATENATE(VLOOKUP($A$3,XTIME!$A$1:$E$31,3,FALSE),C9),'Fiche Horaire'!A:AR,12,FALSE)+VLOOKUP(CONCATENATE(VLOOKUP($A$3,XTIME!$A$1:$E$31,3,FALSE),C9),'Fiche Horaire'!A:AR,33,FALSE))&gt;Feuil2!$D$3,VLOOKUP(CONCATENATE(VLOOKUP($A$3,XTIME!$A$1:$E$31,3,FALSE),C9),'Fiche Horaire'!A:AR,33,FALSE)+VLOOKUP(CONCATENATE(VLOOKUP($A$3,XTIME!$A$1:$E$31,3,FALSE),C9),'Fiche Horaire'!A:AR,12,FALSE)-Feuil2!$D$3,"")))))*60+MINUTE(IF(C9="","",IF(VLOOKUP(CONCATENATE(VLOOKUP($A$3,XTIME!$A$1:$E$31,3,FALSE),C9),'Fiche Horaire'!A:AR,12,FALSE)="","",IF((VLOOKUP(CONCATENATE(VLOOKUP($A$3,XTIME!$A$1:$E$31,3,FALSE),C9),'Fiche Horaire'!A:AR,12,FALSE))&lt;Feuil2!$D$2,Feuil2!$D$2-VLOOKUP(CONCATENATE(VLOOKUP($A$3,XTIME!$A$1:$E$31,3,FALSE),C9),'Fiche Horaire'!A:AR,12,FALSE),IF((VLOOKUP(CONCATENATE(VLOOKUP($A$3,XTIME!$A$1:$E$31,3,FALSE),C9),'Fiche Horaire'!A:AR,12,FALSE)+VLOOKUP(CONCATENATE(VLOOKUP($A$3,XTIME!$A$1:$E$31,3,FALSE),C9),'Fiche Horaire'!A:AR,33,FALSE))&gt;Feuil2!$D$3,VLOOKUP(CONCATENATE(VLOOKUP($A$3,XTIME!$A$1:$E$31,3,FALSE),C9),'Fiche Horaire'!A:AR,33,FALSE)+VLOOKUP(CONCATENATE(VLOOKUP($A$3,XTIME!$A$1:$E$31,3,FALSE),C9),'Fiche Horaire'!A:AR,12,FALSE)-Feuil2!$D$3,""))))))/60,"")</f>
        <v/>
      </c>
      <c r="L9" s="44" t="s">
        <v>3</v>
      </c>
      <c r="M9" s="33">
        <f>IF(M7&lt;45,M7-$K$4-M12,3)</f>
        <v>0</v>
      </c>
      <c r="O9" s="84"/>
      <c r="P9" s="85"/>
      <c r="Q9" s="76"/>
    </row>
    <row r="10" spans="1:17" ht="25" customHeight="1">
      <c r="B10" s="122"/>
      <c r="C10" s="12"/>
      <c r="D10" s="67" t="str">
        <f>IF(ISNA((HOUR(VLOOKUP(CONCATENATE(VLOOKUP($A$3,XTIME!$A$1:$E$31,3,FALSE),$C10),Tableau3[[Référence]:[FORMATION]],34,FALSE))*60+MINUTE(VLOOKUP(CONCATENATE(VLOOKUP($A$3,XTIME!$A$1:$E$31,3,FALSE),$C10),Tableau3[[Référence]:[FORMATION]],34,FALSE)))/60)=TRUE,"",((HOUR(VLOOKUP(CONCATENATE(VLOOKUP($A$3,XTIME!$A$1:$E$31,3,FALSE),$C10),Tableau3[[Référence]:[FORMATION]],34,FALSE))*60+MINUTE(VLOOKUP(CONCATENATE(VLOOKUP($A$3,XTIME!$A$1:$E$31,3,FALSE),$C10),Tableau3[[Référence]:[FORMATION]],34,FALSE)))/60))</f>
        <v/>
      </c>
      <c r="E10" s="70" t="str">
        <f>IF(ISNA((HOUR(VLOOKUP(CONCATENATE(VLOOKUP($A$3,XTIME!$A$1:$E$31,3,FALSE),$C10),Tableau3[[Référence]:[FORMATION]],40,FALSE))*60+MINUTE(VLOOKUP(CONCATENATE(VLOOKUP($A$3,XTIME!$A$1:$E$31,3,FALSE),$C10),Tableau3[[Référence]:[FORMATION]],40,FALSE)))/60)=TRUE,"",((HOUR(VLOOKUP(CONCATENATE(VLOOKUP($A$3,XTIME!$A$1:$E$31,3,FALSE),$C10),Tableau3[[Référence]:[FORMATION]],40,FALSE))*60+MINUTE(VLOOKUP(CONCATENATE(VLOOKUP($A$3,XTIME!$A$1:$E$31,3,FALSE),$C10),Tableau3[[Référence]:[FORMATION]],40,FALSE)))/60))</f>
        <v/>
      </c>
      <c r="F10" s="70" t="str">
        <f>IF(ISNA((HOUR(VLOOKUP(CONCATENATE(VLOOKUP($A$3,XTIME!$A$1:$E$31,3,FALSE),$C10),Tableau3[[Référence]:[FORMATION]],41,FALSE))*60+MINUTE(VLOOKUP(CONCATENATE(VLOOKUP($A$3,XTIME!$A$1:$E$31,3,FALSE),$C10),Tableau3[[Référence]:[FORMATION]],41,FALSE)))/60)=TRUE,"",((HOUR(VLOOKUP(CONCATENATE(VLOOKUP($A$3,XTIME!$A$1:$E$31,3,FALSE),$C10),Tableau3[[Référence]:[FORMATION]],41,FALSE))*60+MINUTE(VLOOKUP(CONCATENATE(VLOOKUP($A$3,XTIME!$A$1:$E$31,3,FALSE),$C10),Tableau3[[Référence]:[FORMATION]],41,FALSE)))/60))</f>
        <v/>
      </c>
      <c r="G10" s="40" t="str">
        <f>IF(ISNA((HOUR(VLOOKUP(CONCATENATE(VLOOKUP($A$3,XTIME!$A$1:$E$31,3,FALSE),$C10),Tableau3[[Référence]:[FORMATION]],42,FALSE))*60+MINUTE(VLOOKUP(CONCATENATE(VLOOKUP($A$3,XTIME!$A$1:$E$31,3,FALSE),$C10),Tableau3[[Référence]:[FORMATION]],42,FALSE)))/60)=TRUE,"",((HOUR(VLOOKUP(CONCATENATE(VLOOKUP($A$3,XTIME!$A$1:$E$31,3,FALSE),$C10),Tableau3[[Référence]:[FORMATION]],42,FALSE))*60+MINUTE(VLOOKUP(CONCATENATE(VLOOKUP($A$3,XTIME!$A$1:$E$31,3,FALSE),$C10),Tableau3[[Référence]:[FORMATION]],42,FALSE)))/60))</f>
        <v/>
      </c>
      <c r="H10" s="6" t="str">
        <f>IF(ISNA(VLOOKUP(CONCATENATE(VLOOKUP($A$3,XTIME!$A$1:$E$31,3,FALSE),$C10),Tableau3[[Référence]:[FORMATION]],7,FALSE))=TRUE,"",VLOOKUP(CONCATENATE(VLOOKUP($A$3,XTIME!$A$1:$E$31,3,FALSE),$C10),Tableau3[[Référence]:[FORMATION]],7,FALSE))</f>
        <v/>
      </c>
      <c r="I10" s="41" t="str">
        <f>IFERROR((HOUR(IF(C10="","",MIN(IF((VLOOKUP(CONCATENATE(VLOOKUP($A$3,XTIME!$A$1:$E$31,3,FALSE),C10),'Fiche Horaire'!A:AR,12,FALSE)+VLOOKUP(CONCATENATE(VLOOKUP($A$3,XTIME!$A$1:$E$31,3,FALSE),C10),'Fiche Horaire'!A:AR,33,FALSE))&gt;Feuil2!$C$2,VLOOKUP(CONCATENATE(VLOOKUP($A$3,XTIME!$A$1:$E$31,3,FALSE),C10),'Fiche Horaire'!A:AR,33,FALSE)+VLOOKUP(CONCATENATE(VLOOKUP($A$3,XTIME!$A$1:$E$31,3,FALSE),C10),'Fiche Horaire'!A:AR,12,FALSE)-Feuil2!$C$2,"X"),Feuil2!$C$3)))*60+MINUTE(IF(C10="","",MIN(IF((VLOOKUP(CONCATENATE(VLOOKUP($A$3,XTIME!$A$1:$E$31,3,FALSE),C10),'Fiche Horaire'!A:AR,12,FALSE)+VLOOKUP(CONCATENATE(VLOOKUP($A$3,XTIME!$A$1:$E$31,3,FALSE),C10),'Fiche Horaire'!A:AR,33,FALSE))&gt;Feuil2!$C$2,VLOOKUP(CONCATENATE(VLOOKUP($A$3,XTIME!$A$1:$E$31,3,FALSE),C10),'Fiche Horaire'!A:AR,33,FALSE)+VLOOKUP(CONCATENATE(VLOOKUP($A$3,XTIME!$A$1:$E$31,3,FALSE),C10),'Fiche Horaire'!A:AR,12,FALSE)-Feuil2!$C$2,"X"),Feuil2!$C$3))))/60,"")</f>
        <v/>
      </c>
      <c r="J10" s="93" t="str">
        <f>IFERROR((HOUR(IF(C10="","",IF(VLOOKUP(CONCATENATE(VLOOKUP($A$3,XTIME!$A$1:$E$31,3,FALSE),C10),'Fiche Horaire'!A:AR,12,FALSE)="","",IF((VLOOKUP(CONCATENATE(VLOOKUP($A$3,XTIME!$A$1:$E$31,3,FALSE),C10),'Fiche Horaire'!A:AR,12,FALSE))&lt;Feuil2!$D$2,Feuil2!$D$2-VLOOKUP(CONCATENATE(VLOOKUP($A$3,XTIME!$A$1:$E$31,3,FALSE),C10),'Fiche Horaire'!A:AR,12,FALSE),IF((VLOOKUP(CONCATENATE(VLOOKUP($A$3,XTIME!$A$1:$E$31,3,FALSE),C10),'Fiche Horaire'!A:AR,12,FALSE)+VLOOKUP(CONCATENATE(VLOOKUP($A$3,XTIME!$A$1:$E$31,3,FALSE),C10),'Fiche Horaire'!A:AR,33,FALSE))&gt;Feuil2!$D$3,VLOOKUP(CONCATENATE(VLOOKUP($A$3,XTIME!$A$1:$E$31,3,FALSE),C10),'Fiche Horaire'!A:AR,33,FALSE)+VLOOKUP(CONCATENATE(VLOOKUP($A$3,XTIME!$A$1:$E$31,3,FALSE),C10),'Fiche Horaire'!A:AR,12,FALSE)-Feuil2!$D$3,"")))))*60+MINUTE(IF(C10="","",IF(VLOOKUP(CONCATENATE(VLOOKUP($A$3,XTIME!$A$1:$E$31,3,FALSE),C10),'Fiche Horaire'!A:AR,12,FALSE)="","",IF((VLOOKUP(CONCATENATE(VLOOKUP($A$3,XTIME!$A$1:$E$31,3,FALSE),C10),'Fiche Horaire'!A:AR,12,FALSE))&lt;Feuil2!$D$2,Feuil2!$D$2-VLOOKUP(CONCATENATE(VLOOKUP($A$3,XTIME!$A$1:$E$31,3,FALSE),C10),'Fiche Horaire'!A:AR,12,FALSE),IF((VLOOKUP(CONCATENATE(VLOOKUP($A$3,XTIME!$A$1:$E$31,3,FALSE),C10),'Fiche Horaire'!A:AR,12,FALSE)+VLOOKUP(CONCATENATE(VLOOKUP($A$3,XTIME!$A$1:$E$31,3,FALSE),C10),'Fiche Horaire'!A:AR,33,FALSE))&gt;Feuil2!$D$3,VLOOKUP(CONCATENATE(VLOOKUP($A$3,XTIME!$A$1:$E$31,3,FALSE),C10),'Fiche Horaire'!A:AR,33,FALSE)+VLOOKUP(CONCATENATE(VLOOKUP($A$3,XTIME!$A$1:$E$31,3,FALSE),C10),'Fiche Horaire'!A:AR,12,FALSE)-Feuil2!$D$3,""))))))/60,"")</f>
        <v/>
      </c>
      <c r="L10" s="44" t="s">
        <v>4</v>
      </c>
      <c r="M10" s="33">
        <f>IF(M7&gt;45,M7-$K$4-M12-M9,0)</f>
        <v>0</v>
      </c>
      <c r="O10" s="84"/>
      <c r="P10" s="85"/>
    </row>
    <row r="11" spans="1:17" ht="25" customHeight="1" thickBot="1">
      <c r="B11" s="122"/>
      <c r="C11" s="12">
        <v>43344</v>
      </c>
      <c r="D11" s="68">
        <f>IF(ISNA((HOUR(VLOOKUP(CONCATENATE(VLOOKUP($A$3,XTIME!$A$1:$E$31,3,FALSE),$C11),Tableau3[[Référence]:[FORMATION]],33,FALSE))*60+MINUTE(VLOOKUP(CONCATENATE(VLOOKUP($A$3,XTIME!$A$1:$E$31,3,FALSE),$C11),Tableau3[[Référence]:[FORMATION]],33,FALSE)))/60)=TRUE,"",((HOUR(VLOOKUP(CONCATENATE(VLOOKUP($A$3,XTIME!$A$1:$E$31,3,FALSE),$C11),Tableau3[[Référence]:[FORMATION]],33,FALSE))*60+MINUTE(VLOOKUP(CONCATENATE(VLOOKUP($A$3,XTIME!$A$1:$E$31,3,FALSE),$C11),Tableau3[[Référence]:[FORMATION]],33,FALSE)))/60))</f>
        <v>5.5</v>
      </c>
      <c r="E11" s="71">
        <f>IF(ISNA((HOUR(VLOOKUP(CONCATENATE(VLOOKUP($A$3,XTIME!$A$1:$E$31,3,FALSE),$C11),Tableau3[[Référence]:[FORMATION]],40,FALSE))*60+MINUTE(VLOOKUP(CONCATENATE(VLOOKUP($A$3,XTIME!$A$1:$E$31,3,FALSE),$C11),Tableau3[[Référence]:[FORMATION]],42,FALSE)))/60)=TRUE,"",((HOUR(VLOOKUP(CONCATENATE(VLOOKUP($A$3,XTIME!$A$1:$E$31,3,FALSE),$C11),Tableau3[[Référence]:[FORMATION]],40,FALSE))*60+MINUTE(VLOOKUP(CONCATENATE(VLOOKUP($A$3,XTIME!$A$1:$E$31,3,FALSE),$C11),Tableau3[[Référence]:[FORMATION]],42,FALSE)))/60))</f>
        <v>0</v>
      </c>
      <c r="F11" s="71">
        <f>IF(ISNA((HOUR(VLOOKUP(CONCATENATE(VLOOKUP($A$3,XTIME!$A$1:$E$31,3,FALSE),$C11),Tableau3[[Référence]:[FORMATION]],41,FALSE))*60+MINUTE(VLOOKUP(CONCATENATE(VLOOKUP($A$3,XTIME!$A$1:$E$31,3,FALSE),$C11),Tableau3[[Référence]:[FORMATION]],43,FALSE)))/60)=TRUE,"",((HOUR(VLOOKUP(CONCATENATE(VLOOKUP($A$3,XTIME!$A$1:$E$31,3,FALSE),$C11),Tableau3[[Référence]:[FORMATION]],41,FALSE))*60+MINUTE(VLOOKUP(CONCATENATE(VLOOKUP($A$3,XTIME!$A$1:$E$31,3,FALSE),$C11),Tableau3[[Référence]:[FORMATION]],43,FALSE)))/60))</f>
        <v>0</v>
      </c>
      <c r="G11" s="24">
        <f>IF(ISNA((HOUR(VLOOKUP(CONCATENATE(VLOOKUP($A$3,XTIME!$A$1:$E$31,3,FALSE),$C11),Tableau3[[Référence]:[FORMATION]],42,FALSE))*60+MINUTE(VLOOKUP(CONCATENATE(VLOOKUP($A$3,XTIME!$A$1:$E$31,3,FALSE),$C11),Tableau3[[Référence]:[FORMATION]],42,FALSE)))/60)=TRUE,"",((HOUR(VLOOKUP(CONCATENATE(VLOOKUP($A$3,XTIME!$A$1:$E$31,3,FALSE),$C11),Tableau3[[Référence]:[FORMATION]],42,FALSE))*60+MINUTE(VLOOKUP(CONCATENATE(VLOOKUP($A$3,XTIME!$A$1:$E$31,3,FALSE),$C11),Tableau3[[Référence]:[FORMATION]],42,FALSE)))/60))</f>
        <v>0</v>
      </c>
      <c r="H11" s="37">
        <f>IF(ISNA(VLOOKUP(CONCATENATE(VLOOKUP($A$3,XTIME!$A$1:$E$31,3,FALSE),$C11),Tableau3[[Référence]:[FORMATION]],7,FALSE))=TRUE,"",VLOOKUP(CONCATENATE(VLOOKUP($A$3,XTIME!$A$1:$E$31,3,FALSE),$C11),Tableau3[[Référence]:[FORMATION]],7,FALSE))</f>
        <v>0</v>
      </c>
      <c r="I11" s="36" t="str">
        <f>IFERROR((HOUR(IF(C11="","",MIN(IF((VLOOKUP(CONCATENATE(VLOOKUP($A$3,XTIME!$A$1:$E$31,3,FALSE),C11),'Fiche Horaire'!A:AR,12,FALSE)+VLOOKUP(CONCATENATE(VLOOKUP($A$3,XTIME!$A$1:$E$31,3,FALSE),C11),'Fiche Horaire'!A:AR,33,FALSE))&gt;Feuil2!$C$2,VLOOKUP(CONCATENATE(VLOOKUP($A$3,XTIME!$A$1:$E$31,3,FALSE),C11),'Fiche Horaire'!A:AR,33,FALSE)+VLOOKUP(CONCATENATE(VLOOKUP($A$3,XTIME!$A$1:$E$31,3,FALSE),C11),'Fiche Horaire'!A:AR,12,FALSE)-Feuil2!$C$2,"X"),Feuil2!$C$3)))*60+MINUTE(IF(C11="","",MIN(IF((VLOOKUP(CONCATENATE(VLOOKUP($A$3,XTIME!$A$1:$E$31,3,FALSE),C11),'Fiche Horaire'!A:AR,12,FALSE)+VLOOKUP(CONCATENATE(VLOOKUP($A$3,XTIME!$A$1:$E$31,3,FALSE),C11),'Fiche Horaire'!A:AR,33,FALSE))&gt;Feuil2!$C$2,VLOOKUP(CONCATENATE(VLOOKUP($A$3,XTIME!$A$1:$E$31,3,FALSE),C11),'Fiche Horaire'!A:AR,33,FALSE)+VLOOKUP(CONCATENATE(VLOOKUP($A$3,XTIME!$A$1:$E$31,3,FALSE),C11),'Fiche Horaire'!A:AR,12,FALSE)-Feuil2!$C$2,"X"),Feuil2!$C$3))))/60,"")</f>
        <v/>
      </c>
      <c r="J11" s="94">
        <f>IFERROR((HOUR(IF(C11="","",IF(VLOOKUP(CONCATENATE(VLOOKUP($A$3,XTIME!$A$1:$E$31,3,FALSE),C11),'Fiche Horaire'!A:AR,12,FALSE)="","",IF((VLOOKUP(CONCATENATE(VLOOKUP($A$3,XTIME!$A$1:$E$31,3,FALSE),C11),'Fiche Horaire'!A:AR,12,FALSE))&lt;Feuil2!$D$2,Feuil2!$D$2-VLOOKUP(CONCATENATE(VLOOKUP($A$3,XTIME!$A$1:$E$31,3,FALSE),C11),'Fiche Horaire'!A:AR,12,FALSE),IF((VLOOKUP(CONCATENATE(VLOOKUP($A$3,XTIME!$A$1:$E$31,3,FALSE),C11),'Fiche Horaire'!A:AR,12,FALSE)+VLOOKUP(CONCATENATE(VLOOKUP($A$3,XTIME!$A$1:$E$31,3,FALSE),C11),'Fiche Horaire'!A:AR,33,FALSE))&gt;Feuil2!$D$3,VLOOKUP(CONCATENATE(VLOOKUP($A$3,XTIME!$A$1:$E$31,3,FALSE),C11),'Fiche Horaire'!A:AR,33,FALSE)+VLOOKUP(CONCATENATE(VLOOKUP($A$3,XTIME!$A$1:$E$31,3,FALSE),C11),'Fiche Horaire'!A:AR,12,FALSE)-Feuil2!$D$3,"")))))*60+MINUTE(IF(C11="","",IF(VLOOKUP(CONCATENATE(VLOOKUP($A$3,XTIME!$A$1:$E$31,3,FALSE),C11),'Fiche Horaire'!A:AR,12,FALSE)="","",IF((VLOOKUP(CONCATENATE(VLOOKUP($A$3,XTIME!$A$1:$E$31,3,FALSE),C11),'Fiche Horaire'!A:AR,12,FALSE))&lt;Feuil2!$D$2,Feuil2!$D$2-VLOOKUP(CONCATENATE(VLOOKUP($A$3,XTIME!$A$1:$E$31,3,FALSE),C11),'Fiche Horaire'!A:AR,12,FALSE),IF((VLOOKUP(CONCATENATE(VLOOKUP($A$3,XTIME!$A$1:$E$31,3,FALSE),C11),'Fiche Horaire'!A:AR,12,FALSE)+VLOOKUP(CONCATENATE(VLOOKUP($A$3,XTIME!$A$1:$E$31,3,FALSE),C11),'Fiche Horaire'!A:AR,33,FALSE))&gt;Feuil2!$D$3,VLOOKUP(CONCATENATE(VLOOKUP($A$3,XTIME!$A$1:$E$31,3,FALSE),C11),'Fiche Horaire'!A:AR,33,FALSE)+VLOOKUP(CONCATENATE(VLOOKUP($A$3,XTIME!$A$1:$E$31,3,FALSE),C11),'Fiche Horaire'!A:AR,12,FALSE)-Feuil2!$D$3,""))))))/60,"")</f>
        <v>2</v>
      </c>
      <c r="L11" s="83" t="s">
        <v>86</v>
      </c>
      <c r="M11" s="82">
        <f>MIN(IF(M7=0,0,IF(M7&gt;=37,M7-37,IF(M7&lt;=35,M7-35,0))),5)</f>
        <v>-29.5</v>
      </c>
      <c r="O11" s="84"/>
      <c r="P11" s="85"/>
    </row>
    <row r="12" spans="1:17" ht="25" customHeight="1" thickTop="1" thickBot="1">
      <c r="B12" s="123"/>
      <c r="C12" s="14" t="s">
        <v>9</v>
      </c>
      <c r="D12" s="15">
        <f>SUM(D6:D11)</f>
        <v>5.5</v>
      </c>
      <c r="E12" s="16">
        <f t="shared" ref="E12" si="0">SUM(E6:E11)</f>
        <v>0</v>
      </c>
      <c r="F12" s="16">
        <f>SUM(F6:F11)</f>
        <v>0</v>
      </c>
      <c r="G12" s="16">
        <f>SUM(G6:G11)</f>
        <v>0</v>
      </c>
      <c r="H12" s="23">
        <f>IF(COUNTIF(H6:H11,0)&gt;0,0,IF(COUNTBLANK(H6:H11)=6,0,(6-COUNTBLANK(H6:H11)-COUNTIF(H6:H11,"REPOS"))*$K4/5))</f>
        <v>0</v>
      </c>
      <c r="I12" s="15">
        <f>SUM(I6:I11)</f>
        <v>0</v>
      </c>
      <c r="J12" s="17">
        <f>SUM(J6:J11)</f>
        <v>2</v>
      </c>
      <c r="L12" s="30" t="s">
        <v>10</v>
      </c>
      <c r="M12" s="34">
        <f>IF(M7&lt;42,M7-$K$4,7)</f>
        <v>-37.5</v>
      </c>
      <c r="O12" s="84"/>
      <c r="P12" s="85"/>
    </row>
    <row r="13" spans="1:17" ht="25" customHeight="1" thickBot="1">
      <c r="B13" s="121" t="str">
        <f>CONCATENATE("SEMAINE"," ",WEEKNUM(C13))</f>
        <v>SEMAINE 36</v>
      </c>
      <c r="C13" s="11">
        <f>C11+2</f>
        <v>43346</v>
      </c>
      <c r="D13" s="66" t="str">
        <f>IF(ISNA((HOUR(VLOOKUP(CONCATENATE(VLOOKUP($A$3,XTIME!$A$1:$E$31,3,FALSE),$C13),Tableau3[[Référence]:[FORMATION]],34,FALSE))*60+MINUTE(VLOOKUP(CONCATENATE(VLOOKUP($A$3,XTIME!$A$1:$E$31,3,FALSE),$C13),Tableau3[[Référence]:[FORMATION]],34,FALSE)))/60)=TRUE,"",((HOUR(VLOOKUP(CONCATENATE(VLOOKUP($A$3,XTIME!$A$1:$E$31,3,FALSE),$C13),Tableau3[[Référence]:[FORMATION]],34,FALSE))*60+MINUTE(VLOOKUP(CONCATENATE(VLOOKUP($A$3,XTIME!$A$1:$E$31,3,FALSE),$C13),Tableau3[[Référence]:[FORMATION]],34,FALSE)))/60))</f>
        <v/>
      </c>
      <c r="E13" s="69" t="str">
        <f>IF(ISNA((HOUR(VLOOKUP(CONCATENATE(VLOOKUP($A$3,XTIME!$A$1:$E$31,3,FALSE),$C13),Tableau3[[Référence]:[FORMATION]],40,FALSE))*60+MINUTE(VLOOKUP(CONCATENATE(VLOOKUP($A$3,XTIME!$A$1:$E$31,3,FALSE),$C13),Tableau3[[Référence]:[FORMATION]],40,FALSE)))/60)=TRUE,"",((HOUR(VLOOKUP(CONCATENATE(VLOOKUP($A$3,XTIME!$A$1:$E$31,3,FALSE),$C13),Tableau3[[Référence]:[FORMATION]],40,FALSE))*60+MINUTE(VLOOKUP(CONCATENATE(VLOOKUP($A$3,XTIME!$A$1:$E$31,3,FALSE),$C13),Tableau3[[Référence]:[FORMATION]],40,FALSE)))/60))</f>
        <v/>
      </c>
      <c r="F13" s="69" t="str">
        <f>IF(ISNA((HOUR(VLOOKUP(CONCATENATE(VLOOKUP($A$3,XTIME!$A$1:$E$31,3,FALSE),$C13),Tableau3[[Référence]:[FORMATION]],41,FALSE))*60+MINUTE(VLOOKUP(CONCATENATE(VLOOKUP($A$3,XTIME!$A$1:$E$31,3,FALSE),$C13),Tableau3[[Référence]:[FORMATION]],41,FALSE)))/60)=TRUE,"",((HOUR(VLOOKUP(CONCATENATE(VLOOKUP($A$3,XTIME!$A$1:$E$31,3,FALSE),$C13),Tableau3[[Référence]:[FORMATION]],41,FALSE))*60+MINUTE(VLOOKUP(CONCATENATE(VLOOKUP($A$3,XTIME!$A$1:$E$31,3,FALSE),$C13),Tableau3[[Référence]:[FORMATION]],41,FALSE)))/60))</f>
        <v/>
      </c>
      <c r="G13" s="39" t="str">
        <f>IF(ISNA((HOUR(VLOOKUP(CONCATENATE(VLOOKUP($A$3,XTIME!$A$1:$E$31,3,FALSE),$C13),Tableau3[[Référence]:[FORMATION]],42,FALSE))*60+MINUTE(VLOOKUP(CONCATENATE(VLOOKUP($A$3,XTIME!$A$1:$E$31,3,FALSE),$C13),Tableau3[[Référence]:[FORMATION]],42,FALSE)))/60)=TRUE,"",((HOUR(VLOOKUP(CONCATENATE(VLOOKUP($A$3,XTIME!$A$1:$E$31,3,FALSE),$C13),Tableau3[[Référence]:[FORMATION]],42,FALSE))*60+MINUTE(VLOOKUP(CONCATENATE(VLOOKUP($A$3,XTIME!$A$1:$E$31,3,FALSE),$C13),Tableau3[[Référence]:[FORMATION]],42,FALSE)))/60))</f>
        <v/>
      </c>
      <c r="H13" s="5" t="str">
        <f>IF(ISNA(VLOOKUP(CONCATENATE(VLOOKUP($A$3,XTIME!$A$1:$E$31,3,FALSE),$C13),Tableau3[[Référence]:[FORMATION]],7,FALSE))=TRUE,"",VLOOKUP(CONCATENATE(VLOOKUP($A$3,XTIME!$A$1:$E$31,3,FALSE),$C13),Tableau3[[Référence]:[FORMATION]],7,FALSE))</f>
        <v/>
      </c>
      <c r="I13" s="38" t="str">
        <f>IFERROR((HOUR(IF(C13="","",MIN(IF((VLOOKUP(CONCATENATE(VLOOKUP($A$3,XTIME!$A$1:$E$31,3,FALSE),C13),'Fiche Horaire'!A:AR,12,FALSE)+VLOOKUP(CONCATENATE(VLOOKUP($A$3,XTIME!$A$1:$E$31,3,FALSE),C13),'Fiche Horaire'!A:AR,33,FALSE))&gt;Feuil2!$C$2,VLOOKUP(CONCATENATE(VLOOKUP($A$3,XTIME!$A$1:$E$31,3,FALSE),C13),'Fiche Horaire'!A:AR,33,FALSE)+VLOOKUP(CONCATENATE(VLOOKUP($A$3,XTIME!$A$1:$E$31,3,FALSE),C13),'Fiche Horaire'!A:AR,12,FALSE)-Feuil2!$C$2,"X"),Feuil2!$C$3)))*60+MINUTE(IF(C13="","",MIN(IF((VLOOKUP(CONCATENATE(VLOOKUP($A$3,XTIME!$A$1:$E$31,3,FALSE),C13),'Fiche Horaire'!A:AR,12,FALSE)+VLOOKUP(CONCATENATE(VLOOKUP($A$3,XTIME!$A$1:$E$31,3,FALSE),C13),'Fiche Horaire'!A:AR,33,FALSE))&gt;Feuil2!$C$2,VLOOKUP(CONCATENATE(VLOOKUP($A$3,XTIME!$A$1:$E$31,3,FALSE),C13),'Fiche Horaire'!A:AR,33,FALSE)+VLOOKUP(CONCATENATE(VLOOKUP($A$3,XTIME!$A$1:$E$31,3,FALSE),C13),'Fiche Horaire'!A:AR,12,FALSE)-Feuil2!$C$2,"X"),Feuil2!$C$3))))/60,"")</f>
        <v/>
      </c>
      <c r="J13" s="92" t="str">
        <f>IFERROR((HOUR(IF(C13="","",IF(VLOOKUP(CONCATENATE(VLOOKUP($A$3,XTIME!$A$1:$E$31,3,FALSE),C13),'Fiche Horaire'!A:AR,12,FALSE)="","",IF((VLOOKUP(CONCATENATE(VLOOKUP($A$3,XTIME!$A$1:$E$31,3,FALSE),C13),'Fiche Horaire'!A:AR,12,FALSE))&lt;Feuil2!$D$2,Feuil2!$D$2-VLOOKUP(CONCATENATE(VLOOKUP($A$3,XTIME!$A$1:$E$31,3,FALSE),C13),'Fiche Horaire'!A:AR,12,FALSE),IF((VLOOKUP(CONCATENATE(VLOOKUP($A$3,XTIME!$A$1:$E$31,3,FALSE),C13),'Fiche Horaire'!A:AR,12,FALSE)+VLOOKUP(CONCATENATE(VLOOKUP($A$3,XTIME!$A$1:$E$31,3,FALSE),C13),'Fiche Horaire'!A:AR,33,FALSE))&gt;Feuil2!$D$3,VLOOKUP(CONCATENATE(VLOOKUP($A$3,XTIME!$A$1:$E$31,3,FALSE),C13),'Fiche Horaire'!A:AR,33,FALSE)+VLOOKUP(CONCATENATE(VLOOKUP($A$3,XTIME!$A$1:$E$31,3,FALSE),C13),'Fiche Horaire'!A:AR,12,FALSE)-Feuil2!$D$3,"")))))*60+MINUTE(IF(C13="","",IF(VLOOKUP(CONCATENATE(VLOOKUP($A$3,XTIME!$A$1:$E$31,3,FALSE),C13),'Fiche Horaire'!A:AR,12,FALSE)="","",IF((VLOOKUP(CONCATENATE(VLOOKUP($A$3,XTIME!$A$1:$E$31,3,FALSE),C13),'Fiche Horaire'!A:AR,12,FALSE))&lt;Feuil2!$D$2,Feuil2!$D$2-VLOOKUP(CONCATENATE(VLOOKUP($A$3,XTIME!$A$1:$E$31,3,FALSE),C13),'Fiche Horaire'!A:AR,12,FALSE),IF((VLOOKUP(CONCATENATE(VLOOKUP($A$3,XTIME!$A$1:$E$31,3,FALSE),C13),'Fiche Horaire'!A:AR,12,FALSE)+VLOOKUP(CONCATENATE(VLOOKUP($A$3,XTIME!$A$1:$E$31,3,FALSE),C13),'Fiche Horaire'!A:AR,33,FALSE))&gt;Feuil2!$D$3,VLOOKUP(CONCATENATE(VLOOKUP($A$3,XTIME!$A$1:$E$31,3,FALSE),C13),'Fiche Horaire'!A:AR,33,FALSE)+VLOOKUP(CONCATENATE(VLOOKUP($A$3,XTIME!$A$1:$E$31,3,FALSE),C13),'Fiche Horaire'!A:AR,12,FALSE)-Feuil2!$D$3,""))))))/60,"")</f>
        <v/>
      </c>
      <c r="L13" s="112" t="str">
        <f>B13</f>
        <v>SEMAINE 36</v>
      </c>
      <c r="M13" s="113"/>
    </row>
    <row r="14" spans="1:17" ht="25" customHeight="1">
      <c r="B14" s="122"/>
      <c r="C14" s="12">
        <f>C13+1</f>
        <v>43347</v>
      </c>
      <c r="D14" s="67" t="str">
        <f>IF(ISNA((HOUR(VLOOKUP(CONCATENATE(VLOOKUP($A$3,XTIME!$A$1:$E$31,3,FALSE),$C14),Tableau3[[Référence]:[FORMATION]],34,FALSE))*60+MINUTE(VLOOKUP(CONCATENATE(VLOOKUP($A$3,XTIME!$A$1:$E$31,3,FALSE),$C14),Tableau3[[Référence]:[FORMATION]],34,FALSE)))/60)=TRUE,"",((HOUR(VLOOKUP(CONCATENATE(VLOOKUP($A$3,XTIME!$A$1:$E$31,3,FALSE),$C14),Tableau3[[Référence]:[FORMATION]],34,FALSE))*60+MINUTE(VLOOKUP(CONCATENATE(VLOOKUP($A$3,XTIME!$A$1:$E$31,3,FALSE),$C14),Tableau3[[Référence]:[FORMATION]],34,FALSE)))/60))</f>
        <v/>
      </c>
      <c r="E14" s="70" t="str">
        <f>IF(ISNA((HOUR(VLOOKUP(CONCATENATE(VLOOKUP($A$3,XTIME!$A$1:$E$31,3,FALSE),$C14),Tableau3[[Référence]:[FORMATION]],40,FALSE))*60+MINUTE(VLOOKUP(CONCATENATE(VLOOKUP($A$3,XTIME!$A$1:$E$31,3,FALSE),$C14),Tableau3[[Référence]:[FORMATION]],40,FALSE)))/60)=TRUE,"",((HOUR(VLOOKUP(CONCATENATE(VLOOKUP($A$3,XTIME!$A$1:$E$31,3,FALSE),$C14),Tableau3[[Référence]:[FORMATION]],40,FALSE))*60+MINUTE(VLOOKUP(CONCATENATE(VLOOKUP($A$3,XTIME!$A$1:$E$31,3,FALSE),$C14),Tableau3[[Référence]:[FORMATION]],40,FALSE)))/60))</f>
        <v/>
      </c>
      <c r="F14" s="70" t="str">
        <f>IF(ISNA((HOUR(VLOOKUP(CONCATENATE(VLOOKUP($A$3,XTIME!$A$1:$E$31,3,FALSE),$C14),Tableau3[[Référence]:[FORMATION]],41,FALSE))*60+MINUTE(VLOOKUP(CONCATENATE(VLOOKUP($A$3,XTIME!$A$1:$E$31,3,FALSE),$C14),Tableau3[[Référence]:[FORMATION]],41,FALSE)))/60)=TRUE,"",((HOUR(VLOOKUP(CONCATENATE(VLOOKUP($A$3,XTIME!$A$1:$E$31,3,FALSE),$C14),Tableau3[[Référence]:[FORMATION]],41,FALSE))*60+MINUTE(VLOOKUP(CONCATENATE(VLOOKUP($A$3,XTIME!$A$1:$E$31,3,FALSE),$C14),Tableau3[[Référence]:[FORMATION]],41,FALSE)))/60))</f>
        <v/>
      </c>
      <c r="G14" s="40" t="str">
        <f>IF(ISNA((HOUR(VLOOKUP(CONCATENATE(VLOOKUP($A$3,XTIME!$A$1:$E$31,3,FALSE),$C14),Tableau3[[Référence]:[FORMATION]],42,FALSE))*60+MINUTE(VLOOKUP(CONCATENATE(VLOOKUP($A$3,XTIME!$A$1:$E$31,3,FALSE),$C14),Tableau3[[Référence]:[FORMATION]],42,FALSE)))/60)=TRUE,"",((HOUR(VLOOKUP(CONCATENATE(VLOOKUP($A$3,XTIME!$A$1:$E$31,3,FALSE),$C14),Tableau3[[Référence]:[FORMATION]],42,FALSE))*60+MINUTE(VLOOKUP(CONCATENATE(VLOOKUP($A$3,XTIME!$A$1:$E$31,3,FALSE),$C14),Tableau3[[Référence]:[FORMATION]],42,FALSE)))/60))</f>
        <v/>
      </c>
      <c r="H14" s="6" t="str">
        <f>IF(ISNA(VLOOKUP(CONCATENATE(VLOOKUP($A$3,XTIME!$A$1:$E$31,3,FALSE),$C14),Tableau3[[Référence]:[FORMATION]],7,FALSE))=TRUE,"",VLOOKUP(CONCATENATE(VLOOKUP($A$3,XTIME!$A$1:$E$31,3,FALSE),$C14),Tableau3[[Référence]:[FORMATION]],7,FALSE))</f>
        <v/>
      </c>
      <c r="I14" s="41" t="str">
        <f>IFERROR((HOUR(IF(C14="","",MIN(IF((VLOOKUP(CONCATENATE(VLOOKUP($A$3,XTIME!$A$1:$E$31,3,FALSE),C14),'Fiche Horaire'!A:AR,12,FALSE)+VLOOKUP(CONCATENATE(VLOOKUP($A$3,XTIME!$A$1:$E$31,3,FALSE),C14),'Fiche Horaire'!A:AR,33,FALSE))&gt;Feuil2!$C$2,VLOOKUP(CONCATENATE(VLOOKUP($A$3,XTIME!$A$1:$E$31,3,FALSE),C14),'Fiche Horaire'!A:AR,33,FALSE)+VLOOKUP(CONCATENATE(VLOOKUP($A$3,XTIME!$A$1:$E$31,3,FALSE),C14),'Fiche Horaire'!A:AR,12,FALSE)-Feuil2!$C$2,"X"),Feuil2!$C$3)))*60+MINUTE(IF(C14="","",MIN(IF((VLOOKUP(CONCATENATE(VLOOKUP($A$3,XTIME!$A$1:$E$31,3,FALSE),C14),'Fiche Horaire'!A:AR,12,FALSE)+VLOOKUP(CONCATENATE(VLOOKUP($A$3,XTIME!$A$1:$E$31,3,FALSE),C14),'Fiche Horaire'!A:AR,33,FALSE))&gt;Feuil2!$C$2,VLOOKUP(CONCATENATE(VLOOKUP($A$3,XTIME!$A$1:$E$31,3,FALSE),C14),'Fiche Horaire'!A:AR,33,FALSE)+VLOOKUP(CONCATENATE(VLOOKUP($A$3,XTIME!$A$1:$E$31,3,FALSE),C14),'Fiche Horaire'!A:AR,12,FALSE)-Feuil2!$C$2,"X"),Feuil2!$C$3))))/60,"")</f>
        <v/>
      </c>
      <c r="J14" s="93" t="str">
        <f>IFERROR((HOUR(IF(C14="","",IF(VLOOKUP(CONCATENATE(VLOOKUP($A$3,XTIME!$A$1:$E$31,3,FALSE),C14),'Fiche Horaire'!A:AR,12,FALSE)="","",IF((VLOOKUP(CONCATENATE(VLOOKUP($A$3,XTIME!$A$1:$E$31,3,FALSE),C14),'Fiche Horaire'!A:AR,12,FALSE))&lt;Feuil2!$D$2,Feuil2!$D$2-VLOOKUP(CONCATENATE(VLOOKUP($A$3,XTIME!$A$1:$E$31,3,FALSE),C14),'Fiche Horaire'!A:AR,12,FALSE),IF((VLOOKUP(CONCATENATE(VLOOKUP($A$3,XTIME!$A$1:$E$31,3,FALSE),C14),'Fiche Horaire'!A:AR,12,FALSE)+VLOOKUP(CONCATENATE(VLOOKUP($A$3,XTIME!$A$1:$E$31,3,FALSE),C14),'Fiche Horaire'!A:AR,33,FALSE))&gt;Feuil2!$D$3,VLOOKUP(CONCATENATE(VLOOKUP($A$3,XTIME!$A$1:$E$31,3,FALSE),C14),'Fiche Horaire'!A:AR,33,FALSE)+VLOOKUP(CONCATENATE(VLOOKUP($A$3,XTIME!$A$1:$E$31,3,FALSE),C14),'Fiche Horaire'!A:AR,12,FALSE)-Feuil2!$D$3,"")))))*60+MINUTE(IF(C14="","",IF(VLOOKUP(CONCATENATE(VLOOKUP($A$3,XTIME!$A$1:$E$31,3,FALSE),C14),'Fiche Horaire'!A:AR,12,FALSE)="","",IF((VLOOKUP(CONCATENATE(VLOOKUP($A$3,XTIME!$A$1:$E$31,3,FALSE),C14),'Fiche Horaire'!A:AR,12,FALSE))&lt;Feuil2!$D$2,Feuil2!$D$2-VLOOKUP(CONCATENATE(VLOOKUP($A$3,XTIME!$A$1:$E$31,3,FALSE),C14),'Fiche Horaire'!A:AR,12,FALSE),IF((VLOOKUP(CONCATENATE(VLOOKUP($A$3,XTIME!$A$1:$E$31,3,FALSE),C14),'Fiche Horaire'!A:AR,12,FALSE)+VLOOKUP(CONCATENATE(VLOOKUP($A$3,XTIME!$A$1:$E$31,3,FALSE),C14),'Fiche Horaire'!A:AR,33,FALSE))&gt;Feuil2!$D$3,VLOOKUP(CONCATENATE(VLOOKUP($A$3,XTIME!$A$1:$E$31,3,FALSE),C14),'Fiche Horaire'!A:AR,33,FALSE)+VLOOKUP(CONCATENATE(VLOOKUP($A$3,XTIME!$A$1:$E$31,3,FALSE),C14),'Fiche Horaire'!A:AR,12,FALSE)-Feuil2!$D$3,""))))))/60,"")</f>
        <v/>
      </c>
      <c r="L14" s="31" t="s">
        <v>2</v>
      </c>
      <c r="M14" s="35">
        <f>D19+E19+G19+H19+F19</f>
        <v>0</v>
      </c>
    </row>
    <row r="15" spans="1:17" ht="25" customHeight="1">
      <c r="B15" s="122"/>
      <c r="C15" s="12">
        <f t="shared" ref="C15:C18" si="1">C14+1</f>
        <v>43348</v>
      </c>
      <c r="D15" s="67" t="str">
        <f>IF(ISNA((HOUR(VLOOKUP(CONCATENATE(VLOOKUP($A$3,XTIME!$A$1:$E$31,3,FALSE),$C15),Tableau3[[Référence]:[FORMATION]],34,FALSE))*60+MINUTE(VLOOKUP(CONCATENATE(VLOOKUP($A$3,XTIME!$A$1:$E$31,3,FALSE),$C15),Tableau3[[Référence]:[FORMATION]],34,FALSE)))/60)=TRUE,"",((HOUR(VLOOKUP(CONCATENATE(VLOOKUP($A$3,XTIME!$A$1:$E$31,3,FALSE),$C15),Tableau3[[Référence]:[FORMATION]],34,FALSE))*60+MINUTE(VLOOKUP(CONCATENATE(VLOOKUP($A$3,XTIME!$A$1:$E$31,3,FALSE),$C15),Tableau3[[Référence]:[FORMATION]],34,FALSE)))/60))</f>
        <v/>
      </c>
      <c r="E15" s="70" t="str">
        <f>IF(ISNA((HOUR(VLOOKUP(CONCATENATE(VLOOKUP($A$3,XTIME!$A$1:$E$31,3,FALSE),$C15),Tableau3[[Référence]:[FORMATION]],40,FALSE))*60+MINUTE(VLOOKUP(CONCATENATE(VLOOKUP($A$3,XTIME!$A$1:$E$31,3,FALSE),$C15),Tableau3[[Référence]:[FORMATION]],40,FALSE)))/60)=TRUE,"",((HOUR(VLOOKUP(CONCATENATE(VLOOKUP($A$3,XTIME!$A$1:$E$31,3,FALSE),$C15),Tableau3[[Référence]:[FORMATION]],40,FALSE))*60+MINUTE(VLOOKUP(CONCATENATE(VLOOKUP($A$3,XTIME!$A$1:$E$31,3,FALSE),$C15),Tableau3[[Référence]:[FORMATION]],40,FALSE)))/60))</f>
        <v/>
      </c>
      <c r="F15" s="70" t="str">
        <f>IF(ISNA((HOUR(VLOOKUP(CONCATENATE(VLOOKUP($A$3,XTIME!$A$1:$E$31,3,FALSE),$C15),Tableau3[[Référence]:[FORMATION]],41,FALSE))*60+MINUTE(VLOOKUP(CONCATENATE(VLOOKUP($A$3,XTIME!$A$1:$E$31,3,FALSE),$C15),Tableau3[[Référence]:[FORMATION]],41,FALSE)))/60)=TRUE,"",((HOUR(VLOOKUP(CONCATENATE(VLOOKUP($A$3,XTIME!$A$1:$E$31,3,FALSE),$C15),Tableau3[[Référence]:[FORMATION]],41,FALSE))*60+MINUTE(VLOOKUP(CONCATENATE(VLOOKUP($A$3,XTIME!$A$1:$E$31,3,FALSE),$C15),Tableau3[[Référence]:[FORMATION]],41,FALSE)))/60))</f>
        <v/>
      </c>
      <c r="G15" s="40" t="str">
        <f>IF(ISNA((HOUR(VLOOKUP(CONCATENATE(VLOOKUP($A$3,XTIME!$A$1:$E$31,3,FALSE),$C15),Tableau3[[Référence]:[FORMATION]],42,FALSE))*60+MINUTE(VLOOKUP(CONCATENATE(VLOOKUP($A$3,XTIME!$A$1:$E$31,3,FALSE),$C15),Tableau3[[Référence]:[FORMATION]],42,FALSE)))/60)=TRUE,"",((HOUR(VLOOKUP(CONCATENATE(VLOOKUP($A$3,XTIME!$A$1:$E$31,3,FALSE),$C15),Tableau3[[Référence]:[FORMATION]],42,FALSE))*60+MINUTE(VLOOKUP(CONCATENATE(VLOOKUP($A$3,XTIME!$A$1:$E$31,3,FALSE),$C15),Tableau3[[Référence]:[FORMATION]],42,FALSE)))/60))</f>
        <v/>
      </c>
      <c r="H15" s="6" t="str">
        <f>IF(ISNA(VLOOKUP(CONCATENATE(VLOOKUP($A$3,XTIME!$A$1:$E$31,3,FALSE),$C15),Tableau3[[Référence]:[FORMATION]],7,FALSE))=TRUE,"",VLOOKUP(CONCATENATE(VLOOKUP($A$3,XTIME!$A$1:$E$31,3,FALSE),$C15),Tableau3[[Référence]:[FORMATION]],7,FALSE))</f>
        <v/>
      </c>
      <c r="I15" s="41" t="str">
        <f>IFERROR((HOUR(IF(C15="","",MIN(IF((VLOOKUP(CONCATENATE(VLOOKUP($A$3,XTIME!$A$1:$E$31,3,FALSE),C15),'Fiche Horaire'!A:AR,12,FALSE)+VLOOKUP(CONCATENATE(VLOOKUP($A$3,XTIME!$A$1:$E$31,3,FALSE),C15),'Fiche Horaire'!A:AR,33,FALSE))&gt;Feuil2!$C$2,VLOOKUP(CONCATENATE(VLOOKUP($A$3,XTIME!$A$1:$E$31,3,FALSE),C15),'Fiche Horaire'!A:AR,33,FALSE)+VLOOKUP(CONCATENATE(VLOOKUP($A$3,XTIME!$A$1:$E$31,3,FALSE),C15),'Fiche Horaire'!A:AR,12,FALSE)-Feuil2!$C$2,"X"),Feuil2!$C$3)))*60+MINUTE(IF(C15="","",MIN(IF((VLOOKUP(CONCATENATE(VLOOKUP($A$3,XTIME!$A$1:$E$31,3,FALSE),C15),'Fiche Horaire'!A:AR,12,FALSE)+VLOOKUP(CONCATENATE(VLOOKUP($A$3,XTIME!$A$1:$E$31,3,FALSE),C15),'Fiche Horaire'!A:AR,33,FALSE))&gt;Feuil2!$C$2,VLOOKUP(CONCATENATE(VLOOKUP($A$3,XTIME!$A$1:$E$31,3,FALSE),C15),'Fiche Horaire'!A:AR,33,FALSE)+VLOOKUP(CONCATENATE(VLOOKUP($A$3,XTIME!$A$1:$E$31,3,FALSE),C15),'Fiche Horaire'!A:AR,12,FALSE)-Feuil2!$C$2,"X"),Feuil2!$C$3))))/60,"")</f>
        <v/>
      </c>
      <c r="J15" s="93" t="str">
        <f>IFERROR((HOUR(IF(C15="","",IF(VLOOKUP(CONCATENATE(VLOOKUP($A$3,XTIME!$A$1:$E$31,3,FALSE),C15),'Fiche Horaire'!A:AR,12,FALSE)="","",IF((VLOOKUP(CONCATENATE(VLOOKUP($A$3,XTIME!$A$1:$E$31,3,FALSE),C15),'Fiche Horaire'!A:AR,12,FALSE))&lt;Feuil2!$D$2,Feuil2!$D$2-VLOOKUP(CONCATENATE(VLOOKUP($A$3,XTIME!$A$1:$E$31,3,FALSE),C15),'Fiche Horaire'!A:AR,12,FALSE),IF((VLOOKUP(CONCATENATE(VLOOKUP($A$3,XTIME!$A$1:$E$31,3,FALSE),C15),'Fiche Horaire'!A:AR,12,FALSE)+VLOOKUP(CONCATENATE(VLOOKUP($A$3,XTIME!$A$1:$E$31,3,FALSE),C15),'Fiche Horaire'!A:AR,33,FALSE))&gt;Feuil2!$D$3,VLOOKUP(CONCATENATE(VLOOKUP($A$3,XTIME!$A$1:$E$31,3,FALSE),C15),'Fiche Horaire'!A:AR,33,FALSE)+VLOOKUP(CONCATENATE(VLOOKUP($A$3,XTIME!$A$1:$E$31,3,FALSE),C15),'Fiche Horaire'!A:AR,12,FALSE)-Feuil2!$D$3,"")))))*60+MINUTE(IF(C15="","",IF(VLOOKUP(CONCATENATE(VLOOKUP($A$3,XTIME!$A$1:$E$31,3,FALSE),C15),'Fiche Horaire'!A:AR,12,FALSE)="","",IF((VLOOKUP(CONCATENATE(VLOOKUP($A$3,XTIME!$A$1:$E$31,3,FALSE),C15),'Fiche Horaire'!A:AR,12,FALSE))&lt;Feuil2!$D$2,Feuil2!$D$2-VLOOKUP(CONCATENATE(VLOOKUP($A$3,XTIME!$A$1:$E$31,3,FALSE),C15),'Fiche Horaire'!A:AR,12,FALSE),IF((VLOOKUP(CONCATENATE(VLOOKUP($A$3,XTIME!$A$1:$E$31,3,FALSE),C15),'Fiche Horaire'!A:AR,12,FALSE)+VLOOKUP(CONCATENATE(VLOOKUP($A$3,XTIME!$A$1:$E$31,3,FALSE),C15),'Fiche Horaire'!A:AR,33,FALSE))&gt;Feuil2!$D$3,VLOOKUP(CONCATENATE(VLOOKUP($A$3,XTIME!$A$1:$E$31,3,FALSE),C15),'Fiche Horaire'!A:AR,33,FALSE)+VLOOKUP(CONCATENATE(VLOOKUP($A$3,XTIME!$A$1:$E$31,3,FALSE),C15),'Fiche Horaire'!A:AR,12,FALSE)-Feuil2!$D$3,""))))))/60,"")</f>
        <v/>
      </c>
      <c r="L15" s="31" t="s">
        <v>85</v>
      </c>
      <c r="M15" s="35">
        <f>MIN(IF(M14=0,0,IF(M14&gt;=35,M14-35,0)),2)</f>
        <v>0</v>
      </c>
    </row>
    <row r="16" spans="1:17" ht="25" customHeight="1">
      <c r="B16" s="122"/>
      <c r="C16" s="12">
        <f t="shared" si="1"/>
        <v>43349</v>
      </c>
      <c r="D16" s="67" t="str">
        <f>IF(ISNA((HOUR(VLOOKUP(CONCATENATE(VLOOKUP($A$3,XTIME!$A$1:$E$31,3,FALSE),$C16),Tableau3[[Référence]:[FORMATION]],34,FALSE))*60+MINUTE(VLOOKUP(CONCATENATE(VLOOKUP($A$3,XTIME!$A$1:$E$31,3,FALSE),$C16),Tableau3[[Référence]:[FORMATION]],34,FALSE)))/60)=TRUE,"",((HOUR(VLOOKUP(CONCATENATE(VLOOKUP($A$3,XTIME!$A$1:$E$31,3,FALSE),$C16),Tableau3[[Référence]:[FORMATION]],34,FALSE))*60+MINUTE(VLOOKUP(CONCATENATE(VLOOKUP($A$3,XTIME!$A$1:$E$31,3,FALSE),$C16),Tableau3[[Référence]:[FORMATION]],34,FALSE)))/60))</f>
        <v/>
      </c>
      <c r="E16" s="70" t="str">
        <f>IF(ISNA((HOUR(VLOOKUP(CONCATENATE(VLOOKUP($A$3,XTIME!$A$1:$E$31,3,FALSE),$C16),Tableau3[[Référence]:[FORMATION]],40,FALSE))*60+MINUTE(VLOOKUP(CONCATENATE(VLOOKUP($A$3,XTIME!$A$1:$E$31,3,FALSE),$C16),Tableau3[[Référence]:[FORMATION]],40,FALSE)))/60)=TRUE,"",((HOUR(VLOOKUP(CONCATENATE(VLOOKUP($A$3,XTIME!$A$1:$E$31,3,FALSE),$C16),Tableau3[[Référence]:[FORMATION]],40,FALSE))*60+MINUTE(VLOOKUP(CONCATENATE(VLOOKUP($A$3,XTIME!$A$1:$E$31,3,FALSE),$C16),Tableau3[[Référence]:[FORMATION]],40,FALSE)))/60))</f>
        <v/>
      </c>
      <c r="F16" s="70" t="str">
        <f>IF(ISNA((HOUR(VLOOKUP(CONCATENATE(VLOOKUP($A$3,XTIME!$A$1:$E$31,3,FALSE),$C16),Tableau3[[Référence]:[FORMATION]],41,FALSE))*60+MINUTE(VLOOKUP(CONCATENATE(VLOOKUP($A$3,XTIME!$A$1:$E$31,3,FALSE),$C16),Tableau3[[Référence]:[FORMATION]],41,FALSE)))/60)=TRUE,"",((HOUR(VLOOKUP(CONCATENATE(VLOOKUP($A$3,XTIME!$A$1:$E$31,3,FALSE),$C16),Tableau3[[Référence]:[FORMATION]],41,FALSE))*60+MINUTE(VLOOKUP(CONCATENATE(VLOOKUP($A$3,XTIME!$A$1:$E$31,3,FALSE),$C16),Tableau3[[Référence]:[FORMATION]],41,FALSE)))/60))</f>
        <v/>
      </c>
      <c r="G16" s="40" t="str">
        <f>IF(ISNA((HOUR(VLOOKUP(CONCATENATE(VLOOKUP($A$3,XTIME!$A$1:$E$31,3,FALSE),$C16),Tableau3[[Référence]:[FORMATION]],42,FALSE))*60+MINUTE(VLOOKUP(CONCATENATE(VLOOKUP($A$3,XTIME!$A$1:$E$31,3,FALSE),$C16),Tableau3[[Référence]:[FORMATION]],42,FALSE)))/60)=TRUE,"",((HOUR(VLOOKUP(CONCATENATE(VLOOKUP($A$3,XTIME!$A$1:$E$31,3,FALSE),$C16),Tableau3[[Référence]:[FORMATION]],42,FALSE))*60+MINUTE(VLOOKUP(CONCATENATE(VLOOKUP($A$3,XTIME!$A$1:$E$31,3,FALSE),$C16),Tableau3[[Référence]:[FORMATION]],42,FALSE)))/60))</f>
        <v/>
      </c>
      <c r="H16" s="6" t="str">
        <f>IF(ISNA(VLOOKUP(CONCATENATE(VLOOKUP($A$3,XTIME!$A$1:$E$31,3,FALSE),$C16),Tableau3[[Référence]:[FORMATION]],7,FALSE))=TRUE,"",VLOOKUP(CONCATENATE(VLOOKUP($A$3,XTIME!$A$1:$E$31,3,FALSE),$C16),Tableau3[[Référence]:[FORMATION]],7,FALSE))</f>
        <v/>
      </c>
      <c r="I16" s="41" t="str">
        <f>IFERROR((HOUR(IF(C16="","",MIN(IF((VLOOKUP(CONCATENATE(VLOOKUP($A$3,XTIME!$A$1:$E$31,3,FALSE),C16),'Fiche Horaire'!A:AR,12,FALSE)+VLOOKUP(CONCATENATE(VLOOKUP($A$3,XTIME!$A$1:$E$31,3,FALSE),C16),'Fiche Horaire'!A:AR,33,FALSE))&gt;Feuil2!$C$2,VLOOKUP(CONCATENATE(VLOOKUP($A$3,XTIME!$A$1:$E$31,3,FALSE),C16),'Fiche Horaire'!A:AR,33,FALSE)+VLOOKUP(CONCATENATE(VLOOKUP($A$3,XTIME!$A$1:$E$31,3,FALSE),C16),'Fiche Horaire'!A:AR,12,FALSE)-Feuil2!$C$2,"X"),Feuil2!$C$3)))*60+MINUTE(IF(C16="","",MIN(IF((VLOOKUP(CONCATENATE(VLOOKUP($A$3,XTIME!$A$1:$E$31,3,FALSE),C16),'Fiche Horaire'!A:AR,12,FALSE)+VLOOKUP(CONCATENATE(VLOOKUP($A$3,XTIME!$A$1:$E$31,3,FALSE),C16),'Fiche Horaire'!A:AR,33,FALSE))&gt;Feuil2!$C$2,VLOOKUP(CONCATENATE(VLOOKUP($A$3,XTIME!$A$1:$E$31,3,FALSE),C16),'Fiche Horaire'!A:AR,33,FALSE)+VLOOKUP(CONCATENATE(VLOOKUP($A$3,XTIME!$A$1:$E$31,3,FALSE),C16),'Fiche Horaire'!A:AR,12,FALSE)-Feuil2!$C$2,"X"),Feuil2!$C$3))))/60,"")</f>
        <v/>
      </c>
      <c r="J16" s="93" t="str">
        <f>IFERROR((HOUR(IF(C16="","",IF(VLOOKUP(CONCATENATE(VLOOKUP($A$3,XTIME!$A$1:$E$31,3,FALSE),C16),'Fiche Horaire'!A:AR,12,FALSE)="","",IF((VLOOKUP(CONCATENATE(VLOOKUP($A$3,XTIME!$A$1:$E$31,3,FALSE),C16),'Fiche Horaire'!A:AR,12,FALSE))&lt;Feuil2!$D$2,Feuil2!$D$2-VLOOKUP(CONCATENATE(VLOOKUP($A$3,XTIME!$A$1:$E$31,3,FALSE),C16),'Fiche Horaire'!A:AR,12,FALSE),IF((VLOOKUP(CONCATENATE(VLOOKUP($A$3,XTIME!$A$1:$E$31,3,FALSE),C16),'Fiche Horaire'!A:AR,12,FALSE)+VLOOKUP(CONCATENATE(VLOOKUP($A$3,XTIME!$A$1:$E$31,3,FALSE),C16),'Fiche Horaire'!A:AR,33,FALSE))&gt;Feuil2!$D$3,VLOOKUP(CONCATENATE(VLOOKUP($A$3,XTIME!$A$1:$E$31,3,FALSE),C16),'Fiche Horaire'!A:AR,33,FALSE)+VLOOKUP(CONCATENATE(VLOOKUP($A$3,XTIME!$A$1:$E$31,3,FALSE),C16),'Fiche Horaire'!A:AR,12,FALSE)-Feuil2!$D$3,"")))))*60+MINUTE(IF(C16="","",IF(VLOOKUP(CONCATENATE(VLOOKUP($A$3,XTIME!$A$1:$E$31,3,FALSE),C16),'Fiche Horaire'!A:AR,12,FALSE)="","",IF((VLOOKUP(CONCATENATE(VLOOKUP($A$3,XTIME!$A$1:$E$31,3,FALSE),C16),'Fiche Horaire'!A:AR,12,FALSE))&lt;Feuil2!$D$2,Feuil2!$D$2-VLOOKUP(CONCATENATE(VLOOKUP($A$3,XTIME!$A$1:$E$31,3,FALSE),C16),'Fiche Horaire'!A:AR,12,FALSE),IF((VLOOKUP(CONCATENATE(VLOOKUP($A$3,XTIME!$A$1:$E$31,3,FALSE),C16),'Fiche Horaire'!A:AR,12,FALSE)+VLOOKUP(CONCATENATE(VLOOKUP($A$3,XTIME!$A$1:$E$31,3,FALSE),C16),'Fiche Horaire'!A:AR,33,FALSE))&gt;Feuil2!$D$3,VLOOKUP(CONCATENATE(VLOOKUP($A$3,XTIME!$A$1:$E$31,3,FALSE),C16),'Fiche Horaire'!A:AR,33,FALSE)+VLOOKUP(CONCATENATE(VLOOKUP($A$3,XTIME!$A$1:$E$31,3,FALSE),C16),'Fiche Horaire'!A:AR,12,FALSE)-Feuil2!$D$3,""))))))/60,"")</f>
        <v/>
      </c>
      <c r="L16" s="44" t="s">
        <v>3</v>
      </c>
      <c r="M16" s="33">
        <f>IF(M14&lt;45,M14-$K$4-M19,3)</f>
        <v>0</v>
      </c>
    </row>
    <row r="17" spans="2:13" ht="25" customHeight="1">
      <c r="B17" s="122"/>
      <c r="C17" s="12">
        <f t="shared" si="1"/>
        <v>43350</v>
      </c>
      <c r="D17" s="67" t="str">
        <f>IF(ISNA((HOUR(VLOOKUP(CONCATENATE(VLOOKUP($A$3,XTIME!$A$1:$E$31,3,FALSE),$C17),Tableau3[[Référence]:[FORMATION]],34,FALSE))*60+MINUTE(VLOOKUP(CONCATENATE(VLOOKUP($A$3,XTIME!$A$1:$E$31,3,FALSE),$C17),Tableau3[[Référence]:[FORMATION]],34,FALSE)))/60)=TRUE,"",((HOUR(VLOOKUP(CONCATENATE(VLOOKUP($A$3,XTIME!$A$1:$E$31,3,FALSE),$C17),Tableau3[[Référence]:[FORMATION]],34,FALSE))*60+MINUTE(VLOOKUP(CONCATENATE(VLOOKUP($A$3,XTIME!$A$1:$E$31,3,FALSE),$C17),Tableau3[[Référence]:[FORMATION]],34,FALSE)))/60))</f>
        <v/>
      </c>
      <c r="E17" s="70" t="str">
        <f>IF(ISNA((HOUR(VLOOKUP(CONCATENATE(VLOOKUP($A$3,XTIME!$A$1:$E$31,3,FALSE),$C17),Tableau3[[Référence]:[FORMATION]],40,FALSE))*60+MINUTE(VLOOKUP(CONCATENATE(VLOOKUP($A$3,XTIME!$A$1:$E$31,3,FALSE),$C17),Tableau3[[Référence]:[FORMATION]],40,FALSE)))/60)=TRUE,"",((HOUR(VLOOKUP(CONCATENATE(VLOOKUP($A$3,XTIME!$A$1:$E$31,3,FALSE),$C17),Tableau3[[Référence]:[FORMATION]],40,FALSE))*60+MINUTE(VLOOKUP(CONCATENATE(VLOOKUP($A$3,XTIME!$A$1:$E$31,3,FALSE),$C17),Tableau3[[Référence]:[FORMATION]],40,FALSE)))/60))</f>
        <v/>
      </c>
      <c r="F17" s="70" t="str">
        <f>IF(ISNA((HOUR(VLOOKUP(CONCATENATE(VLOOKUP($A$3,XTIME!$A$1:$E$31,3,FALSE),$C17),Tableau3[[Référence]:[FORMATION]],41,FALSE))*60+MINUTE(VLOOKUP(CONCATENATE(VLOOKUP($A$3,XTIME!$A$1:$E$31,3,FALSE),$C17),Tableau3[[Référence]:[FORMATION]],41,FALSE)))/60)=TRUE,"",((HOUR(VLOOKUP(CONCATENATE(VLOOKUP($A$3,XTIME!$A$1:$E$31,3,FALSE),$C17),Tableau3[[Référence]:[FORMATION]],41,FALSE))*60+MINUTE(VLOOKUP(CONCATENATE(VLOOKUP($A$3,XTIME!$A$1:$E$31,3,FALSE),$C17),Tableau3[[Référence]:[FORMATION]],41,FALSE)))/60))</f>
        <v/>
      </c>
      <c r="G17" s="40" t="str">
        <f>IF(ISNA((HOUR(VLOOKUP(CONCATENATE(VLOOKUP($A$3,XTIME!$A$1:$E$31,3,FALSE),$C17),Tableau3[[Référence]:[FORMATION]],42,FALSE))*60+MINUTE(VLOOKUP(CONCATENATE(VLOOKUP($A$3,XTIME!$A$1:$E$31,3,FALSE),$C17),Tableau3[[Référence]:[FORMATION]],42,FALSE)))/60)=TRUE,"",((HOUR(VLOOKUP(CONCATENATE(VLOOKUP($A$3,XTIME!$A$1:$E$31,3,FALSE),$C17),Tableau3[[Référence]:[FORMATION]],42,FALSE))*60+MINUTE(VLOOKUP(CONCATENATE(VLOOKUP($A$3,XTIME!$A$1:$E$31,3,FALSE),$C17),Tableau3[[Référence]:[FORMATION]],42,FALSE)))/60))</f>
        <v/>
      </c>
      <c r="H17" s="6" t="str">
        <f>IF(ISNA(VLOOKUP(CONCATENATE(VLOOKUP($A$3,XTIME!$A$1:$E$31,3,FALSE),$C17),Tableau3[[Référence]:[FORMATION]],7,FALSE))=TRUE,"",VLOOKUP(CONCATENATE(VLOOKUP($A$3,XTIME!$A$1:$E$31,3,FALSE),$C17),Tableau3[[Référence]:[FORMATION]],7,FALSE))</f>
        <v/>
      </c>
      <c r="I17" s="41" t="str">
        <f>IFERROR((HOUR(IF(C17="","",MIN(IF((VLOOKUP(CONCATENATE(VLOOKUP($A$3,XTIME!$A$1:$E$31,3,FALSE),C17),'Fiche Horaire'!A:AR,12,FALSE)+VLOOKUP(CONCATENATE(VLOOKUP($A$3,XTIME!$A$1:$E$31,3,FALSE),C17),'Fiche Horaire'!A:AR,33,FALSE))&gt;Feuil2!$C$2,VLOOKUP(CONCATENATE(VLOOKUP($A$3,XTIME!$A$1:$E$31,3,FALSE),C17),'Fiche Horaire'!A:AR,33,FALSE)+VLOOKUP(CONCATENATE(VLOOKUP($A$3,XTIME!$A$1:$E$31,3,FALSE),C17),'Fiche Horaire'!A:AR,12,FALSE)-Feuil2!$C$2,"X"),Feuil2!$C$3)))*60+MINUTE(IF(C17="","",MIN(IF((VLOOKUP(CONCATENATE(VLOOKUP($A$3,XTIME!$A$1:$E$31,3,FALSE),C17),'Fiche Horaire'!A:AR,12,FALSE)+VLOOKUP(CONCATENATE(VLOOKUP($A$3,XTIME!$A$1:$E$31,3,FALSE),C17),'Fiche Horaire'!A:AR,33,FALSE))&gt;Feuil2!$C$2,VLOOKUP(CONCATENATE(VLOOKUP($A$3,XTIME!$A$1:$E$31,3,FALSE),C17),'Fiche Horaire'!A:AR,33,FALSE)+VLOOKUP(CONCATENATE(VLOOKUP($A$3,XTIME!$A$1:$E$31,3,FALSE),C17),'Fiche Horaire'!A:AR,12,FALSE)-Feuil2!$C$2,"X"),Feuil2!$C$3))))/60,"")</f>
        <v/>
      </c>
      <c r="J17" s="93" t="str">
        <f>IFERROR((HOUR(IF(C17="","",IF(VLOOKUP(CONCATENATE(VLOOKUP($A$3,XTIME!$A$1:$E$31,3,FALSE),C17),'Fiche Horaire'!A:AR,12,FALSE)="","",IF((VLOOKUP(CONCATENATE(VLOOKUP($A$3,XTIME!$A$1:$E$31,3,FALSE),C17),'Fiche Horaire'!A:AR,12,FALSE))&lt;Feuil2!$D$2,Feuil2!$D$2-VLOOKUP(CONCATENATE(VLOOKUP($A$3,XTIME!$A$1:$E$31,3,FALSE),C17),'Fiche Horaire'!A:AR,12,FALSE),IF((VLOOKUP(CONCATENATE(VLOOKUP($A$3,XTIME!$A$1:$E$31,3,FALSE),C17),'Fiche Horaire'!A:AR,12,FALSE)+VLOOKUP(CONCATENATE(VLOOKUP($A$3,XTIME!$A$1:$E$31,3,FALSE),C17),'Fiche Horaire'!A:AR,33,FALSE))&gt;Feuil2!$D$3,VLOOKUP(CONCATENATE(VLOOKUP($A$3,XTIME!$A$1:$E$31,3,FALSE),C17),'Fiche Horaire'!A:AR,33,FALSE)+VLOOKUP(CONCATENATE(VLOOKUP($A$3,XTIME!$A$1:$E$31,3,FALSE),C17),'Fiche Horaire'!A:AR,12,FALSE)-Feuil2!$D$3,"")))))*60+MINUTE(IF(C17="","",IF(VLOOKUP(CONCATENATE(VLOOKUP($A$3,XTIME!$A$1:$E$31,3,FALSE),C17),'Fiche Horaire'!A:AR,12,FALSE)="","",IF((VLOOKUP(CONCATENATE(VLOOKUP($A$3,XTIME!$A$1:$E$31,3,FALSE),C17),'Fiche Horaire'!A:AR,12,FALSE))&lt;Feuil2!$D$2,Feuil2!$D$2-VLOOKUP(CONCATENATE(VLOOKUP($A$3,XTIME!$A$1:$E$31,3,FALSE),C17),'Fiche Horaire'!A:AR,12,FALSE),IF((VLOOKUP(CONCATENATE(VLOOKUP($A$3,XTIME!$A$1:$E$31,3,FALSE),C17),'Fiche Horaire'!A:AR,12,FALSE)+VLOOKUP(CONCATENATE(VLOOKUP($A$3,XTIME!$A$1:$E$31,3,FALSE),C17),'Fiche Horaire'!A:AR,33,FALSE))&gt;Feuil2!$D$3,VLOOKUP(CONCATENATE(VLOOKUP($A$3,XTIME!$A$1:$E$31,3,FALSE),C17),'Fiche Horaire'!A:AR,33,FALSE)+VLOOKUP(CONCATENATE(VLOOKUP($A$3,XTIME!$A$1:$E$31,3,FALSE),C17),'Fiche Horaire'!A:AR,12,FALSE)-Feuil2!$D$3,""))))))/60,"")</f>
        <v/>
      </c>
      <c r="L17" s="44" t="s">
        <v>4</v>
      </c>
      <c r="M17" s="33">
        <f>IF(M14&gt;45,M14-$K$4-M19-M16,0)</f>
        <v>0</v>
      </c>
    </row>
    <row r="18" spans="2:13" ht="25" customHeight="1" thickBot="1">
      <c r="B18" s="122"/>
      <c r="C18" s="12">
        <f t="shared" si="1"/>
        <v>43351</v>
      </c>
      <c r="D18" s="68" t="str">
        <f>IF(ISNA((HOUR(VLOOKUP(CONCATENATE(VLOOKUP($A$3,XTIME!$A$1:$E$31,3,FALSE),$C18),Tableau3[[Référence]:[FORMATION]],34,FALSE))*60+MINUTE(VLOOKUP(CONCATENATE(VLOOKUP($A$3,XTIME!$A$1:$E$31,3,FALSE),$C18),Tableau3[[Référence]:[FORMATION]],34,FALSE)))/60)=TRUE,"",((HOUR(VLOOKUP(CONCATENATE(VLOOKUP($A$3,XTIME!$A$1:$E$31,3,FALSE),$C18),Tableau3[[Référence]:[FORMATION]],34,FALSE))*60+MINUTE(VLOOKUP(CONCATENATE(VLOOKUP($A$3,XTIME!$A$1:$E$31,3,FALSE),$C18),Tableau3[[Référence]:[FORMATION]],34,FALSE)))/60))</f>
        <v/>
      </c>
      <c r="E18" s="71" t="str">
        <f>IF(ISNA((HOUR(VLOOKUP(CONCATENATE(VLOOKUP($A$3,XTIME!$A$1:$E$31,3,FALSE),$C18),Tableau3[[Référence]:[FORMATION]],40,FALSE))*60+MINUTE(VLOOKUP(CONCATENATE(VLOOKUP($A$3,XTIME!$A$1:$E$31,3,FALSE),$C18),Tableau3[[Référence]:[FORMATION]],40,FALSE)))/60)=TRUE,"",((HOUR(VLOOKUP(CONCATENATE(VLOOKUP($A$3,XTIME!$A$1:$E$31,3,FALSE),$C18),Tableau3[[Référence]:[FORMATION]],40,FALSE))*60+MINUTE(VLOOKUP(CONCATENATE(VLOOKUP($A$3,XTIME!$A$1:$E$31,3,FALSE),$C18),Tableau3[[Référence]:[FORMATION]],40,FALSE)))/60))</f>
        <v/>
      </c>
      <c r="F18" s="71" t="str">
        <f>IF(ISNA((HOUR(VLOOKUP(CONCATENATE(VLOOKUP($A$3,XTIME!$A$1:$E$31,3,FALSE),$C18),Tableau3[[Référence]:[FORMATION]],41,FALSE))*60+MINUTE(VLOOKUP(CONCATENATE(VLOOKUP($A$3,XTIME!$A$1:$E$31,3,FALSE),$C18),Tableau3[[Référence]:[FORMATION]],41,FALSE)))/60)=TRUE,"",((HOUR(VLOOKUP(CONCATENATE(VLOOKUP($A$3,XTIME!$A$1:$E$31,3,FALSE),$C18),Tableau3[[Référence]:[FORMATION]],41,FALSE))*60+MINUTE(VLOOKUP(CONCATENATE(VLOOKUP($A$3,XTIME!$A$1:$E$31,3,FALSE),$C18),Tableau3[[Référence]:[FORMATION]],41,FALSE)))/60))</f>
        <v/>
      </c>
      <c r="G18" s="24" t="str">
        <f>IF(ISNA((HOUR(VLOOKUP(CONCATENATE(VLOOKUP($A$3,XTIME!$A$1:$E$31,3,FALSE),$C18),Tableau3[[Référence]:[FORMATION]],42,FALSE))*60+MINUTE(VLOOKUP(CONCATENATE(VLOOKUP($A$3,XTIME!$A$1:$E$31,3,FALSE),$C18),Tableau3[[Référence]:[FORMATION]],42,FALSE)))/60)=TRUE,"",((HOUR(VLOOKUP(CONCATENATE(VLOOKUP($A$3,XTIME!$A$1:$E$31,3,FALSE),$C18),Tableau3[[Référence]:[FORMATION]],42,FALSE))*60+MINUTE(VLOOKUP(CONCATENATE(VLOOKUP($A$3,XTIME!$A$1:$E$31,3,FALSE),$C18),Tableau3[[Référence]:[FORMATION]],42,FALSE)))/60))</f>
        <v/>
      </c>
      <c r="H18" s="37" t="str">
        <f>IF(ISNA(VLOOKUP(CONCATENATE(VLOOKUP($A$3,XTIME!$A$1:$E$31,3,FALSE),$C18),Tableau3[[Référence]:[FORMATION]],7,FALSE))=TRUE,"",VLOOKUP(CONCATENATE(VLOOKUP($A$3,XTIME!$A$1:$E$31,3,FALSE),$C18),Tableau3[[Référence]:[FORMATION]],7,FALSE))</f>
        <v/>
      </c>
      <c r="I18" s="36" t="str">
        <f>IFERROR((HOUR(IF(C18="","",MIN(IF((VLOOKUP(CONCATENATE(VLOOKUP($A$3,XTIME!$A$1:$E$31,3,FALSE),C18),'Fiche Horaire'!A:AR,12,FALSE)+VLOOKUP(CONCATENATE(VLOOKUP($A$3,XTIME!$A$1:$E$31,3,FALSE),C18),'Fiche Horaire'!A:AR,33,FALSE))&gt;Feuil2!$C$2,VLOOKUP(CONCATENATE(VLOOKUP($A$3,XTIME!$A$1:$E$31,3,FALSE),C18),'Fiche Horaire'!A:AR,33,FALSE)+VLOOKUP(CONCATENATE(VLOOKUP($A$3,XTIME!$A$1:$E$31,3,FALSE),C18),'Fiche Horaire'!A:AR,12,FALSE)-Feuil2!$C$2,"X"),Feuil2!$C$3)))*60+MINUTE(IF(C18="","",MIN(IF((VLOOKUP(CONCATENATE(VLOOKUP($A$3,XTIME!$A$1:$E$31,3,FALSE),C18),'Fiche Horaire'!A:AR,12,FALSE)+VLOOKUP(CONCATENATE(VLOOKUP($A$3,XTIME!$A$1:$E$31,3,FALSE),C18),'Fiche Horaire'!A:AR,33,FALSE))&gt;Feuil2!$C$2,VLOOKUP(CONCATENATE(VLOOKUP($A$3,XTIME!$A$1:$E$31,3,FALSE),C18),'Fiche Horaire'!A:AR,33,FALSE)+VLOOKUP(CONCATENATE(VLOOKUP($A$3,XTIME!$A$1:$E$31,3,FALSE),C18),'Fiche Horaire'!A:AR,12,FALSE)-Feuil2!$C$2,"X"),Feuil2!$C$3))))/60,"")</f>
        <v/>
      </c>
      <c r="J18" s="94" t="str">
        <f>IFERROR((HOUR(IF(C18="","",IF(VLOOKUP(CONCATENATE(VLOOKUP($A$3,XTIME!$A$1:$E$31,3,FALSE),C18),'Fiche Horaire'!A:AR,12,FALSE)="","",IF((VLOOKUP(CONCATENATE(VLOOKUP($A$3,XTIME!$A$1:$E$31,3,FALSE),C18),'Fiche Horaire'!A:AR,12,FALSE))&lt;Feuil2!$D$2,Feuil2!$D$2-VLOOKUP(CONCATENATE(VLOOKUP($A$3,XTIME!$A$1:$E$31,3,FALSE),C18),'Fiche Horaire'!A:AR,12,FALSE),IF((VLOOKUP(CONCATENATE(VLOOKUP($A$3,XTIME!$A$1:$E$31,3,FALSE),C18),'Fiche Horaire'!A:AR,12,FALSE)+VLOOKUP(CONCATENATE(VLOOKUP($A$3,XTIME!$A$1:$E$31,3,FALSE),C18),'Fiche Horaire'!A:AR,33,FALSE))&gt;Feuil2!$D$3,VLOOKUP(CONCATENATE(VLOOKUP($A$3,XTIME!$A$1:$E$31,3,FALSE),C18),'Fiche Horaire'!A:AR,33,FALSE)+VLOOKUP(CONCATENATE(VLOOKUP($A$3,XTIME!$A$1:$E$31,3,FALSE),C18),'Fiche Horaire'!A:AR,12,FALSE)-Feuil2!$D$3,"")))))*60+MINUTE(IF(C18="","",IF(VLOOKUP(CONCATENATE(VLOOKUP($A$3,XTIME!$A$1:$E$31,3,FALSE),C18),'Fiche Horaire'!A:AR,12,FALSE)="","",IF((VLOOKUP(CONCATENATE(VLOOKUP($A$3,XTIME!$A$1:$E$31,3,FALSE),C18),'Fiche Horaire'!A:AR,12,FALSE))&lt;Feuil2!$D$2,Feuil2!$D$2-VLOOKUP(CONCATENATE(VLOOKUP($A$3,XTIME!$A$1:$E$31,3,FALSE),C18),'Fiche Horaire'!A:AR,12,FALSE),IF((VLOOKUP(CONCATENATE(VLOOKUP($A$3,XTIME!$A$1:$E$31,3,FALSE),C18),'Fiche Horaire'!A:AR,12,FALSE)+VLOOKUP(CONCATENATE(VLOOKUP($A$3,XTIME!$A$1:$E$31,3,FALSE),C18),'Fiche Horaire'!A:AR,33,FALSE))&gt;Feuil2!$D$3,VLOOKUP(CONCATENATE(VLOOKUP($A$3,XTIME!$A$1:$E$31,3,FALSE),C18),'Fiche Horaire'!A:AR,33,FALSE)+VLOOKUP(CONCATENATE(VLOOKUP($A$3,XTIME!$A$1:$E$31,3,FALSE),C18),'Fiche Horaire'!A:AR,12,FALSE)-Feuil2!$D$3,""))))))/60,"")</f>
        <v/>
      </c>
      <c r="L18" s="83" t="s">
        <v>86</v>
      </c>
      <c r="M18" s="82">
        <f>MIN(IF(M14=0,0,IF(M14&gt;=37,M14-37,IF(M14&lt;=35,M14-35,0))),5)</f>
        <v>0</v>
      </c>
    </row>
    <row r="19" spans="2:13" ht="25" customHeight="1" thickTop="1" thickBot="1">
      <c r="B19" s="123"/>
      <c r="C19" s="14" t="s">
        <v>9</v>
      </c>
      <c r="D19" s="15">
        <f>SUM(D13:D18)</f>
        <v>0</v>
      </c>
      <c r="E19" s="16">
        <f t="shared" ref="E19" si="2">SUM(E13:E18)</f>
        <v>0</v>
      </c>
      <c r="F19" s="16">
        <f>SUM(F13:F18)</f>
        <v>0</v>
      </c>
      <c r="G19" s="16">
        <f>SUM(G13:G18)</f>
        <v>0</v>
      </c>
      <c r="H19" s="23">
        <f>IF(COUNTIF(H13:H18,0)&gt;0,0,IF(COUNTBLANK(H13:H18)=6,0,(6-COUNTBLANK(H13:H18)-COUNTIF(H13:H18,"REPOS"))*$K11/5))</f>
        <v>0</v>
      </c>
      <c r="I19" s="15">
        <f>SUM(I13:I18)</f>
        <v>0</v>
      </c>
      <c r="J19" s="17">
        <f>SUM(J13:J18)</f>
        <v>0</v>
      </c>
      <c r="L19" s="43" t="s">
        <v>10</v>
      </c>
      <c r="M19" s="34">
        <f>IF(M14&lt;42,M14-$K$4,7)</f>
        <v>-43</v>
      </c>
    </row>
    <row r="20" spans="2:13" ht="25" customHeight="1" thickBot="1">
      <c r="B20" s="121" t="str">
        <f t="shared" ref="B20" si="3">CONCATENATE("SEMAINE"," ",WEEKNUM(C20))</f>
        <v>SEMAINE 37</v>
      </c>
      <c r="C20" s="11">
        <f>C18+2</f>
        <v>43353</v>
      </c>
      <c r="D20" s="66" t="str">
        <f>IF(ISNA((HOUR(VLOOKUP(CONCATENATE(VLOOKUP($A$3,XTIME!$A$1:$E$31,3,FALSE),$C20),Tableau3[[Référence]:[FORMATION]],34,FALSE))*60+MINUTE(VLOOKUP(CONCATENATE(VLOOKUP($A$3,XTIME!$A$1:$E$31,3,FALSE),$C20),Tableau3[[Référence]:[FORMATION]],34,FALSE)))/60)=TRUE,"",((HOUR(VLOOKUP(CONCATENATE(VLOOKUP($A$3,XTIME!$A$1:$E$31,3,FALSE),$C20),Tableau3[[Référence]:[FORMATION]],34,FALSE))*60+MINUTE(VLOOKUP(CONCATENATE(VLOOKUP($A$3,XTIME!$A$1:$E$31,3,FALSE),$C20),Tableau3[[Référence]:[FORMATION]],34,FALSE)))/60))</f>
        <v/>
      </c>
      <c r="E20" s="69" t="str">
        <f>IF(ISNA((HOUR(VLOOKUP(CONCATENATE(VLOOKUP($A$3,XTIME!$A$1:$E$31,3,FALSE),$C20),Tableau3[[Référence]:[FORMATION]],40,FALSE))*60+MINUTE(VLOOKUP(CONCATENATE(VLOOKUP($A$3,XTIME!$A$1:$E$31,3,FALSE),$C20),Tableau3[[Référence]:[FORMATION]],40,FALSE)))/60)=TRUE,"",((HOUR(VLOOKUP(CONCATENATE(VLOOKUP($A$3,XTIME!$A$1:$E$31,3,FALSE),$C20),Tableau3[[Référence]:[FORMATION]],40,FALSE))*60+MINUTE(VLOOKUP(CONCATENATE(VLOOKUP($A$3,XTIME!$A$1:$E$31,3,FALSE),$C20),Tableau3[[Référence]:[FORMATION]],40,FALSE)))/60))</f>
        <v/>
      </c>
      <c r="F20" s="69" t="str">
        <f>IF(ISNA((HOUR(VLOOKUP(CONCATENATE(VLOOKUP($A$3,XTIME!$A$1:$E$31,3,FALSE),$C20),Tableau3[[Référence]:[FORMATION]],41,FALSE))*60+MINUTE(VLOOKUP(CONCATENATE(VLOOKUP($A$3,XTIME!$A$1:$E$31,3,FALSE),$C20),Tableau3[[Référence]:[FORMATION]],41,FALSE)))/60)=TRUE,"",((HOUR(VLOOKUP(CONCATENATE(VLOOKUP($A$3,XTIME!$A$1:$E$31,3,FALSE),$C20),Tableau3[[Référence]:[FORMATION]],41,FALSE))*60+MINUTE(VLOOKUP(CONCATENATE(VLOOKUP($A$3,XTIME!$A$1:$E$31,3,FALSE),$C20),Tableau3[[Référence]:[FORMATION]],41,FALSE)))/60))</f>
        <v/>
      </c>
      <c r="G20" s="39" t="str">
        <f>IF(ISNA((HOUR(VLOOKUP(CONCATENATE(VLOOKUP($A$3,XTIME!$A$1:$E$31,3,FALSE),$C20),Tableau3[[Référence]:[FORMATION]],42,FALSE))*60+MINUTE(VLOOKUP(CONCATENATE(VLOOKUP($A$3,XTIME!$A$1:$E$31,3,FALSE),$C20),Tableau3[[Référence]:[FORMATION]],42,FALSE)))/60)=TRUE,"",((HOUR(VLOOKUP(CONCATENATE(VLOOKUP($A$3,XTIME!$A$1:$E$31,3,FALSE),$C20),Tableau3[[Référence]:[FORMATION]],42,FALSE))*60+MINUTE(VLOOKUP(CONCATENATE(VLOOKUP($A$3,XTIME!$A$1:$E$31,3,FALSE),$C20),Tableau3[[Référence]:[FORMATION]],42,FALSE)))/60))</f>
        <v/>
      </c>
      <c r="H20" s="5" t="str">
        <f>IF(ISNA(VLOOKUP(CONCATENATE(VLOOKUP($A$3,XTIME!$A$1:$E$31,3,FALSE),$C20),Tableau3[[Référence]:[FORMATION]],7,FALSE))=TRUE,"",VLOOKUP(CONCATENATE(VLOOKUP($A$3,XTIME!$A$1:$E$31,3,FALSE),$C20),Tableau3[[Référence]:[FORMATION]],7,FALSE))</f>
        <v/>
      </c>
      <c r="I20" s="38" t="str">
        <f>IFERROR((HOUR(IF(C20="","",MIN(IF((VLOOKUP(CONCATENATE(VLOOKUP($A$3,XTIME!$A$1:$E$31,3,FALSE),C20),'Fiche Horaire'!A:AR,12,FALSE)+VLOOKUP(CONCATENATE(VLOOKUP($A$3,XTIME!$A$1:$E$31,3,FALSE),C20),'Fiche Horaire'!A:AR,33,FALSE))&gt;Feuil2!$C$2,VLOOKUP(CONCATENATE(VLOOKUP($A$3,XTIME!$A$1:$E$31,3,FALSE),C20),'Fiche Horaire'!A:AR,33,FALSE)+VLOOKUP(CONCATENATE(VLOOKUP($A$3,XTIME!$A$1:$E$31,3,FALSE),C20),'Fiche Horaire'!A:AR,12,FALSE)-Feuil2!$C$2,"X"),Feuil2!$C$3)))*60+MINUTE(IF(C20="","",MIN(IF((VLOOKUP(CONCATENATE(VLOOKUP($A$3,XTIME!$A$1:$E$31,3,FALSE),C20),'Fiche Horaire'!A:AR,12,FALSE)+VLOOKUP(CONCATENATE(VLOOKUP($A$3,XTIME!$A$1:$E$31,3,FALSE),C20),'Fiche Horaire'!A:AR,33,FALSE))&gt;Feuil2!$C$2,VLOOKUP(CONCATENATE(VLOOKUP($A$3,XTIME!$A$1:$E$31,3,FALSE),C20),'Fiche Horaire'!A:AR,33,FALSE)+VLOOKUP(CONCATENATE(VLOOKUP($A$3,XTIME!$A$1:$E$31,3,FALSE),C20),'Fiche Horaire'!A:AR,12,FALSE)-Feuil2!$C$2,"X"),Feuil2!$C$3))))/60,"")</f>
        <v/>
      </c>
      <c r="J20" s="92" t="str">
        <f>IFERROR((HOUR(IF(C20="","",IF(VLOOKUP(CONCATENATE(VLOOKUP($A$3,XTIME!$A$1:$E$31,3,FALSE),C20),'Fiche Horaire'!A:AR,12,FALSE)="","",IF((VLOOKUP(CONCATENATE(VLOOKUP($A$3,XTIME!$A$1:$E$31,3,FALSE),C20),'Fiche Horaire'!A:AR,12,FALSE))&lt;Feuil2!$D$2,Feuil2!$D$2-VLOOKUP(CONCATENATE(VLOOKUP($A$3,XTIME!$A$1:$E$31,3,FALSE),C20),'Fiche Horaire'!A:AR,12,FALSE),IF((VLOOKUP(CONCATENATE(VLOOKUP($A$3,XTIME!$A$1:$E$31,3,FALSE),C20),'Fiche Horaire'!A:AR,12,FALSE)+VLOOKUP(CONCATENATE(VLOOKUP($A$3,XTIME!$A$1:$E$31,3,FALSE),C20),'Fiche Horaire'!A:AR,33,FALSE))&gt;Feuil2!$D$3,VLOOKUP(CONCATENATE(VLOOKUP($A$3,XTIME!$A$1:$E$31,3,FALSE),C20),'Fiche Horaire'!A:AR,33,FALSE)+VLOOKUP(CONCATENATE(VLOOKUP($A$3,XTIME!$A$1:$E$31,3,FALSE),C20),'Fiche Horaire'!A:AR,12,FALSE)-Feuil2!$D$3,"")))))*60+MINUTE(IF(C20="","",IF(VLOOKUP(CONCATENATE(VLOOKUP($A$3,XTIME!$A$1:$E$31,3,FALSE),C20),'Fiche Horaire'!A:AR,12,FALSE)="","",IF((VLOOKUP(CONCATENATE(VLOOKUP($A$3,XTIME!$A$1:$E$31,3,FALSE),C20),'Fiche Horaire'!A:AR,12,FALSE))&lt;Feuil2!$D$2,Feuil2!$D$2-VLOOKUP(CONCATENATE(VLOOKUP($A$3,XTIME!$A$1:$E$31,3,FALSE),C20),'Fiche Horaire'!A:AR,12,FALSE),IF((VLOOKUP(CONCATENATE(VLOOKUP($A$3,XTIME!$A$1:$E$31,3,FALSE),C20),'Fiche Horaire'!A:AR,12,FALSE)+VLOOKUP(CONCATENATE(VLOOKUP($A$3,XTIME!$A$1:$E$31,3,FALSE),C20),'Fiche Horaire'!A:AR,33,FALSE))&gt;Feuil2!$D$3,VLOOKUP(CONCATENATE(VLOOKUP($A$3,XTIME!$A$1:$E$31,3,FALSE),C20),'Fiche Horaire'!A:AR,33,FALSE)+VLOOKUP(CONCATENATE(VLOOKUP($A$3,XTIME!$A$1:$E$31,3,FALSE),C20),'Fiche Horaire'!A:AR,12,FALSE)-Feuil2!$D$3,""))))))/60,"")</f>
        <v/>
      </c>
      <c r="L20" s="112" t="str">
        <f>B20</f>
        <v>SEMAINE 37</v>
      </c>
      <c r="M20" s="113"/>
    </row>
    <row r="21" spans="2:13" ht="25" customHeight="1">
      <c r="B21" s="122"/>
      <c r="C21" s="12">
        <f>C20+1</f>
        <v>43354</v>
      </c>
      <c r="D21" s="67" t="str">
        <f>IF(ISNA((HOUR(VLOOKUP(CONCATENATE(VLOOKUP($A$3,XTIME!$A$1:$E$31,3,FALSE),$C21),Tableau3[[Référence]:[FORMATION]],34,FALSE))*60+MINUTE(VLOOKUP(CONCATENATE(VLOOKUP($A$3,XTIME!$A$1:$E$31,3,FALSE),$C21),Tableau3[[Référence]:[FORMATION]],34,FALSE)))/60)=TRUE,"",((HOUR(VLOOKUP(CONCATENATE(VLOOKUP($A$3,XTIME!$A$1:$E$31,3,FALSE),$C21),Tableau3[[Référence]:[FORMATION]],34,FALSE))*60+MINUTE(VLOOKUP(CONCATENATE(VLOOKUP($A$3,XTIME!$A$1:$E$31,3,FALSE),$C21),Tableau3[[Référence]:[FORMATION]],34,FALSE)))/60))</f>
        <v/>
      </c>
      <c r="E21" s="70" t="str">
        <f>IF(ISNA((HOUR(VLOOKUP(CONCATENATE(VLOOKUP($A$3,XTIME!$A$1:$E$31,3,FALSE),$C21),Tableau3[[Référence]:[FORMATION]],40,FALSE))*60+MINUTE(VLOOKUP(CONCATENATE(VLOOKUP($A$3,XTIME!$A$1:$E$31,3,FALSE),$C21),Tableau3[[Référence]:[FORMATION]],40,FALSE)))/60)=TRUE,"",((HOUR(VLOOKUP(CONCATENATE(VLOOKUP($A$3,XTIME!$A$1:$E$31,3,FALSE),$C21),Tableau3[[Référence]:[FORMATION]],40,FALSE))*60+MINUTE(VLOOKUP(CONCATENATE(VLOOKUP($A$3,XTIME!$A$1:$E$31,3,FALSE),$C21),Tableau3[[Référence]:[FORMATION]],40,FALSE)))/60))</f>
        <v/>
      </c>
      <c r="F21" s="70" t="str">
        <f>IF(ISNA((HOUR(VLOOKUP(CONCATENATE(VLOOKUP($A$3,XTIME!$A$1:$E$31,3,FALSE),$C21),Tableau3[[Référence]:[FORMATION]],41,FALSE))*60+MINUTE(VLOOKUP(CONCATENATE(VLOOKUP($A$3,XTIME!$A$1:$E$31,3,FALSE),$C21),Tableau3[[Référence]:[FORMATION]],41,FALSE)))/60)=TRUE,"",((HOUR(VLOOKUP(CONCATENATE(VLOOKUP($A$3,XTIME!$A$1:$E$31,3,FALSE),$C21),Tableau3[[Référence]:[FORMATION]],41,FALSE))*60+MINUTE(VLOOKUP(CONCATENATE(VLOOKUP($A$3,XTIME!$A$1:$E$31,3,FALSE),$C21),Tableau3[[Référence]:[FORMATION]],41,FALSE)))/60))</f>
        <v/>
      </c>
      <c r="G21" s="40" t="str">
        <f>IF(ISNA((HOUR(VLOOKUP(CONCATENATE(VLOOKUP($A$3,XTIME!$A$1:$E$31,3,FALSE),$C21),Tableau3[[Référence]:[FORMATION]],42,FALSE))*60+MINUTE(VLOOKUP(CONCATENATE(VLOOKUP($A$3,XTIME!$A$1:$E$31,3,FALSE),$C21),Tableau3[[Référence]:[FORMATION]],42,FALSE)))/60)=TRUE,"",((HOUR(VLOOKUP(CONCATENATE(VLOOKUP($A$3,XTIME!$A$1:$E$31,3,FALSE),$C21),Tableau3[[Référence]:[FORMATION]],42,FALSE))*60+MINUTE(VLOOKUP(CONCATENATE(VLOOKUP($A$3,XTIME!$A$1:$E$31,3,FALSE),$C21),Tableau3[[Référence]:[FORMATION]],42,FALSE)))/60))</f>
        <v/>
      </c>
      <c r="H21" s="6" t="str">
        <f>IF(ISNA(VLOOKUP(CONCATENATE(VLOOKUP($A$3,XTIME!$A$1:$E$31,3,FALSE),$C21),Tableau3[[Référence]:[FORMATION]],7,FALSE))=TRUE,"",VLOOKUP(CONCATENATE(VLOOKUP($A$3,XTIME!$A$1:$E$31,3,FALSE),$C21),Tableau3[[Référence]:[FORMATION]],7,FALSE))</f>
        <v/>
      </c>
      <c r="I21" s="41" t="str">
        <f>IFERROR((HOUR(IF(C21="","",MIN(IF((VLOOKUP(CONCATENATE(VLOOKUP($A$3,XTIME!$A$1:$E$31,3,FALSE),C21),'Fiche Horaire'!A:AR,12,FALSE)+VLOOKUP(CONCATENATE(VLOOKUP($A$3,XTIME!$A$1:$E$31,3,FALSE),C21),'Fiche Horaire'!A:AR,33,FALSE))&gt;Feuil2!$C$2,VLOOKUP(CONCATENATE(VLOOKUP($A$3,XTIME!$A$1:$E$31,3,FALSE),C21),'Fiche Horaire'!A:AR,33,FALSE)+VLOOKUP(CONCATENATE(VLOOKUP($A$3,XTIME!$A$1:$E$31,3,FALSE),C21),'Fiche Horaire'!A:AR,12,FALSE)-Feuil2!$C$2,"X"),Feuil2!$C$3)))*60+MINUTE(IF(C21="","",MIN(IF((VLOOKUP(CONCATENATE(VLOOKUP($A$3,XTIME!$A$1:$E$31,3,FALSE),C21),'Fiche Horaire'!A:AR,12,FALSE)+VLOOKUP(CONCATENATE(VLOOKUP($A$3,XTIME!$A$1:$E$31,3,FALSE),C21),'Fiche Horaire'!A:AR,33,FALSE))&gt;Feuil2!$C$2,VLOOKUP(CONCATENATE(VLOOKUP($A$3,XTIME!$A$1:$E$31,3,FALSE),C21),'Fiche Horaire'!A:AR,33,FALSE)+VLOOKUP(CONCATENATE(VLOOKUP($A$3,XTIME!$A$1:$E$31,3,FALSE),C21),'Fiche Horaire'!A:AR,12,FALSE)-Feuil2!$C$2,"X"),Feuil2!$C$3))))/60,"")</f>
        <v/>
      </c>
      <c r="J21" s="93" t="str">
        <f>IFERROR((HOUR(IF(C21="","",IF(VLOOKUP(CONCATENATE(VLOOKUP($A$3,XTIME!$A$1:$E$31,3,FALSE),C21),'Fiche Horaire'!A:AR,12,FALSE)="","",IF((VLOOKUP(CONCATENATE(VLOOKUP($A$3,XTIME!$A$1:$E$31,3,FALSE),C21),'Fiche Horaire'!A:AR,12,FALSE))&lt;Feuil2!$D$2,Feuil2!$D$2-VLOOKUP(CONCATENATE(VLOOKUP($A$3,XTIME!$A$1:$E$31,3,FALSE),C21),'Fiche Horaire'!A:AR,12,FALSE),IF((VLOOKUP(CONCATENATE(VLOOKUP($A$3,XTIME!$A$1:$E$31,3,FALSE),C21),'Fiche Horaire'!A:AR,12,FALSE)+VLOOKUP(CONCATENATE(VLOOKUP($A$3,XTIME!$A$1:$E$31,3,FALSE),C21),'Fiche Horaire'!A:AR,33,FALSE))&gt;Feuil2!$D$3,VLOOKUP(CONCATENATE(VLOOKUP($A$3,XTIME!$A$1:$E$31,3,FALSE),C21),'Fiche Horaire'!A:AR,33,FALSE)+VLOOKUP(CONCATENATE(VLOOKUP($A$3,XTIME!$A$1:$E$31,3,FALSE),C21),'Fiche Horaire'!A:AR,12,FALSE)-Feuil2!$D$3,"")))))*60+MINUTE(IF(C21="","",IF(VLOOKUP(CONCATENATE(VLOOKUP($A$3,XTIME!$A$1:$E$31,3,FALSE),C21),'Fiche Horaire'!A:AR,12,FALSE)="","",IF((VLOOKUP(CONCATENATE(VLOOKUP($A$3,XTIME!$A$1:$E$31,3,FALSE),C21),'Fiche Horaire'!A:AR,12,FALSE))&lt;Feuil2!$D$2,Feuil2!$D$2-VLOOKUP(CONCATENATE(VLOOKUP($A$3,XTIME!$A$1:$E$31,3,FALSE),C21),'Fiche Horaire'!A:AR,12,FALSE),IF((VLOOKUP(CONCATENATE(VLOOKUP($A$3,XTIME!$A$1:$E$31,3,FALSE),C21),'Fiche Horaire'!A:AR,12,FALSE)+VLOOKUP(CONCATENATE(VLOOKUP($A$3,XTIME!$A$1:$E$31,3,FALSE),C21),'Fiche Horaire'!A:AR,33,FALSE))&gt;Feuil2!$D$3,VLOOKUP(CONCATENATE(VLOOKUP($A$3,XTIME!$A$1:$E$31,3,FALSE),C21),'Fiche Horaire'!A:AR,33,FALSE)+VLOOKUP(CONCATENATE(VLOOKUP($A$3,XTIME!$A$1:$E$31,3,FALSE),C21),'Fiche Horaire'!A:AR,12,FALSE)-Feuil2!$D$3,""))))))/60,"")</f>
        <v/>
      </c>
      <c r="L21" s="31" t="s">
        <v>2</v>
      </c>
      <c r="M21" s="35">
        <f>D26+E26+G26+H26+F26</f>
        <v>0</v>
      </c>
    </row>
    <row r="22" spans="2:13" ht="25" customHeight="1">
      <c r="B22" s="122"/>
      <c r="C22" s="12">
        <f t="shared" ref="C22:C25" si="4">C21+1</f>
        <v>43355</v>
      </c>
      <c r="D22" s="67" t="str">
        <f>IF(ISNA((HOUR(VLOOKUP(CONCATENATE(VLOOKUP($A$3,XTIME!$A$1:$E$31,3,FALSE),$C22),Tableau3[[Référence]:[FORMATION]],34,FALSE))*60+MINUTE(VLOOKUP(CONCATENATE(VLOOKUP($A$3,XTIME!$A$1:$E$31,3,FALSE),$C22),Tableau3[[Référence]:[FORMATION]],34,FALSE)))/60)=TRUE,"",((HOUR(VLOOKUP(CONCATENATE(VLOOKUP($A$3,XTIME!$A$1:$E$31,3,FALSE),$C22),Tableau3[[Référence]:[FORMATION]],34,FALSE))*60+MINUTE(VLOOKUP(CONCATENATE(VLOOKUP($A$3,XTIME!$A$1:$E$31,3,FALSE),$C22),Tableau3[[Référence]:[FORMATION]],34,FALSE)))/60))</f>
        <v/>
      </c>
      <c r="E22" s="70" t="str">
        <f>IF(ISNA((HOUR(VLOOKUP(CONCATENATE(VLOOKUP($A$3,XTIME!$A$1:$E$31,3,FALSE),$C22),Tableau3[[Référence]:[FORMATION]],40,FALSE))*60+MINUTE(VLOOKUP(CONCATENATE(VLOOKUP($A$3,XTIME!$A$1:$E$31,3,FALSE),$C22),Tableau3[[Référence]:[FORMATION]],40,FALSE)))/60)=TRUE,"",((HOUR(VLOOKUP(CONCATENATE(VLOOKUP($A$3,XTIME!$A$1:$E$31,3,FALSE),$C22),Tableau3[[Référence]:[FORMATION]],40,FALSE))*60+MINUTE(VLOOKUP(CONCATENATE(VLOOKUP($A$3,XTIME!$A$1:$E$31,3,FALSE),$C22),Tableau3[[Référence]:[FORMATION]],40,FALSE)))/60))</f>
        <v/>
      </c>
      <c r="F22" s="70" t="str">
        <f>IF(ISNA((HOUR(VLOOKUP(CONCATENATE(VLOOKUP($A$3,XTIME!$A$1:$E$31,3,FALSE),$C22),Tableau3[[Référence]:[FORMATION]],41,FALSE))*60+MINUTE(VLOOKUP(CONCATENATE(VLOOKUP($A$3,XTIME!$A$1:$E$31,3,FALSE),$C22),Tableau3[[Référence]:[FORMATION]],41,FALSE)))/60)=TRUE,"",((HOUR(VLOOKUP(CONCATENATE(VLOOKUP($A$3,XTIME!$A$1:$E$31,3,FALSE),$C22),Tableau3[[Référence]:[FORMATION]],41,FALSE))*60+MINUTE(VLOOKUP(CONCATENATE(VLOOKUP($A$3,XTIME!$A$1:$E$31,3,FALSE),$C22),Tableau3[[Référence]:[FORMATION]],41,FALSE)))/60))</f>
        <v/>
      </c>
      <c r="G22" s="40" t="str">
        <f>IF(ISNA((HOUR(VLOOKUP(CONCATENATE(VLOOKUP($A$3,XTIME!$A$1:$E$31,3,FALSE),$C22),Tableau3[[Référence]:[FORMATION]],42,FALSE))*60+MINUTE(VLOOKUP(CONCATENATE(VLOOKUP($A$3,XTIME!$A$1:$E$31,3,FALSE),$C22),Tableau3[[Référence]:[FORMATION]],42,FALSE)))/60)=TRUE,"",((HOUR(VLOOKUP(CONCATENATE(VLOOKUP($A$3,XTIME!$A$1:$E$31,3,FALSE),$C22),Tableau3[[Référence]:[FORMATION]],42,FALSE))*60+MINUTE(VLOOKUP(CONCATENATE(VLOOKUP($A$3,XTIME!$A$1:$E$31,3,FALSE),$C22),Tableau3[[Référence]:[FORMATION]],42,FALSE)))/60))</f>
        <v/>
      </c>
      <c r="H22" s="6" t="str">
        <f>IF(ISNA(VLOOKUP(CONCATENATE(VLOOKUP($A$3,XTIME!$A$1:$E$31,3,FALSE),$C22),Tableau3[[Référence]:[FORMATION]],7,FALSE))=TRUE,"",VLOOKUP(CONCATENATE(VLOOKUP($A$3,XTIME!$A$1:$E$31,3,FALSE),$C22),Tableau3[[Référence]:[FORMATION]],7,FALSE))</f>
        <v/>
      </c>
      <c r="I22" s="41" t="str">
        <f>IFERROR((HOUR(IF(C22="","",MIN(IF((VLOOKUP(CONCATENATE(VLOOKUP($A$3,XTIME!$A$1:$E$31,3,FALSE),C22),'Fiche Horaire'!A:AR,12,FALSE)+VLOOKUP(CONCATENATE(VLOOKUP($A$3,XTIME!$A$1:$E$31,3,FALSE),C22),'Fiche Horaire'!A:AR,33,FALSE))&gt;Feuil2!$C$2,VLOOKUP(CONCATENATE(VLOOKUP($A$3,XTIME!$A$1:$E$31,3,FALSE),C22),'Fiche Horaire'!A:AR,33,FALSE)+VLOOKUP(CONCATENATE(VLOOKUP($A$3,XTIME!$A$1:$E$31,3,FALSE),C22),'Fiche Horaire'!A:AR,12,FALSE)-Feuil2!$C$2,"X"),Feuil2!$C$3)))*60+MINUTE(IF(C22="","",MIN(IF((VLOOKUP(CONCATENATE(VLOOKUP($A$3,XTIME!$A$1:$E$31,3,FALSE),C22),'Fiche Horaire'!A:AR,12,FALSE)+VLOOKUP(CONCATENATE(VLOOKUP($A$3,XTIME!$A$1:$E$31,3,FALSE),C22),'Fiche Horaire'!A:AR,33,FALSE))&gt;Feuil2!$C$2,VLOOKUP(CONCATENATE(VLOOKUP($A$3,XTIME!$A$1:$E$31,3,FALSE),C22),'Fiche Horaire'!A:AR,33,FALSE)+VLOOKUP(CONCATENATE(VLOOKUP($A$3,XTIME!$A$1:$E$31,3,FALSE),C22),'Fiche Horaire'!A:AR,12,FALSE)-Feuil2!$C$2,"X"),Feuil2!$C$3))))/60,"")</f>
        <v/>
      </c>
      <c r="J22" s="93" t="str">
        <f>IFERROR((HOUR(IF(C22="","",IF(VLOOKUP(CONCATENATE(VLOOKUP($A$3,XTIME!$A$1:$E$31,3,FALSE),C22),'Fiche Horaire'!A:AR,12,FALSE)="","",IF((VLOOKUP(CONCATENATE(VLOOKUP($A$3,XTIME!$A$1:$E$31,3,FALSE),C22),'Fiche Horaire'!A:AR,12,FALSE))&lt;Feuil2!$D$2,Feuil2!$D$2-VLOOKUP(CONCATENATE(VLOOKUP($A$3,XTIME!$A$1:$E$31,3,FALSE),C22),'Fiche Horaire'!A:AR,12,FALSE),IF((VLOOKUP(CONCATENATE(VLOOKUP($A$3,XTIME!$A$1:$E$31,3,FALSE),C22),'Fiche Horaire'!A:AR,12,FALSE)+VLOOKUP(CONCATENATE(VLOOKUP($A$3,XTIME!$A$1:$E$31,3,FALSE),C22),'Fiche Horaire'!A:AR,33,FALSE))&gt;Feuil2!$D$3,VLOOKUP(CONCATENATE(VLOOKUP($A$3,XTIME!$A$1:$E$31,3,FALSE),C22),'Fiche Horaire'!A:AR,33,FALSE)+VLOOKUP(CONCATENATE(VLOOKUP($A$3,XTIME!$A$1:$E$31,3,FALSE),C22),'Fiche Horaire'!A:AR,12,FALSE)-Feuil2!$D$3,"")))))*60+MINUTE(IF(C22="","",IF(VLOOKUP(CONCATENATE(VLOOKUP($A$3,XTIME!$A$1:$E$31,3,FALSE),C22),'Fiche Horaire'!A:AR,12,FALSE)="","",IF((VLOOKUP(CONCATENATE(VLOOKUP($A$3,XTIME!$A$1:$E$31,3,FALSE),C22),'Fiche Horaire'!A:AR,12,FALSE))&lt;Feuil2!$D$2,Feuil2!$D$2-VLOOKUP(CONCATENATE(VLOOKUP($A$3,XTIME!$A$1:$E$31,3,FALSE),C22),'Fiche Horaire'!A:AR,12,FALSE),IF((VLOOKUP(CONCATENATE(VLOOKUP($A$3,XTIME!$A$1:$E$31,3,FALSE),C22),'Fiche Horaire'!A:AR,12,FALSE)+VLOOKUP(CONCATENATE(VLOOKUP($A$3,XTIME!$A$1:$E$31,3,FALSE),C22),'Fiche Horaire'!A:AR,33,FALSE))&gt;Feuil2!$D$3,VLOOKUP(CONCATENATE(VLOOKUP($A$3,XTIME!$A$1:$E$31,3,FALSE),C22),'Fiche Horaire'!A:AR,33,FALSE)+VLOOKUP(CONCATENATE(VLOOKUP($A$3,XTIME!$A$1:$E$31,3,FALSE),C22),'Fiche Horaire'!A:AR,12,FALSE)-Feuil2!$D$3,""))))))/60,"")</f>
        <v/>
      </c>
      <c r="L22" s="31" t="s">
        <v>85</v>
      </c>
      <c r="M22" s="35">
        <f>MIN(IF(M21=0,0,IF(M21&gt;=35,M21-35,0)),2)</f>
        <v>0</v>
      </c>
    </row>
    <row r="23" spans="2:13" ht="25" customHeight="1">
      <c r="B23" s="122"/>
      <c r="C23" s="12">
        <f t="shared" si="4"/>
        <v>43356</v>
      </c>
      <c r="D23" s="67" t="str">
        <f>IF(ISNA((HOUR(VLOOKUP(CONCATENATE(VLOOKUP($A$3,XTIME!$A$1:$E$31,3,FALSE),$C23),Tableau3[[Référence]:[FORMATION]],34,FALSE))*60+MINUTE(VLOOKUP(CONCATENATE(VLOOKUP($A$3,XTIME!$A$1:$E$31,3,FALSE),$C23),Tableau3[[Référence]:[FORMATION]],34,FALSE)))/60)=TRUE,"",((HOUR(VLOOKUP(CONCATENATE(VLOOKUP($A$3,XTIME!$A$1:$E$31,3,FALSE),$C23),Tableau3[[Référence]:[FORMATION]],34,FALSE))*60+MINUTE(VLOOKUP(CONCATENATE(VLOOKUP($A$3,XTIME!$A$1:$E$31,3,FALSE),$C23),Tableau3[[Référence]:[FORMATION]],34,FALSE)))/60))</f>
        <v/>
      </c>
      <c r="E23" s="70" t="str">
        <f>IF(ISNA((HOUR(VLOOKUP(CONCATENATE(VLOOKUP($A$3,XTIME!$A$1:$E$31,3,FALSE),$C23),Tableau3[[Référence]:[FORMATION]],40,FALSE))*60+MINUTE(VLOOKUP(CONCATENATE(VLOOKUP($A$3,XTIME!$A$1:$E$31,3,FALSE),$C23),Tableau3[[Référence]:[FORMATION]],40,FALSE)))/60)=TRUE,"",((HOUR(VLOOKUP(CONCATENATE(VLOOKUP($A$3,XTIME!$A$1:$E$31,3,FALSE),$C23),Tableau3[[Référence]:[FORMATION]],40,FALSE))*60+MINUTE(VLOOKUP(CONCATENATE(VLOOKUP($A$3,XTIME!$A$1:$E$31,3,FALSE),$C23),Tableau3[[Référence]:[FORMATION]],40,FALSE)))/60))</f>
        <v/>
      </c>
      <c r="F23" s="70" t="str">
        <f>IF(ISNA((HOUR(VLOOKUP(CONCATENATE(VLOOKUP($A$3,XTIME!$A$1:$E$31,3,FALSE),$C23),Tableau3[[Référence]:[FORMATION]],41,FALSE))*60+MINUTE(VLOOKUP(CONCATENATE(VLOOKUP($A$3,XTIME!$A$1:$E$31,3,FALSE),$C23),Tableau3[[Référence]:[FORMATION]],41,FALSE)))/60)=TRUE,"",((HOUR(VLOOKUP(CONCATENATE(VLOOKUP($A$3,XTIME!$A$1:$E$31,3,FALSE),$C23),Tableau3[[Référence]:[FORMATION]],41,FALSE))*60+MINUTE(VLOOKUP(CONCATENATE(VLOOKUP($A$3,XTIME!$A$1:$E$31,3,FALSE),$C23),Tableau3[[Référence]:[FORMATION]],41,FALSE)))/60))</f>
        <v/>
      </c>
      <c r="G23" s="40" t="str">
        <f>IF(ISNA((HOUR(VLOOKUP(CONCATENATE(VLOOKUP($A$3,XTIME!$A$1:$E$31,3,FALSE),$C23),Tableau3[[Référence]:[FORMATION]],42,FALSE))*60+MINUTE(VLOOKUP(CONCATENATE(VLOOKUP($A$3,XTIME!$A$1:$E$31,3,FALSE),$C23),Tableau3[[Référence]:[FORMATION]],42,FALSE)))/60)=TRUE,"",((HOUR(VLOOKUP(CONCATENATE(VLOOKUP($A$3,XTIME!$A$1:$E$31,3,FALSE),$C23),Tableau3[[Référence]:[FORMATION]],42,FALSE))*60+MINUTE(VLOOKUP(CONCATENATE(VLOOKUP($A$3,XTIME!$A$1:$E$31,3,FALSE),$C23),Tableau3[[Référence]:[FORMATION]],42,FALSE)))/60))</f>
        <v/>
      </c>
      <c r="H23" s="6" t="str">
        <f>IF(ISNA(VLOOKUP(CONCATENATE(VLOOKUP($A$3,XTIME!$A$1:$E$31,3,FALSE),$C23),Tableau3[[Référence]:[FORMATION]],7,FALSE))=TRUE,"",VLOOKUP(CONCATENATE(VLOOKUP($A$3,XTIME!$A$1:$E$31,3,FALSE),$C23),Tableau3[[Référence]:[FORMATION]],7,FALSE))</f>
        <v/>
      </c>
      <c r="I23" s="41" t="str">
        <f>IFERROR((HOUR(IF(C23="","",MIN(IF((VLOOKUP(CONCATENATE(VLOOKUP($A$3,XTIME!$A$1:$E$31,3,FALSE),C23),'Fiche Horaire'!A:AR,12,FALSE)+VLOOKUP(CONCATENATE(VLOOKUP($A$3,XTIME!$A$1:$E$31,3,FALSE),C23),'Fiche Horaire'!A:AR,33,FALSE))&gt;Feuil2!$C$2,VLOOKUP(CONCATENATE(VLOOKUP($A$3,XTIME!$A$1:$E$31,3,FALSE),C23),'Fiche Horaire'!A:AR,33,FALSE)+VLOOKUP(CONCATENATE(VLOOKUP($A$3,XTIME!$A$1:$E$31,3,FALSE),C23),'Fiche Horaire'!A:AR,12,FALSE)-Feuil2!$C$2,"X"),Feuil2!$C$3)))*60+MINUTE(IF(C23="","",MIN(IF((VLOOKUP(CONCATENATE(VLOOKUP($A$3,XTIME!$A$1:$E$31,3,FALSE),C23),'Fiche Horaire'!A:AR,12,FALSE)+VLOOKUP(CONCATENATE(VLOOKUP($A$3,XTIME!$A$1:$E$31,3,FALSE),C23),'Fiche Horaire'!A:AR,33,FALSE))&gt;Feuil2!$C$2,VLOOKUP(CONCATENATE(VLOOKUP($A$3,XTIME!$A$1:$E$31,3,FALSE),C23),'Fiche Horaire'!A:AR,33,FALSE)+VLOOKUP(CONCATENATE(VLOOKUP($A$3,XTIME!$A$1:$E$31,3,FALSE),C23),'Fiche Horaire'!A:AR,12,FALSE)-Feuil2!$C$2,"X"),Feuil2!$C$3))))/60,"")</f>
        <v/>
      </c>
      <c r="J23" s="93" t="str">
        <f>IFERROR((HOUR(IF(C23="","",IF(VLOOKUP(CONCATENATE(VLOOKUP($A$3,XTIME!$A$1:$E$31,3,FALSE),C23),'Fiche Horaire'!A:AR,12,FALSE)="","",IF((VLOOKUP(CONCATENATE(VLOOKUP($A$3,XTIME!$A$1:$E$31,3,FALSE),C23),'Fiche Horaire'!A:AR,12,FALSE))&lt;Feuil2!$D$2,Feuil2!$D$2-VLOOKUP(CONCATENATE(VLOOKUP($A$3,XTIME!$A$1:$E$31,3,FALSE),C23),'Fiche Horaire'!A:AR,12,FALSE),IF((VLOOKUP(CONCATENATE(VLOOKUP($A$3,XTIME!$A$1:$E$31,3,FALSE),C23),'Fiche Horaire'!A:AR,12,FALSE)+VLOOKUP(CONCATENATE(VLOOKUP($A$3,XTIME!$A$1:$E$31,3,FALSE),C23),'Fiche Horaire'!A:AR,33,FALSE))&gt;Feuil2!$D$3,VLOOKUP(CONCATENATE(VLOOKUP($A$3,XTIME!$A$1:$E$31,3,FALSE),C23),'Fiche Horaire'!A:AR,33,FALSE)+VLOOKUP(CONCATENATE(VLOOKUP($A$3,XTIME!$A$1:$E$31,3,FALSE),C23),'Fiche Horaire'!A:AR,12,FALSE)-Feuil2!$D$3,"")))))*60+MINUTE(IF(C23="","",IF(VLOOKUP(CONCATENATE(VLOOKUP($A$3,XTIME!$A$1:$E$31,3,FALSE),C23),'Fiche Horaire'!A:AR,12,FALSE)="","",IF((VLOOKUP(CONCATENATE(VLOOKUP($A$3,XTIME!$A$1:$E$31,3,FALSE),C23),'Fiche Horaire'!A:AR,12,FALSE))&lt;Feuil2!$D$2,Feuil2!$D$2-VLOOKUP(CONCATENATE(VLOOKUP($A$3,XTIME!$A$1:$E$31,3,FALSE),C23),'Fiche Horaire'!A:AR,12,FALSE),IF((VLOOKUP(CONCATENATE(VLOOKUP($A$3,XTIME!$A$1:$E$31,3,FALSE),C23),'Fiche Horaire'!A:AR,12,FALSE)+VLOOKUP(CONCATENATE(VLOOKUP($A$3,XTIME!$A$1:$E$31,3,FALSE),C23),'Fiche Horaire'!A:AR,33,FALSE))&gt;Feuil2!$D$3,VLOOKUP(CONCATENATE(VLOOKUP($A$3,XTIME!$A$1:$E$31,3,FALSE),C23),'Fiche Horaire'!A:AR,33,FALSE)+VLOOKUP(CONCATENATE(VLOOKUP($A$3,XTIME!$A$1:$E$31,3,FALSE),C23),'Fiche Horaire'!A:AR,12,FALSE)-Feuil2!$D$3,""))))))/60,"")</f>
        <v/>
      </c>
      <c r="L23" s="44" t="s">
        <v>3</v>
      </c>
      <c r="M23" s="33">
        <f>IF(M21&lt;45,M21-$K$4-M26,3)</f>
        <v>0</v>
      </c>
    </row>
    <row r="24" spans="2:13" ht="25" customHeight="1">
      <c r="B24" s="122"/>
      <c r="C24" s="12">
        <f t="shared" si="4"/>
        <v>43357</v>
      </c>
      <c r="D24" s="67" t="str">
        <f>IF(ISNA((HOUR(VLOOKUP(CONCATENATE(VLOOKUP($A$3,XTIME!$A$1:$E$31,3,FALSE),$C24),Tableau3[[Référence]:[FORMATION]],34,FALSE))*60+MINUTE(VLOOKUP(CONCATENATE(VLOOKUP($A$3,XTIME!$A$1:$E$31,3,FALSE),$C24),Tableau3[[Référence]:[FORMATION]],34,FALSE)))/60)=TRUE,"",((HOUR(VLOOKUP(CONCATENATE(VLOOKUP($A$3,XTIME!$A$1:$E$31,3,FALSE),$C24),Tableau3[[Référence]:[FORMATION]],34,FALSE))*60+MINUTE(VLOOKUP(CONCATENATE(VLOOKUP($A$3,XTIME!$A$1:$E$31,3,FALSE),$C24),Tableau3[[Référence]:[FORMATION]],34,FALSE)))/60))</f>
        <v/>
      </c>
      <c r="E24" s="70" t="str">
        <f>IF(ISNA((HOUR(VLOOKUP(CONCATENATE(VLOOKUP($A$3,XTIME!$A$1:$E$31,3,FALSE),$C24),Tableau3[[Référence]:[FORMATION]],40,FALSE))*60+MINUTE(VLOOKUP(CONCATENATE(VLOOKUP($A$3,XTIME!$A$1:$E$31,3,FALSE),$C24),Tableau3[[Référence]:[FORMATION]],40,FALSE)))/60)=TRUE,"",((HOUR(VLOOKUP(CONCATENATE(VLOOKUP($A$3,XTIME!$A$1:$E$31,3,FALSE),$C24),Tableau3[[Référence]:[FORMATION]],40,FALSE))*60+MINUTE(VLOOKUP(CONCATENATE(VLOOKUP($A$3,XTIME!$A$1:$E$31,3,FALSE),$C24),Tableau3[[Référence]:[FORMATION]],40,FALSE)))/60))</f>
        <v/>
      </c>
      <c r="F24" s="70" t="str">
        <f>IF(ISNA((HOUR(VLOOKUP(CONCATENATE(VLOOKUP($A$3,XTIME!$A$1:$E$31,3,FALSE),$C24),Tableau3[[Référence]:[FORMATION]],41,FALSE))*60+MINUTE(VLOOKUP(CONCATENATE(VLOOKUP($A$3,XTIME!$A$1:$E$31,3,FALSE),$C24),Tableau3[[Référence]:[FORMATION]],41,FALSE)))/60)=TRUE,"",((HOUR(VLOOKUP(CONCATENATE(VLOOKUP($A$3,XTIME!$A$1:$E$31,3,FALSE),$C24),Tableau3[[Référence]:[FORMATION]],41,FALSE))*60+MINUTE(VLOOKUP(CONCATENATE(VLOOKUP($A$3,XTIME!$A$1:$E$31,3,FALSE),$C24),Tableau3[[Référence]:[FORMATION]],41,FALSE)))/60))</f>
        <v/>
      </c>
      <c r="G24" s="40" t="str">
        <f>IF(ISNA((HOUR(VLOOKUP(CONCATENATE(VLOOKUP($A$3,XTIME!$A$1:$E$31,3,FALSE),$C24),Tableau3[[Référence]:[FORMATION]],42,FALSE))*60+MINUTE(VLOOKUP(CONCATENATE(VLOOKUP($A$3,XTIME!$A$1:$E$31,3,FALSE),$C24),Tableau3[[Référence]:[FORMATION]],42,FALSE)))/60)=TRUE,"",((HOUR(VLOOKUP(CONCATENATE(VLOOKUP($A$3,XTIME!$A$1:$E$31,3,FALSE),$C24),Tableau3[[Référence]:[FORMATION]],42,FALSE))*60+MINUTE(VLOOKUP(CONCATENATE(VLOOKUP($A$3,XTIME!$A$1:$E$31,3,FALSE),$C24),Tableau3[[Référence]:[FORMATION]],42,FALSE)))/60))</f>
        <v/>
      </c>
      <c r="H24" s="6" t="str">
        <f>IF(ISNA(VLOOKUP(CONCATENATE(VLOOKUP($A$3,XTIME!$A$1:$E$31,3,FALSE),$C24),Tableau3[[Référence]:[FORMATION]],7,FALSE))=TRUE,"",VLOOKUP(CONCATENATE(VLOOKUP($A$3,XTIME!$A$1:$E$31,3,FALSE),$C24),Tableau3[[Référence]:[FORMATION]],7,FALSE))</f>
        <v/>
      </c>
      <c r="I24" s="41" t="str">
        <f>IFERROR((HOUR(IF(C24="","",MIN(IF((VLOOKUP(CONCATENATE(VLOOKUP($A$3,XTIME!$A$1:$E$31,3,FALSE),C24),'Fiche Horaire'!A:AR,12,FALSE)+VLOOKUP(CONCATENATE(VLOOKUP($A$3,XTIME!$A$1:$E$31,3,FALSE),C24),'Fiche Horaire'!A:AR,33,FALSE))&gt;Feuil2!$C$2,VLOOKUP(CONCATENATE(VLOOKUP($A$3,XTIME!$A$1:$E$31,3,FALSE),C24),'Fiche Horaire'!A:AR,33,FALSE)+VLOOKUP(CONCATENATE(VLOOKUP($A$3,XTIME!$A$1:$E$31,3,FALSE),C24),'Fiche Horaire'!A:AR,12,FALSE)-Feuil2!$C$2,"X"),Feuil2!$C$3)))*60+MINUTE(IF(C24="","",MIN(IF((VLOOKUP(CONCATENATE(VLOOKUP($A$3,XTIME!$A$1:$E$31,3,FALSE),C24),'Fiche Horaire'!A:AR,12,FALSE)+VLOOKUP(CONCATENATE(VLOOKUP($A$3,XTIME!$A$1:$E$31,3,FALSE),C24),'Fiche Horaire'!A:AR,33,FALSE))&gt;Feuil2!$C$2,VLOOKUP(CONCATENATE(VLOOKUP($A$3,XTIME!$A$1:$E$31,3,FALSE),C24),'Fiche Horaire'!A:AR,33,FALSE)+VLOOKUP(CONCATENATE(VLOOKUP($A$3,XTIME!$A$1:$E$31,3,FALSE),C24),'Fiche Horaire'!A:AR,12,FALSE)-Feuil2!$C$2,"X"),Feuil2!$C$3))))/60,"")</f>
        <v/>
      </c>
      <c r="J24" s="93" t="str">
        <f>IFERROR((HOUR(IF(C24="","",IF(VLOOKUP(CONCATENATE(VLOOKUP($A$3,XTIME!$A$1:$E$31,3,FALSE),C24),'Fiche Horaire'!A:AR,12,FALSE)="","",IF((VLOOKUP(CONCATENATE(VLOOKUP($A$3,XTIME!$A$1:$E$31,3,FALSE),C24),'Fiche Horaire'!A:AR,12,FALSE))&lt;Feuil2!$D$2,Feuil2!$D$2-VLOOKUP(CONCATENATE(VLOOKUP($A$3,XTIME!$A$1:$E$31,3,FALSE),C24),'Fiche Horaire'!A:AR,12,FALSE),IF((VLOOKUP(CONCATENATE(VLOOKUP($A$3,XTIME!$A$1:$E$31,3,FALSE),C24),'Fiche Horaire'!A:AR,12,FALSE)+VLOOKUP(CONCATENATE(VLOOKUP($A$3,XTIME!$A$1:$E$31,3,FALSE),C24),'Fiche Horaire'!A:AR,33,FALSE))&gt;Feuil2!$D$3,VLOOKUP(CONCATENATE(VLOOKUP($A$3,XTIME!$A$1:$E$31,3,FALSE),C24),'Fiche Horaire'!A:AR,33,FALSE)+VLOOKUP(CONCATENATE(VLOOKUP($A$3,XTIME!$A$1:$E$31,3,FALSE),C24),'Fiche Horaire'!A:AR,12,FALSE)-Feuil2!$D$3,"")))))*60+MINUTE(IF(C24="","",IF(VLOOKUP(CONCATENATE(VLOOKUP($A$3,XTIME!$A$1:$E$31,3,FALSE),C24),'Fiche Horaire'!A:AR,12,FALSE)="","",IF((VLOOKUP(CONCATENATE(VLOOKUP($A$3,XTIME!$A$1:$E$31,3,FALSE),C24),'Fiche Horaire'!A:AR,12,FALSE))&lt;Feuil2!$D$2,Feuil2!$D$2-VLOOKUP(CONCATENATE(VLOOKUP($A$3,XTIME!$A$1:$E$31,3,FALSE),C24),'Fiche Horaire'!A:AR,12,FALSE),IF((VLOOKUP(CONCATENATE(VLOOKUP($A$3,XTIME!$A$1:$E$31,3,FALSE),C24),'Fiche Horaire'!A:AR,12,FALSE)+VLOOKUP(CONCATENATE(VLOOKUP($A$3,XTIME!$A$1:$E$31,3,FALSE),C24),'Fiche Horaire'!A:AR,33,FALSE))&gt;Feuil2!$D$3,VLOOKUP(CONCATENATE(VLOOKUP($A$3,XTIME!$A$1:$E$31,3,FALSE),C24),'Fiche Horaire'!A:AR,33,FALSE)+VLOOKUP(CONCATENATE(VLOOKUP($A$3,XTIME!$A$1:$E$31,3,FALSE),C24),'Fiche Horaire'!A:AR,12,FALSE)-Feuil2!$D$3,""))))))/60,"")</f>
        <v/>
      </c>
      <c r="L24" s="44" t="s">
        <v>4</v>
      </c>
      <c r="M24" s="33">
        <f>IF(M21&gt;45,M21-$K$4-M26-M23,0)</f>
        <v>0</v>
      </c>
    </row>
    <row r="25" spans="2:13" ht="25" customHeight="1" thickBot="1">
      <c r="B25" s="122"/>
      <c r="C25" s="12">
        <f t="shared" si="4"/>
        <v>43358</v>
      </c>
      <c r="D25" s="68" t="str">
        <f>IF(ISNA((HOUR(VLOOKUP(CONCATENATE(VLOOKUP($A$3,XTIME!$A$1:$E$31,3,FALSE),$C25),Tableau3[[Référence]:[FORMATION]],34,FALSE))*60+MINUTE(VLOOKUP(CONCATENATE(VLOOKUP($A$3,XTIME!$A$1:$E$31,3,FALSE),$C25),Tableau3[[Référence]:[FORMATION]],34,FALSE)))/60)=TRUE,"",((HOUR(VLOOKUP(CONCATENATE(VLOOKUP($A$3,XTIME!$A$1:$E$31,3,FALSE),$C25),Tableau3[[Référence]:[FORMATION]],34,FALSE))*60+MINUTE(VLOOKUP(CONCATENATE(VLOOKUP($A$3,XTIME!$A$1:$E$31,3,FALSE),$C25),Tableau3[[Référence]:[FORMATION]],34,FALSE)))/60))</f>
        <v/>
      </c>
      <c r="E25" s="71" t="str">
        <f>IF(ISNA((HOUR(VLOOKUP(CONCATENATE(VLOOKUP($A$3,XTIME!$A$1:$E$31,3,FALSE),$C25),Tableau3[[Référence]:[FORMATION]],40,FALSE))*60+MINUTE(VLOOKUP(CONCATENATE(VLOOKUP($A$3,XTIME!$A$1:$E$31,3,FALSE),$C25),Tableau3[[Référence]:[FORMATION]],40,FALSE)))/60)=TRUE,"",((HOUR(VLOOKUP(CONCATENATE(VLOOKUP($A$3,XTIME!$A$1:$E$31,3,FALSE),$C25),Tableau3[[Référence]:[FORMATION]],40,FALSE))*60+MINUTE(VLOOKUP(CONCATENATE(VLOOKUP($A$3,XTIME!$A$1:$E$31,3,FALSE),$C25),Tableau3[[Référence]:[FORMATION]],40,FALSE)))/60))</f>
        <v/>
      </c>
      <c r="F25" s="71" t="str">
        <f>IF(ISNA((HOUR(VLOOKUP(CONCATENATE(VLOOKUP($A$3,XTIME!$A$1:$E$31,3,FALSE),$C25),Tableau3[[Référence]:[FORMATION]],41,FALSE))*60+MINUTE(VLOOKUP(CONCATENATE(VLOOKUP($A$3,XTIME!$A$1:$E$31,3,FALSE),$C25),Tableau3[[Référence]:[FORMATION]],41,FALSE)))/60)=TRUE,"",((HOUR(VLOOKUP(CONCATENATE(VLOOKUP($A$3,XTIME!$A$1:$E$31,3,FALSE),$C25),Tableau3[[Référence]:[FORMATION]],41,FALSE))*60+MINUTE(VLOOKUP(CONCATENATE(VLOOKUP($A$3,XTIME!$A$1:$E$31,3,FALSE),$C25),Tableau3[[Référence]:[FORMATION]],41,FALSE)))/60))</f>
        <v/>
      </c>
      <c r="G25" s="24" t="str">
        <f>IF(ISNA((HOUR(VLOOKUP(CONCATENATE(VLOOKUP($A$3,XTIME!$A$1:$E$31,3,FALSE),$C25),Tableau3[[Référence]:[FORMATION]],42,FALSE))*60+MINUTE(VLOOKUP(CONCATENATE(VLOOKUP($A$3,XTIME!$A$1:$E$31,3,FALSE),$C25),Tableau3[[Référence]:[FORMATION]],42,FALSE)))/60)=TRUE,"",((HOUR(VLOOKUP(CONCATENATE(VLOOKUP($A$3,XTIME!$A$1:$E$31,3,FALSE),$C25),Tableau3[[Référence]:[FORMATION]],42,FALSE))*60+MINUTE(VLOOKUP(CONCATENATE(VLOOKUP($A$3,XTIME!$A$1:$E$31,3,FALSE),$C25),Tableau3[[Référence]:[FORMATION]],42,FALSE)))/60))</f>
        <v/>
      </c>
      <c r="H25" s="37" t="str">
        <f>IF(ISNA(VLOOKUP(CONCATENATE(VLOOKUP($A$3,XTIME!$A$1:$E$31,3,FALSE),$C25),Tableau3[[Référence]:[FORMATION]],7,FALSE))=TRUE,"",VLOOKUP(CONCATENATE(VLOOKUP($A$3,XTIME!$A$1:$E$31,3,FALSE),$C25),Tableau3[[Référence]:[FORMATION]],7,FALSE))</f>
        <v/>
      </c>
      <c r="I25" s="36" t="str">
        <f>IFERROR((HOUR(IF(C25="","",MIN(IF((VLOOKUP(CONCATENATE(VLOOKUP($A$3,XTIME!$A$1:$E$31,3,FALSE),C25),'Fiche Horaire'!A:AR,12,FALSE)+VLOOKUP(CONCATENATE(VLOOKUP($A$3,XTIME!$A$1:$E$31,3,FALSE),C25),'Fiche Horaire'!A:AR,33,FALSE))&gt;Feuil2!$C$2,VLOOKUP(CONCATENATE(VLOOKUP($A$3,XTIME!$A$1:$E$31,3,FALSE),C25),'Fiche Horaire'!A:AR,33,FALSE)+VLOOKUP(CONCATENATE(VLOOKUP($A$3,XTIME!$A$1:$E$31,3,FALSE),C25),'Fiche Horaire'!A:AR,12,FALSE)-Feuil2!$C$2,"X"),Feuil2!$C$3)))*60+MINUTE(IF(C25="","",MIN(IF((VLOOKUP(CONCATENATE(VLOOKUP($A$3,XTIME!$A$1:$E$31,3,FALSE),C25),'Fiche Horaire'!A:AR,12,FALSE)+VLOOKUP(CONCATENATE(VLOOKUP($A$3,XTIME!$A$1:$E$31,3,FALSE),C25),'Fiche Horaire'!A:AR,33,FALSE))&gt;Feuil2!$C$2,VLOOKUP(CONCATENATE(VLOOKUP($A$3,XTIME!$A$1:$E$31,3,FALSE),C25),'Fiche Horaire'!A:AR,33,FALSE)+VLOOKUP(CONCATENATE(VLOOKUP($A$3,XTIME!$A$1:$E$31,3,FALSE),C25),'Fiche Horaire'!A:AR,12,FALSE)-Feuil2!$C$2,"X"),Feuil2!$C$3))))/60,"")</f>
        <v/>
      </c>
      <c r="J25" s="94" t="str">
        <f>IFERROR((HOUR(IF(C25="","",IF(VLOOKUP(CONCATENATE(VLOOKUP($A$3,XTIME!$A$1:$E$31,3,FALSE),C25),'Fiche Horaire'!A:AR,12,FALSE)="","",IF((VLOOKUP(CONCATENATE(VLOOKUP($A$3,XTIME!$A$1:$E$31,3,FALSE),C25),'Fiche Horaire'!A:AR,12,FALSE))&lt;Feuil2!$D$2,Feuil2!$D$2-VLOOKUP(CONCATENATE(VLOOKUP($A$3,XTIME!$A$1:$E$31,3,FALSE),C25),'Fiche Horaire'!A:AR,12,FALSE),IF((VLOOKUP(CONCATENATE(VLOOKUP($A$3,XTIME!$A$1:$E$31,3,FALSE),C25),'Fiche Horaire'!A:AR,12,FALSE)+VLOOKUP(CONCATENATE(VLOOKUP($A$3,XTIME!$A$1:$E$31,3,FALSE),C25),'Fiche Horaire'!A:AR,33,FALSE))&gt;Feuil2!$D$3,VLOOKUP(CONCATENATE(VLOOKUP($A$3,XTIME!$A$1:$E$31,3,FALSE),C25),'Fiche Horaire'!A:AR,33,FALSE)+VLOOKUP(CONCATENATE(VLOOKUP($A$3,XTIME!$A$1:$E$31,3,FALSE),C25),'Fiche Horaire'!A:AR,12,FALSE)-Feuil2!$D$3,"")))))*60+MINUTE(IF(C25="","",IF(VLOOKUP(CONCATENATE(VLOOKUP($A$3,XTIME!$A$1:$E$31,3,FALSE),C25),'Fiche Horaire'!A:AR,12,FALSE)="","",IF((VLOOKUP(CONCATENATE(VLOOKUP($A$3,XTIME!$A$1:$E$31,3,FALSE),C25),'Fiche Horaire'!A:AR,12,FALSE))&lt;Feuil2!$D$2,Feuil2!$D$2-VLOOKUP(CONCATENATE(VLOOKUP($A$3,XTIME!$A$1:$E$31,3,FALSE),C25),'Fiche Horaire'!A:AR,12,FALSE),IF((VLOOKUP(CONCATENATE(VLOOKUP($A$3,XTIME!$A$1:$E$31,3,FALSE),C25),'Fiche Horaire'!A:AR,12,FALSE)+VLOOKUP(CONCATENATE(VLOOKUP($A$3,XTIME!$A$1:$E$31,3,FALSE),C25),'Fiche Horaire'!A:AR,33,FALSE))&gt;Feuil2!$D$3,VLOOKUP(CONCATENATE(VLOOKUP($A$3,XTIME!$A$1:$E$31,3,FALSE),C25),'Fiche Horaire'!A:AR,33,FALSE)+VLOOKUP(CONCATENATE(VLOOKUP($A$3,XTIME!$A$1:$E$31,3,FALSE),C25),'Fiche Horaire'!A:AR,12,FALSE)-Feuil2!$D$3,""))))))/60,"")</f>
        <v/>
      </c>
      <c r="L25" s="83" t="s">
        <v>86</v>
      </c>
      <c r="M25" s="82">
        <f>MIN(IF(M21=0,0,IF(M21&gt;=37,M21-37,IF(M21&lt;=35,M21-35,0))),5)</f>
        <v>0</v>
      </c>
    </row>
    <row r="26" spans="2:13" ht="25" customHeight="1" thickTop="1" thickBot="1">
      <c r="B26" s="123"/>
      <c r="C26" s="14" t="s">
        <v>9</v>
      </c>
      <c r="D26" s="15">
        <f>SUM(D20:D25)</f>
        <v>0</v>
      </c>
      <c r="E26" s="16">
        <f t="shared" ref="E26" si="5">SUM(E20:E25)</f>
        <v>0</v>
      </c>
      <c r="F26" s="16">
        <f>SUM(F20:F25)</f>
        <v>0</v>
      </c>
      <c r="G26" s="16">
        <f>SUM(G20:G25)</f>
        <v>0</v>
      </c>
      <c r="H26" s="23">
        <f>IF(COUNTIF(H20:H25,0)&gt;0,0,IF(COUNTBLANK(H20:H25)=6,0,(6-COUNTBLANK(H20:H25)-COUNTIF(H20:H25,"REPOS"))*$K18/5))</f>
        <v>0</v>
      </c>
      <c r="I26" s="15">
        <f>SUM(I20:I25)</f>
        <v>0</v>
      </c>
      <c r="J26" s="17">
        <f>SUM(J20:J25)</f>
        <v>0</v>
      </c>
      <c r="L26" s="43" t="s">
        <v>10</v>
      </c>
      <c r="M26" s="34">
        <f>IF(M21&lt;42,M21-$K$4,7)</f>
        <v>-43</v>
      </c>
    </row>
    <row r="27" spans="2:13" ht="25" customHeight="1" thickBot="1">
      <c r="B27" s="121" t="str">
        <f t="shared" ref="B27" si="6">CONCATENATE("SEMAINE"," ",WEEKNUM(C27))</f>
        <v>SEMAINE 38</v>
      </c>
      <c r="C27" s="11">
        <f>C25+2</f>
        <v>43360</v>
      </c>
      <c r="D27" s="66" t="str">
        <f>IF(ISNA((HOUR(VLOOKUP(CONCATENATE(VLOOKUP($A$3,XTIME!$A$1:$E$31,3,FALSE),$C27),Tableau3[[Référence]:[FORMATION]],34,FALSE))*60+MINUTE(VLOOKUP(CONCATENATE(VLOOKUP($A$3,XTIME!$A$1:$E$31,3,FALSE),$C27),Tableau3[[Référence]:[FORMATION]],34,FALSE)))/60)=TRUE,"",((HOUR(VLOOKUP(CONCATENATE(VLOOKUP($A$3,XTIME!$A$1:$E$31,3,FALSE),$C27),Tableau3[[Référence]:[FORMATION]],34,FALSE))*60+MINUTE(VLOOKUP(CONCATENATE(VLOOKUP($A$3,XTIME!$A$1:$E$31,3,FALSE),$C27),Tableau3[[Référence]:[FORMATION]],34,FALSE)))/60))</f>
        <v/>
      </c>
      <c r="E27" s="69" t="str">
        <f>IF(ISNA((HOUR(VLOOKUP(CONCATENATE(VLOOKUP($A$3,XTIME!$A$1:$E$31,3,FALSE),$C27),Tableau3[[Référence]:[FORMATION]],40,FALSE))*60+MINUTE(VLOOKUP(CONCATENATE(VLOOKUP($A$3,XTIME!$A$1:$E$31,3,FALSE),$C27),Tableau3[[Référence]:[FORMATION]],40,FALSE)))/60)=TRUE,"",((HOUR(VLOOKUP(CONCATENATE(VLOOKUP($A$3,XTIME!$A$1:$E$31,3,FALSE),$C27),Tableau3[[Référence]:[FORMATION]],40,FALSE))*60+MINUTE(VLOOKUP(CONCATENATE(VLOOKUP($A$3,XTIME!$A$1:$E$31,3,FALSE),$C27),Tableau3[[Référence]:[FORMATION]],40,FALSE)))/60))</f>
        <v/>
      </c>
      <c r="F27" s="69" t="str">
        <f>IF(ISNA((HOUR(VLOOKUP(CONCATENATE(VLOOKUP($A$3,XTIME!$A$1:$E$31,3,FALSE),$C27),Tableau3[[Référence]:[FORMATION]],41,FALSE))*60+MINUTE(VLOOKUP(CONCATENATE(VLOOKUP($A$3,XTIME!$A$1:$E$31,3,FALSE),$C27),Tableau3[[Référence]:[FORMATION]],41,FALSE)))/60)=TRUE,"",((HOUR(VLOOKUP(CONCATENATE(VLOOKUP($A$3,XTIME!$A$1:$E$31,3,FALSE),$C27),Tableau3[[Référence]:[FORMATION]],41,FALSE))*60+MINUTE(VLOOKUP(CONCATENATE(VLOOKUP($A$3,XTIME!$A$1:$E$31,3,FALSE),$C27),Tableau3[[Référence]:[FORMATION]],41,FALSE)))/60))</f>
        <v/>
      </c>
      <c r="G27" s="39" t="str">
        <f>IF(ISNA((HOUR(VLOOKUP(CONCATENATE(VLOOKUP($A$3,XTIME!$A$1:$E$31,3,FALSE),$C27),Tableau3[[Référence]:[FORMATION]],42,FALSE))*60+MINUTE(VLOOKUP(CONCATENATE(VLOOKUP($A$3,XTIME!$A$1:$E$31,3,FALSE),$C27),Tableau3[[Référence]:[FORMATION]],42,FALSE)))/60)=TRUE,"",((HOUR(VLOOKUP(CONCATENATE(VLOOKUP($A$3,XTIME!$A$1:$E$31,3,FALSE),$C27),Tableau3[[Référence]:[FORMATION]],42,FALSE))*60+MINUTE(VLOOKUP(CONCATENATE(VLOOKUP($A$3,XTIME!$A$1:$E$31,3,FALSE),$C27),Tableau3[[Référence]:[FORMATION]],42,FALSE)))/60))</f>
        <v/>
      </c>
      <c r="H27" s="5" t="str">
        <f>IF(ISNA(VLOOKUP(CONCATENATE(VLOOKUP($A$3,XTIME!$A$1:$E$31,3,FALSE),$C27),Tableau3[[Référence]:[FORMATION]],7,FALSE))=TRUE,"",VLOOKUP(CONCATENATE(VLOOKUP($A$3,XTIME!$A$1:$E$31,3,FALSE),$C27),Tableau3[[Référence]:[FORMATION]],7,FALSE))</f>
        <v/>
      </c>
      <c r="I27" s="38" t="str">
        <f>IFERROR((HOUR(IF(C27="","",MIN(IF((VLOOKUP(CONCATENATE(VLOOKUP($A$3,XTIME!$A$1:$E$31,3,FALSE),C27),'Fiche Horaire'!A:AR,12,FALSE)+VLOOKUP(CONCATENATE(VLOOKUP($A$3,XTIME!$A$1:$E$31,3,FALSE),C27),'Fiche Horaire'!A:AR,33,FALSE))&gt;Feuil2!$C$2,VLOOKUP(CONCATENATE(VLOOKUP($A$3,XTIME!$A$1:$E$31,3,FALSE),C27),'Fiche Horaire'!A:AR,33,FALSE)+VLOOKUP(CONCATENATE(VLOOKUP($A$3,XTIME!$A$1:$E$31,3,FALSE),C27),'Fiche Horaire'!A:AR,12,FALSE)-Feuil2!$C$2,"X"),Feuil2!$C$3)))*60+MINUTE(IF(C27="","",MIN(IF((VLOOKUP(CONCATENATE(VLOOKUP($A$3,XTIME!$A$1:$E$31,3,FALSE),C27),'Fiche Horaire'!A:AR,12,FALSE)+VLOOKUP(CONCATENATE(VLOOKUP($A$3,XTIME!$A$1:$E$31,3,FALSE),C27),'Fiche Horaire'!A:AR,33,FALSE))&gt;Feuil2!$C$2,VLOOKUP(CONCATENATE(VLOOKUP($A$3,XTIME!$A$1:$E$31,3,FALSE),C27),'Fiche Horaire'!A:AR,33,FALSE)+VLOOKUP(CONCATENATE(VLOOKUP($A$3,XTIME!$A$1:$E$31,3,FALSE),C27),'Fiche Horaire'!A:AR,12,FALSE)-Feuil2!$C$2,"X"),Feuil2!$C$3))))/60,"")</f>
        <v/>
      </c>
      <c r="J27" s="92" t="str">
        <f>IFERROR((HOUR(IF(C27="","",IF(VLOOKUP(CONCATENATE(VLOOKUP($A$3,XTIME!$A$1:$E$31,3,FALSE),C27),'Fiche Horaire'!A:AR,12,FALSE)="","",IF((VLOOKUP(CONCATENATE(VLOOKUP($A$3,XTIME!$A$1:$E$31,3,FALSE),C27),'Fiche Horaire'!A:AR,12,FALSE))&lt;Feuil2!$D$2,Feuil2!$D$2-VLOOKUP(CONCATENATE(VLOOKUP($A$3,XTIME!$A$1:$E$31,3,FALSE),C27),'Fiche Horaire'!A:AR,12,FALSE),IF((VLOOKUP(CONCATENATE(VLOOKUP($A$3,XTIME!$A$1:$E$31,3,FALSE),C27),'Fiche Horaire'!A:AR,12,FALSE)+VLOOKUP(CONCATENATE(VLOOKUP($A$3,XTIME!$A$1:$E$31,3,FALSE),C27),'Fiche Horaire'!A:AR,33,FALSE))&gt;Feuil2!$D$3,VLOOKUP(CONCATENATE(VLOOKUP($A$3,XTIME!$A$1:$E$31,3,FALSE),C27),'Fiche Horaire'!A:AR,33,FALSE)+VLOOKUP(CONCATENATE(VLOOKUP($A$3,XTIME!$A$1:$E$31,3,FALSE),C27),'Fiche Horaire'!A:AR,12,FALSE)-Feuil2!$D$3,"")))))*60+MINUTE(IF(C27="","",IF(VLOOKUP(CONCATENATE(VLOOKUP($A$3,XTIME!$A$1:$E$31,3,FALSE),C27),'Fiche Horaire'!A:AR,12,FALSE)="","",IF((VLOOKUP(CONCATENATE(VLOOKUP($A$3,XTIME!$A$1:$E$31,3,FALSE),C27),'Fiche Horaire'!A:AR,12,FALSE))&lt;Feuil2!$D$2,Feuil2!$D$2-VLOOKUP(CONCATENATE(VLOOKUP($A$3,XTIME!$A$1:$E$31,3,FALSE),C27),'Fiche Horaire'!A:AR,12,FALSE),IF((VLOOKUP(CONCATENATE(VLOOKUP($A$3,XTIME!$A$1:$E$31,3,FALSE),C27),'Fiche Horaire'!A:AR,12,FALSE)+VLOOKUP(CONCATENATE(VLOOKUP($A$3,XTIME!$A$1:$E$31,3,FALSE),C27),'Fiche Horaire'!A:AR,33,FALSE))&gt;Feuil2!$D$3,VLOOKUP(CONCATENATE(VLOOKUP($A$3,XTIME!$A$1:$E$31,3,FALSE),C27),'Fiche Horaire'!A:AR,33,FALSE)+VLOOKUP(CONCATENATE(VLOOKUP($A$3,XTIME!$A$1:$E$31,3,FALSE),C27),'Fiche Horaire'!A:AR,12,FALSE)-Feuil2!$D$3,""))))))/60,"")</f>
        <v/>
      </c>
      <c r="L27" s="112" t="str">
        <f>B27</f>
        <v>SEMAINE 38</v>
      </c>
      <c r="M27" s="113"/>
    </row>
    <row r="28" spans="2:13" ht="25" customHeight="1">
      <c r="B28" s="122"/>
      <c r="C28" s="12">
        <f>C27+1</f>
        <v>43361</v>
      </c>
      <c r="D28" s="67" t="str">
        <f>IF(ISNA((HOUR(VLOOKUP(CONCATENATE(VLOOKUP($A$3,XTIME!$A$1:$E$31,3,FALSE),$C28),Tableau3[[Référence]:[FORMATION]],34,FALSE))*60+MINUTE(VLOOKUP(CONCATENATE(VLOOKUP($A$3,XTIME!$A$1:$E$31,3,FALSE),$C28),Tableau3[[Référence]:[FORMATION]],34,FALSE)))/60)=TRUE,"",((HOUR(VLOOKUP(CONCATENATE(VLOOKUP($A$3,XTIME!$A$1:$E$31,3,FALSE),$C28),Tableau3[[Référence]:[FORMATION]],34,FALSE))*60+MINUTE(VLOOKUP(CONCATENATE(VLOOKUP($A$3,XTIME!$A$1:$E$31,3,FALSE),$C28),Tableau3[[Référence]:[FORMATION]],34,FALSE)))/60))</f>
        <v/>
      </c>
      <c r="E28" s="70" t="str">
        <f>IF(ISNA((HOUR(VLOOKUP(CONCATENATE(VLOOKUP($A$3,XTIME!$A$1:$E$31,3,FALSE),$C28),Tableau3[[Référence]:[FORMATION]],40,FALSE))*60+MINUTE(VLOOKUP(CONCATENATE(VLOOKUP($A$3,XTIME!$A$1:$E$31,3,FALSE),$C28),Tableau3[[Référence]:[FORMATION]],40,FALSE)))/60)=TRUE,"",((HOUR(VLOOKUP(CONCATENATE(VLOOKUP($A$3,XTIME!$A$1:$E$31,3,FALSE),$C28),Tableau3[[Référence]:[FORMATION]],40,FALSE))*60+MINUTE(VLOOKUP(CONCATENATE(VLOOKUP($A$3,XTIME!$A$1:$E$31,3,FALSE),$C28),Tableau3[[Référence]:[FORMATION]],40,FALSE)))/60))</f>
        <v/>
      </c>
      <c r="F28" s="70" t="str">
        <f>IF(ISNA((HOUR(VLOOKUP(CONCATENATE(VLOOKUP($A$3,XTIME!$A$1:$E$31,3,FALSE),$C28),Tableau3[[Référence]:[FORMATION]],41,FALSE))*60+MINUTE(VLOOKUP(CONCATENATE(VLOOKUP($A$3,XTIME!$A$1:$E$31,3,FALSE),$C28),Tableau3[[Référence]:[FORMATION]],41,FALSE)))/60)=TRUE,"",((HOUR(VLOOKUP(CONCATENATE(VLOOKUP($A$3,XTIME!$A$1:$E$31,3,FALSE),$C28),Tableau3[[Référence]:[FORMATION]],41,FALSE))*60+MINUTE(VLOOKUP(CONCATENATE(VLOOKUP($A$3,XTIME!$A$1:$E$31,3,FALSE),$C28),Tableau3[[Référence]:[FORMATION]],41,FALSE)))/60))</f>
        <v/>
      </c>
      <c r="G28" s="40" t="str">
        <f>IF(ISNA((HOUR(VLOOKUP(CONCATENATE(VLOOKUP($A$3,XTIME!$A$1:$E$31,3,FALSE),$C28),Tableau3[[Référence]:[FORMATION]],42,FALSE))*60+MINUTE(VLOOKUP(CONCATENATE(VLOOKUP($A$3,XTIME!$A$1:$E$31,3,FALSE),$C28),Tableau3[[Référence]:[FORMATION]],42,FALSE)))/60)=TRUE,"",((HOUR(VLOOKUP(CONCATENATE(VLOOKUP($A$3,XTIME!$A$1:$E$31,3,FALSE),$C28),Tableau3[[Référence]:[FORMATION]],42,FALSE))*60+MINUTE(VLOOKUP(CONCATENATE(VLOOKUP($A$3,XTIME!$A$1:$E$31,3,FALSE),$C28),Tableau3[[Référence]:[FORMATION]],42,FALSE)))/60))</f>
        <v/>
      </c>
      <c r="H28" s="6" t="str">
        <f>IF(ISNA(VLOOKUP(CONCATENATE(VLOOKUP($A$3,XTIME!$A$1:$E$31,3,FALSE),$C28),Tableau3[[Référence]:[FORMATION]],7,FALSE))=TRUE,"",VLOOKUP(CONCATENATE(VLOOKUP($A$3,XTIME!$A$1:$E$31,3,FALSE),$C28),Tableau3[[Référence]:[FORMATION]],7,FALSE))</f>
        <v/>
      </c>
      <c r="I28" s="41" t="str">
        <f>IFERROR((HOUR(IF(C28="","",MIN(IF((VLOOKUP(CONCATENATE(VLOOKUP($A$3,XTIME!$A$1:$E$31,3,FALSE),C28),'Fiche Horaire'!A:AR,12,FALSE)+VLOOKUP(CONCATENATE(VLOOKUP($A$3,XTIME!$A$1:$E$31,3,FALSE),C28),'Fiche Horaire'!A:AR,33,FALSE))&gt;Feuil2!$C$2,VLOOKUP(CONCATENATE(VLOOKUP($A$3,XTIME!$A$1:$E$31,3,FALSE),C28),'Fiche Horaire'!A:AR,33,FALSE)+VLOOKUP(CONCATENATE(VLOOKUP($A$3,XTIME!$A$1:$E$31,3,FALSE),C28),'Fiche Horaire'!A:AR,12,FALSE)-Feuil2!$C$2,"X"),Feuil2!$C$3)))*60+MINUTE(IF(C28="","",MIN(IF((VLOOKUP(CONCATENATE(VLOOKUP($A$3,XTIME!$A$1:$E$31,3,FALSE),C28),'Fiche Horaire'!A:AR,12,FALSE)+VLOOKUP(CONCATENATE(VLOOKUP($A$3,XTIME!$A$1:$E$31,3,FALSE),C28),'Fiche Horaire'!A:AR,33,FALSE))&gt;Feuil2!$C$2,VLOOKUP(CONCATENATE(VLOOKUP($A$3,XTIME!$A$1:$E$31,3,FALSE),C28),'Fiche Horaire'!A:AR,33,FALSE)+VLOOKUP(CONCATENATE(VLOOKUP($A$3,XTIME!$A$1:$E$31,3,FALSE),C28),'Fiche Horaire'!A:AR,12,FALSE)-Feuil2!$C$2,"X"),Feuil2!$C$3))))/60,"")</f>
        <v/>
      </c>
      <c r="J28" s="93" t="str">
        <f>IFERROR((HOUR(IF(C28="","",IF(VLOOKUP(CONCATENATE(VLOOKUP($A$3,XTIME!$A$1:$E$31,3,FALSE),C28),'Fiche Horaire'!A:AR,12,FALSE)="","",IF((VLOOKUP(CONCATENATE(VLOOKUP($A$3,XTIME!$A$1:$E$31,3,FALSE),C28),'Fiche Horaire'!A:AR,12,FALSE))&lt;Feuil2!$D$2,Feuil2!$D$2-VLOOKUP(CONCATENATE(VLOOKUP($A$3,XTIME!$A$1:$E$31,3,FALSE),C28),'Fiche Horaire'!A:AR,12,FALSE),IF((VLOOKUP(CONCATENATE(VLOOKUP($A$3,XTIME!$A$1:$E$31,3,FALSE),C28),'Fiche Horaire'!A:AR,12,FALSE)+VLOOKUP(CONCATENATE(VLOOKUP($A$3,XTIME!$A$1:$E$31,3,FALSE),C28),'Fiche Horaire'!A:AR,33,FALSE))&gt;Feuil2!$D$3,VLOOKUP(CONCATENATE(VLOOKUP($A$3,XTIME!$A$1:$E$31,3,FALSE),C28),'Fiche Horaire'!A:AR,33,FALSE)+VLOOKUP(CONCATENATE(VLOOKUP($A$3,XTIME!$A$1:$E$31,3,FALSE),C28),'Fiche Horaire'!A:AR,12,FALSE)-Feuil2!$D$3,"")))))*60+MINUTE(IF(C28="","",IF(VLOOKUP(CONCATENATE(VLOOKUP($A$3,XTIME!$A$1:$E$31,3,FALSE),C28),'Fiche Horaire'!A:AR,12,FALSE)="","",IF((VLOOKUP(CONCATENATE(VLOOKUP($A$3,XTIME!$A$1:$E$31,3,FALSE),C28),'Fiche Horaire'!A:AR,12,FALSE))&lt;Feuil2!$D$2,Feuil2!$D$2-VLOOKUP(CONCATENATE(VLOOKUP($A$3,XTIME!$A$1:$E$31,3,FALSE),C28),'Fiche Horaire'!A:AR,12,FALSE),IF((VLOOKUP(CONCATENATE(VLOOKUP($A$3,XTIME!$A$1:$E$31,3,FALSE),C28),'Fiche Horaire'!A:AR,12,FALSE)+VLOOKUP(CONCATENATE(VLOOKUP($A$3,XTIME!$A$1:$E$31,3,FALSE),C28),'Fiche Horaire'!A:AR,33,FALSE))&gt;Feuil2!$D$3,VLOOKUP(CONCATENATE(VLOOKUP($A$3,XTIME!$A$1:$E$31,3,FALSE),C28),'Fiche Horaire'!A:AR,33,FALSE)+VLOOKUP(CONCATENATE(VLOOKUP($A$3,XTIME!$A$1:$E$31,3,FALSE),C28),'Fiche Horaire'!A:AR,12,FALSE)-Feuil2!$D$3,""))))))/60,"")</f>
        <v/>
      </c>
      <c r="L28" s="31" t="s">
        <v>2</v>
      </c>
      <c r="M28" s="35">
        <f>D33+E33+G33+H33+F33</f>
        <v>0</v>
      </c>
    </row>
    <row r="29" spans="2:13" ht="25" customHeight="1">
      <c r="B29" s="122"/>
      <c r="C29" s="12">
        <f t="shared" ref="C29:C32" si="7">C28+1</f>
        <v>43362</v>
      </c>
      <c r="D29" s="67" t="str">
        <f>IF(ISNA((HOUR(VLOOKUP(CONCATENATE(VLOOKUP($A$3,XTIME!$A$1:$E$31,3,FALSE),$C29),Tableau3[[Référence]:[FORMATION]],34,FALSE))*60+MINUTE(VLOOKUP(CONCATENATE(VLOOKUP($A$3,XTIME!$A$1:$E$31,3,FALSE),$C29),Tableau3[[Référence]:[FORMATION]],34,FALSE)))/60)=TRUE,"",((HOUR(VLOOKUP(CONCATENATE(VLOOKUP($A$3,XTIME!$A$1:$E$31,3,FALSE),$C29),Tableau3[[Référence]:[FORMATION]],34,FALSE))*60+MINUTE(VLOOKUP(CONCATENATE(VLOOKUP($A$3,XTIME!$A$1:$E$31,3,FALSE),$C29),Tableau3[[Référence]:[FORMATION]],34,FALSE)))/60))</f>
        <v/>
      </c>
      <c r="E29" s="70" t="str">
        <f>IF(ISNA((HOUR(VLOOKUP(CONCATENATE(VLOOKUP($A$3,XTIME!$A$1:$E$31,3,FALSE),$C29),Tableau3[[Référence]:[FORMATION]],40,FALSE))*60+MINUTE(VLOOKUP(CONCATENATE(VLOOKUP($A$3,XTIME!$A$1:$E$31,3,FALSE),$C29),Tableau3[[Référence]:[FORMATION]],40,FALSE)))/60)=TRUE,"",((HOUR(VLOOKUP(CONCATENATE(VLOOKUP($A$3,XTIME!$A$1:$E$31,3,FALSE),$C29),Tableau3[[Référence]:[FORMATION]],40,FALSE))*60+MINUTE(VLOOKUP(CONCATENATE(VLOOKUP($A$3,XTIME!$A$1:$E$31,3,FALSE),$C29),Tableau3[[Référence]:[FORMATION]],40,FALSE)))/60))</f>
        <v/>
      </c>
      <c r="F29" s="70" t="str">
        <f>IF(ISNA((HOUR(VLOOKUP(CONCATENATE(VLOOKUP($A$3,XTIME!$A$1:$E$31,3,FALSE),$C29),Tableau3[[Référence]:[FORMATION]],41,FALSE))*60+MINUTE(VLOOKUP(CONCATENATE(VLOOKUP($A$3,XTIME!$A$1:$E$31,3,FALSE),$C29),Tableau3[[Référence]:[FORMATION]],41,FALSE)))/60)=TRUE,"",((HOUR(VLOOKUP(CONCATENATE(VLOOKUP($A$3,XTIME!$A$1:$E$31,3,FALSE),$C29),Tableau3[[Référence]:[FORMATION]],41,FALSE))*60+MINUTE(VLOOKUP(CONCATENATE(VLOOKUP($A$3,XTIME!$A$1:$E$31,3,FALSE),$C29),Tableau3[[Référence]:[FORMATION]],41,FALSE)))/60))</f>
        <v/>
      </c>
      <c r="G29" s="40" t="str">
        <f>IF(ISNA((HOUR(VLOOKUP(CONCATENATE(VLOOKUP($A$3,XTIME!$A$1:$E$31,3,FALSE),$C29),Tableau3[[Référence]:[FORMATION]],42,FALSE))*60+MINUTE(VLOOKUP(CONCATENATE(VLOOKUP($A$3,XTIME!$A$1:$E$31,3,FALSE),$C29),Tableau3[[Référence]:[FORMATION]],42,FALSE)))/60)=TRUE,"",((HOUR(VLOOKUP(CONCATENATE(VLOOKUP($A$3,XTIME!$A$1:$E$31,3,FALSE),$C29),Tableau3[[Référence]:[FORMATION]],42,FALSE))*60+MINUTE(VLOOKUP(CONCATENATE(VLOOKUP($A$3,XTIME!$A$1:$E$31,3,FALSE),$C29),Tableau3[[Référence]:[FORMATION]],42,FALSE)))/60))</f>
        <v/>
      </c>
      <c r="H29" s="6" t="str">
        <f>IF(ISNA(VLOOKUP(CONCATENATE(VLOOKUP($A$3,XTIME!$A$1:$E$31,3,FALSE),$C29),Tableau3[[Référence]:[FORMATION]],7,FALSE))=TRUE,"",VLOOKUP(CONCATENATE(VLOOKUP($A$3,XTIME!$A$1:$E$31,3,FALSE),$C29),Tableau3[[Référence]:[FORMATION]],7,FALSE))</f>
        <v/>
      </c>
      <c r="I29" s="41" t="str">
        <f>IFERROR((HOUR(IF(C29="","",MIN(IF((VLOOKUP(CONCATENATE(VLOOKUP($A$3,XTIME!$A$1:$E$31,3,FALSE),C29),'Fiche Horaire'!A:AR,12,FALSE)+VLOOKUP(CONCATENATE(VLOOKUP($A$3,XTIME!$A$1:$E$31,3,FALSE),C29),'Fiche Horaire'!A:AR,33,FALSE))&gt;Feuil2!$C$2,VLOOKUP(CONCATENATE(VLOOKUP($A$3,XTIME!$A$1:$E$31,3,FALSE),C29),'Fiche Horaire'!A:AR,33,FALSE)+VLOOKUP(CONCATENATE(VLOOKUP($A$3,XTIME!$A$1:$E$31,3,FALSE),C29),'Fiche Horaire'!A:AR,12,FALSE)-Feuil2!$C$2,"X"),Feuil2!$C$3)))*60+MINUTE(IF(C29="","",MIN(IF((VLOOKUP(CONCATENATE(VLOOKUP($A$3,XTIME!$A$1:$E$31,3,FALSE),C29),'Fiche Horaire'!A:AR,12,FALSE)+VLOOKUP(CONCATENATE(VLOOKUP($A$3,XTIME!$A$1:$E$31,3,FALSE),C29),'Fiche Horaire'!A:AR,33,FALSE))&gt;Feuil2!$C$2,VLOOKUP(CONCATENATE(VLOOKUP($A$3,XTIME!$A$1:$E$31,3,FALSE),C29),'Fiche Horaire'!A:AR,33,FALSE)+VLOOKUP(CONCATENATE(VLOOKUP($A$3,XTIME!$A$1:$E$31,3,FALSE),C29),'Fiche Horaire'!A:AR,12,FALSE)-Feuil2!$C$2,"X"),Feuil2!$C$3))))/60,"")</f>
        <v/>
      </c>
      <c r="J29" s="93" t="str">
        <f>IFERROR((HOUR(IF(C29="","",IF(VLOOKUP(CONCATENATE(VLOOKUP($A$3,XTIME!$A$1:$E$31,3,FALSE),C29),'Fiche Horaire'!A:AR,12,FALSE)="","",IF((VLOOKUP(CONCATENATE(VLOOKUP($A$3,XTIME!$A$1:$E$31,3,FALSE),C29),'Fiche Horaire'!A:AR,12,FALSE))&lt;Feuil2!$D$2,Feuil2!$D$2-VLOOKUP(CONCATENATE(VLOOKUP($A$3,XTIME!$A$1:$E$31,3,FALSE),C29),'Fiche Horaire'!A:AR,12,FALSE),IF((VLOOKUP(CONCATENATE(VLOOKUP($A$3,XTIME!$A$1:$E$31,3,FALSE),C29),'Fiche Horaire'!A:AR,12,FALSE)+VLOOKUP(CONCATENATE(VLOOKUP($A$3,XTIME!$A$1:$E$31,3,FALSE),C29),'Fiche Horaire'!A:AR,33,FALSE))&gt;Feuil2!$D$3,VLOOKUP(CONCATENATE(VLOOKUP($A$3,XTIME!$A$1:$E$31,3,FALSE),C29),'Fiche Horaire'!A:AR,33,FALSE)+VLOOKUP(CONCATENATE(VLOOKUP($A$3,XTIME!$A$1:$E$31,3,FALSE),C29),'Fiche Horaire'!A:AR,12,FALSE)-Feuil2!$D$3,"")))))*60+MINUTE(IF(C29="","",IF(VLOOKUP(CONCATENATE(VLOOKUP($A$3,XTIME!$A$1:$E$31,3,FALSE),C29),'Fiche Horaire'!A:AR,12,FALSE)="","",IF((VLOOKUP(CONCATENATE(VLOOKUP($A$3,XTIME!$A$1:$E$31,3,FALSE),C29),'Fiche Horaire'!A:AR,12,FALSE))&lt;Feuil2!$D$2,Feuil2!$D$2-VLOOKUP(CONCATENATE(VLOOKUP($A$3,XTIME!$A$1:$E$31,3,FALSE),C29),'Fiche Horaire'!A:AR,12,FALSE),IF((VLOOKUP(CONCATENATE(VLOOKUP($A$3,XTIME!$A$1:$E$31,3,FALSE),C29),'Fiche Horaire'!A:AR,12,FALSE)+VLOOKUP(CONCATENATE(VLOOKUP($A$3,XTIME!$A$1:$E$31,3,FALSE),C29),'Fiche Horaire'!A:AR,33,FALSE))&gt;Feuil2!$D$3,VLOOKUP(CONCATENATE(VLOOKUP($A$3,XTIME!$A$1:$E$31,3,FALSE),C29),'Fiche Horaire'!A:AR,33,FALSE)+VLOOKUP(CONCATENATE(VLOOKUP($A$3,XTIME!$A$1:$E$31,3,FALSE),C29),'Fiche Horaire'!A:AR,12,FALSE)-Feuil2!$D$3,""))))))/60,"")</f>
        <v/>
      </c>
      <c r="L29" s="31" t="s">
        <v>85</v>
      </c>
      <c r="M29" s="35">
        <f>MIN(IF(M28=0,0,IF(M28&gt;=35,M28-35,0)),2)</f>
        <v>0</v>
      </c>
    </row>
    <row r="30" spans="2:13" ht="25" customHeight="1">
      <c r="B30" s="122"/>
      <c r="C30" s="12">
        <f t="shared" si="7"/>
        <v>43363</v>
      </c>
      <c r="D30" s="67" t="str">
        <f>IF(ISNA((HOUR(VLOOKUP(CONCATENATE(VLOOKUP($A$3,XTIME!$A$1:$E$31,3,FALSE),$C30),Tableau3[[Référence]:[FORMATION]],34,FALSE))*60+MINUTE(VLOOKUP(CONCATENATE(VLOOKUP($A$3,XTIME!$A$1:$E$31,3,FALSE),$C30),Tableau3[[Référence]:[FORMATION]],34,FALSE)))/60)=TRUE,"",((HOUR(VLOOKUP(CONCATENATE(VLOOKUP($A$3,XTIME!$A$1:$E$31,3,FALSE),$C30),Tableau3[[Référence]:[FORMATION]],34,FALSE))*60+MINUTE(VLOOKUP(CONCATENATE(VLOOKUP($A$3,XTIME!$A$1:$E$31,3,FALSE),$C30),Tableau3[[Référence]:[FORMATION]],34,FALSE)))/60))</f>
        <v/>
      </c>
      <c r="E30" s="70" t="str">
        <f>IF(ISNA((HOUR(VLOOKUP(CONCATENATE(VLOOKUP($A$3,XTIME!$A$1:$E$31,3,FALSE),$C30),Tableau3[[Référence]:[FORMATION]],40,FALSE))*60+MINUTE(VLOOKUP(CONCATENATE(VLOOKUP($A$3,XTIME!$A$1:$E$31,3,FALSE),$C30),Tableau3[[Référence]:[FORMATION]],40,FALSE)))/60)=TRUE,"",((HOUR(VLOOKUP(CONCATENATE(VLOOKUP($A$3,XTIME!$A$1:$E$31,3,FALSE),$C30),Tableau3[[Référence]:[FORMATION]],40,FALSE))*60+MINUTE(VLOOKUP(CONCATENATE(VLOOKUP($A$3,XTIME!$A$1:$E$31,3,FALSE),$C30),Tableau3[[Référence]:[FORMATION]],40,FALSE)))/60))</f>
        <v/>
      </c>
      <c r="F30" s="70" t="str">
        <f>IF(ISNA((HOUR(VLOOKUP(CONCATENATE(VLOOKUP($A$3,XTIME!$A$1:$E$31,3,FALSE),$C30),Tableau3[[Référence]:[FORMATION]],41,FALSE))*60+MINUTE(VLOOKUP(CONCATENATE(VLOOKUP($A$3,XTIME!$A$1:$E$31,3,FALSE),$C30),Tableau3[[Référence]:[FORMATION]],41,FALSE)))/60)=TRUE,"",((HOUR(VLOOKUP(CONCATENATE(VLOOKUP($A$3,XTIME!$A$1:$E$31,3,FALSE),$C30),Tableau3[[Référence]:[FORMATION]],41,FALSE))*60+MINUTE(VLOOKUP(CONCATENATE(VLOOKUP($A$3,XTIME!$A$1:$E$31,3,FALSE),$C30),Tableau3[[Référence]:[FORMATION]],41,FALSE)))/60))</f>
        <v/>
      </c>
      <c r="G30" s="40" t="str">
        <f>IF(ISNA((HOUR(VLOOKUP(CONCATENATE(VLOOKUP($A$3,XTIME!$A$1:$E$31,3,FALSE),$C30),Tableau3[[Référence]:[FORMATION]],42,FALSE))*60+MINUTE(VLOOKUP(CONCATENATE(VLOOKUP($A$3,XTIME!$A$1:$E$31,3,FALSE),$C30),Tableau3[[Référence]:[FORMATION]],42,FALSE)))/60)=TRUE,"",((HOUR(VLOOKUP(CONCATENATE(VLOOKUP($A$3,XTIME!$A$1:$E$31,3,FALSE),$C30),Tableau3[[Référence]:[FORMATION]],42,FALSE))*60+MINUTE(VLOOKUP(CONCATENATE(VLOOKUP($A$3,XTIME!$A$1:$E$31,3,FALSE),$C30),Tableau3[[Référence]:[FORMATION]],42,FALSE)))/60))</f>
        <v/>
      </c>
      <c r="H30" s="6" t="str">
        <f>IF(ISNA(VLOOKUP(CONCATENATE(VLOOKUP($A$3,XTIME!$A$1:$E$31,3,FALSE),$C30),Tableau3[[Référence]:[FORMATION]],7,FALSE))=TRUE,"",VLOOKUP(CONCATENATE(VLOOKUP($A$3,XTIME!$A$1:$E$31,3,FALSE),$C30),Tableau3[[Référence]:[FORMATION]],7,FALSE))</f>
        <v/>
      </c>
      <c r="I30" s="41" t="str">
        <f>IFERROR((HOUR(IF(C30="","",MIN(IF((VLOOKUP(CONCATENATE(VLOOKUP($A$3,XTIME!$A$1:$E$31,3,FALSE),C30),'Fiche Horaire'!A:AR,12,FALSE)+VLOOKUP(CONCATENATE(VLOOKUP($A$3,XTIME!$A$1:$E$31,3,FALSE),C30),'Fiche Horaire'!A:AR,33,FALSE))&gt;Feuil2!$C$2,VLOOKUP(CONCATENATE(VLOOKUP($A$3,XTIME!$A$1:$E$31,3,FALSE),C30),'Fiche Horaire'!A:AR,33,FALSE)+VLOOKUP(CONCATENATE(VLOOKUP($A$3,XTIME!$A$1:$E$31,3,FALSE),C30),'Fiche Horaire'!A:AR,12,FALSE)-Feuil2!$C$2,"X"),Feuil2!$C$3)))*60+MINUTE(IF(C30="","",MIN(IF((VLOOKUP(CONCATENATE(VLOOKUP($A$3,XTIME!$A$1:$E$31,3,FALSE),C30),'Fiche Horaire'!A:AR,12,FALSE)+VLOOKUP(CONCATENATE(VLOOKUP($A$3,XTIME!$A$1:$E$31,3,FALSE),C30),'Fiche Horaire'!A:AR,33,FALSE))&gt;Feuil2!$C$2,VLOOKUP(CONCATENATE(VLOOKUP($A$3,XTIME!$A$1:$E$31,3,FALSE),C30),'Fiche Horaire'!A:AR,33,FALSE)+VLOOKUP(CONCATENATE(VLOOKUP($A$3,XTIME!$A$1:$E$31,3,FALSE),C30),'Fiche Horaire'!A:AR,12,FALSE)-Feuil2!$C$2,"X"),Feuil2!$C$3))))/60,"")</f>
        <v/>
      </c>
      <c r="J30" s="93" t="str">
        <f>IFERROR((HOUR(IF(C30="","",IF(VLOOKUP(CONCATENATE(VLOOKUP($A$3,XTIME!$A$1:$E$31,3,FALSE),C30),'Fiche Horaire'!A:AR,12,FALSE)="","",IF((VLOOKUP(CONCATENATE(VLOOKUP($A$3,XTIME!$A$1:$E$31,3,FALSE),C30),'Fiche Horaire'!A:AR,12,FALSE))&lt;Feuil2!$D$2,Feuil2!$D$2-VLOOKUP(CONCATENATE(VLOOKUP($A$3,XTIME!$A$1:$E$31,3,FALSE),C30),'Fiche Horaire'!A:AR,12,FALSE),IF((VLOOKUP(CONCATENATE(VLOOKUP($A$3,XTIME!$A$1:$E$31,3,FALSE),C30),'Fiche Horaire'!A:AR,12,FALSE)+VLOOKUP(CONCATENATE(VLOOKUP($A$3,XTIME!$A$1:$E$31,3,FALSE),C30),'Fiche Horaire'!A:AR,33,FALSE))&gt;Feuil2!$D$3,VLOOKUP(CONCATENATE(VLOOKUP($A$3,XTIME!$A$1:$E$31,3,FALSE),C30),'Fiche Horaire'!A:AR,33,FALSE)+VLOOKUP(CONCATENATE(VLOOKUP($A$3,XTIME!$A$1:$E$31,3,FALSE),C30),'Fiche Horaire'!A:AR,12,FALSE)-Feuil2!$D$3,"")))))*60+MINUTE(IF(C30="","",IF(VLOOKUP(CONCATENATE(VLOOKUP($A$3,XTIME!$A$1:$E$31,3,FALSE),C30),'Fiche Horaire'!A:AR,12,FALSE)="","",IF((VLOOKUP(CONCATENATE(VLOOKUP($A$3,XTIME!$A$1:$E$31,3,FALSE),C30),'Fiche Horaire'!A:AR,12,FALSE))&lt;Feuil2!$D$2,Feuil2!$D$2-VLOOKUP(CONCATENATE(VLOOKUP($A$3,XTIME!$A$1:$E$31,3,FALSE),C30),'Fiche Horaire'!A:AR,12,FALSE),IF((VLOOKUP(CONCATENATE(VLOOKUP($A$3,XTIME!$A$1:$E$31,3,FALSE),C30),'Fiche Horaire'!A:AR,12,FALSE)+VLOOKUP(CONCATENATE(VLOOKUP($A$3,XTIME!$A$1:$E$31,3,FALSE),C30),'Fiche Horaire'!A:AR,33,FALSE))&gt;Feuil2!$D$3,VLOOKUP(CONCATENATE(VLOOKUP($A$3,XTIME!$A$1:$E$31,3,FALSE),C30),'Fiche Horaire'!A:AR,33,FALSE)+VLOOKUP(CONCATENATE(VLOOKUP($A$3,XTIME!$A$1:$E$31,3,FALSE),C30),'Fiche Horaire'!A:AR,12,FALSE)-Feuil2!$D$3,""))))))/60,"")</f>
        <v/>
      </c>
      <c r="L30" s="44" t="s">
        <v>3</v>
      </c>
      <c r="M30" s="33">
        <f>IF(M28&lt;45,M28-$K$4-M33,3)</f>
        <v>0</v>
      </c>
    </row>
    <row r="31" spans="2:13" ht="25" customHeight="1">
      <c r="B31" s="122"/>
      <c r="C31" s="12">
        <f t="shared" si="7"/>
        <v>43364</v>
      </c>
      <c r="D31" s="67" t="str">
        <f>IF(ISNA((HOUR(VLOOKUP(CONCATENATE(VLOOKUP($A$3,XTIME!$A$1:$E$31,3,FALSE),$C31),Tableau3[[Référence]:[FORMATION]],34,FALSE))*60+MINUTE(VLOOKUP(CONCATENATE(VLOOKUP($A$3,XTIME!$A$1:$E$31,3,FALSE),$C31),Tableau3[[Référence]:[FORMATION]],34,FALSE)))/60)=TRUE,"",((HOUR(VLOOKUP(CONCATENATE(VLOOKUP($A$3,XTIME!$A$1:$E$31,3,FALSE),$C31),Tableau3[[Référence]:[FORMATION]],34,FALSE))*60+MINUTE(VLOOKUP(CONCATENATE(VLOOKUP($A$3,XTIME!$A$1:$E$31,3,FALSE),$C31),Tableau3[[Référence]:[FORMATION]],34,FALSE)))/60))</f>
        <v/>
      </c>
      <c r="E31" s="70" t="str">
        <f>IF(ISNA((HOUR(VLOOKUP(CONCATENATE(VLOOKUP($A$3,XTIME!$A$1:$E$31,3,FALSE),$C31),Tableau3[[Référence]:[FORMATION]],40,FALSE))*60+MINUTE(VLOOKUP(CONCATENATE(VLOOKUP($A$3,XTIME!$A$1:$E$31,3,FALSE),$C31),Tableau3[[Référence]:[FORMATION]],40,FALSE)))/60)=TRUE,"",((HOUR(VLOOKUP(CONCATENATE(VLOOKUP($A$3,XTIME!$A$1:$E$31,3,FALSE),$C31),Tableau3[[Référence]:[FORMATION]],40,FALSE))*60+MINUTE(VLOOKUP(CONCATENATE(VLOOKUP($A$3,XTIME!$A$1:$E$31,3,FALSE),$C31),Tableau3[[Référence]:[FORMATION]],40,FALSE)))/60))</f>
        <v/>
      </c>
      <c r="F31" s="70" t="str">
        <f>IF(ISNA((HOUR(VLOOKUP(CONCATENATE(VLOOKUP($A$3,XTIME!$A$1:$E$31,3,FALSE),$C31),Tableau3[[Référence]:[FORMATION]],41,FALSE))*60+MINUTE(VLOOKUP(CONCATENATE(VLOOKUP($A$3,XTIME!$A$1:$E$31,3,FALSE),$C31),Tableau3[[Référence]:[FORMATION]],41,FALSE)))/60)=TRUE,"",((HOUR(VLOOKUP(CONCATENATE(VLOOKUP($A$3,XTIME!$A$1:$E$31,3,FALSE),$C31),Tableau3[[Référence]:[FORMATION]],41,FALSE))*60+MINUTE(VLOOKUP(CONCATENATE(VLOOKUP($A$3,XTIME!$A$1:$E$31,3,FALSE),$C31),Tableau3[[Référence]:[FORMATION]],41,FALSE)))/60))</f>
        <v/>
      </c>
      <c r="G31" s="40" t="str">
        <f>IF(ISNA((HOUR(VLOOKUP(CONCATENATE(VLOOKUP($A$3,XTIME!$A$1:$E$31,3,FALSE),$C31),Tableau3[[Référence]:[FORMATION]],42,FALSE))*60+MINUTE(VLOOKUP(CONCATENATE(VLOOKUP($A$3,XTIME!$A$1:$E$31,3,FALSE),$C31),Tableau3[[Référence]:[FORMATION]],42,FALSE)))/60)=TRUE,"",((HOUR(VLOOKUP(CONCATENATE(VLOOKUP($A$3,XTIME!$A$1:$E$31,3,FALSE),$C31),Tableau3[[Référence]:[FORMATION]],42,FALSE))*60+MINUTE(VLOOKUP(CONCATENATE(VLOOKUP($A$3,XTIME!$A$1:$E$31,3,FALSE),$C31),Tableau3[[Référence]:[FORMATION]],42,FALSE)))/60))</f>
        <v/>
      </c>
      <c r="H31" s="6" t="str">
        <f>IF(ISNA(VLOOKUP(CONCATENATE(VLOOKUP($A$3,XTIME!$A$1:$E$31,3,FALSE),$C31),Tableau3[[Référence]:[FORMATION]],7,FALSE))=TRUE,"",VLOOKUP(CONCATENATE(VLOOKUP($A$3,XTIME!$A$1:$E$31,3,FALSE),$C31),Tableau3[[Référence]:[FORMATION]],7,FALSE))</f>
        <v/>
      </c>
      <c r="I31" s="41" t="str">
        <f>IFERROR((HOUR(IF(C31="","",MIN(IF((VLOOKUP(CONCATENATE(VLOOKUP($A$3,XTIME!$A$1:$E$31,3,FALSE),C31),'Fiche Horaire'!A:AR,12,FALSE)+VLOOKUP(CONCATENATE(VLOOKUP($A$3,XTIME!$A$1:$E$31,3,FALSE),C31),'Fiche Horaire'!A:AR,33,FALSE))&gt;Feuil2!$C$2,VLOOKUP(CONCATENATE(VLOOKUP($A$3,XTIME!$A$1:$E$31,3,FALSE),C31),'Fiche Horaire'!A:AR,33,FALSE)+VLOOKUP(CONCATENATE(VLOOKUP($A$3,XTIME!$A$1:$E$31,3,FALSE),C31),'Fiche Horaire'!A:AR,12,FALSE)-Feuil2!$C$2,"X"),Feuil2!$C$3)))*60+MINUTE(IF(C31="","",MIN(IF((VLOOKUP(CONCATENATE(VLOOKUP($A$3,XTIME!$A$1:$E$31,3,FALSE),C31),'Fiche Horaire'!A:AR,12,FALSE)+VLOOKUP(CONCATENATE(VLOOKUP($A$3,XTIME!$A$1:$E$31,3,FALSE),C31),'Fiche Horaire'!A:AR,33,FALSE))&gt;Feuil2!$C$2,VLOOKUP(CONCATENATE(VLOOKUP($A$3,XTIME!$A$1:$E$31,3,FALSE),C31),'Fiche Horaire'!A:AR,33,FALSE)+VLOOKUP(CONCATENATE(VLOOKUP($A$3,XTIME!$A$1:$E$31,3,FALSE),C31),'Fiche Horaire'!A:AR,12,FALSE)-Feuil2!$C$2,"X"),Feuil2!$C$3))))/60,"")</f>
        <v/>
      </c>
      <c r="J31" s="93" t="str">
        <f>IFERROR((HOUR(IF(C31="","",IF(VLOOKUP(CONCATENATE(VLOOKUP($A$3,XTIME!$A$1:$E$31,3,FALSE),C31),'Fiche Horaire'!A:AR,12,FALSE)="","",IF((VLOOKUP(CONCATENATE(VLOOKUP($A$3,XTIME!$A$1:$E$31,3,FALSE),C31),'Fiche Horaire'!A:AR,12,FALSE))&lt;Feuil2!$D$2,Feuil2!$D$2-VLOOKUP(CONCATENATE(VLOOKUP($A$3,XTIME!$A$1:$E$31,3,FALSE),C31),'Fiche Horaire'!A:AR,12,FALSE),IF((VLOOKUP(CONCATENATE(VLOOKUP($A$3,XTIME!$A$1:$E$31,3,FALSE),C31),'Fiche Horaire'!A:AR,12,FALSE)+VLOOKUP(CONCATENATE(VLOOKUP($A$3,XTIME!$A$1:$E$31,3,FALSE),C31),'Fiche Horaire'!A:AR,33,FALSE))&gt;Feuil2!$D$3,VLOOKUP(CONCATENATE(VLOOKUP($A$3,XTIME!$A$1:$E$31,3,FALSE),C31),'Fiche Horaire'!A:AR,33,FALSE)+VLOOKUP(CONCATENATE(VLOOKUP($A$3,XTIME!$A$1:$E$31,3,FALSE),C31),'Fiche Horaire'!A:AR,12,FALSE)-Feuil2!$D$3,"")))))*60+MINUTE(IF(C31="","",IF(VLOOKUP(CONCATENATE(VLOOKUP($A$3,XTIME!$A$1:$E$31,3,FALSE),C31),'Fiche Horaire'!A:AR,12,FALSE)="","",IF((VLOOKUP(CONCATENATE(VLOOKUP($A$3,XTIME!$A$1:$E$31,3,FALSE),C31),'Fiche Horaire'!A:AR,12,FALSE))&lt;Feuil2!$D$2,Feuil2!$D$2-VLOOKUP(CONCATENATE(VLOOKUP($A$3,XTIME!$A$1:$E$31,3,FALSE),C31),'Fiche Horaire'!A:AR,12,FALSE),IF((VLOOKUP(CONCATENATE(VLOOKUP($A$3,XTIME!$A$1:$E$31,3,FALSE),C31),'Fiche Horaire'!A:AR,12,FALSE)+VLOOKUP(CONCATENATE(VLOOKUP($A$3,XTIME!$A$1:$E$31,3,FALSE),C31),'Fiche Horaire'!A:AR,33,FALSE))&gt;Feuil2!$D$3,VLOOKUP(CONCATENATE(VLOOKUP($A$3,XTIME!$A$1:$E$31,3,FALSE),C31),'Fiche Horaire'!A:AR,33,FALSE)+VLOOKUP(CONCATENATE(VLOOKUP($A$3,XTIME!$A$1:$E$31,3,FALSE),C31),'Fiche Horaire'!A:AR,12,FALSE)-Feuil2!$D$3,""))))))/60,"")</f>
        <v/>
      </c>
      <c r="L31" s="44" t="s">
        <v>4</v>
      </c>
      <c r="M31" s="33">
        <f>IF(M28&gt;45,M28-$K$4-M33-M30,0)</f>
        <v>0</v>
      </c>
    </row>
    <row r="32" spans="2:13" ht="25" customHeight="1" thickBot="1">
      <c r="B32" s="122"/>
      <c r="C32" s="12">
        <f t="shared" si="7"/>
        <v>43365</v>
      </c>
      <c r="D32" s="68" t="str">
        <f>IF(ISNA((HOUR(VLOOKUP(CONCATENATE(VLOOKUP($A$3,XTIME!$A$1:$E$31,3,FALSE),$C32),Tableau3[[Référence]:[FORMATION]],34,FALSE))*60+MINUTE(VLOOKUP(CONCATENATE(VLOOKUP($A$3,XTIME!$A$1:$E$31,3,FALSE),$C32),Tableau3[[Référence]:[FORMATION]],34,FALSE)))/60)=TRUE,"",((HOUR(VLOOKUP(CONCATENATE(VLOOKUP($A$3,XTIME!$A$1:$E$31,3,FALSE),$C32),Tableau3[[Référence]:[FORMATION]],34,FALSE))*60+MINUTE(VLOOKUP(CONCATENATE(VLOOKUP($A$3,XTIME!$A$1:$E$31,3,FALSE),$C32),Tableau3[[Référence]:[FORMATION]],34,FALSE)))/60))</f>
        <v/>
      </c>
      <c r="E32" s="71" t="str">
        <f>IF(ISNA((HOUR(VLOOKUP(CONCATENATE(VLOOKUP($A$3,XTIME!$A$1:$E$31,3,FALSE),$C32),Tableau3[[Référence]:[FORMATION]],40,FALSE))*60+MINUTE(VLOOKUP(CONCATENATE(VLOOKUP($A$3,XTIME!$A$1:$E$31,3,FALSE),$C32),Tableau3[[Référence]:[FORMATION]],40,FALSE)))/60)=TRUE,"",((HOUR(VLOOKUP(CONCATENATE(VLOOKUP($A$3,XTIME!$A$1:$E$31,3,FALSE),$C32),Tableau3[[Référence]:[FORMATION]],40,FALSE))*60+MINUTE(VLOOKUP(CONCATENATE(VLOOKUP($A$3,XTIME!$A$1:$E$31,3,FALSE),$C32),Tableau3[[Référence]:[FORMATION]],40,FALSE)))/60))</f>
        <v/>
      </c>
      <c r="F32" s="71" t="str">
        <f>IF(ISNA((HOUR(VLOOKUP(CONCATENATE(VLOOKUP($A$3,XTIME!$A$1:$E$31,3,FALSE),$C32),Tableau3[[Référence]:[FORMATION]],41,FALSE))*60+MINUTE(VLOOKUP(CONCATENATE(VLOOKUP($A$3,XTIME!$A$1:$E$31,3,FALSE),$C32),Tableau3[[Référence]:[FORMATION]],41,FALSE)))/60)=TRUE,"",((HOUR(VLOOKUP(CONCATENATE(VLOOKUP($A$3,XTIME!$A$1:$E$31,3,FALSE),$C32),Tableau3[[Référence]:[FORMATION]],41,FALSE))*60+MINUTE(VLOOKUP(CONCATENATE(VLOOKUP($A$3,XTIME!$A$1:$E$31,3,FALSE),$C32),Tableau3[[Référence]:[FORMATION]],41,FALSE)))/60))</f>
        <v/>
      </c>
      <c r="G32" s="24" t="str">
        <f>IF(ISNA((HOUR(VLOOKUP(CONCATENATE(VLOOKUP($A$3,XTIME!$A$1:$E$31,3,FALSE),$C32),Tableau3[[Référence]:[FORMATION]],42,FALSE))*60+MINUTE(VLOOKUP(CONCATENATE(VLOOKUP($A$3,XTIME!$A$1:$E$31,3,FALSE),$C32),Tableau3[[Référence]:[FORMATION]],42,FALSE)))/60)=TRUE,"",((HOUR(VLOOKUP(CONCATENATE(VLOOKUP($A$3,XTIME!$A$1:$E$31,3,FALSE),$C32),Tableau3[[Référence]:[FORMATION]],42,FALSE))*60+MINUTE(VLOOKUP(CONCATENATE(VLOOKUP($A$3,XTIME!$A$1:$E$31,3,FALSE),$C32),Tableau3[[Référence]:[FORMATION]],42,FALSE)))/60))</f>
        <v/>
      </c>
      <c r="H32" s="37" t="str">
        <f>IF(ISNA(VLOOKUP(CONCATENATE(VLOOKUP($A$3,XTIME!$A$1:$E$31,3,FALSE),$C32),Tableau3[[Référence]:[FORMATION]],7,FALSE))=TRUE,"",VLOOKUP(CONCATENATE(VLOOKUP($A$3,XTIME!$A$1:$E$31,3,FALSE),$C32),Tableau3[[Référence]:[FORMATION]],7,FALSE))</f>
        <v/>
      </c>
      <c r="I32" s="36" t="str">
        <f>IFERROR((HOUR(IF(C32="","",MIN(IF((VLOOKUP(CONCATENATE(VLOOKUP($A$3,XTIME!$A$1:$E$31,3,FALSE),C32),'Fiche Horaire'!A:AR,12,FALSE)+VLOOKUP(CONCATENATE(VLOOKUP($A$3,XTIME!$A$1:$E$31,3,FALSE),C32),'Fiche Horaire'!A:AR,33,FALSE))&gt;Feuil2!$C$2,VLOOKUP(CONCATENATE(VLOOKUP($A$3,XTIME!$A$1:$E$31,3,FALSE),C32),'Fiche Horaire'!A:AR,33,FALSE)+VLOOKUP(CONCATENATE(VLOOKUP($A$3,XTIME!$A$1:$E$31,3,FALSE),C32),'Fiche Horaire'!A:AR,12,FALSE)-Feuil2!$C$2,"X"),Feuil2!$C$3)))*60+MINUTE(IF(C32="","",MIN(IF((VLOOKUP(CONCATENATE(VLOOKUP($A$3,XTIME!$A$1:$E$31,3,FALSE),C32),'Fiche Horaire'!A:AR,12,FALSE)+VLOOKUP(CONCATENATE(VLOOKUP($A$3,XTIME!$A$1:$E$31,3,FALSE),C32),'Fiche Horaire'!A:AR,33,FALSE))&gt;Feuil2!$C$2,VLOOKUP(CONCATENATE(VLOOKUP($A$3,XTIME!$A$1:$E$31,3,FALSE),C32),'Fiche Horaire'!A:AR,33,FALSE)+VLOOKUP(CONCATENATE(VLOOKUP($A$3,XTIME!$A$1:$E$31,3,FALSE),C32),'Fiche Horaire'!A:AR,12,FALSE)-Feuil2!$C$2,"X"),Feuil2!$C$3))))/60,"")</f>
        <v/>
      </c>
      <c r="J32" s="94" t="str">
        <f>IFERROR((HOUR(IF(C32="","",IF(VLOOKUP(CONCATENATE(VLOOKUP($A$3,XTIME!$A$1:$E$31,3,FALSE),C32),'Fiche Horaire'!A:AR,12,FALSE)="","",IF((VLOOKUP(CONCATENATE(VLOOKUP($A$3,XTIME!$A$1:$E$31,3,FALSE),C32),'Fiche Horaire'!A:AR,12,FALSE))&lt;Feuil2!$D$2,Feuil2!$D$2-VLOOKUP(CONCATENATE(VLOOKUP($A$3,XTIME!$A$1:$E$31,3,FALSE),C32),'Fiche Horaire'!A:AR,12,FALSE),IF((VLOOKUP(CONCATENATE(VLOOKUP($A$3,XTIME!$A$1:$E$31,3,FALSE),C32),'Fiche Horaire'!A:AR,12,FALSE)+VLOOKUP(CONCATENATE(VLOOKUP($A$3,XTIME!$A$1:$E$31,3,FALSE),C32),'Fiche Horaire'!A:AR,33,FALSE))&gt;Feuil2!$D$3,VLOOKUP(CONCATENATE(VLOOKUP($A$3,XTIME!$A$1:$E$31,3,FALSE),C32),'Fiche Horaire'!A:AR,33,FALSE)+VLOOKUP(CONCATENATE(VLOOKUP($A$3,XTIME!$A$1:$E$31,3,FALSE),C32),'Fiche Horaire'!A:AR,12,FALSE)-Feuil2!$D$3,"")))))*60+MINUTE(IF(C32="","",IF(VLOOKUP(CONCATENATE(VLOOKUP($A$3,XTIME!$A$1:$E$31,3,FALSE),C32),'Fiche Horaire'!A:AR,12,FALSE)="","",IF((VLOOKUP(CONCATENATE(VLOOKUP($A$3,XTIME!$A$1:$E$31,3,FALSE),C32),'Fiche Horaire'!A:AR,12,FALSE))&lt;Feuil2!$D$2,Feuil2!$D$2-VLOOKUP(CONCATENATE(VLOOKUP($A$3,XTIME!$A$1:$E$31,3,FALSE),C32),'Fiche Horaire'!A:AR,12,FALSE),IF((VLOOKUP(CONCATENATE(VLOOKUP($A$3,XTIME!$A$1:$E$31,3,FALSE),C32),'Fiche Horaire'!A:AR,12,FALSE)+VLOOKUP(CONCATENATE(VLOOKUP($A$3,XTIME!$A$1:$E$31,3,FALSE),C32),'Fiche Horaire'!A:AR,33,FALSE))&gt;Feuil2!$D$3,VLOOKUP(CONCATENATE(VLOOKUP($A$3,XTIME!$A$1:$E$31,3,FALSE),C32),'Fiche Horaire'!A:AR,33,FALSE)+VLOOKUP(CONCATENATE(VLOOKUP($A$3,XTIME!$A$1:$E$31,3,FALSE),C32),'Fiche Horaire'!A:AR,12,FALSE)-Feuil2!$D$3,""))))))/60,"")</f>
        <v/>
      </c>
      <c r="L32" s="83" t="s">
        <v>86</v>
      </c>
      <c r="M32" s="82">
        <f>MIN(IF(M28=0,0,IF(M28&gt;=37,M28-37,IF(M28&lt;=35,M28-35,0))),5)</f>
        <v>0</v>
      </c>
    </row>
    <row r="33" spans="2:13" ht="25" customHeight="1" thickTop="1" thickBot="1">
      <c r="B33" s="123"/>
      <c r="C33" s="14" t="s">
        <v>9</v>
      </c>
      <c r="D33" s="15">
        <f>SUM(D27:D32)</f>
        <v>0</v>
      </c>
      <c r="E33" s="16">
        <f t="shared" ref="E33" si="8">SUM(E27:E32)</f>
        <v>0</v>
      </c>
      <c r="F33" s="16">
        <f>SUM(F27:F32)</f>
        <v>0</v>
      </c>
      <c r="G33" s="16">
        <f>SUM(G27:G32)</f>
        <v>0</v>
      </c>
      <c r="H33" s="23">
        <f>IF(COUNTIF(H27:H32,0)&gt;0,0,IF(COUNTBLANK(H27:H32)=6,0,(6-COUNTBLANK(H27:H32)-COUNTIF(H27:H32,"REPOS"))*$K25/5))</f>
        <v>0</v>
      </c>
      <c r="I33" s="15">
        <f>SUM(I27:I32)</f>
        <v>0</v>
      </c>
      <c r="J33" s="17">
        <f>SUM(J27:J32)</f>
        <v>0</v>
      </c>
      <c r="L33" s="43" t="s">
        <v>10</v>
      </c>
      <c r="M33" s="34">
        <f>IF(M28&lt;42,M28-$K$4,7)</f>
        <v>-43</v>
      </c>
    </row>
    <row r="34" spans="2:13" ht="25" customHeight="1" thickBot="1">
      <c r="B34" s="121" t="str">
        <f t="shared" ref="B34" si="9">CONCATENATE("SEMAINE"," ",WEEKNUM(C34))</f>
        <v>SEMAINE 39</v>
      </c>
      <c r="C34" s="72">
        <f>IFERROR(IF(DAY(C32+2)&lt;DAY(C32),"",C32+2),"")</f>
        <v>43367</v>
      </c>
      <c r="D34" s="66" t="str">
        <f>IF(ISNA((HOUR(VLOOKUP(CONCATENATE(VLOOKUP($A$3,XTIME!$A$1:$E$31,3,FALSE),$C34),Tableau3[[Référence]:[FORMATION]],34,FALSE))*60+MINUTE(VLOOKUP(CONCATENATE(VLOOKUP($A$3,XTIME!$A$1:$E$31,3,FALSE),$C34),Tableau3[[Référence]:[FORMATION]],34,FALSE)))/60)=TRUE,"",((HOUR(VLOOKUP(CONCATENATE(VLOOKUP($A$3,XTIME!$A$1:$E$31,3,FALSE),$C34),Tableau3[[Référence]:[FORMATION]],34,FALSE))*60+MINUTE(VLOOKUP(CONCATENATE(VLOOKUP($A$3,XTIME!$A$1:$E$31,3,FALSE),$C34),Tableau3[[Référence]:[FORMATION]],34,FALSE)))/60))</f>
        <v/>
      </c>
      <c r="E34" s="69" t="str">
        <f>IF(ISNA((HOUR(VLOOKUP(CONCATENATE(VLOOKUP($A$3,XTIME!$A$1:$E$31,3,FALSE),$C34),Tableau3[[Référence]:[FORMATION]],40,FALSE))*60+MINUTE(VLOOKUP(CONCATENATE(VLOOKUP($A$3,XTIME!$A$1:$E$31,3,FALSE),$C34),Tableau3[[Référence]:[FORMATION]],40,FALSE)))/60)=TRUE,"",((HOUR(VLOOKUP(CONCATENATE(VLOOKUP($A$3,XTIME!$A$1:$E$31,3,FALSE),$C34),Tableau3[[Référence]:[FORMATION]],40,FALSE))*60+MINUTE(VLOOKUP(CONCATENATE(VLOOKUP($A$3,XTIME!$A$1:$E$31,3,FALSE),$C34),Tableau3[[Référence]:[FORMATION]],40,FALSE)))/60))</f>
        <v/>
      </c>
      <c r="F34" s="69" t="str">
        <f>IF(ISNA((HOUR(VLOOKUP(CONCATENATE(VLOOKUP($A$3,XTIME!$A$1:$E$31,3,FALSE),$C34),Tableau3[[Référence]:[FORMATION]],41,FALSE))*60+MINUTE(VLOOKUP(CONCATENATE(VLOOKUP($A$3,XTIME!$A$1:$E$31,3,FALSE),$C34),Tableau3[[Référence]:[FORMATION]],41,FALSE)))/60)=TRUE,"",((HOUR(VLOOKUP(CONCATENATE(VLOOKUP($A$3,XTIME!$A$1:$E$31,3,FALSE),$C34),Tableau3[[Référence]:[FORMATION]],41,FALSE))*60+MINUTE(VLOOKUP(CONCATENATE(VLOOKUP($A$3,XTIME!$A$1:$E$31,3,FALSE),$C34),Tableau3[[Référence]:[FORMATION]],41,FALSE)))/60))</f>
        <v/>
      </c>
      <c r="G34" s="39" t="str">
        <f>IF(ISNA((HOUR(VLOOKUP(CONCATENATE(VLOOKUP($A$3,XTIME!$A$1:$E$31,3,FALSE),$C34),Tableau3[[Référence]:[FORMATION]],42,FALSE))*60+MINUTE(VLOOKUP(CONCATENATE(VLOOKUP($A$3,XTIME!$A$1:$E$31,3,FALSE),$C34),Tableau3[[Référence]:[FORMATION]],42,FALSE)))/60)=TRUE,"",((HOUR(VLOOKUP(CONCATENATE(VLOOKUP($A$3,XTIME!$A$1:$E$31,3,FALSE),$C34),Tableau3[[Référence]:[FORMATION]],42,FALSE))*60+MINUTE(VLOOKUP(CONCATENATE(VLOOKUP($A$3,XTIME!$A$1:$E$31,3,FALSE),$C34),Tableau3[[Référence]:[FORMATION]],42,FALSE)))/60))</f>
        <v/>
      </c>
      <c r="H34" s="5" t="str">
        <f>IF(ISNA(VLOOKUP(CONCATENATE(VLOOKUP($A$3,XTIME!$A$1:$E$31,3,FALSE),$C34),Tableau3[[Référence]:[FORMATION]],7,FALSE))=TRUE,"",VLOOKUP(CONCATENATE(VLOOKUP($A$3,XTIME!$A$1:$E$31,3,FALSE),$C34),Tableau3[[Référence]:[FORMATION]],7,FALSE))</f>
        <v/>
      </c>
      <c r="I34" s="38" t="str">
        <f>IFERROR((HOUR(IF(C34="","",MIN(IF((VLOOKUP(CONCATENATE(VLOOKUP($A$3,XTIME!$A$1:$E$31,3,FALSE),C34),'Fiche Horaire'!A:AR,12,FALSE)+VLOOKUP(CONCATENATE(VLOOKUP($A$3,XTIME!$A$1:$E$31,3,FALSE),C34),'Fiche Horaire'!A:AR,33,FALSE))&gt;Feuil2!$C$2,VLOOKUP(CONCATENATE(VLOOKUP($A$3,XTIME!$A$1:$E$31,3,FALSE),C34),'Fiche Horaire'!A:AR,33,FALSE)+VLOOKUP(CONCATENATE(VLOOKUP($A$3,XTIME!$A$1:$E$31,3,FALSE),C34),'Fiche Horaire'!A:AR,12,FALSE)-Feuil2!$C$2,"X"),Feuil2!$C$3)))*60+MINUTE(IF(C34="","",MIN(IF((VLOOKUP(CONCATENATE(VLOOKUP($A$3,XTIME!$A$1:$E$31,3,FALSE),C34),'Fiche Horaire'!A:AR,12,FALSE)+VLOOKUP(CONCATENATE(VLOOKUP($A$3,XTIME!$A$1:$E$31,3,FALSE),C34),'Fiche Horaire'!A:AR,33,FALSE))&gt;Feuil2!$C$2,VLOOKUP(CONCATENATE(VLOOKUP($A$3,XTIME!$A$1:$E$31,3,FALSE),C34),'Fiche Horaire'!A:AR,33,FALSE)+VLOOKUP(CONCATENATE(VLOOKUP($A$3,XTIME!$A$1:$E$31,3,FALSE),C34),'Fiche Horaire'!A:AR,12,FALSE)-Feuil2!$C$2,"X"),Feuil2!$C$3))))/60,"")</f>
        <v/>
      </c>
      <c r="J34" s="92" t="str">
        <f>IFERROR((HOUR(IF(C34="","",IF(VLOOKUP(CONCATENATE(VLOOKUP($A$3,XTIME!$A$1:$E$31,3,FALSE),C34),'Fiche Horaire'!A:AR,12,FALSE)="","",IF((VLOOKUP(CONCATENATE(VLOOKUP($A$3,XTIME!$A$1:$E$31,3,FALSE),C34),'Fiche Horaire'!A:AR,12,FALSE))&lt;Feuil2!$D$2,Feuil2!$D$2-VLOOKUP(CONCATENATE(VLOOKUP($A$3,XTIME!$A$1:$E$31,3,FALSE),C34),'Fiche Horaire'!A:AR,12,FALSE),IF((VLOOKUP(CONCATENATE(VLOOKUP($A$3,XTIME!$A$1:$E$31,3,FALSE),C34),'Fiche Horaire'!A:AR,12,FALSE)+VLOOKUP(CONCATENATE(VLOOKUP($A$3,XTIME!$A$1:$E$31,3,FALSE),C34),'Fiche Horaire'!A:AR,33,FALSE))&gt;Feuil2!$D$3,VLOOKUP(CONCATENATE(VLOOKUP($A$3,XTIME!$A$1:$E$31,3,FALSE),C34),'Fiche Horaire'!A:AR,33,FALSE)+VLOOKUP(CONCATENATE(VLOOKUP($A$3,XTIME!$A$1:$E$31,3,FALSE),C34),'Fiche Horaire'!A:AR,12,FALSE)-Feuil2!$D$3,"")))))*60+MINUTE(IF(C34="","",IF(VLOOKUP(CONCATENATE(VLOOKUP($A$3,XTIME!$A$1:$E$31,3,FALSE),C34),'Fiche Horaire'!A:AR,12,FALSE)="","",IF((VLOOKUP(CONCATENATE(VLOOKUP($A$3,XTIME!$A$1:$E$31,3,FALSE),C34),'Fiche Horaire'!A:AR,12,FALSE))&lt;Feuil2!$D$2,Feuil2!$D$2-VLOOKUP(CONCATENATE(VLOOKUP($A$3,XTIME!$A$1:$E$31,3,FALSE),C34),'Fiche Horaire'!A:AR,12,FALSE),IF((VLOOKUP(CONCATENATE(VLOOKUP($A$3,XTIME!$A$1:$E$31,3,FALSE),C34),'Fiche Horaire'!A:AR,12,FALSE)+VLOOKUP(CONCATENATE(VLOOKUP($A$3,XTIME!$A$1:$E$31,3,FALSE),C34),'Fiche Horaire'!A:AR,33,FALSE))&gt;Feuil2!$D$3,VLOOKUP(CONCATENATE(VLOOKUP($A$3,XTIME!$A$1:$E$31,3,FALSE),C34),'Fiche Horaire'!A:AR,33,FALSE)+VLOOKUP(CONCATENATE(VLOOKUP($A$3,XTIME!$A$1:$E$31,3,FALSE),C34),'Fiche Horaire'!A:AR,12,FALSE)-Feuil2!$D$3,""))))))/60,"")</f>
        <v/>
      </c>
      <c r="L34" s="112" t="str">
        <f>B34</f>
        <v>SEMAINE 39</v>
      </c>
      <c r="M34" s="113"/>
    </row>
    <row r="35" spans="2:13" ht="25" customHeight="1">
      <c r="B35" s="122"/>
      <c r="C35" s="73">
        <f>IFERROR(IF(DAY(C34+1)&lt;DAY(C34),"",C34+1),"")</f>
        <v>43368</v>
      </c>
      <c r="D35" s="67" t="str">
        <f>IF(ISNA((HOUR(VLOOKUP(CONCATENATE(VLOOKUP($A$3,XTIME!$A$1:$E$31,3,FALSE),$C35),Tableau3[[Référence]:[FORMATION]],34,FALSE))*60+MINUTE(VLOOKUP(CONCATENATE(VLOOKUP($A$3,XTIME!$A$1:$E$31,3,FALSE),$C35),Tableau3[[Référence]:[FORMATION]],34,FALSE)))/60)=TRUE,"",((HOUR(VLOOKUP(CONCATENATE(VLOOKUP($A$3,XTIME!$A$1:$E$31,3,FALSE),$C35),Tableau3[[Référence]:[FORMATION]],34,FALSE))*60+MINUTE(VLOOKUP(CONCATENATE(VLOOKUP($A$3,XTIME!$A$1:$E$31,3,FALSE),$C35),Tableau3[[Référence]:[FORMATION]],34,FALSE)))/60))</f>
        <v/>
      </c>
      <c r="E35" s="70" t="str">
        <f>IF(ISNA((HOUR(VLOOKUP(CONCATENATE(VLOOKUP($A$3,XTIME!$A$1:$E$31,3,FALSE),$C35),Tableau3[[Référence]:[FORMATION]],40,FALSE))*60+MINUTE(VLOOKUP(CONCATENATE(VLOOKUP($A$3,XTIME!$A$1:$E$31,3,FALSE),$C35),Tableau3[[Référence]:[FORMATION]],40,FALSE)))/60)=TRUE,"",((HOUR(VLOOKUP(CONCATENATE(VLOOKUP($A$3,XTIME!$A$1:$E$31,3,FALSE),$C35),Tableau3[[Référence]:[FORMATION]],40,FALSE))*60+MINUTE(VLOOKUP(CONCATENATE(VLOOKUP($A$3,XTIME!$A$1:$E$31,3,FALSE),$C35),Tableau3[[Référence]:[FORMATION]],40,FALSE)))/60))</f>
        <v/>
      </c>
      <c r="F35" s="70" t="str">
        <f>IF(ISNA((HOUR(VLOOKUP(CONCATENATE(VLOOKUP($A$3,XTIME!$A$1:$E$31,3,FALSE),$C35),Tableau3[[Référence]:[FORMATION]],41,FALSE))*60+MINUTE(VLOOKUP(CONCATENATE(VLOOKUP($A$3,XTIME!$A$1:$E$31,3,FALSE),$C35),Tableau3[[Référence]:[FORMATION]],41,FALSE)))/60)=TRUE,"",((HOUR(VLOOKUP(CONCATENATE(VLOOKUP($A$3,XTIME!$A$1:$E$31,3,FALSE),$C35),Tableau3[[Référence]:[FORMATION]],41,FALSE))*60+MINUTE(VLOOKUP(CONCATENATE(VLOOKUP($A$3,XTIME!$A$1:$E$31,3,FALSE),$C35),Tableau3[[Référence]:[FORMATION]],41,FALSE)))/60))</f>
        <v/>
      </c>
      <c r="G35" s="40" t="str">
        <f>IF(ISNA((HOUR(VLOOKUP(CONCATENATE(VLOOKUP($A$3,XTIME!$A$1:$E$31,3,FALSE),$C35),Tableau3[[Référence]:[FORMATION]],42,FALSE))*60+MINUTE(VLOOKUP(CONCATENATE(VLOOKUP($A$3,XTIME!$A$1:$E$31,3,FALSE),$C35),Tableau3[[Référence]:[FORMATION]],42,FALSE)))/60)=TRUE,"",((HOUR(VLOOKUP(CONCATENATE(VLOOKUP($A$3,XTIME!$A$1:$E$31,3,FALSE),$C35),Tableau3[[Référence]:[FORMATION]],42,FALSE))*60+MINUTE(VLOOKUP(CONCATENATE(VLOOKUP($A$3,XTIME!$A$1:$E$31,3,FALSE),$C35),Tableau3[[Référence]:[FORMATION]],42,FALSE)))/60))</f>
        <v/>
      </c>
      <c r="H35" s="6" t="str">
        <f>IF(ISNA(VLOOKUP(CONCATENATE(VLOOKUP($A$3,XTIME!$A$1:$E$31,3,FALSE),$C35),Tableau3[[Référence]:[FORMATION]],7,FALSE))=TRUE,"",VLOOKUP(CONCATENATE(VLOOKUP($A$3,XTIME!$A$1:$E$31,3,FALSE),$C35),Tableau3[[Référence]:[FORMATION]],7,FALSE))</f>
        <v/>
      </c>
      <c r="I35" s="41" t="str">
        <f>IFERROR((HOUR(IF(C35="","",MIN(IF((VLOOKUP(CONCATENATE(VLOOKUP($A$3,XTIME!$A$1:$E$31,3,FALSE),C35),'Fiche Horaire'!A:AR,12,FALSE)+VLOOKUP(CONCATENATE(VLOOKUP($A$3,XTIME!$A$1:$E$31,3,FALSE),C35),'Fiche Horaire'!A:AR,33,FALSE))&gt;Feuil2!$C$2,VLOOKUP(CONCATENATE(VLOOKUP($A$3,XTIME!$A$1:$E$31,3,FALSE),C35),'Fiche Horaire'!A:AR,33,FALSE)+VLOOKUP(CONCATENATE(VLOOKUP($A$3,XTIME!$A$1:$E$31,3,FALSE),C35),'Fiche Horaire'!A:AR,12,FALSE)-Feuil2!$C$2,"X"),Feuil2!$C$3)))*60+MINUTE(IF(C35="","",MIN(IF((VLOOKUP(CONCATENATE(VLOOKUP($A$3,XTIME!$A$1:$E$31,3,FALSE),C35),'Fiche Horaire'!A:AR,12,FALSE)+VLOOKUP(CONCATENATE(VLOOKUP($A$3,XTIME!$A$1:$E$31,3,FALSE),C35),'Fiche Horaire'!A:AR,33,FALSE))&gt;Feuil2!$C$2,VLOOKUP(CONCATENATE(VLOOKUP($A$3,XTIME!$A$1:$E$31,3,FALSE),C35),'Fiche Horaire'!A:AR,33,FALSE)+VLOOKUP(CONCATENATE(VLOOKUP($A$3,XTIME!$A$1:$E$31,3,FALSE),C35),'Fiche Horaire'!A:AR,12,FALSE)-Feuil2!$C$2,"X"),Feuil2!$C$3))))/60,"")</f>
        <v/>
      </c>
      <c r="J35" s="93" t="str">
        <f>IFERROR((HOUR(IF(C35="","",IF(VLOOKUP(CONCATENATE(VLOOKUP($A$3,XTIME!$A$1:$E$31,3,FALSE),C35),'Fiche Horaire'!A:AR,12,FALSE)="","",IF((VLOOKUP(CONCATENATE(VLOOKUP($A$3,XTIME!$A$1:$E$31,3,FALSE),C35),'Fiche Horaire'!A:AR,12,FALSE))&lt;Feuil2!$D$2,Feuil2!$D$2-VLOOKUP(CONCATENATE(VLOOKUP($A$3,XTIME!$A$1:$E$31,3,FALSE),C35),'Fiche Horaire'!A:AR,12,FALSE),IF((VLOOKUP(CONCATENATE(VLOOKUP($A$3,XTIME!$A$1:$E$31,3,FALSE),C35),'Fiche Horaire'!A:AR,12,FALSE)+VLOOKUP(CONCATENATE(VLOOKUP($A$3,XTIME!$A$1:$E$31,3,FALSE),C35),'Fiche Horaire'!A:AR,33,FALSE))&gt;Feuil2!$D$3,VLOOKUP(CONCATENATE(VLOOKUP($A$3,XTIME!$A$1:$E$31,3,FALSE),C35),'Fiche Horaire'!A:AR,33,FALSE)+VLOOKUP(CONCATENATE(VLOOKUP($A$3,XTIME!$A$1:$E$31,3,FALSE),C35),'Fiche Horaire'!A:AR,12,FALSE)-Feuil2!$D$3,"")))))*60+MINUTE(IF(C35="","",IF(VLOOKUP(CONCATENATE(VLOOKUP($A$3,XTIME!$A$1:$E$31,3,FALSE),C35),'Fiche Horaire'!A:AR,12,FALSE)="","",IF((VLOOKUP(CONCATENATE(VLOOKUP($A$3,XTIME!$A$1:$E$31,3,FALSE),C35),'Fiche Horaire'!A:AR,12,FALSE))&lt;Feuil2!$D$2,Feuil2!$D$2-VLOOKUP(CONCATENATE(VLOOKUP($A$3,XTIME!$A$1:$E$31,3,FALSE),C35),'Fiche Horaire'!A:AR,12,FALSE),IF((VLOOKUP(CONCATENATE(VLOOKUP($A$3,XTIME!$A$1:$E$31,3,FALSE),C35),'Fiche Horaire'!A:AR,12,FALSE)+VLOOKUP(CONCATENATE(VLOOKUP($A$3,XTIME!$A$1:$E$31,3,FALSE),C35),'Fiche Horaire'!A:AR,33,FALSE))&gt;Feuil2!$D$3,VLOOKUP(CONCATENATE(VLOOKUP($A$3,XTIME!$A$1:$E$31,3,FALSE),C35),'Fiche Horaire'!A:AR,33,FALSE)+VLOOKUP(CONCATENATE(VLOOKUP($A$3,XTIME!$A$1:$E$31,3,FALSE),C35),'Fiche Horaire'!A:AR,12,FALSE)-Feuil2!$D$3,""))))))/60,"")</f>
        <v/>
      </c>
      <c r="L35" s="31" t="s">
        <v>2</v>
      </c>
      <c r="M35" s="35">
        <f>D40+E40+G40+H40+F40</f>
        <v>0</v>
      </c>
    </row>
    <row r="36" spans="2:13" ht="25" customHeight="1">
      <c r="B36" s="122"/>
      <c r="C36" s="73">
        <f t="shared" ref="C36:C39" si="10">IFERROR(IF(DAY(C35+1)&lt;DAY(C35),"",C35+1),"")</f>
        <v>43369</v>
      </c>
      <c r="D36" s="67" t="str">
        <f>IF(ISNA((HOUR(VLOOKUP(CONCATENATE(VLOOKUP($A$3,XTIME!$A$1:$E$31,3,FALSE),$C36),Tableau3[[Référence]:[FORMATION]],34,FALSE))*60+MINUTE(VLOOKUP(CONCATENATE(VLOOKUP($A$3,XTIME!$A$1:$E$31,3,FALSE),$C36),Tableau3[[Référence]:[FORMATION]],34,FALSE)))/60)=TRUE,"",((HOUR(VLOOKUP(CONCATENATE(VLOOKUP($A$3,XTIME!$A$1:$E$31,3,FALSE),$C36),Tableau3[[Référence]:[FORMATION]],34,FALSE))*60+MINUTE(VLOOKUP(CONCATENATE(VLOOKUP($A$3,XTIME!$A$1:$E$31,3,FALSE),$C36),Tableau3[[Référence]:[FORMATION]],34,FALSE)))/60))</f>
        <v/>
      </c>
      <c r="E36" s="70" t="str">
        <f>IF(ISNA((HOUR(VLOOKUP(CONCATENATE(VLOOKUP($A$3,XTIME!$A$1:$E$31,3,FALSE),$C36),Tableau3[[Référence]:[FORMATION]],40,FALSE))*60+MINUTE(VLOOKUP(CONCATENATE(VLOOKUP($A$3,XTIME!$A$1:$E$31,3,FALSE),$C36),Tableau3[[Référence]:[FORMATION]],40,FALSE)))/60)=TRUE,"",((HOUR(VLOOKUP(CONCATENATE(VLOOKUP($A$3,XTIME!$A$1:$E$31,3,FALSE),$C36),Tableau3[[Référence]:[FORMATION]],40,FALSE))*60+MINUTE(VLOOKUP(CONCATENATE(VLOOKUP($A$3,XTIME!$A$1:$E$31,3,FALSE),$C36),Tableau3[[Référence]:[FORMATION]],40,FALSE)))/60))</f>
        <v/>
      </c>
      <c r="F36" s="70" t="str">
        <f>IF(ISNA((HOUR(VLOOKUP(CONCATENATE(VLOOKUP($A$3,XTIME!$A$1:$E$31,3,FALSE),$C36),Tableau3[[Référence]:[FORMATION]],41,FALSE))*60+MINUTE(VLOOKUP(CONCATENATE(VLOOKUP($A$3,XTIME!$A$1:$E$31,3,FALSE),$C36),Tableau3[[Référence]:[FORMATION]],41,FALSE)))/60)=TRUE,"",((HOUR(VLOOKUP(CONCATENATE(VLOOKUP($A$3,XTIME!$A$1:$E$31,3,FALSE),$C36),Tableau3[[Référence]:[FORMATION]],41,FALSE))*60+MINUTE(VLOOKUP(CONCATENATE(VLOOKUP($A$3,XTIME!$A$1:$E$31,3,FALSE),$C36),Tableau3[[Référence]:[FORMATION]],41,FALSE)))/60))</f>
        <v/>
      </c>
      <c r="G36" s="40" t="str">
        <f>IF(ISNA((HOUR(VLOOKUP(CONCATENATE(VLOOKUP($A$3,XTIME!$A$1:$E$31,3,FALSE),$C36),Tableau3[[Référence]:[FORMATION]],42,FALSE))*60+MINUTE(VLOOKUP(CONCATENATE(VLOOKUP($A$3,XTIME!$A$1:$E$31,3,FALSE),$C36),Tableau3[[Référence]:[FORMATION]],42,FALSE)))/60)=TRUE,"",((HOUR(VLOOKUP(CONCATENATE(VLOOKUP($A$3,XTIME!$A$1:$E$31,3,FALSE),$C36),Tableau3[[Référence]:[FORMATION]],42,FALSE))*60+MINUTE(VLOOKUP(CONCATENATE(VLOOKUP($A$3,XTIME!$A$1:$E$31,3,FALSE),$C36),Tableau3[[Référence]:[FORMATION]],42,FALSE)))/60))</f>
        <v/>
      </c>
      <c r="H36" s="6" t="str">
        <f>IF(ISNA(VLOOKUP(CONCATENATE(VLOOKUP($A$3,XTIME!$A$1:$E$31,3,FALSE),$C36),Tableau3[[Référence]:[FORMATION]],7,FALSE))=TRUE,"",VLOOKUP(CONCATENATE(VLOOKUP($A$3,XTIME!$A$1:$E$31,3,FALSE),$C36),Tableau3[[Référence]:[FORMATION]],7,FALSE))</f>
        <v/>
      </c>
      <c r="I36" s="41" t="str">
        <f>IFERROR((HOUR(IF(C36="","",MIN(IF((VLOOKUP(CONCATENATE(VLOOKUP($A$3,XTIME!$A$1:$E$31,3,FALSE),C36),'Fiche Horaire'!A:AR,12,FALSE)+VLOOKUP(CONCATENATE(VLOOKUP($A$3,XTIME!$A$1:$E$31,3,FALSE),C36),'Fiche Horaire'!A:AR,33,FALSE))&gt;Feuil2!$C$2,VLOOKUP(CONCATENATE(VLOOKUP($A$3,XTIME!$A$1:$E$31,3,FALSE),C36),'Fiche Horaire'!A:AR,33,FALSE)+VLOOKUP(CONCATENATE(VLOOKUP($A$3,XTIME!$A$1:$E$31,3,FALSE),C36),'Fiche Horaire'!A:AR,12,FALSE)-Feuil2!$C$2,"X"),Feuil2!$C$3)))*60+MINUTE(IF(C36="","",MIN(IF((VLOOKUP(CONCATENATE(VLOOKUP($A$3,XTIME!$A$1:$E$31,3,FALSE),C36),'Fiche Horaire'!A:AR,12,FALSE)+VLOOKUP(CONCATENATE(VLOOKUP($A$3,XTIME!$A$1:$E$31,3,FALSE),C36),'Fiche Horaire'!A:AR,33,FALSE))&gt;Feuil2!$C$2,VLOOKUP(CONCATENATE(VLOOKUP($A$3,XTIME!$A$1:$E$31,3,FALSE),C36),'Fiche Horaire'!A:AR,33,FALSE)+VLOOKUP(CONCATENATE(VLOOKUP($A$3,XTIME!$A$1:$E$31,3,FALSE),C36),'Fiche Horaire'!A:AR,12,FALSE)-Feuil2!$C$2,"X"),Feuil2!$C$3))))/60,"")</f>
        <v/>
      </c>
      <c r="J36" s="93" t="str">
        <f>IFERROR((HOUR(IF(C36="","",IF(VLOOKUP(CONCATENATE(VLOOKUP($A$3,XTIME!$A$1:$E$31,3,FALSE),C36),'Fiche Horaire'!A:AR,12,FALSE)="","",IF((VLOOKUP(CONCATENATE(VLOOKUP($A$3,XTIME!$A$1:$E$31,3,FALSE),C36),'Fiche Horaire'!A:AR,12,FALSE))&lt;Feuil2!$D$2,Feuil2!$D$2-VLOOKUP(CONCATENATE(VLOOKUP($A$3,XTIME!$A$1:$E$31,3,FALSE),C36),'Fiche Horaire'!A:AR,12,FALSE),IF((VLOOKUP(CONCATENATE(VLOOKUP($A$3,XTIME!$A$1:$E$31,3,FALSE),C36),'Fiche Horaire'!A:AR,12,FALSE)+VLOOKUP(CONCATENATE(VLOOKUP($A$3,XTIME!$A$1:$E$31,3,FALSE),C36),'Fiche Horaire'!A:AR,33,FALSE))&gt;Feuil2!$D$3,VLOOKUP(CONCATENATE(VLOOKUP($A$3,XTIME!$A$1:$E$31,3,FALSE),C36),'Fiche Horaire'!A:AR,33,FALSE)+VLOOKUP(CONCATENATE(VLOOKUP($A$3,XTIME!$A$1:$E$31,3,FALSE),C36),'Fiche Horaire'!A:AR,12,FALSE)-Feuil2!$D$3,"")))))*60+MINUTE(IF(C36="","",IF(VLOOKUP(CONCATENATE(VLOOKUP($A$3,XTIME!$A$1:$E$31,3,FALSE),C36),'Fiche Horaire'!A:AR,12,FALSE)="","",IF((VLOOKUP(CONCATENATE(VLOOKUP($A$3,XTIME!$A$1:$E$31,3,FALSE),C36),'Fiche Horaire'!A:AR,12,FALSE))&lt;Feuil2!$D$2,Feuil2!$D$2-VLOOKUP(CONCATENATE(VLOOKUP($A$3,XTIME!$A$1:$E$31,3,FALSE),C36),'Fiche Horaire'!A:AR,12,FALSE),IF((VLOOKUP(CONCATENATE(VLOOKUP($A$3,XTIME!$A$1:$E$31,3,FALSE),C36),'Fiche Horaire'!A:AR,12,FALSE)+VLOOKUP(CONCATENATE(VLOOKUP($A$3,XTIME!$A$1:$E$31,3,FALSE),C36),'Fiche Horaire'!A:AR,33,FALSE))&gt;Feuil2!$D$3,VLOOKUP(CONCATENATE(VLOOKUP($A$3,XTIME!$A$1:$E$31,3,FALSE),C36),'Fiche Horaire'!A:AR,33,FALSE)+VLOOKUP(CONCATENATE(VLOOKUP($A$3,XTIME!$A$1:$E$31,3,FALSE),C36),'Fiche Horaire'!A:AR,12,FALSE)-Feuil2!$D$3,""))))))/60,"")</f>
        <v/>
      </c>
      <c r="L36" s="31" t="s">
        <v>85</v>
      </c>
      <c r="M36" s="35">
        <f>MIN(IF(M35=0,0,IF(M35&gt;=35,M35-35,0)),2)</f>
        <v>0</v>
      </c>
    </row>
    <row r="37" spans="2:13" ht="25" customHeight="1">
      <c r="B37" s="122"/>
      <c r="C37" s="73">
        <f t="shared" si="10"/>
        <v>43370</v>
      </c>
      <c r="D37" s="67" t="str">
        <f>IF(ISNA((HOUR(VLOOKUP(CONCATENATE(VLOOKUP($A$3,XTIME!$A$1:$E$31,3,FALSE),$C37),Tableau3[[Référence]:[FORMATION]],34,FALSE))*60+MINUTE(VLOOKUP(CONCATENATE(VLOOKUP($A$3,XTIME!$A$1:$E$31,3,FALSE),$C37),Tableau3[[Référence]:[FORMATION]],34,FALSE)))/60)=TRUE,"",((HOUR(VLOOKUP(CONCATENATE(VLOOKUP($A$3,XTIME!$A$1:$E$31,3,FALSE),$C37),Tableau3[[Référence]:[FORMATION]],34,FALSE))*60+MINUTE(VLOOKUP(CONCATENATE(VLOOKUP($A$3,XTIME!$A$1:$E$31,3,FALSE),$C37),Tableau3[[Référence]:[FORMATION]],34,FALSE)))/60))</f>
        <v/>
      </c>
      <c r="E37" s="70" t="str">
        <f>IF(ISNA((HOUR(VLOOKUP(CONCATENATE(VLOOKUP($A$3,XTIME!$A$1:$E$31,3,FALSE),$C37),Tableau3[[Référence]:[FORMATION]],40,FALSE))*60+MINUTE(VLOOKUP(CONCATENATE(VLOOKUP($A$3,XTIME!$A$1:$E$31,3,FALSE),$C37),Tableau3[[Référence]:[FORMATION]],40,FALSE)))/60)=TRUE,"",((HOUR(VLOOKUP(CONCATENATE(VLOOKUP($A$3,XTIME!$A$1:$E$31,3,FALSE),$C37),Tableau3[[Référence]:[FORMATION]],40,FALSE))*60+MINUTE(VLOOKUP(CONCATENATE(VLOOKUP($A$3,XTIME!$A$1:$E$31,3,FALSE),$C37),Tableau3[[Référence]:[FORMATION]],40,FALSE)))/60))</f>
        <v/>
      </c>
      <c r="F37" s="70" t="str">
        <f>IF(ISNA((HOUR(VLOOKUP(CONCATENATE(VLOOKUP($A$3,XTIME!$A$1:$E$31,3,FALSE),$C37),Tableau3[[Référence]:[FORMATION]],41,FALSE))*60+MINUTE(VLOOKUP(CONCATENATE(VLOOKUP($A$3,XTIME!$A$1:$E$31,3,FALSE),$C37),Tableau3[[Référence]:[FORMATION]],41,FALSE)))/60)=TRUE,"",((HOUR(VLOOKUP(CONCATENATE(VLOOKUP($A$3,XTIME!$A$1:$E$31,3,FALSE),$C37),Tableau3[[Référence]:[FORMATION]],41,FALSE))*60+MINUTE(VLOOKUP(CONCATENATE(VLOOKUP($A$3,XTIME!$A$1:$E$31,3,FALSE),$C37),Tableau3[[Référence]:[FORMATION]],41,FALSE)))/60))</f>
        <v/>
      </c>
      <c r="G37" s="40" t="str">
        <f>IF(ISNA((HOUR(VLOOKUP(CONCATENATE(VLOOKUP($A$3,XTIME!$A$1:$E$31,3,FALSE),$C37),Tableau3[[Référence]:[FORMATION]],42,FALSE))*60+MINUTE(VLOOKUP(CONCATENATE(VLOOKUP($A$3,XTIME!$A$1:$E$31,3,FALSE),$C37),Tableau3[[Référence]:[FORMATION]],42,FALSE)))/60)=TRUE,"",((HOUR(VLOOKUP(CONCATENATE(VLOOKUP($A$3,XTIME!$A$1:$E$31,3,FALSE),$C37),Tableau3[[Référence]:[FORMATION]],42,FALSE))*60+MINUTE(VLOOKUP(CONCATENATE(VLOOKUP($A$3,XTIME!$A$1:$E$31,3,FALSE),$C37),Tableau3[[Référence]:[FORMATION]],42,FALSE)))/60))</f>
        <v/>
      </c>
      <c r="H37" s="6" t="str">
        <f>IF(ISNA(VLOOKUP(CONCATENATE(VLOOKUP($A$3,XTIME!$A$1:$E$31,3,FALSE),$C37),Tableau3[[Référence]:[FORMATION]],7,FALSE))=TRUE,"",VLOOKUP(CONCATENATE(VLOOKUP($A$3,XTIME!$A$1:$E$31,3,FALSE),$C37),Tableau3[[Référence]:[FORMATION]],7,FALSE))</f>
        <v/>
      </c>
      <c r="I37" s="41" t="str">
        <f>IFERROR((HOUR(IF(C37="","",MIN(IF((VLOOKUP(CONCATENATE(VLOOKUP($A$3,XTIME!$A$1:$E$31,3,FALSE),C37),'Fiche Horaire'!A:AR,12,FALSE)+VLOOKUP(CONCATENATE(VLOOKUP($A$3,XTIME!$A$1:$E$31,3,FALSE),C37),'Fiche Horaire'!A:AR,33,FALSE))&gt;Feuil2!$C$2,VLOOKUP(CONCATENATE(VLOOKUP($A$3,XTIME!$A$1:$E$31,3,FALSE),C37),'Fiche Horaire'!A:AR,33,FALSE)+VLOOKUP(CONCATENATE(VLOOKUP($A$3,XTIME!$A$1:$E$31,3,FALSE),C37),'Fiche Horaire'!A:AR,12,FALSE)-Feuil2!$C$2,"X"),Feuil2!$C$3)))*60+MINUTE(IF(C37="","",MIN(IF((VLOOKUP(CONCATENATE(VLOOKUP($A$3,XTIME!$A$1:$E$31,3,FALSE),C37),'Fiche Horaire'!A:AR,12,FALSE)+VLOOKUP(CONCATENATE(VLOOKUP($A$3,XTIME!$A$1:$E$31,3,FALSE),C37),'Fiche Horaire'!A:AR,33,FALSE))&gt;Feuil2!$C$2,VLOOKUP(CONCATENATE(VLOOKUP($A$3,XTIME!$A$1:$E$31,3,FALSE),C37),'Fiche Horaire'!A:AR,33,FALSE)+VLOOKUP(CONCATENATE(VLOOKUP($A$3,XTIME!$A$1:$E$31,3,FALSE),C37),'Fiche Horaire'!A:AR,12,FALSE)-Feuil2!$C$2,"X"),Feuil2!$C$3))))/60,"")</f>
        <v/>
      </c>
      <c r="J37" s="93" t="str">
        <f>IFERROR((HOUR(IF(C37="","",IF(VLOOKUP(CONCATENATE(VLOOKUP($A$3,XTIME!$A$1:$E$31,3,FALSE),C37),'Fiche Horaire'!A:AR,12,FALSE)="","",IF((VLOOKUP(CONCATENATE(VLOOKUP($A$3,XTIME!$A$1:$E$31,3,FALSE),C37),'Fiche Horaire'!A:AR,12,FALSE))&lt;Feuil2!$D$2,Feuil2!$D$2-VLOOKUP(CONCATENATE(VLOOKUP($A$3,XTIME!$A$1:$E$31,3,FALSE),C37),'Fiche Horaire'!A:AR,12,FALSE),IF((VLOOKUP(CONCATENATE(VLOOKUP($A$3,XTIME!$A$1:$E$31,3,FALSE),C37),'Fiche Horaire'!A:AR,12,FALSE)+VLOOKUP(CONCATENATE(VLOOKUP($A$3,XTIME!$A$1:$E$31,3,FALSE),C37),'Fiche Horaire'!A:AR,33,FALSE))&gt;Feuil2!$D$3,VLOOKUP(CONCATENATE(VLOOKUP($A$3,XTIME!$A$1:$E$31,3,FALSE),C37),'Fiche Horaire'!A:AR,33,FALSE)+VLOOKUP(CONCATENATE(VLOOKUP($A$3,XTIME!$A$1:$E$31,3,FALSE),C37),'Fiche Horaire'!A:AR,12,FALSE)-Feuil2!$D$3,"")))))*60+MINUTE(IF(C37="","",IF(VLOOKUP(CONCATENATE(VLOOKUP($A$3,XTIME!$A$1:$E$31,3,FALSE),C37),'Fiche Horaire'!A:AR,12,FALSE)="","",IF((VLOOKUP(CONCATENATE(VLOOKUP($A$3,XTIME!$A$1:$E$31,3,FALSE),C37),'Fiche Horaire'!A:AR,12,FALSE))&lt;Feuil2!$D$2,Feuil2!$D$2-VLOOKUP(CONCATENATE(VLOOKUP($A$3,XTIME!$A$1:$E$31,3,FALSE),C37),'Fiche Horaire'!A:AR,12,FALSE),IF((VLOOKUP(CONCATENATE(VLOOKUP($A$3,XTIME!$A$1:$E$31,3,FALSE),C37),'Fiche Horaire'!A:AR,12,FALSE)+VLOOKUP(CONCATENATE(VLOOKUP($A$3,XTIME!$A$1:$E$31,3,FALSE),C37),'Fiche Horaire'!A:AR,33,FALSE))&gt;Feuil2!$D$3,VLOOKUP(CONCATENATE(VLOOKUP($A$3,XTIME!$A$1:$E$31,3,FALSE),C37),'Fiche Horaire'!A:AR,33,FALSE)+VLOOKUP(CONCATENATE(VLOOKUP($A$3,XTIME!$A$1:$E$31,3,FALSE),C37),'Fiche Horaire'!A:AR,12,FALSE)-Feuil2!$D$3,""))))))/60,"")</f>
        <v/>
      </c>
      <c r="L37" s="44" t="s">
        <v>3</v>
      </c>
      <c r="M37" s="33">
        <f>IF(M35&lt;45,M35-$K$4-M40,3)</f>
        <v>0</v>
      </c>
    </row>
    <row r="38" spans="2:13" ht="25" customHeight="1">
      <c r="B38" s="122"/>
      <c r="C38" s="73">
        <f t="shared" si="10"/>
        <v>43371</v>
      </c>
      <c r="D38" s="67" t="str">
        <f>IF(ISNA((HOUR(VLOOKUP(CONCATENATE(VLOOKUP($A$3,XTIME!$A$1:$E$31,3,FALSE),$C38),Tableau3[[Référence]:[FORMATION]],34,FALSE))*60+MINUTE(VLOOKUP(CONCATENATE(VLOOKUP($A$3,XTIME!$A$1:$E$31,3,FALSE),$C38),Tableau3[[Référence]:[FORMATION]],34,FALSE)))/60)=TRUE,"",((HOUR(VLOOKUP(CONCATENATE(VLOOKUP($A$3,XTIME!$A$1:$E$31,3,FALSE),$C38),Tableau3[[Référence]:[FORMATION]],34,FALSE))*60+MINUTE(VLOOKUP(CONCATENATE(VLOOKUP($A$3,XTIME!$A$1:$E$31,3,FALSE),$C38),Tableau3[[Référence]:[FORMATION]],34,FALSE)))/60))</f>
        <v/>
      </c>
      <c r="E38" s="70" t="str">
        <f>IF(ISNA((HOUR(VLOOKUP(CONCATENATE(VLOOKUP($A$3,XTIME!$A$1:$E$31,3,FALSE),$C38),Tableau3[[Référence]:[FORMATION]],40,FALSE))*60+MINUTE(VLOOKUP(CONCATENATE(VLOOKUP($A$3,XTIME!$A$1:$E$31,3,FALSE),$C38),Tableau3[[Référence]:[FORMATION]],40,FALSE)))/60)=TRUE,"",((HOUR(VLOOKUP(CONCATENATE(VLOOKUP($A$3,XTIME!$A$1:$E$31,3,FALSE),$C38),Tableau3[[Référence]:[FORMATION]],40,FALSE))*60+MINUTE(VLOOKUP(CONCATENATE(VLOOKUP($A$3,XTIME!$A$1:$E$31,3,FALSE),$C38),Tableau3[[Référence]:[FORMATION]],40,FALSE)))/60))</f>
        <v/>
      </c>
      <c r="F38" s="70" t="str">
        <f>IF(ISNA((HOUR(VLOOKUP(CONCATENATE(VLOOKUP($A$3,XTIME!$A$1:$E$31,3,FALSE),$C38),Tableau3[[Référence]:[FORMATION]],41,FALSE))*60+MINUTE(VLOOKUP(CONCATENATE(VLOOKUP($A$3,XTIME!$A$1:$E$31,3,FALSE),$C38),Tableau3[[Référence]:[FORMATION]],41,FALSE)))/60)=TRUE,"",((HOUR(VLOOKUP(CONCATENATE(VLOOKUP($A$3,XTIME!$A$1:$E$31,3,FALSE),$C38),Tableau3[[Référence]:[FORMATION]],41,FALSE))*60+MINUTE(VLOOKUP(CONCATENATE(VLOOKUP($A$3,XTIME!$A$1:$E$31,3,FALSE),$C38),Tableau3[[Référence]:[FORMATION]],41,FALSE)))/60))</f>
        <v/>
      </c>
      <c r="G38" s="40" t="str">
        <f>IF(ISNA((HOUR(VLOOKUP(CONCATENATE(VLOOKUP($A$3,XTIME!$A$1:$E$31,3,FALSE),$C38),Tableau3[[Référence]:[FORMATION]],42,FALSE))*60+MINUTE(VLOOKUP(CONCATENATE(VLOOKUP($A$3,XTIME!$A$1:$E$31,3,FALSE),$C38),Tableau3[[Référence]:[FORMATION]],42,FALSE)))/60)=TRUE,"",((HOUR(VLOOKUP(CONCATENATE(VLOOKUP($A$3,XTIME!$A$1:$E$31,3,FALSE),$C38),Tableau3[[Référence]:[FORMATION]],42,FALSE))*60+MINUTE(VLOOKUP(CONCATENATE(VLOOKUP($A$3,XTIME!$A$1:$E$31,3,FALSE),$C38),Tableau3[[Référence]:[FORMATION]],42,FALSE)))/60))</f>
        <v/>
      </c>
      <c r="H38" s="6" t="str">
        <f>IF(ISNA(VLOOKUP(CONCATENATE(VLOOKUP($A$3,XTIME!$A$1:$E$31,3,FALSE),$C38),Tableau3[[Référence]:[FORMATION]],7,FALSE))=TRUE,"",VLOOKUP(CONCATENATE(VLOOKUP($A$3,XTIME!$A$1:$E$31,3,FALSE),$C38),Tableau3[[Référence]:[FORMATION]],7,FALSE))</f>
        <v/>
      </c>
      <c r="I38" s="41" t="str">
        <f>IFERROR((HOUR(IF(C38="","",MIN(IF((VLOOKUP(CONCATENATE(VLOOKUP($A$3,XTIME!$A$1:$E$31,3,FALSE),C38),'Fiche Horaire'!A:AR,12,FALSE)+VLOOKUP(CONCATENATE(VLOOKUP($A$3,XTIME!$A$1:$E$31,3,FALSE),C38),'Fiche Horaire'!A:AR,33,FALSE))&gt;Feuil2!$C$2,VLOOKUP(CONCATENATE(VLOOKUP($A$3,XTIME!$A$1:$E$31,3,FALSE),C38),'Fiche Horaire'!A:AR,33,FALSE)+VLOOKUP(CONCATENATE(VLOOKUP($A$3,XTIME!$A$1:$E$31,3,FALSE),C38),'Fiche Horaire'!A:AR,12,FALSE)-Feuil2!$C$2,"X"),Feuil2!$C$3)))*60+MINUTE(IF(C38="","",MIN(IF((VLOOKUP(CONCATENATE(VLOOKUP($A$3,XTIME!$A$1:$E$31,3,FALSE),C38),'Fiche Horaire'!A:AR,12,FALSE)+VLOOKUP(CONCATENATE(VLOOKUP($A$3,XTIME!$A$1:$E$31,3,FALSE),C38),'Fiche Horaire'!A:AR,33,FALSE))&gt;Feuil2!$C$2,VLOOKUP(CONCATENATE(VLOOKUP($A$3,XTIME!$A$1:$E$31,3,FALSE),C38),'Fiche Horaire'!A:AR,33,FALSE)+VLOOKUP(CONCATENATE(VLOOKUP($A$3,XTIME!$A$1:$E$31,3,FALSE),C38),'Fiche Horaire'!A:AR,12,FALSE)-Feuil2!$C$2,"X"),Feuil2!$C$3))))/60,"")</f>
        <v/>
      </c>
      <c r="J38" s="93" t="str">
        <f>IFERROR((HOUR(IF(C38="","",IF(VLOOKUP(CONCATENATE(VLOOKUP($A$3,XTIME!$A$1:$E$31,3,FALSE),C38),'Fiche Horaire'!A:AR,12,FALSE)="","",IF((VLOOKUP(CONCATENATE(VLOOKUP($A$3,XTIME!$A$1:$E$31,3,FALSE),C38),'Fiche Horaire'!A:AR,12,FALSE))&lt;Feuil2!$D$2,Feuil2!$D$2-VLOOKUP(CONCATENATE(VLOOKUP($A$3,XTIME!$A$1:$E$31,3,FALSE),C38),'Fiche Horaire'!A:AR,12,FALSE),IF((VLOOKUP(CONCATENATE(VLOOKUP($A$3,XTIME!$A$1:$E$31,3,FALSE),C38),'Fiche Horaire'!A:AR,12,FALSE)+VLOOKUP(CONCATENATE(VLOOKUP($A$3,XTIME!$A$1:$E$31,3,FALSE),C38),'Fiche Horaire'!A:AR,33,FALSE))&gt;Feuil2!$D$3,VLOOKUP(CONCATENATE(VLOOKUP($A$3,XTIME!$A$1:$E$31,3,FALSE),C38),'Fiche Horaire'!A:AR,33,FALSE)+VLOOKUP(CONCATENATE(VLOOKUP($A$3,XTIME!$A$1:$E$31,3,FALSE),C38),'Fiche Horaire'!A:AR,12,FALSE)-Feuil2!$D$3,"")))))*60+MINUTE(IF(C38="","",IF(VLOOKUP(CONCATENATE(VLOOKUP($A$3,XTIME!$A$1:$E$31,3,FALSE),C38),'Fiche Horaire'!A:AR,12,FALSE)="","",IF((VLOOKUP(CONCATENATE(VLOOKUP($A$3,XTIME!$A$1:$E$31,3,FALSE),C38),'Fiche Horaire'!A:AR,12,FALSE))&lt;Feuil2!$D$2,Feuil2!$D$2-VLOOKUP(CONCATENATE(VLOOKUP($A$3,XTIME!$A$1:$E$31,3,FALSE),C38),'Fiche Horaire'!A:AR,12,FALSE),IF((VLOOKUP(CONCATENATE(VLOOKUP($A$3,XTIME!$A$1:$E$31,3,FALSE),C38),'Fiche Horaire'!A:AR,12,FALSE)+VLOOKUP(CONCATENATE(VLOOKUP($A$3,XTIME!$A$1:$E$31,3,FALSE),C38),'Fiche Horaire'!A:AR,33,FALSE))&gt;Feuil2!$D$3,VLOOKUP(CONCATENATE(VLOOKUP($A$3,XTIME!$A$1:$E$31,3,FALSE),C38),'Fiche Horaire'!A:AR,33,FALSE)+VLOOKUP(CONCATENATE(VLOOKUP($A$3,XTIME!$A$1:$E$31,3,FALSE),C38),'Fiche Horaire'!A:AR,12,FALSE)-Feuil2!$D$3,""))))))/60,"")</f>
        <v/>
      </c>
      <c r="L38" s="44" t="s">
        <v>4</v>
      </c>
      <c r="M38" s="33">
        <f>IF(M35&gt;45,M35-$K$4-M40-M37,0)</f>
        <v>0</v>
      </c>
    </row>
    <row r="39" spans="2:13" ht="25" customHeight="1" thickBot="1">
      <c r="B39" s="122"/>
      <c r="C39" s="74">
        <f t="shared" si="10"/>
        <v>43372</v>
      </c>
      <c r="D39" s="68" t="str">
        <f>IF(ISNA((HOUR(VLOOKUP(CONCATENATE(VLOOKUP($A$3,XTIME!$A$1:$E$31,3,FALSE),$C39),Tableau3[[Référence]:[FORMATION]],34,FALSE))*60+MINUTE(VLOOKUP(CONCATENATE(VLOOKUP($A$3,XTIME!$A$1:$E$31,3,FALSE),$C39),Tableau3[[Référence]:[FORMATION]],34,FALSE)))/60)=TRUE,"",((HOUR(VLOOKUP(CONCATENATE(VLOOKUP($A$3,XTIME!$A$1:$E$31,3,FALSE),$C39),Tableau3[[Référence]:[FORMATION]],34,FALSE))*60+MINUTE(VLOOKUP(CONCATENATE(VLOOKUP($A$3,XTIME!$A$1:$E$31,3,FALSE),$C39),Tableau3[[Référence]:[FORMATION]],34,FALSE)))/60))</f>
        <v/>
      </c>
      <c r="E39" s="71" t="str">
        <f>IF(ISNA((HOUR(VLOOKUP(CONCATENATE(VLOOKUP($A$3,XTIME!$A$1:$E$31,3,FALSE),$C39),Tableau3[[Référence]:[FORMATION]],40,FALSE))*60+MINUTE(VLOOKUP(CONCATENATE(VLOOKUP($A$3,XTIME!$A$1:$E$31,3,FALSE),$C39),Tableau3[[Référence]:[FORMATION]],40,FALSE)))/60)=TRUE,"",((HOUR(VLOOKUP(CONCATENATE(VLOOKUP($A$3,XTIME!$A$1:$E$31,3,FALSE),$C39),Tableau3[[Référence]:[FORMATION]],40,FALSE))*60+MINUTE(VLOOKUP(CONCATENATE(VLOOKUP($A$3,XTIME!$A$1:$E$31,3,FALSE),$C39),Tableau3[[Référence]:[FORMATION]],40,FALSE)))/60))</f>
        <v/>
      </c>
      <c r="F39" s="71" t="str">
        <f>IF(ISNA((HOUR(VLOOKUP(CONCATENATE(VLOOKUP($A$3,XTIME!$A$1:$E$31,3,FALSE),$C39),Tableau3[[Référence]:[FORMATION]],41,FALSE))*60+MINUTE(VLOOKUP(CONCATENATE(VLOOKUP($A$3,XTIME!$A$1:$E$31,3,FALSE),$C39),Tableau3[[Référence]:[FORMATION]],41,FALSE)))/60)=TRUE,"",((HOUR(VLOOKUP(CONCATENATE(VLOOKUP($A$3,XTIME!$A$1:$E$31,3,FALSE),$C39),Tableau3[[Référence]:[FORMATION]],41,FALSE))*60+MINUTE(VLOOKUP(CONCATENATE(VLOOKUP($A$3,XTIME!$A$1:$E$31,3,FALSE),$C39),Tableau3[[Référence]:[FORMATION]],41,FALSE)))/60))</f>
        <v/>
      </c>
      <c r="G39" s="24" t="str">
        <f>IF(ISNA((HOUR(VLOOKUP(CONCATENATE(VLOOKUP($A$3,XTIME!$A$1:$E$31,3,FALSE),$C39),Tableau3[[Référence]:[FORMATION]],42,FALSE))*60+MINUTE(VLOOKUP(CONCATENATE(VLOOKUP($A$3,XTIME!$A$1:$E$31,3,FALSE),$C39),Tableau3[[Référence]:[FORMATION]],42,FALSE)))/60)=TRUE,"",((HOUR(VLOOKUP(CONCATENATE(VLOOKUP($A$3,XTIME!$A$1:$E$31,3,FALSE),$C39),Tableau3[[Référence]:[FORMATION]],42,FALSE))*60+MINUTE(VLOOKUP(CONCATENATE(VLOOKUP($A$3,XTIME!$A$1:$E$31,3,FALSE),$C39),Tableau3[[Référence]:[FORMATION]],42,FALSE)))/60))</f>
        <v/>
      </c>
      <c r="H39" s="37" t="str">
        <f>IF(ISNA(VLOOKUP(CONCATENATE(VLOOKUP($A$3,XTIME!$A$1:$E$31,3,FALSE),$C39),Tableau3[[Référence]:[FORMATION]],7,FALSE))=TRUE,"",VLOOKUP(CONCATENATE(VLOOKUP($A$3,XTIME!$A$1:$E$31,3,FALSE),$C39),Tableau3[[Référence]:[FORMATION]],7,FALSE))</f>
        <v/>
      </c>
      <c r="I39" s="36" t="str">
        <f>IFERROR((HOUR(IF(C39="","",MIN(IF((VLOOKUP(CONCATENATE(VLOOKUP($A$3,XTIME!$A$1:$E$31,3,FALSE),C39),'Fiche Horaire'!A:AR,12,FALSE)+VLOOKUP(CONCATENATE(VLOOKUP($A$3,XTIME!$A$1:$E$31,3,FALSE),C39),'Fiche Horaire'!A:AR,33,FALSE))&gt;Feuil2!$C$2,VLOOKUP(CONCATENATE(VLOOKUP($A$3,XTIME!$A$1:$E$31,3,FALSE),C39),'Fiche Horaire'!A:AR,33,FALSE)+VLOOKUP(CONCATENATE(VLOOKUP($A$3,XTIME!$A$1:$E$31,3,FALSE),C39),'Fiche Horaire'!A:AR,12,FALSE)-Feuil2!$C$2,"X"),Feuil2!$C$3)))*60+MINUTE(IF(C39="","",MIN(IF((VLOOKUP(CONCATENATE(VLOOKUP($A$3,XTIME!$A$1:$E$31,3,FALSE),C39),'Fiche Horaire'!A:AR,12,FALSE)+VLOOKUP(CONCATENATE(VLOOKUP($A$3,XTIME!$A$1:$E$31,3,FALSE),C39),'Fiche Horaire'!A:AR,33,FALSE))&gt;Feuil2!$C$2,VLOOKUP(CONCATENATE(VLOOKUP($A$3,XTIME!$A$1:$E$31,3,FALSE),C39),'Fiche Horaire'!A:AR,33,FALSE)+VLOOKUP(CONCATENATE(VLOOKUP($A$3,XTIME!$A$1:$E$31,3,FALSE),C39),'Fiche Horaire'!A:AR,12,FALSE)-Feuil2!$C$2,"X"),Feuil2!$C$3))))/60,"")</f>
        <v/>
      </c>
      <c r="J39" s="94" t="str">
        <f>IFERROR((HOUR(IF(C39="","",IF(VLOOKUP(CONCATENATE(VLOOKUP($A$3,XTIME!$A$1:$E$31,3,FALSE),C39),'Fiche Horaire'!A:AR,12,FALSE)="","",IF((VLOOKUP(CONCATENATE(VLOOKUP($A$3,XTIME!$A$1:$E$31,3,FALSE),C39),'Fiche Horaire'!A:AR,12,FALSE))&lt;Feuil2!$D$2,Feuil2!$D$2-VLOOKUP(CONCATENATE(VLOOKUP($A$3,XTIME!$A$1:$E$31,3,FALSE),C39),'Fiche Horaire'!A:AR,12,FALSE),IF((VLOOKUP(CONCATENATE(VLOOKUP($A$3,XTIME!$A$1:$E$31,3,FALSE),C39),'Fiche Horaire'!A:AR,12,FALSE)+VLOOKUP(CONCATENATE(VLOOKUP($A$3,XTIME!$A$1:$E$31,3,FALSE),C39),'Fiche Horaire'!A:AR,33,FALSE))&gt;Feuil2!$D$3,VLOOKUP(CONCATENATE(VLOOKUP($A$3,XTIME!$A$1:$E$31,3,FALSE),C39),'Fiche Horaire'!A:AR,33,FALSE)+VLOOKUP(CONCATENATE(VLOOKUP($A$3,XTIME!$A$1:$E$31,3,FALSE),C39),'Fiche Horaire'!A:AR,12,FALSE)-Feuil2!$D$3,"")))))*60+MINUTE(IF(C39="","",IF(VLOOKUP(CONCATENATE(VLOOKUP($A$3,XTIME!$A$1:$E$31,3,FALSE),C39),'Fiche Horaire'!A:AR,12,FALSE)="","",IF((VLOOKUP(CONCATENATE(VLOOKUP($A$3,XTIME!$A$1:$E$31,3,FALSE),C39),'Fiche Horaire'!A:AR,12,FALSE))&lt;Feuil2!$D$2,Feuil2!$D$2-VLOOKUP(CONCATENATE(VLOOKUP($A$3,XTIME!$A$1:$E$31,3,FALSE),C39),'Fiche Horaire'!A:AR,12,FALSE),IF((VLOOKUP(CONCATENATE(VLOOKUP($A$3,XTIME!$A$1:$E$31,3,FALSE),C39),'Fiche Horaire'!A:AR,12,FALSE)+VLOOKUP(CONCATENATE(VLOOKUP($A$3,XTIME!$A$1:$E$31,3,FALSE),C39),'Fiche Horaire'!A:AR,33,FALSE))&gt;Feuil2!$D$3,VLOOKUP(CONCATENATE(VLOOKUP($A$3,XTIME!$A$1:$E$31,3,FALSE),C39),'Fiche Horaire'!A:AR,33,FALSE)+VLOOKUP(CONCATENATE(VLOOKUP($A$3,XTIME!$A$1:$E$31,3,FALSE),C39),'Fiche Horaire'!A:AR,12,FALSE)-Feuil2!$D$3,""))))))/60,"")</f>
        <v/>
      </c>
      <c r="L39" s="83" t="s">
        <v>86</v>
      </c>
      <c r="M39" s="82">
        <f>MIN(IF(M35=0,0,IF(M35&gt;=37,M35-37,IF(M35&lt;=35,M35-35,0))),5)</f>
        <v>0</v>
      </c>
    </row>
    <row r="40" spans="2:13" ht="25" customHeight="1" thickTop="1" thickBot="1">
      <c r="B40" s="123"/>
      <c r="C40" s="14" t="s">
        <v>9</v>
      </c>
      <c r="D40" s="15">
        <f>SUM(D34:D39)</f>
        <v>0</v>
      </c>
      <c r="E40" s="16">
        <f t="shared" ref="E40" si="11">SUM(E34:E39)</f>
        <v>0</v>
      </c>
      <c r="F40" s="16">
        <f>SUM(F34:F39)</f>
        <v>0</v>
      </c>
      <c r="G40" s="16">
        <f>SUM(G34:G39)</f>
        <v>0</v>
      </c>
      <c r="H40" s="23">
        <f>IF(COUNTIF(H34:H39,0)&gt;0,0,IF(COUNTBLANK(H34:H39)=6,0,(6-COUNTBLANK(H34:H39)-COUNTIF(H34:H39,"REPOS"))*$K32/5))</f>
        <v>0</v>
      </c>
      <c r="I40" s="15">
        <f>SUM(I34:I39)</f>
        <v>0</v>
      </c>
      <c r="J40" s="17">
        <f>SUM(J34:J39)</f>
        <v>0</v>
      </c>
      <c r="L40" s="43" t="s">
        <v>10</v>
      </c>
      <c r="M40" s="34">
        <f>IF(M35&lt;42,M35-$K$4,7)</f>
        <v>-43</v>
      </c>
    </row>
    <row r="41" spans="2:13" s="3" customFormat="1" ht="25" customHeight="1" thickBot="1">
      <c r="B41" s="121" t="e">
        <f t="shared" ref="B41" si="12">CONCATENATE("SEMAINE"," ",WEEKNUM(C41))</f>
        <v>#VALUE!</v>
      </c>
      <c r="C41" s="72" t="str">
        <f>IFERROR(IF(DAY(C39+2)&lt;DAY(C39),"",C39+2),"")</f>
        <v/>
      </c>
      <c r="D41" s="66" t="str">
        <f>IF(ISNA((HOUR(VLOOKUP(CONCATENATE(VLOOKUP($A$3,XTIME!$A$1:$E$31,3,FALSE),$C41),Tableau3[[Référence]:[FORMATION]],34,FALSE))*60+MINUTE(VLOOKUP(CONCATENATE(VLOOKUP($A$3,XTIME!$A$1:$E$31,3,FALSE),$C41),Tableau3[[Référence]:[FORMATION]],34,FALSE)))/60)=TRUE,"",((HOUR(VLOOKUP(CONCATENATE(VLOOKUP($A$3,XTIME!$A$1:$E$31,3,FALSE),$C41),Tableau3[[Référence]:[FORMATION]],34,FALSE))*60+MINUTE(VLOOKUP(CONCATENATE(VLOOKUP($A$3,XTIME!$A$1:$E$31,3,FALSE),$C41),Tableau3[[Référence]:[FORMATION]],34,FALSE)))/60))</f>
        <v/>
      </c>
      <c r="E41" s="69" t="str">
        <f>IF(ISNA((HOUR(VLOOKUP(CONCATENATE(VLOOKUP($A$3,XTIME!$A$1:$E$31,3,FALSE),$C41),Tableau3[[Référence]:[FORMATION]],40,FALSE))*60+MINUTE(VLOOKUP(CONCATENATE(VLOOKUP($A$3,XTIME!$A$1:$E$31,3,FALSE),$C41),Tableau3[[Référence]:[FORMATION]],40,FALSE)))/60)=TRUE,"",((HOUR(VLOOKUP(CONCATENATE(VLOOKUP($A$3,XTIME!$A$1:$E$31,3,FALSE),$C41),Tableau3[[Référence]:[FORMATION]],40,FALSE))*60+MINUTE(VLOOKUP(CONCATENATE(VLOOKUP($A$3,XTIME!$A$1:$E$31,3,FALSE),$C41),Tableau3[[Référence]:[FORMATION]],40,FALSE)))/60))</f>
        <v/>
      </c>
      <c r="F41" s="69" t="str">
        <f>IF(ISNA((HOUR(VLOOKUP(CONCATENATE(VLOOKUP($A$3,XTIME!$A$1:$E$31,3,FALSE),$C41),Tableau3[[Référence]:[FORMATION]],41,FALSE))*60+MINUTE(VLOOKUP(CONCATENATE(VLOOKUP($A$3,XTIME!$A$1:$E$31,3,FALSE),$C41),Tableau3[[Référence]:[FORMATION]],41,FALSE)))/60)=TRUE,"",((HOUR(VLOOKUP(CONCATENATE(VLOOKUP($A$3,XTIME!$A$1:$E$31,3,FALSE),$C41),Tableau3[[Référence]:[FORMATION]],41,FALSE))*60+MINUTE(VLOOKUP(CONCATENATE(VLOOKUP($A$3,XTIME!$A$1:$E$31,3,FALSE),$C41),Tableau3[[Référence]:[FORMATION]],41,FALSE)))/60))</f>
        <v/>
      </c>
      <c r="G41" s="39" t="str">
        <f>IF(ISNA((HOUR(VLOOKUP(CONCATENATE(VLOOKUP($A$3,XTIME!$A$1:$E$31,3,FALSE),$C41),Tableau3[[Référence]:[FORMATION]],42,FALSE))*60+MINUTE(VLOOKUP(CONCATENATE(VLOOKUP($A$3,XTIME!$A$1:$E$31,3,FALSE),$C41),Tableau3[[Référence]:[FORMATION]],42,FALSE)))/60)=TRUE,"",((HOUR(VLOOKUP(CONCATENATE(VLOOKUP($A$3,XTIME!$A$1:$E$31,3,FALSE),$C41),Tableau3[[Référence]:[FORMATION]],42,FALSE))*60+MINUTE(VLOOKUP(CONCATENATE(VLOOKUP($A$3,XTIME!$A$1:$E$31,3,FALSE),$C41),Tableau3[[Référence]:[FORMATION]],42,FALSE)))/60))</f>
        <v/>
      </c>
      <c r="H41" s="5" t="str">
        <f>IF(ISNA(VLOOKUP(CONCATENATE(VLOOKUP($A$3,XTIME!$A$1:$E$31,3,FALSE),$C41),Tableau3[[Référence]:[FORMATION]],7,FALSE))=TRUE,"",VLOOKUP(CONCATENATE(VLOOKUP($A$3,XTIME!$A$1:$E$31,3,FALSE),$C41),Tableau3[[Référence]:[FORMATION]],7,FALSE))</f>
        <v/>
      </c>
      <c r="I41" s="38" t="str">
        <f>IFERROR((HOUR(IF(C41="","",MIN(IF((VLOOKUP(CONCATENATE(VLOOKUP($A$3,XTIME!$A$1:$E$31,3,FALSE),C41),'Fiche Horaire'!A:AR,12,FALSE)+VLOOKUP(CONCATENATE(VLOOKUP($A$3,XTIME!$A$1:$E$31,3,FALSE),C41),'Fiche Horaire'!A:AR,33,FALSE))&gt;Feuil2!$C$2,VLOOKUP(CONCATENATE(VLOOKUP($A$3,XTIME!$A$1:$E$31,3,FALSE),C41),'Fiche Horaire'!A:AR,33,FALSE)+VLOOKUP(CONCATENATE(VLOOKUP($A$3,XTIME!$A$1:$E$31,3,FALSE),C41),'Fiche Horaire'!A:AR,12,FALSE)-Feuil2!$C$2,"X"),Feuil2!$C$3)))*60+MINUTE(IF(C41="","",MIN(IF((VLOOKUP(CONCATENATE(VLOOKUP($A$3,XTIME!$A$1:$E$31,3,FALSE),C41),'Fiche Horaire'!A:AR,12,FALSE)+VLOOKUP(CONCATENATE(VLOOKUP($A$3,XTIME!$A$1:$E$31,3,FALSE),C41),'Fiche Horaire'!A:AR,33,FALSE))&gt;Feuil2!$C$2,VLOOKUP(CONCATENATE(VLOOKUP($A$3,XTIME!$A$1:$E$31,3,FALSE),C41),'Fiche Horaire'!A:AR,33,FALSE)+VLOOKUP(CONCATENATE(VLOOKUP($A$3,XTIME!$A$1:$E$31,3,FALSE),C41),'Fiche Horaire'!A:AR,12,FALSE)-Feuil2!$C$2,"X"),Feuil2!$C$3))))/60,"")</f>
        <v/>
      </c>
      <c r="J41" s="92" t="str">
        <f>IFERROR((HOUR(IF(C41="","",IF(VLOOKUP(CONCATENATE(VLOOKUP($A$3,XTIME!$A$1:$E$31,3,FALSE),C41),'Fiche Horaire'!A:AR,12,FALSE)="","",IF((VLOOKUP(CONCATENATE(VLOOKUP($A$3,XTIME!$A$1:$E$31,3,FALSE),C41),'Fiche Horaire'!A:AR,12,FALSE))&lt;Feuil2!$D$2,Feuil2!$D$2-VLOOKUP(CONCATENATE(VLOOKUP($A$3,XTIME!$A$1:$E$31,3,FALSE),C41),'Fiche Horaire'!A:AR,12,FALSE),IF((VLOOKUP(CONCATENATE(VLOOKUP($A$3,XTIME!$A$1:$E$31,3,FALSE),C41),'Fiche Horaire'!A:AR,12,FALSE)+VLOOKUP(CONCATENATE(VLOOKUP($A$3,XTIME!$A$1:$E$31,3,FALSE),C41),'Fiche Horaire'!A:AR,33,FALSE))&gt;Feuil2!$D$3,VLOOKUP(CONCATENATE(VLOOKUP($A$3,XTIME!$A$1:$E$31,3,FALSE),C41),'Fiche Horaire'!A:AR,33,FALSE)+VLOOKUP(CONCATENATE(VLOOKUP($A$3,XTIME!$A$1:$E$31,3,FALSE),C41),'Fiche Horaire'!A:AR,12,FALSE)-Feuil2!$D$3,"")))))*60+MINUTE(IF(C41="","",IF(VLOOKUP(CONCATENATE(VLOOKUP($A$3,XTIME!$A$1:$E$31,3,FALSE),C41),'Fiche Horaire'!A:AR,12,FALSE)="","",IF((VLOOKUP(CONCATENATE(VLOOKUP($A$3,XTIME!$A$1:$E$31,3,FALSE),C41),'Fiche Horaire'!A:AR,12,FALSE))&lt;Feuil2!$D$2,Feuil2!$D$2-VLOOKUP(CONCATENATE(VLOOKUP($A$3,XTIME!$A$1:$E$31,3,FALSE),C41),'Fiche Horaire'!A:AR,12,FALSE),IF((VLOOKUP(CONCATENATE(VLOOKUP($A$3,XTIME!$A$1:$E$31,3,FALSE),C41),'Fiche Horaire'!A:AR,12,FALSE)+VLOOKUP(CONCATENATE(VLOOKUP($A$3,XTIME!$A$1:$E$31,3,FALSE),C41),'Fiche Horaire'!A:AR,33,FALSE))&gt;Feuil2!$D$3,VLOOKUP(CONCATENATE(VLOOKUP($A$3,XTIME!$A$1:$E$31,3,FALSE),C41),'Fiche Horaire'!A:AR,33,FALSE)+VLOOKUP(CONCATENATE(VLOOKUP($A$3,XTIME!$A$1:$E$31,3,FALSE),C41),'Fiche Horaire'!A:AR,12,FALSE)-Feuil2!$D$3,""))))))/60,"")</f>
        <v/>
      </c>
      <c r="L41" s="112" t="e">
        <f>B41</f>
        <v>#VALUE!</v>
      </c>
      <c r="M41" s="113"/>
    </row>
    <row r="42" spans="2:13" s="3" customFormat="1" ht="25" customHeight="1">
      <c r="B42" s="122"/>
      <c r="C42" s="73" t="str">
        <f>IFERROR(IF(DAY(C41+1)&lt;DAY(C41),"",C41+1),"")</f>
        <v/>
      </c>
      <c r="D42" s="67" t="str">
        <f>IF(ISNA((HOUR(VLOOKUP(CONCATENATE(VLOOKUP($A$3,XTIME!$A$1:$E$31,3,FALSE),$C42),Tableau3[[Référence]:[FORMATION]],34,FALSE))*60+MINUTE(VLOOKUP(CONCATENATE(VLOOKUP($A$3,XTIME!$A$1:$E$31,3,FALSE),$C42),Tableau3[[Référence]:[FORMATION]],34,FALSE)))/60)=TRUE,"",((HOUR(VLOOKUP(CONCATENATE(VLOOKUP($A$3,XTIME!$A$1:$E$31,3,FALSE),$C42),Tableau3[[Référence]:[FORMATION]],34,FALSE))*60+MINUTE(VLOOKUP(CONCATENATE(VLOOKUP($A$3,XTIME!$A$1:$E$31,3,FALSE),$C42),Tableau3[[Référence]:[FORMATION]],34,FALSE)))/60))</f>
        <v/>
      </c>
      <c r="E42" s="70" t="str">
        <f>IF(ISNA((HOUR(VLOOKUP(CONCATENATE(VLOOKUP($A$3,XTIME!$A$1:$E$31,3,FALSE),$C42),Tableau3[[Référence]:[FORMATION]],40,FALSE))*60+MINUTE(VLOOKUP(CONCATENATE(VLOOKUP($A$3,XTIME!$A$1:$E$31,3,FALSE),$C42),Tableau3[[Référence]:[FORMATION]],40,FALSE)))/60)=TRUE,"",((HOUR(VLOOKUP(CONCATENATE(VLOOKUP($A$3,XTIME!$A$1:$E$31,3,FALSE),$C42),Tableau3[[Référence]:[FORMATION]],40,FALSE))*60+MINUTE(VLOOKUP(CONCATENATE(VLOOKUP($A$3,XTIME!$A$1:$E$31,3,FALSE),$C42),Tableau3[[Référence]:[FORMATION]],40,FALSE)))/60))</f>
        <v/>
      </c>
      <c r="F42" s="70" t="str">
        <f>IF(ISNA((HOUR(VLOOKUP(CONCATENATE(VLOOKUP($A$3,XTIME!$A$1:$E$31,3,FALSE),$C42),Tableau3[[Référence]:[FORMATION]],41,FALSE))*60+MINUTE(VLOOKUP(CONCATENATE(VLOOKUP($A$3,XTIME!$A$1:$E$31,3,FALSE),$C42),Tableau3[[Référence]:[FORMATION]],41,FALSE)))/60)=TRUE,"",((HOUR(VLOOKUP(CONCATENATE(VLOOKUP($A$3,XTIME!$A$1:$E$31,3,FALSE),$C42),Tableau3[[Référence]:[FORMATION]],41,FALSE))*60+MINUTE(VLOOKUP(CONCATENATE(VLOOKUP($A$3,XTIME!$A$1:$E$31,3,FALSE),$C42),Tableau3[[Référence]:[FORMATION]],41,FALSE)))/60))</f>
        <v/>
      </c>
      <c r="G42" s="40" t="str">
        <f>IF(ISNA((HOUR(VLOOKUP(CONCATENATE(VLOOKUP($A$3,XTIME!$A$1:$E$31,3,FALSE),$C42),Tableau3[[Référence]:[FORMATION]],42,FALSE))*60+MINUTE(VLOOKUP(CONCATENATE(VLOOKUP($A$3,XTIME!$A$1:$E$31,3,FALSE),$C42),Tableau3[[Référence]:[FORMATION]],42,FALSE)))/60)=TRUE,"",((HOUR(VLOOKUP(CONCATENATE(VLOOKUP($A$3,XTIME!$A$1:$E$31,3,FALSE),$C42),Tableau3[[Référence]:[FORMATION]],42,FALSE))*60+MINUTE(VLOOKUP(CONCATENATE(VLOOKUP($A$3,XTIME!$A$1:$E$31,3,FALSE),$C42),Tableau3[[Référence]:[FORMATION]],42,FALSE)))/60))</f>
        <v/>
      </c>
      <c r="H42" s="6" t="str">
        <f>IF(ISNA(VLOOKUP(CONCATENATE(VLOOKUP($A$3,XTIME!$A$1:$E$31,3,FALSE),$C42),Tableau3[[Référence]:[FORMATION]],7,FALSE))=TRUE,"",VLOOKUP(CONCATENATE(VLOOKUP($A$3,XTIME!$A$1:$E$31,3,FALSE),$C42),Tableau3[[Référence]:[FORMATION]],7,FALSE))</f>
        <v/>
      </c>
      <c r="I42" s="41" t="str">
        <f>IFERROR((HOUR(IF(C42="","",MIN(IF((VLOOKUP(CONCATENATE(VLOOKUP($A$3,XTIME!$A$1:$E$31,3,FALSE),C42),'Fiche Horaire'!A:AR,12,FALSE)+VLOOKUP(CONCATENATE(VLOOKUP($A$3,XTIME!$A$1:$E$31,3,FALSE),C42),'Fiche Horaire'!A:AR,33,FALSE))&gt;Feuil2!$C$2,VLOOKUP(CONCATENATE(VLOOKUP($A$3,XTIME!$A$1:$E$31,3,FALSE),C42),'Fiche Horaire'!A:AR,33,FALSE)+VLOOKUP(CONCATENATE(VLOOKUP($A$3,XTIME!$A$1:$E$31,3,FALSE),C42),'Fiche Horaire'!A:AR,12,FALSE)-Feuil2!$C$2,"X"),Feuil2!$C$3)))*60+MINUTE(IF(C42="","",MIN(IF((VLOOKUP(CONCATENATE(VLOOKUP($A$3,XTIME!$A$1:$E$31,3,FALSE),C42),'Fiche Horaire'!A:AR,12,FALSE)+VLOOKUP(CONCATENATE(VLOOKUP($A$3,XTIME!$A$1:$E$31,3,FALSE),C42),'Fiche Horaire'!A:AR,33,FALSE))&gt;Feuil2!$C$2,VLOOKUP(CONCATENATE(VLOOKUP($A$3,XTIME!$A$1:$E$31,3,FALSE),C42),'Fiche Horaire'!A:AR,33,FALSE)+VLOOKUP(CONCATENATE(VLOOKUP($A$3,XTIME!$A$1:$E$31,3,FALSE),C42),'Fiche Horaire'!A:AR,12,FALSE)-Feuil2!$C$2,"X"),Feuil2!$C$3))))/60,"")</f>
        <v/>
      </c>
      <c r="J42" s="93" t="str">
        <f>IFERROR((HOUR(IF(C42="","",IF(VLOOKUP(CONCATENATE(VLOOKUP($A$3,XTIME!$A$1:$E$31,3,FALSE),C42),'Fiche Horaire'!A:AR,12,FALSE)="","",IF((VLOOKUP(CONCATENATE(VLOOKUP($A$3,XTIME!$A$1:$E$31,3,FALSE),C42),'Fiche Horaire'!A:AR,12,FALSE))&lt;Feuil2!$D$2,Feuil2!$D$2-VLOOKUP(CONCATENATE(VLOOKUP($A$3,XTIME!$A$1:$E$31,3,FALSE),C42),'Fiche Horaire'!A:AR,12,FALSE),IF((VLOOKUP(CONCATENATE(VLOOKUP($A$3,XTIME!$A$1:$E$31,3,FALSE),C42),'Fiche Horaire'!A:AR,12,FALSE)+VLOOKUP(CONCATENATE(VLOOKUP($A$3,XTIME!$A$1:$E$31,3,FALSE),C42),'Fiche Horaire'!A:AR,33,FALSE))&gt;Feuil2!$D$3,VLOOKUP(CONCATENATE(VLOOKUP($A$3,XTIME!$A$1:$E$31,3,FALSE),C42),'Fiche Horaire'!A:AR,33,FALSE)+VLOOKUP(CONCATENATE(VLOOKUP($A$3,XTIME!$A$1:$E$31,3,FALSE),C42),'Fiche Horaire'!A:AR,12,FALSE)-Feuil2!$D$3,"")))))*60+MINUTE(IF(C42="","",IF(VLOOKUP(CONCATENATE(VLOOKUP($A$3,XTIME!$A$1:$E$31,3,FALSE),C42),'Fiche Horaire'!A:AR,12,FALSE)="","",IF((VLOOKUP(CONCATENATE(VLOOKUP($A$3,XTIME!$A$1:$E$31,3,FALSE),C42),'Fiche Horaire'!A:AR,12,FALSE))&lt;Feuil2!$D$2,Feuil2!$D$2-VLOOKUP(CONCATENATE(VLOOKUP($A$3,XTIME!$A$1:$E$31,3,FALSE),C42),'Fiche Horaire'!A:AR,12,FALSE),IF((VLOOKUP(CONCATENATE(VLOOKUP($A$3,XTIME!$A$1:$E$31,3,FALSE),C42),'Fiche Horaire'!A:AR,12,FALSE)+VLOOKUP(CONCATENATE(VLOOKUP($A$3,XTIME!$A$1:$E$31,3,FALSE),C42),'Fiche Horaire'!A:AR,33,FALSE))&gt;Feuil2!$D$3,VLOOKUP(CONCATENATE(VLOOKUP($A$3,XTIME!$A$1:$E$31,3,FALSE),C42),'Fiche Horaire'!A:AR,33,FALSE)+VLOOKUP(CONCATENATE(VLOOKUP($A$3,XTIME!$A$1:$E$31,3,FALSE),C42),'Fiche Horaire'!A:AR,12,FALSE)-Feuil2!$D$3,""))))))/60,"")</f>
        <v/>
      </c>
      <c r="L42" s="31" t="s">
        <v>2</v>
      </c>
      <c r="M42" s="35">
        <f>D47+E47+G47+H47+F47</f>
        <v>0</v>
      </c>
    </row>
    <row r="43" spans="2:13" s="3" customFormat="1" ht="25" customHeight="1">
      <c r="B43" s="122"/>
      <c r="C43" s="73" t="str">
        <f t="shared" ref="C43:C46" si="13">IFERROR(IF(DAY(C42+1)&lt;DAY(C42),"",C42+1),"")</f>
        <v/>
      </c>
      <c r="D43" s="67" t="str">
        <f>IF(ISNA((HOUR(VLOOKUP(CONCATENATE(VLOOKUP($A$3,XTIME!$A$1:$E$31,3,FALSE),$C43),Tableau3[[Référence]:[FORMATION]],34,FALSE))*60+MINUTE(VLOOKUP(CONCATENATE(VLOOKUP($A$3,XTIME!$A$1:$E$31,3,FALSE),$C43),Tableau3[[Référence]:[FORMATION]],34,FALSE)))/60)=TRUE,"",((HOUR(VLOOKUP(CONCATENATE(VLOOKUP($A$3,XTIME!$A$1:$E$31,3,FALSE),$C43),Tableau3[[Référence]:[FORMATION]],34,FALSE))*60+MINUTE(VLOOKUP(CONCATENATE(VLOOKUP($A$3,XTIME!$A$1:$E$31,3,FALSE),$C43),Tableau3[[Référence]:[FORMATION]],34,FALSE)))/60))</f>
        <v/>
      </c>
      <c r="E43" s="70" t="str">
        <f>IF(ISNA((HOUR(VLOOKUP(CONCATENATE(VLOOKUP($A$3,XTIME!$A$1:$E$31,3,FALSE),$C43),Tableau3[[Référence]:[FORMATION]],40,FALSE))*60+MINUTE(VLOOKUP(CONCATENATE(VLOOKUP($A$3,XTIME!$A$1:$E$31,3,FALSE),$C43),Tableau3[[Référence]:[FORMATION]],40,FALSE)))/60)=TRUE,"",((HOUR(VLOOKUP(CONCATENATE(VLOOKUP($A$3,XTIME!$A$1:$E$31,3,FALSE),$C43),Tableau3[[Référence]:[FORMATION]],40,FALSE))*60+MINUTE(VLOOKUP(CONCATENATE(VLOOKUP($A$3,XTIME!$A$1:$E$31,3,FALSE),$C43),Tableau3[[Référence]:[FORMATION]],40,FALSE)))/60))</f>
        <v/>
      </c>
      <c r="F43" s="70" t="str">
        <f>IF(ISNA((HOUR(VLOOKUP(CONCATENATE(VLOOKUP($A$3,XTIME!$A$1:$E$31,3,FALSE),$C43),Tableau3[[Référence]:[FORMATION]],41,FALSE))*60+MINUTE(VLOOKUP(CONCATENATE(VLOOKUP($A$3,XTIME!$A$1:$E$31,3,FALSE),$C43),Tableau3[[Référence]:[FORMATION]],41,FALSE)))/60)=TRUE,"",((HOUR(VLOOKUP(CONCATENATE(VLOOKUP($A$3,XTIME!$A$1:$E$31,3,FALSE),$C43),Tableau3[[Référence]:[FORMATION]],41,FALSE))*60+MINUTE(VLOOKUP(CONCATENATE(VLOOKUP($A$3,XTIME!$A$1:$E$31,3,FALSE),$C43),Tableau3[[Référence]:[FORMATION]],41,FALSE)))/60))</f>
        <v/>
      </c>
      <c r="G43" s="40" t="str">
        <f>IF(ISNA((HOUR(VLOOKUP(CONCATENATE(VLOOKUP($A$3,XTIME!$A$1:$E$31,3,FALSE),$C43),Tableau3[[Référence]:[FORMATION]],42,FALSE))*60+MINUTE(VLOOKUP(CONCATENATE(VLOOKUP($A$3,XTIME!$A$1:$E$31,3,FALSE),$C43),Tableau3[[Référence]:[FORMATION]],42,FALSE)))/60)=TRUE,"",((HOUR(VLOOKUP(CONCATENATE(VLOOKUP($A$3,XTIME!$A$1:$E$31,3,FALSE),$C43),Tableau3[[Référence]:[FORMATION]],42,FALSE))*60+MINUTE(VLOOKUP(CONCATENATE(VLOOKUP($A$3,XTIME!$A$1:$E$31,3,FALSE),$C43),Tableau3[[Référence]:[FORMATION]],42,FALSE)))/60))</f>
        <v/>
      </c>
      <c r="H43" s="6" t="str">
        <f>IF(ISNA(VLOOKUP(CONCATENATE(VLOOKUP($A$3,XTIME!$A$1:$E$31,3,FALSE),$C43),Tableau3[[Référence]:[FORMATION]],7,FALSE))=TRUE,"",VLOOKUP(CONCATENATE(VLOOKUP($A$3,XTIME!$A$1:$E$31,3,FALSE),$C43),Tableau3[[Référence]:[FORMATION]],7,FALSE))</f>
        <v/>
      </c>
      <c r="I43" s="41" t="str">
        <f>IFERROR((HOUR(IF(C43="","",MIN(IF((VLOOKUP(CONCATENATE(VLOOKUP($A$3,XTIME!$A$1:$E$31,3,FALSE),C43),'Fiche Horaire'!A:AR,12,FALSE)+VLOOKUP(CONCATENATE(VLOOKUP($A$3,XTIME!$A$1:$E$31,3,FALSE),C43),'Fiche Horaire'!A:AR,33,FALSE))&gt;Feuil2!$C$2,VLOOKUP(CONCATENATE(VLOOKUP($A$3,XTIME!$A$1:$E$31,3,FALSE),C43),'Fiche Horaire'!A:AR,33,FALSE)+VLOOKUP(CONCATENATE(VLOOKUP($A$3,XTIME!$A$1:$E$31,3,FALSE),C43),'Fiche Horaire'!A:AR,12,FALSE)-Feuil2!$C$2,"X"),Feuil2!$C$3)))*60+MINUTE(IF(C43="","",MIN(IF((VLOOKUP(CONCATENATE(VLOOKUP($A$3,XTIME!$A$1:$E$31,3,FALSE),C43),'Fiche Horaire'!A:AR,12,FALSE)+VLOOKUP(CONCATENATE(VLOOKUP($A$3,XTIME!$A$1:$E$31,3,FALSE),C43),'Fiche Horaire'!A:AR,33,FALSE))&gt;Feuil2!$C$2,VLOOKUP(CONCATENATE(VLOOKUP($A$3,XTIME!$A$1:$E$31,3,FALSE),C43),'Fiche Horaire'!A:AR,33,FALSE)+VLOOKUP(CONCATENATE(VLOOKUP($A$3,XTIME!$A$1:$E$31,3,FALSE),C43),'Fiche Horaire'!A:AR,12,FALSE)-Feuil2!$C$2,"X"),Feuil2!$C$3))))/60,"")</f>
        <v/>
      </c>
      <c r="J43" s="93" t="str">
        <f>IFERROR((HOUR(IF(C43="","",IF(VLOOKUP(CONCATENATE(VLOOKUP($A$3,XTIME!$A$1:$E$31,3,FALSE),C43),'Fiche Horaire'!A:AR,12,FALSE)="","",IF((VLOOKUP(CONCATENATE(VLOOKUP($A$3,XTIME!$A$1:$E$31,3,FALSE),C43),'Fiche Horaire'!A:AR,12,FALSE))&lt;Feuil2!$D$2,Feuil2!$D$2-VLOOKUP(CONCATENATE(VLOOKUP($A$3,XTIME!$A$1:$E$31,3,FALSE),C43),'Fiche Horaire'!A:AR,12,FALSE),IF((VLOOKUP(CONCATENATE(VLOOKUP($A$3,XTIME!$A$1:$E$31,3,FALSE),C43),'Fiche Horaire'!A:AR,12,FALSE)+VLOOKUP(CONCATENATE(VLOOKUP($A$3,XTIME!$A$1:$E$31,3,FALSE),C43),'Fiche Horaire'!A:AR,33,FALSE))&gt;Feuil2!$D$3,VLOOKUP(CONCATENATE(VLOOKUP($A$3,XTIME!$A$1:$E$31,3,FALSE),C43),'Fiche Horaire'!A:AR,33,FALSE)+VLOOKUP(CONCATENATE(VLOOKUP($A$3,XTIME!$A$1:$E$31,3,FALSE),C43),'Fiche Horaire'!A:AR,12,FALSE)-Feuil2!$D$3,"")))))*60+MINUTE(IF(C43="","",IF(VLOOKUP(CONCATENATE(VLOOKUP($A$3,XTIME!$A$1:$E$31,3,FALSE),C43),'Fiche Horaire'!A:AR,12,FALSE)="","",IF((VLOOKUP(CONCATENATE(VLOOKUP($A$3,XTIME!$A$1:$E$31,3,FALSE),C43),'Fiche Horaire'!A:AR,12,FALSE))&lt;Feuil2!$D$2,Feuil2!$D$2-VLOOKUP(CONCATENATE(VLOOKUP($A$3,XTIME!$A$1:$E$31,3,FALSE),C43),'Fiche Horaire'!A:AR,12,FALSE),IF((VLOOKUP(CONCATENATE(VLOOKUP($A$3,XTIME!$A$1:$E$31,3,FALSE),C43),'Fiche Horaire'!A:AR,12,FALSE)+VLOOKUP(CONCATENATE(VLOOKUP($A$3,XTIME!$A$1:$E$31,3,FALSE),C43),'Fiche Horaire'!A:AR,33,FALSE))&gt;Feuil2!$D$3,VLOOKUP(CONCATENATE(VLOOKUP($A$3,XTIME!$A$1:$E$31,3,FALSE),C43),'Fiche Horaire'!A:AR,33,FALSE)+VLOOKUP(CONCATENATE(VLOOKUP($A$3,XTIME!$A$1:$E$31,3,FALSE),C43),'Fiche Horaire'!A:AR,12,FALSE)-Feuil2!$D$3,""))))))/60,"")</f>
        <v/>
      </c>
      <c r="L43" s="31" t="s">
        <v>85</v>
      </c>
      <c r="M43" s="35">
        <f>MIN(IF(M42=0,0,IF(M42&gt;=35,M42-35,0)),2)</f>
        <v>0</v>
      </c>
    </row>
    <row r="44" spans="2:13" s="3" customFormat="1" ht="25" customHeight="1">
      <c r="B44" s="122"/>
      <c r="C44" s="73" t="str">
        <f t="shared" si="13"/>
        <v/>
      </c>
      <c r="D44" s="67" t="str">
        <f>IF(ISNA((HOUR(VLOOKUP(CONCATENATE(VLOOKUP($A$3,XTIME!$A$1:$E$31,3,FALSE),$C44),Tableau3[[Référence]:[FORMATION]],34,FALSE))*60+MINUTE(VLOOKUP(CONCATENATE(VLOOKUP($A$3,XTIME!$A$1:$E$31,3,FALSE),$C44),Tableau3[[Référence]:[FORMATION]],34,FALSE)))/60)=TRUE,"",((HOUR(VLOOKUP(CONCATENATE(VLOOKUP($A$3,XTIME!$A$1:$E$31,3,FALSE),$C44),Tableau3[[Référence]:[FORMATION]],34,FALSE))*60+MINUTE(VLOOKUP(CONCATENATE(VLOOKUP($A$3,XTIME!$A$1:$E$31,3,FALSE),$C44),Tableau3[[Référence]:[FORMATION]],34,FALSE)))/60))</f>
        <v/>
      </c>
      <c r="E44" s="70" t="str">
        <f>IF(ISNA((HOUR(VLOOKUP(CONCATENATE(VLOOKUP($A$3,XTIME!$A$1:$E$31,3,FALSE),$C44),Tableau3[[Référence]:[FORMATION]],40,FALSE))*60+MINUTE(VLOOKUP(CONCATENATE(VLOOKUP($A$3,XTIME!$A$1:$E$31,3,FALSE),$C44),Tableau3[[Référence]:[FORMATION]],40,FALSE)))/60)=TRUE,"",((HOUR(VLOOKUP(CONCATENATE(VLOOKUP($A$3,XTIME!$A$1:$E$31,3,FALSE),$C44),Tableau3[[Référence]:[FORMATION]],40,FALSE))*60+MINUTE(VLOOKUP(CONCATENATE(VLOOKUP($A$3,XTIME!$A$1:$E$31,3,FALSE),$C44),Tableau3[[Référence]:[FORMATION]],40,FALSE)))/60))</f>
        <v/>
      </c>
      <c r="F44" s="70" t="str">
        <f>IF(ISNA((HOUR(VLOOKUP(CONCATENATE(VLOOKUP($A$3,XTIME!$A$1:$E$31,3,FALSE),$C44),Tableau3[[Référence]:[FORMATION]],41,FALSE))*60+MINUTE(VLOOKUP(CONCATENATE(VLOOKUP($A$3,XTIME!$A$1:$E$31,3,FALSE),$C44),Tableau3[[Référence]:[FORMATION]],41,FALSE)))/60)=TRUE,"",((HOUR(VLOOKUP(CONCATENATE(VLOOKUP($A$3,XTIME!$A$1:$E$31,3,FALSE),$C44),Tableau3[[Référence]:[FORMATION]],41,FALSE))*60+MINUTE(VLOOKUP(CONCATENATE(VLOOKUP($A$3,XTIME!$A$1:$E$31,3,FALSE),$C44),Tableau3[[Référence]:[FORMATION]],41,FALSE)))/60))</f>
        <v/>
      </c>
      <c r="G44" s="40" t="str">
        <f>IF(ISNA((HOUR(VLOOKUP(CONCATENATE(VLOOKUP($A$3,XTIME!$A$1:$E$31,3,FALSE),$C44),Tableau3[[Référence]:[FORMATION]],42,FALSE))*60+MINUTE(VLOOKUP(CONCATENATE(VLOOKUP($A$3,XTIME!$A$1:$E$31,3,FALSE),$C44),Tableau3[[Référence]:[FORMATION]],42,FALSE)))/60)=TRUE,"",((HOUR(VLOOKUP(CONCATENATE(VLOOKUP($A$3,XTIME!$A$1:$E$31,3,FALSE),$C44),Tableau3[[Référence]:[FORMATION]],42,FALSE))*60+MINUTE(VLOOKUP(CONCATENATE(VLOOKUP($A$3,XTIME!$A$1:$E$31,3,FALSE),$C44),Tableau3[[Référence]:[FORMATION]],42,FALSE)))/60))</f>
        <v/>
      </c>
      <c r="H44" s="6" t="str">
        <f>IF(ISNA(VLOOKUP(CONCATENATE(VLOOKUP($A$3,XTIME!$A$1:$E$31,3,FALSE),$C44),Tableau3[[Référence]:[FORMATION]],7,FALSE))=TRUE,"",VLOOKUP(CONCATENATE(VLOOKUP($A$3,XTIME!$A$1:$E$31,3,FALSE),$C44),Tableau3[[Référence]:[FORMATION]],7,FALSE))</f>
        <v/>
      </c>
      <c r="I44" s="41" t="str">
        <f>IFERROR((HOUR(IF(C44="","",MIN(IF((VLOOKUP(CONCATENATE(VLOOKUP($A$3,XTIME!$A$1:$E$31,3,FALSE),C44),'Fiche Horaire'!A:AR,12,FALSE)+VLOOKUP(CONCATENATE(VLOOKUP($A$3,XTIME!$A$1:$E$31,3,FALSE),C44),'Fiche Horaire'!A:AR,33,FALSE))&gt;Feuil2!$C$2,VLOOKUP(CONCATENATE(VLOOKUP($A$3,XTIME!$A$1:$E$31,3,FALSE),C44),'Fiche Horaire'!A:AR,33,FALSE)+VLOOKUP(CONCATENATE(VLOOKUP($A$3,XTIME!$A$1:$E$31,3,FALSE),C44),'Fiche Horaire'!A:AR,12,FALSE)-Feuil2!$C$2,"X"),Feuil2!$C$3)))*60+MINUTE(IF(C44="","",MIN(IF((VLOOKUP(CONCATENATE(VLOOKUP($A$3,XTIME!$A$1:$E$31,3,FALSE),C44),'Fiche Horaire'!A:AR,12,FALSE)+VLOOKUP(CONCATENATE(VLOOKUP($A$3,XTIME!$A$1:$E$31,3,FALSE),C44),'Fiche Horaire'!A:AR,33,FALSE))&gt;Feuil2!$C$2,VLOOKUP(CONCATENATE(VLOOKUP($A$3,XTIME!$A$1:$E$31,3,FALSE),C44),'Fiche Horaire'!A:AR,33,FALSE)+VLOOKUP(CONCATENATE(VLOOKUP($A$3,XTIME!$A$1:$E$31,3,FALSE),C44),'Fiche Horaire'!A:AR,12,FALSE)-Feuil2!$C$2,"X"),Feuil2!$C$3))))/60,"")</f>
        <v/>
      </c>
      <c r="J44" s="93" t="str">
        <f>IFERROR((HOUR(IF(C44="","",IF(VLOOKUP(CONCATENATE(VLOOKUP($A$3,XTIME!$A$1:$E$31,3,FALSE),C44),'Fiche Horaire'!A:AR,12,FALSE)="","",IF((VLOOKUP(CONCATENATE(VLOOKUP($A$3,XTIME!$A$1:$E$31,3,FALSE),C44),'Fiche Horaire'!A:AR,12,FALSE))&lt;Feuil2!$D$2,Feuil2!$D$2-VLOOKUP(CONCATENATE(VLOOKUP($A$3,XTIME!$A$1:$E$31,3,FALSE),C44),'Fiche Horaire'!A:AR,12,FALSE),IF((VLOOKUP(CONCATENATE(VLOOKUP($A$3,XTIME!$A$1:$E$31,3,FALSE),C44),'Fiche Horaire'!A:AR,12,FALSE)+VLOOKUP(CONCATENATE(VLOOKUP($A$3,XTIME!$A$1:$E$31,3,FALSE),C44),'Fiche Horaire'!A:AR,33,FALSE))&gt;Feuil2!$D$3,VLOOKUP(CONCATENATE(VLOOKUP($A$3,XTIME!$A$1:$E$31,3,FALSE),C44),'Fiche Horaire'!A:AR,33,FALSE)+VLOOKUP(CONCATENATE(VLOOKUP($A$3,XTIME!$A$1:$E$31,3,FALSE),C44),'Fiche Horaire'!A:AR,12,FALSE)-Feuil2!$D$3,"")))))*60+MINUTE(IF(C44="","",IF(VLOOKUP(CONCATENATE(VLOOKUP($A$3,XTIME!$A$1:$E$31,3,FALSE),C44),'Fiche Horaire'!A:AR,12,FALSE)="","",IF((VLOOKUP(CONCATENATE(VLOOKUP($A$3,XTIME!$A$1:$E$31,3,FALSE),C44),'Fiche Horaire'!A:AR,12,FALSE))&lt;Feuil2!$D$2,Feuil2!$D$2-VLOOKUP(CONCATENATE(VLOOKUP($A$3,XTIME!$A$1:$E$31,3,FALSE),C44),'Fiche Horaire'!A:AR,12,FALSE),IF((VLOOKUP(CONCATENATE(VLOOKUP($A$3,XTIME!$A$1:$E$31,3,FALSE),C44),'Fiche Horaire'!A:AR,12,FALSE)+VLOOKUP(CONCATENATE(VLOOKUP($A$3,XTIME!$A$1:$E$31,3,FALSE),C44),'Fiche Horaire'!A:AR,33,FALSE))&gt;Feuil2!$D$3,VLOOKUP(CONCATENATE(VLOOKUP($A$3,XTIME!$A$1:$E$31,3,FALSE),C44),'Fiche Horaire'!A:AR,33,FALSE)+VLOOKUP(CONCATENATE(VLOOKUP($A$3,XTIME!$A$1:$E$31,3,FALSE),C44),'Fiche Horaire'!A:AR,12,FALSE)-Feuil2!$D$3,""))))))/60,"")</f>
        <v/>
      </c>
      <c r="L44" s="44" t="s">
        <v>3</v>
      </c>
      <c r="M44" s="33">
        <f>IF(M42&lt;45,M42-$K$4-M47,3)</f>
        <v>0</v>
      </c>
    </row>
    <row r="45" spans="2:13" s="3" customFormat="1" ht="25" customHeight="1">
      <c r="B45" s="122"/>
      <c r="C45" s="73" t="str">
        <f t="shared" si="13"/>
        <v/>
      </c>
      <c r="D45" s="67" t="str">
        <f>IF(ISNA((HOUR(VLOOKUP(CONCATENATE(VLOOKUP($A$3,XTIME!$A$1:$E$31,3,FALSE),$C45),Tableau3[[Référence]:[FORMATION]],34,FALSE))*60+MINUTE(VLOOKUP(CONCATENATE(VLOOKUP($A$3,XTIME!$A$1:$E$31,3,FALSE),$C45),Tableau3[[Référence]:[FORMATION]],34,FALSE)))/60)=TRUE,"",((HOUR(VLOOKUP(CONCATENATE(VLOOKUP($A$3,XTIME!$A$1:$E$31,3,FALSE),$C45),Tableau3[[Référence]:[FORMATION]],34,FALSE))*60+MINUTE(VLOOKUP(CONCATENATE(VLOOKUP($A$3,XTIME!$A$1:$E$31,3,FALSE),$C45),Tableau3[[Référence]:[FORMATION]],34,FALSE)))/60))</f>
        <v/>
      </c>
      <c r="E45" s="70" t="str">
        <f>IF(ISNA((HOUR(VLOOKUP(CONCATENATE(VLOOKUP($A$3,XTIME!$A$1:$E$31,3,FALSE),$C45),Tableau3[[Référence]:[FORMATION]],40,FALSE))*60+MINUTE(VLOOKUP(CONCATENATE(VLOOKUP($A$3,XTIME!$A$1:$E$31,3,FALSE),$C45),Tableau3[[Référence]:[FORMATION]],40,FALSE)))/60)=TRUE,"",((HOUR(VLOOKUP(CONCATENATE(VLOOKUP($A$3,XTIME!$A$1:$E$31,3,FALSE),$C45),Tableau3[[Référence]:[FORMATION]],40,FALSE))*60+MINUTE(VLOOKUP(CONCATENATE(VLOOKUP($A$3,XTIME!$A$1:$E$31,3,FALSE),$C45),Tableau3[[Référence]:[FORMATION]],40,FALSE)))/60))</f>
        <v/>
      </c>
      <c r="F45" s="70" t="str">
        <f>IF(ISNA((HOUR(VLOOKUP(CONCATENATE(VLOOKUP($A$3,XTIME!$A$1:$E$31,3,FALSE),$C45),Tableau3[[Référence]:[FORMATION]],41,FALSE))*60+MINUTE(VLOOKUP(CONCATENATE(VLOOKUP($A$3,XTIME!$A$1:$E$31,3,FALSE),$C45),Tableau3[[Référence]:[FORMATION]],41,FALSE)))/60)=TRUE,"",((HOUR(VLOOKUP(CONCATENATE(VLOOKUP($A$3,XTIME!$A$1:$E$31,3,FALSE),$C45),Tableau3[[Référence]:[FORMATION]],41,FALSE))*60+MINUTE(VLOOKUP(CONCATENATE(VLOOKUP($A$3,XTIME!$A$1:$E$31,3,FALSE),$C45),Tableau3[[Référence]:[FORMATION]],41,FALSE)))/60))</f>
        <v/>
      </c>
      <c r="G45" s="40" t="str">
        <f>IF(ISNA((HOUR(VLOOKUP(CONCATENATE(VLOOKUP($A$3,XTIME!$A$1:$E$31,3,FALSE),$C45),Tableau3[[Référence]:[FORMATION]],42,FALSE))*60+MINUTE(VLOOKUP(CONCATENATE(VLOOKUP($A$3,XTIME!$A$1:$E$31,3,FALSE),$C45),Tableau3[[Référence]:[FORMATION]],42,FALSE)))/60)=TRUE,"",((HOUR(VLOOKUP(CONCATENATE(VLOOKUP($A$3,XTIME!$A$1:$E$31,3,FALSE),$C45),Tableau3[[Référence]:[FORMATION]],42,FALSE))*60+MINUTE(VLOOKUP(CONCATENATE(VLOOKUP($A$3,XTIME!$A$1:$E$31,3,FALSE),$C45),Tableau3[[Référence]:[FORMATION]],42,FALSE)))/60))</f>
        <v/>
      </c>
      <c r="H45" s="6" t="str">
        <f>IF(ISNA(VLOOKUP(CONCATENATE(VLOOKUP($A$3,XTIME!$A$1:$E$31,3,FALSE),$C45),Tableau3[[Référence]:[FORMATION]],7,FALSE))=TRUE,"",VLOOKUP(CONCATENATE(VLOOKUP($A$3,XTIME!$A$1:$E$31,3,FALSE),$C45),Tableau3[[Référence]:[FORMATION]],7,FALSE))</f>
        <v/>
      </c>
      <c r="I45" s="41" t="str">
        <f>IFERROR((HOUR(IF(C45="","",MIN(IF((VLOOKUP(CONCATENATE(VLOOKUP($A$3,XTIME!$A$1:$E$31,3,FALSE),C45),'Fiche Horaire'!A:AR,12,FALSE)+VLOOKUP(CONCATENATE(VLOOKUP($A$3,XTIME!$A$1:$E$31,3,FALSE),C45),'Fiche Horaire'!A:AR,33,FALSE))&gt;Feuil2!$C$2,VLOOKUP(CONCATENATE(VLOOKUP($A$3,XTIME!$A$1:$E$31,3,FALSE),C45),'Fiche Horaire'!A:AR,33,FALSE)+VLOOKUP(CONCATENATE(VLOOKUP($A$3,XTIME!$A$1:$E$31,3,FALSE),C45),'Fiche Horaire'!A:AR,12,FALSE)-Feuil2!$C$2,"X"),Feuil2!$C$3)))*60+MINUTE(IF(C45="","",MIN(IF((VLOOKUP(CONCATENATE(VLOOKUP($A$3,XTIME!$A$1:$E$31,3,FALSE),C45),'Fiche Horaire'!A:AR,12,FALSE)+VLOOKUP(CONCATENATE(VLOOKUP($A$3,XTIME!$A$1:$E$31,3,FALSE),C45),'Fiche Horaire'!A:AR,33,FALSE))&gt;Feuil2!$C$2,VLOOKUP(CONCATENATE(VLOOKUP($A$3,XTIME!$A$1:$E$31,3,FALSE),C45),'Fiche Horaire'!A:AR,33,FALSE)+VLOOKUP(CONCATENATE(VLOOKUP($A$3,XTIME!$A$1:$E$31,3,FALSE),C45),'Fiche Horaire'!A:AR,12,FALSE)-Feuil2!$C$2,"X"),Feuil2!$C$3))))/60,"")</f>
        <v/>
      </c>
      <c r="J45" s="93" t="str">
        <f>IFERROR((HOUR(IF(C45="","",IF(VLOOKUP(CONCATENATE(VLOOKUP($A$3,XTIME!$A$1:$E$31,3,FALSE),C45),'Fiche Horaire'!A:AR,12,FALSE)="","",IF((VLOOKUP(CONCATENATE(VLOOKUP($A$3,XTIME!$A$1:$E$31,3,FALSE),C45),'Fiche Horaire'!A:AR,12,FALSE))&lt;Feuil2!$D$2,Feuil2!$D$2-VLOOKUP(CONCATENATE(VLOOKUP($A$3,XTIME!$A$1:$E$31,3,FALSE),C45),'Fiche Horaire'!A:AR,12,FALSE),IF((VLOOKUP(CONCATENATE(VLOOKUP($A$3,XTIME!$A$1:$E$31,3,FALSE),C45),'Fiche Horaire'!A:AR,12,FALSE)+VLOOKUP(CONCATENATE(VLOOKUP($A$3,XTIME!$A$1:$E$31,3,FALSE),C45),'Fiche Horaire'!A:AR,33,FALSE))&gt;Feuil2!$D$3,VLOOKUP(CONCATENATE(VLOOKUP($A$3,XTIME!$A$1:$E$31,3,FALSE),C45),'Fiche Horaire'!A:AR,33,FALSE)+VLOOKUP(CONCATENATE(VLOOKUP($A$3,XTIME!$A$1:$E$31,3,FALSE),C45),'Fiche Horaire'!A:AR,12,FALSE)-Feuil2!$D$3,"")))))*60+MINUTE(IF(C45="","",IF(VLOOKUP(CONCATENATE(VLOOKUP($A$3,XTIME!$A$1:$E$31,3,FALSE),C45),'Fiche Horaire'!A:AR,12,FALSE)="","",IF((VLOOKUP(CONCATENATE(VLOOKUP($A$3,XTIME!$A$1:$E$31,3,FALSE),C45),'Fiche Horaire'!A:AR,12,FALSE))&lt;Feuil2!$D$2,Feuil2!$D$2-VLOOKUP(CONCATENATE(VLOOKUP($A$3,XTIME!$A$1:$E$31,3,FALSE),C45),'Fiche Horaire'!A:AR,12,FALSE),IF((VLOOKUP(CONCATENATE(VLOOKUP($A$3,XTIME!$A$1:$E$31,3,FALSE),C45),'Fiche Horaire'!A:AR,12,FALSE)+VLOOKUP(CONCATENATE(VLOOKUP($A$3,XTIME!$A$1:$E$31,3,FALSE),C45),'Fiche Horaire'!A:AR,33,FALSE))&gt;Feuil2!$D$3,VLOOKUP(CONCATENATE(VLOOKUP($A$3,XTIME!$A$1:$E$31,3,FALSE),C45),'Fiche Horaire'!A:AR,33,FALSE)+VLOOKUP(CONCATENATE(VLOOKUP($A$3,XTIME!$A$1:$E$31,3,FALSE),C45),'Fiche Horaire'!A:AR,12,FALSE)-Feuil2!$D$3,""))))))/60,"")</f>
        <v/>
      </c>
      <c r="L45" s="44" t="s">
        <v>4</v>
      </c>
      <c r="M45" s="33">
        <f>IF(M42&gt;45,M42-$K$4-M47-M44,0)</f>
        <v>0</v>
      </c>
    </row>
    <row r="46" spans="2:13" s="3" customFormat="1" ht="25" customHeight="1" thickBot="1">
      <c r="B46" s="122"/>
      <c r="C46" s="74" t="str">
        <f t="shared" si="13"/>
        <v/>
      </c>
      <c r="D46" s="68" t="str">
        <f>IF(ISNA((HOUR(VLOOKUP(CONCATENATE(VLOOKUP($A$3,XTIME!$A$1:$E$31,3,FALSE),$C46),Tableau3[[Référence]:[FORMATION]],34,FALSE))*60+MINUTE(VLOOKUP(CONCATENATE(VLOOKUP($A$3,XTIME!$A$1:$E$31,3,FALSE),$C46),Tableau3[[Référence]:[FORMATION]],34,FALSE)))/60)=TRUE,"",((HOUR(VLOOKUP(CONCATENATE(VLOOKUP($A$3,XTIME!$A$1:$E$31,3,FALSE),$C46),Tableau3[[Référence]:[FORMATION]],34,FALSE))*60+MINUTE(VLOOKUP(CONCATENATE(VLOOKUP($A$3,XTIME!$A$1:$E$31,3,FALSE),$C46),Tableau3[[Référence]:[FORMATION]],34,FALSE)))/60))</f>
        <v/>
      </c>
      <c r="E46" s="71" t="str">
        <f>IF(ISNA((HOUR(VLOOKUP(CONCATENATE(VLOOKUP($A$3,XTIME!$A$1:$E$31,3,FALSE),$C46),Tableau3[[Référence]:[FORMATION]],40,FALSE))*60+MINUTE(VLOOKUP(CONCATENATE(VLOOKUP($A$3,XTIME!$A$1:$E$31,3,FALSE),$C46),Tableau3[[Référence]:[FORMATION]],40,FALSE)))/60)=TRUE,"",((HOUR(VLOOKUP(CONCATENATE(VLOOKUP($A$3,XTIME!$A$1:$E$31,3,FALSE),$C46),Tableau3[[Référence]:[FORMATION]],40,FALSE))*60+MINUTE(VLOOKUP(CONCATENATE(VLOOKUP($A$3,XTIME!$A$1:$E$31,3,FALSE),$C46),Tableau3[[Référence]:[FORMATION]],40,FALSE)))/60))</f>
        <v/>
      </c>
      <c r="F46" s="71" t="str">
        <f>IF(ISNA((HOUR(VLOOKUP(CONCATENATE(VLOOKUP($A$3,XTIME!$A$1:$E$31,3,FALSE),$C46),Tableau3[[Référence]:[FORMATION]],41,FALSE))*60+MINUTE(VLOOKUP(CONCATENATE(VLOOKUP($A$3,XTIME!$A$1:$E$31,3,FALSE),$C46),Tableau3[[Référence]:[FORMATION]],41,FALSE)))/60)=TRUE,"",((HOUR(VLOOKUP(CONCATENATE(VLOOKUP($A$3,XTIME!$A$1:$E$31,3,FALSE),$C46),Tableau3[[Référence]:[FORMATION]],41,FALSE))*60+MINUTE(VLOOKUP(CONCATENATE(VLOOKUP($A$3,XTIME!$A$1:$E$31,3,FALSE),$C46),Tableau3[[Référence]:[FORMATION]],41,FALSE)))/60))</f>
        <v/>
      </c>
      <c r="G46" s="24" t="str">
        <f>IF(ISNA((HOUR(VLOOKUP(CONCATENATE(VLOOKUP($A$3,XTIME!$A$1:$E$31,3,FALSE),$C46),Tableau3[[Référence]:[FORMATION]],42,FALSE))*60+MINUTE(VLOOKUP(CONCATENATE(VLOOKUP($A$3,XTIME!$A$1:$E$31,3,FALSE),$C46),Tableau3[[Référence]:[FORMATION]],42,FALSE)))/60)=TRUE,"",((HOUR(VLOOKUP(CONCATENATE(VLOOKUP($A$3,XTIME!$A$1:$E$31,3,FALSE),$C46),Tableau3[[Référence]:[FORMATION]],42,FALSE))*60+MINUTE(VLOOKUP(CONCATENATE(VLOOKUP($A$3,XTIME!$A$1:$E$31,3,FALSE),$C46),Tableau3[[Référence]:[FORMATION]],42,FALSE)))/60))</f>
        <v/>
      </c>
      <c r="H46" s="37" t="str">
        <f>IF(ISNA(VLOOKUP(CONCATENATE(VLOOKUP($A$3,XTIME!$A$1:$E$31,3,FALSE),$C46),Tableau3[[Référence]:[FORMATION]],7,FALSE))=TRUE,"",VLOOKUP(CONCATENATE(VLOOKUP($A$3,XTIME!$A$1:$E$31,3,FALSE),$C46),Tableau3[[Référence]:[FORMATION]],7,FALSE))</f>
        <v/>
      </c>
      <c r="I46" s="36" t="str">
        <f>IFERROR((HOUR(IF(C46="","",MIN(IF((VLOOKUP(CONCATENATE(VLOOKUP($A$3,XTIME!$A$1:$E$31,3,FALSE),C46),'Fiche Horaire'!A:AR,12,FALSE)+VLOOKUP(CONCATENATE(VLOOKUP($A$3,XTIME!$A$1:$E$31,3,FALSE),C46),'Fiche Horaire'!A:AR,33,FALSE))&gt;Feuil2!$C$2,VLOOKUP(CONCATENATE(VLOOKUP($A$3,XTIME!$A$1:$E$31,3,FALSE),C46),'Fiche Horaire'!A:AR,33,FALSE)+VLOOKUP(CONCATENATE(VLOOKUP($A$3,XTIME!$A$1:$E$31,3,FALSE),C46),'Fiche Horaire'!A:AR,12,FALSE)-Feuil2!$C$2,"X"),Feuil2!$C$3)))*60+MINUTE(IF(C46="","",MIN(IF((VLOOKUP(CONCATENATE(VLOOKUP($A$3,XTIME!$A$1:$E$31,3,FALSE),C46),'Fiche Horaire'!A:AR,12,FALSE)+VLOOKUP(CONCATENATE(VLOOKUP($A$3,XTIME!$A$1:$E$31,3,FALSE),C46),'Fiche Horaire'!A:AR,33,FALSE))&gt;Feuil2!$C$2,VLOOKUP(CONCATENATE(VLOOKUP($A$3,XTIME!$A$1:$E$31,3,FALSE),C46),'Fiche Horaire'!A:AR,33,FALSE)+VLOOKUP(CONCATENATE(VLOOKUP($A$3,XTIME!$A$1:$E$31,3,FALSE),C46),'Fiche Horaire'!A:AR,12,FALSE)-Feuil2!$C$2,"X"),Feuil2!$C$3))))/60,"")</f>
        <v/>
      </c>
      <c r="J46" s="94" t="str">
        <f>IFERROR((HOUR(IF(C46="","",IF(VLOOKUP(CONCATENATE(VLOOKUP($A$3,XTIME!$A$1:$E$31,3,FALSE),C46),'Fiche Horaire'!A:AR,12,FALSE)="","",IF((VLOOKUP(CONCATENATE(VLOOKUP($A$3,XTIME!$A$1:$E$31,3,FALSE),C46),'Fiche Horaire'!A:AR,12,FALSE))&lt;Feuil2!$D$2,Feuil2!$D$2-VLOOKUP(CONCATENATE(VLOOKUP($A$3,XTIME!$A$1:$E$31,3,FALSE),C46),'Fiche Horaire'!A:AR,12,FALSE),IF((VLOOKUP(CONCATENATE(VLOOKUP($A$3,XTIME!$A$1:$E$31,3,FALSE),C46),'Fiche Horaire'!A:AR,12,FALSE)+VLOOKUP(CONCATENATE(VLOOKUP($A$3,XTIME!$A$1:$E$31,3,FALSE),C46),'Fiche Horaire'!A:AR,33,FALSE))&gt;Feuil2!$D$3,VLOOKUP(CONCATENATE(VLOOKUP($A$3,XTIME!$A$1:$E$31,3,FALSE),C46),'Fiche Horaire'!A:AR,33,FALSE)+VLOOKUP(CONCATENATE(VLOOKUP($A$3,XTIME!$A$1:$E$31,3,FALSE),C46),'Fiche Horaire'!A:AR,12,FALSE)-Feuil2!$D$3,"")))))*60+MINUTE(IF(C46="","",IF(VLOOKUP(CONCATENATE(VLOOKUP($A$3,XTIME!$A$1:$E$31,3,FALSE),C46),'Fiche Horaire'!A:AR,12,FALSE)="","",IF((VLOOKUP(CONCATENATE(VLOOKUP($A$3,XTIME!$A$1:$E$31,3,FALSE),C46),'Fiche Horaire'!A:AR,12,FALSE))&lt;Feuil2!$D$2,Feuil2!$D$2-VLOOKUP(CONCATENATE(VLOOKUP($A$3,XTIME!$A$1:$E$31,3,FALSE),C46),'Fiche Horaire'!A:AR,12,FALSE),IF((VLOOKUP(CONCATENATE(VLOOKUP($A$3,XTIME!$A$1:$E$31,3,FALSE),C46),'Fiche Horaire'!A:AR,12,FALSE)+VLOOKUP(CONCATENATE(VLOOKUP($A$3,XTIME!$A$1:$E$31,3,FALSE),C46),'Fiche Horaire'!A:AR,33,FALSE))&gt;Feuil2!$D$3,VLOOKUP(CONCATENATE(VLOOKUP($A$3,XTIME!$A$1:$E$31,3,FALSE),C46),'Fiche Horaire'!A:AR,33,FALSE)+VLOOKUP(CONCATENATE(VLOOKUP($A$3,XTIME!$A$1:$E$31,3,FALSE),C46),'Fiche Horaire'!A:AR,12,FALSE)-Feuil2!$D$3,""))))))/60,"")</f>
        <v/>
      </c>
      <c r="L46" s="83" t="s">
        <v>86</v>
      </c>
      <c r="M46" s="82">
        <f>MIN(IF(M42=0,0,IF(M42&gt;=37,M42-37,IF(M42&lt;=35,M42-35,0))),5)</f>
        <v>0</v>
      </c>
    </row>
    <row r="47" spans="2:13" s="3" customFormat="1" ht="25" customHeight="1" thickTop="1" thickBot="1">
      <c r="B47" s="123"/>
      <c r="C47" s="14" t="s">
        <v>9</v>
      </c>
      <c r="D47" s="15">
        <f>SUM(D41:D46)</f>
        <v>0</v>
      </c>
      <c r="E47" s="16">
        <f t="shared" ref="E47" si="14">SUM(E41:E46)</f>
        <v>0</v>
      </c>
      <c r="F47" s="16">
        <f>SUM(F41:F46)</f>
        <v>0</v>
      </c>
      <c r="G47" s="16">
        <f>SUM(G41:G46)</f>
        <v>0</v>
      </c>
      <c r="H47" s="23">
        <f>IF(COUNTIF(H41:H46,0)&gt;0,0,IF(COUNTBLANK(H41:H46)=6,0,(6-COUNTBLANK(H41:H46)-COUNTIF(H41:H46,"REPOS"))*$K39/5))</f>
        <v>0</v>
      </c>
      <c r="I47" s="15">
        <f>SUM(I41:I46)</f>
        <v>0</v>
      </c>
      <c r="J47" s="17">
        <f>SUM(J41:J46)</f>
        <v>0</v>
      </c>
      <c r="L47" s="43" t="s">
        <v>10</v>
      </c>
      <c r="M47" s="34">
        <f>IF(M42&lt;42,M42-$K$4,7)</f>
        <v>-43</v>
      </c>
    </row>
    <row r="48" spans="2:13" ht="25" customHeight="1" thickBot="1">
      <c r="C48" s="4"/>
      <c r="L48" s="3"/>
      <c r="M48" s="3"/>
    </row>
    <row r="49" spans="1:15" ht="25" customHeight="1" thickBot="1">
      <c r="A49" s="132" t="s">
        <v>34</v>
      </c>
      <c r="B49" s="135" t="s">
        <v>1</v>
      </c>
      <c r="C49" s="118"/>
      <c r="D49" s="118"/>
      <c r="E49" s="5">
        <f>D40+D33+D26+D19+D12+D47</f>
        <v>5.5</v>
      </c>
      <c r="G49" s="112" t="s">
        <v>5</v>
      </c>
      <c r="H49" s="136"/>
      <c r="I49" s="113"/>
      <c r="J49" s="27"/>
      <c r="L49" s="3"/>
      <c r="M49" s="3"/>
    </row>
    <row r="50" spans="1:15" ht="25" customHeight="1" thickBot="1">
      <c r="A50" s="133"/>
      <c r="B50" s="110" t="s">
        <v>31</v>
      </c>
      <c r="C50" s="111"/>
      <c r="D50" s="111"/>
      <c r="E50" s="32">
        <f>E12+E19+E26+E33+E47+E40</f>
        <v>0</v>
      </c>
      <c r="G50" s="135" t="s">
        <v>25</v>
      </c>
      <c r="H50" s="118"/>
      <c r="I50" s="5">
        <v>0</v>
      </c>
      <c r="J50" s="28"/>
      <c r="L50" s="112" t="s">
        <v>12</v>
      </c>
      <c r="M50" s="113"/>
    </row>
    <row r="51" spans="1:15" ht="25" customHeight="1">
      <c r="A51" s="133"/>
      <c r="B51" s="110" t="s">
        <v>32</v>
      </c>
      <c r="C51" s="111"/>
      <c r="D51" s="111"/>
      <c r="E51" s="6">
        <f>F47+F40+F33+F26+F19+F12</f>
        <v>0</v>
      </c>
      <c r="F51" s="3"/>
      <c r="G51" s="110" t="s">
        <v>6</v>
      </c>
      <c r="H51" s="111"/>
      <c r="I51" s="6"/>
      <c r="J51" s="28"/>
      <c r="L51" s="38" t="s">
        <v>85</v>
      </c>
      <c r="M51" s="86">
        <f>M43+M36+M29+M22+M15+M8</f>
        <v>0</v>
      </c>
    </row>
    <row r="52" spans="1:15" ht="25" customHeight="1" thickBot="1">
      <c r="A52" s="134"/>
      <c r="B52" s="108" t="s">
        <v>14</v>
      </c>
      <c r="C52" s="109"/>
      <c r="D52" s="109"/>
      <c r="E52" s="25">
        <f>G40+G33+G26+G19+G12+G47</f>
        <v>0</v>
      </c>
      <c r="F52" s="3"/>
      <c r="G52" s="115" t="s">
        <v>26</v>
      </c>
      <c r="H52" s="116"/>
      <c r="I52" s="29">
        <f>M33+M26+M18+M12+M40+M47</f>
        <v>-209.5</v>
      </c>
      <c r="J52" s="28"/>
      <c r="L52" s="41" t="s">
        <v>3</v>
      </c>
      <c r="M52" s="6">
        <f>M37+M44+M30+M23+M16+M9</f>
        <v>0</v>
      </c>
    </row>
    <row r="53" spans="1:15" ht="25" customHeight="1">
      <c r="A53" s="129" t="s">
        <v>35</v>
      </c>
      <c r="B53" s="117" t="s">
        <v>24</v>
      </c>
      <c r="C53" s="118"/>
      <c r="D53" s="118"/>
      <c r="E53" s="5">
        <f>COUNTIF(H6:H47,"CP")</f>
        <v>0</v>
      </c>
      <c r="F53" s="3"/>
      <c r="G53" s="110" t="s">
        <v>11</v>
      </c>
      <c r="H53" s="111"/>
      <c r="I53" s="6">
        <f>SUMIF(H6:H47,"JF",H6:H47)</f>
        <v>0</v>
      </c>
      <c r="J53" s="28"/>
      <c r="L53" s="41" t="s">
        <v>4</v>
      </c>
      <c r="M53" s="6">
        <f>M32+M25+M17+M10+M38+M45</f>
        <v>0</v>
      </c>
    </row>
    <row r="54" spans="1:15" ht="25" customHeight="1" thickBot="1">
      <c r="A54" s="130"/>
      <c r="B54" s="119" t="s">
        <v>23</v>
      </c>
      <c r="C54" s="111"/>
      <c r="D54" s="111"/>
      <c r="E54" s="6">
        <f>COUNTIF(H6:H47,"CS")</f>
        <v>0</v>
      </c>
      <c r="F54" s="3"/>
      <c r="G54" s="108" t="s">
        <v>27</v>
      </c>
      <c r="H54" s="109"/>
      <c r="I54" s="25">
        <f>I50-I51+I52-I53</f>
        <v>-209.5</v>
      </c>
      <c r="J54" s="28"/>
      <c r="L54" s="41" t="s">
        <v>83</v>
      </c>
      <c r="M54" s="6">
        <f>I40+I33+I26+I19+I12+I47</f>
        <v>0</v>
      </c>
    </row>
    <row r="55" spans="1:15" ht="25" customHeight="1" thickBot="1">
      <c r="A55" s="130"/>
      <c r="B55" s="119" t="s">
        <v>20</v>
      </c>
      <c r="C55" s="111"/>
      <c r="D55" s="111"/>
      <c r="E55" s="6">
        <f>COUNTIF(H6:H47,"M")</f>
        <v>0</v>
      </c>
      <c r="F55" s="3"/>
      <c r="L55" s="30" t="s">
        <v>84</v>
      </c>
      <c r="M55" s="25">
        <f>J40+J33+J26+J19+J12+J47</f>
        <v>2</v>
      </c>
    </row>
    <row r="56" spans="1:15" ht="25" customHeight="1">
      <c r="A56" s="130"/>
      <c r="B56" s="119" t="s">
        <v>21</v>
      </c>
      <c r="C56" s="111"/>
      <c r="D56" s="111"/>
      <c r="E56" s="6">
        <f>COUNTIF(H6:H47,"AT")</f>
        <v>0</v>
      </c>
      <c r="F56" s="3"/>
      <c r="K56" s="18"/>
      <c r="N56" s="18"/>
      <c r="O56" s="18"/>
    </row>
    <row r="57" spans="1:15" s="3" customFormat="1" ht="25" customHeight="1">
      <c r="A57" s="130"/>
      <c r="B57" s="119" t="s">
        <v>28</v>
      </c>
      <c r="C57" s="111"/>
      <c r="D57" s="111"/>
      <c r="E57" s="6">
        <f>COUNTIF(H6:H47,"PAT")</f>
        <v>0</v>
      </c>
      <c r="K57" s="18"/>
      <c r="L57" s="2"/>
      <c r="M57" s="2"/>
      <c r="N57" s="18"/>
      <c r="O57" s="18"/>
    </row>
    <row r="58" spans="1:15" s="3" customFormat="1" ht="25" customHeight="1">
      <c r="A58" s="130"/>
      <c r="B58" s="119" t="s">
        <v>29</v>
      </c>
      <c r="C58" s="111"/>
      <c r="D58" s="111"/>
      <c r="E58" s="6">
        <f>COUNTIF(H6:H47,"MAT")</f>
        <v>0</v>
      </c>
      <c r="K58" s="18"/>
      <c r="N58" s="18"/>
      <c r="O58" s="18"/>
    </row>
    <row r="59" spans="1:15" s="3" customFormat="1" ht="25" customHeight="1">
      <c r="A59" s="130"/>
      <c r="B59" s="119" t="s">
        <v>22</v>
      </c>
      <c r="C59" s="111"/>
      <c r="D59" s="111"/>
      <c r="E59" s="6">
        <f>COUNTIF(H6:H47,"AI")</f>
        <v>0</v>
      </c>
      <c r="K59" s="18"/>
      <c r="N59" s="18"/>
      <c r="O59" s="18"/>
    </row>
    <row r="60" spans="1:15" ht="25" customHeight="1" thickBot="1">
      <c r="A60" s="131"/>
      <c r="B60" s="137" t="s">
        <v>36</v>
      </c>
      <c r="C60" s="138"/>
      <c r="D60" s="138"/>
      <c r="E60" s="26">
        <f>COUNTIF(H6:H47,"MP")</f>
        <v>0</v>
      </c>
      <c r="F60" s="3"/>
      <c r="L60" s="3"/>
      <c r="M60" s="3"/>
    </row>
    <row r="61" spans="1:15" ht="25" customHeight="1">
      <c r="L61" s="3"/>
      <c r="M61" s="3"/>
    </row>
    <row r="62" spans="1:15" ht="25" customHeight="1">
      <c r="L62" s="3"/>
      <c r="M62" s="3"/>
    </row>
    <row r="63" spans="1:15" ht="25" customHeight="1"/>
    <row r="64" spans="1:15" ht="25" customHeight="1"/>
    <row r="65" ht="25" customHeight="1"/>
    <row r="66" ht="25" customHeight="1"/>
    <row r="67" ht="25" customHeight="1"/>
    <row r="68" ht="25" customHeight="1"/>
    <row r="69" ht="25" customHeight="1"/>
    <row r="70" ht="25" customHeight="1"/>
    <row r="71" ht="25" customHeight="1"/>
    <row r="72" ht="25" customHeight="1"/>
    <row r="73" ht="25" customHeight="1"/>
    <row r="74" ht="25" customHeight="1"/>
    <row r="75" ht="25" customHeight="1"/>
    <row r="76" ht="25" customHeight="1"/>
    <row r="77" ht="25" customHeight="1"/>
    <row r="78" ht="25" customHeight="1"/>
    <row r="79" ht="25" customHeight="1"/>
    <row r="80" ht="25" customHeight="1"/>
    <row r="81" ht="25" customHeight="1"/>
    <row r="82" ht="25" customHeight="1"/>
    <row r="83" ht="25" customHeight="1"/>
    <row r="84" ht="25" customHeight="1"/>
    <row r="85" ht="25" customHeight="1"/>
    <row r="86" ht="25" customHeight="1"/>
    <row r="87" ht="25" customHeight="1"/>
    <row r="88" ht="25" customHeight="1"/>
    <row r="89" ht="25" customHeight="1"/>
    <row r="90" ht="25" customHeight="1"/>
    <row r="91" ht="25" customHeight="1"/>
    <row r="92" ht="25" customHeight="1"/>
    <row r="93" ht="25" customHeight="1"/>
    <row r="94" ht="25" customHeight="1"/>
    <row r="95" ht="25" customHeight="1"/>
    <row r="96" ht="25" customHeight="1"/>
    <row r="97" ht="25" customHeight="1"/>
    <row r="98" ht="25" customHeight="1"/>
    <row r="99" ht="25" customHeight="1"/>
    <row r="100" ht="25" customHeight="1"/>
    <row r="101" ht="25" customHeight="1"/>
    <row r="102" ht="25" customHeight="1"/>
    <row r="103" ht="25" customHeight="1"/>
    <row r="104" ht="25" customHeight="1"/>
    <row r="105" ht="25" customHeight="1"/>
    <row r="106" ht="25" customHeight="1"/>
    <row r="107" ht="25" customHeight="1"/>
    <row r="108" ht="25" customHeight="1"/>
    <row r="109" ht="25" customHeight="1"/>
    <row r="110" ht="25" customHeight="1"/>
    <row r="111" ht="25" customHeight="1"/>
    <row r="112" ht="25" customHeight="1"/>
    <row r="113" ht="25" customHeight="1"/>
    <row r="114" ht="25" customHeight="1"/>
    <row r="115" ht="25" customHeight="1"/>
    <row r="116" ht="25" customHeight="1"/>
    <row r="117" ht="25" customHeight="1"/>
    <row r="118" ht="25" customHeight="1"/>
    <row r="119" ht="25" customHeight="1"/>
    <row r="120" ht="25" customHeight="1"/>
    <row r="121" ht="25" customHeight="1"/>
    <row r="122" ht="25" customHeight="1"/>
    <row r="123" ht="25" customHeight="1"/>
    <row r="124" ht="25" customHeight="1"/>
    <row r="125" ht="25" customHeight="1"/>
    <row r="126" ht="25" customHeight="1"/>
    <row r="127" ht="25" customHeight="1"/>
    <row r="128" ht="25" customHeight="1"/>
    <row r="129" ht="25" customHeight="1"/>
    <row r="130" ht="25" customHeight="1"/>
    <row r="131" ht="25" customHeight="1"/>
    <row r="132" ht="25" customHeight="1"/>
    <row r="133" ht="25" customHeight="1"/>
    <row r="134" ht="25" customHeight="1"/>
    <row r="135" ht="25" customHeight="1"/>
    <row r="136" ht="25" customHeight="1"/>
    <row r="137" ht="25" customHeight="1"/>
    <row r="138" ht="25" customHeight="1"/>
    <row r="139" ht="25" customHeight="1"/>
    <row r="140" ht="25" customHeight="1"/>
    <row r="141" ht="25" customHeight="1"/>
    <row r="142" ht="25" customHeight="1"/>
    <row r="143" ht="25" customHeight="1"/>
    <row r="144" ht="25" customHeight="1"/>
    <row r="145" ht="25" customHeight="1"/>
    <row r="146" ht="25" customHeight="1"/>
    <row r="147" ht="25" customHeight="1"/>
    <row r="148" ht="25" customHeight="1"/>
    <row r="149" ht="25" customHeight="1"/>
    <row r="150" ht="25" customHeight="1"/>
    <row r="151" ht="25" customHeight="1"/>
    <row r="152" ht="25" customHeight="1"/>
    <row r="153" ht="25" customHeight="1"/>
    <row r="154" ht="25" customHeight="1"/>
    <row r="155" ht="25" customHeight="1"/>
    <row r="156" ht="25" customHeight="1"/>
    <row r="157" ht="25" customHeight="1"/>
    <row r="158" ht="25" customHeight="1"/>
    <row r="159" ht="25" customHeight="1"/>
    <row r="160" ht="25" customHeight="1"/>
    <row r="161" ht="25" customHeight="1"/>
    <row r="162" ht="25" customHeight="1"/>
    <row r="163" ht="25" customHeight="1"/>
    <row r="164" ht="25" customHeight="1"/>
    <row r="165" ht="25" customHeight="1"/>
    <row r="166" ht="25" customHeight="1"/>
    <row r="167" ht="25" customHeight="1"/>
    <row r="168" ht="25" customHeight="1"/>
    <row r="169" ht="25" customHeight="1"/>
    <row r="170" ht="25" customHeight="1"/>
    <row r="171" ht="25" customHeight="1"/>
    <row r="172" ht="25" customHeight="1"/>
    <row r="173" ht="25" customHeight="1"/>
    <row r="174" ht="25" customHeight="1"/>
    <row r="175" ht="25" customHeight="1"/>
    <row r="176" ht="25" customHeight="1"/>
    <row r="177" ht="25" customHeight="1"/>
    <row r="178" ht="25" customHeight="1"/>
    <row r="179" ht="25" customHeight="1"/>
    <row r="180" ht="25" customHeight="1"/>
    <row r="181" ht="25" customHeight="1"/>
    <row r="182" ht="25" customHeight="1"/>
    <row r="183" ht="25" customHeight="1"/>
    <row r="184" ht="25" customHeight="1"/>
    <row r="185" ht="25" customHeight="1"/>
    <row r="186" ht="25" customHeight="1"/>
    <row r="187" ht="25" customHeight="1"/>
    <row r="188" ht="25" customHeight="1"/>
    <row r="189" ht="25" customHeight="1"/>
    <row r="190" ht="25" customHeight="1"/>
    <row r="191" ht="25" customHeight="1"/>
    <row r="192" ht="25" customHeight="1"/>
    <row r="193" ht="25" customHeight="1"/>
    <row r="194" ht="25" customHeight="1"/>
    <row r="195" ht="25" customHeight="1"/>
    <row r="196" ht="25" customHeight="1"/>
    <row r="197" ht="25" customHeight="1"/>
    <row r="198" ht="25" customHeight="1"/>
    <row r="199" ht="25" customHeight="1"/>
    <row r="200" ht="25" customHeight="1"/>
    <row r="201" ht="25" customHeight="1"/>
    <row r="202" ht="25" customHeight="1"/>
    <row r="203" ht="25" customHeight="1"/>
    <row r="204" ht="25" customHeight="1"/>
    <row r="205" ht="25" customHeight="1"/>
    <row r="206" ht="25" customHeight="1"/>
    <row r="207" ht="25" customHeight="1"/>
    <row r="208" ht="25" customHeight="1"/>
    <row r="209" ht="25" customHeight="1"/>
    <row r="210" ht="25" customHeight="1"/>
    <row r="211" ht="25" customHeight="1"/>
    <row r="212" ht="25" customHeight="1"/>
    <row r="213" ht="25" customHeight="1"/>
    <row r="214" ht="25" customHeight="1"/>
    <row r="215" ht="25" customHeight="1"/>
    <row r="216" ht="25" customHeight="1"/>
    <row r="217" ht="25" customHeight="1"/>
    <row r="218" ht="25" customHeight="1"/>
    <row r="219" ht="25" customHeight="1"/>
    <row r="220" ht="25" customHeight="1"/>
    <row r="221" ht="25" customHeight="1"/>
    <row r="222" ht="25" customHeight="1"/>
    <row r="223" ht="25" customHeight="1"/>
    <row r="224" ht="25" customHeight="1"/>
    <row r="225" ht="25" customHeight="1"/>
    <row r="226" ht="25" customHeight="1"/>
    <row r="227" ht="25" customHeight="1"/>
    <row r="228" ht="25" customHeight="1"/>
    <row r="229" ht="25" customHeight="1"/>
    <row r="230" ht="25" customHeight="1"/>
    <row r="231" ht="25" customHeight="1"/>
    <row r="232" ht="25" customHeight="1"/>
    <row r="233" ht="25" customHeight="1"/>
    <row r="234" ht="25" customHeight="1"/>
    <row r="235" ht="25" customHeight="1"/>
    <row r="236" ht="25" customHeight="1"/>
    <row r="237" ht="25" customHeight="1"/>
    <row r="238" ht="25" customHeight="1"/>
    <row r="239" ht="25" customHeight="1"/>
    <row r="240" ht="25" customHeight="1"/>
    <row r="241" ht="25" customHeight="1"/>
    <row r="242" ht="25" customHeight="1"/>
    <row r="243" ht="25" customHeight="1"/>
    <row r="244" ht="25" customHeight="1"/>
    <row r="245" ht="25" customHeight="1"/>
    <row r="246" ht="25" customHeight="1"/>
    <row r="247" ht="25" customHeight="1"/>
    <row r="248" ht="25" customHeight="1"/>
    <row r="249" ht="25" customHeight="1"/>
    <row r="250" ht="25" customHeight="1"/>
    <row r="251" ht="25" customHeight="1"/>
    <row r="252" ht="25" customHeight="1"/>
    <row r="253" ht="25" customHeight="1"/>
    <row r="254" ht="25" customHeight="1"/>
    <row r="255" ht="25" customHeight="1"/>
    <row r="256" ht="25" customHeight="1"/>
    <row r="257" ht="25" customHeight="1"/>
    <row r="258" ht="25" customHeight="1"/>
    <row r="259" ht="25" customHeight="1"/>
    <row r="260" ht="25" customHeight="1"/>
    <row r="261" ht="25" customHeight="1"/>
    <row r="262" ht="25" customHeight="1"/>
    <row r="263" ht="25" customHeight="1"/>
    <row r="264" ht="25" customHeight="1"/>
    <row r="265" ht="25" customHeight="1"/>
    <row r="266" ht="25" customHeight="1"/>
    <row r="267" ht="25" customHeight="1"/>
    <row r="268" ht="25" customHeight="1"/>
    <row r="269" ht="25" customHeight="1"/>
    <row r="270" ht="25" customHeight="1"/>
    <row r="271" ht="25" customHeight="1"/>
    <row r="272" ht="25" customHeight="1"/>
    <row r="273" ht="25" customHeight="1"/>
    <row r="274" ht="25" customHeight="1"/>
    <row r="275" ht="25" customHeight="1"/>
    <row r="276" ht="25" customHeight="1"/>
    <row r="277" ht="25" customHeight="1"/>
    <row r="278" ht="25" customHeight="1"/>
    <row r="279" ht="25" customHeight="1"/>
    <row r="280" ht="25" customHeight="1"/>
    <row r="281" ht="25" customHeight="1"/>
    <row r="282" ht="25" customHeight="1"/>
    <row r="283" ht="25" customHeight="1"/>
    <row r="284" ht="25" customHeight="1"/>
    <row r="285" ht="25" customHeight="1"/>
    <row r="286" ht="25" customHeight="1"/>
    <row r="287" ht="25" customHeight="1"/>
    <row r="288" ht="25" customHeight="1"/>
    <row r="289" ht="25" customHeight="1"/>
    <row r="290" ht="25" customHeight="1"/>
    <row r="291" ht="25" customHeight="1"/>
    <row r="292" ht="25" customHeight="1"/>
    <row r="293" ht="25" customHeight="1"/>
    <row r="294" ht="25" customHeight="1"/>
    <row r="295" ht="25" customHeight="1"/>
    <row r="296" ht="25" customHeight="1"/>
    <row r="297" ht="25" customHeight="1"/>
    <row r="298" ht="25" customHeight="1"/>
    <row r="299" ht="25" customHeight="1"/>
    <row r="300" ht="25" customHeight="1"/>
    <row r="301" ht="25" customHeight="1"/>
    <row r="302" ht="25" customHeight="1"/>
    <row r="303" ht="25" customHeight="1"/>
    <row r="304" ht="25" customHeight="1"/>
    <row r="305" ht="25" customHeight="1"/>
    <row r="306" ht="25" customHeight="1"/>
    <row r="307" ht="25" customHeight="1"/>
    <row r="308" ht="25" customHeight="1"/>
    <row r="309" ht="25" customHeight="1"/>
    <row r="310" ht="25" customHeight="1"/>
    <row r="311" ht="25" customHeight="1"/>
    <row r="312" ht="25" customHeight="1"/>
    <row r="313" ht="25" customHeight="1"/>
    <row r="314" ht="25" customHeight="1"/>
    <row r="315" ht="25" customHeight="1"/>
    <row r="316" ht="25" customHeight="1"/>
    <row r="317" ht="25" customHeight="1"/>
    <row r="318" ht="25" customHeight="1"/>
    <row r="319" ht="25" customHeight="1"/>
    <row r="320" ht="25" customHeight="1"/>
    <row r="321" ht="25" customHeight="1"/>
    <row r="322" ht="25" customHeight="1"/>
    <row r="323" ht="25" customHeight="1"/>
    <row r="324" ht="25" customHeight="1"/>
    <row r="325" ht="25" customHeight="1"/>
    <row r="326" ht="25" customHeight="1"/>
    <row r="327" ht="25" customHeight="1"/>
    <row r="328" ht="25" customHeight="1"/>
    <row r="329" ht="25" customHeight="1"/>
    <row r="330" ht="25" customHeight="1"/>
    <row r="331" ht="25" customHeight="1"/>
    <row r="332" ht="25" customHeight="1"/>
    <row r="333" ht="25" customHeight="1"/>
    <row r="334" ht="25" customHeight="1"/>
    <row r="335" ht="25" customHeight="1"/>
    <row r="336" ht="25" customHeight="1"/>
    <row r="337" ht="25" customHeight="1"/>
    <row r="338" ht="25" customHeight="1"/>
    <row r="339" ht="25" customHeight="1"/>
    <row r="340" ht="25" customHeight="1"/>
    <row r="341" ht="25" customHeight="1"/>
    <row r="342" ht="25" customHeight="1"/>
    <row r="343" ht="25" customHeight="1"/>
    <row r="344" ht="25" customHeight="1"/>
    <row r="345" ht="25" customHeight="1"/>
    <row r="346" ht="25" customHeight="1"/>
    <row r="347" ht="25" customHeight="1"/>
    <row r="348" ht="25" customHeight="1"/>
    <row r="349" ht="25" customHeight="1"/>
    <row r="350" ht="25" customHeight="1"/>
    <row r="351" ht="25" customHeight="1"/>
    <row r="352" ht="25" customHeight="1"/>
    <row r="353" ht="25" customHeight="1"/>
    <row r="354" ht="25" customHeight="1"/>
    <row r="355" ht="25" customHeight="1"/>
    <row r="356" ht="25" customHeight="1"/>
    <row r="357" ht="25" customHeight="1"/>
    <row r="358" ht="25" customHeight="1"/>
    <row r="359" ht="25" customHeight="1"/>
    <row r="360" ht="25" customHeight="1"/>
    <row r="361" ht="25" customHeight="1"/>
    <row r="362" ht="25" customHeight="1"/>
    <row r="363" ht="25" customHeight="1"/>
    <row r="364" ht="25" customHeight="1"/>
    <row r="365" ht="25" customHeight="1"/>
    <row r="366" ht="25" customHeight="1"/>
    <row r="367" ht="25" customHeight="1"/>
    <row r="368" ht="25" customHeight="1"/>
    <row r="369" ht="25" customHeight="1"/>
    <row r="370" ht="25" customHeight="1"/>
    <row r="371" ht="25" customHeight="1"/>
    <row r="372" ht="25" customHeight="1"/>
    <row r="373" ht="25" customHeight="1"/>
    <row r="374" ht="25" customHeight="1"/>
    <row r="375" ht="25" customHeight="1"/>
    <row r="376" ht="25" customHeight="1"/>
    <row r="377" ht="25" customHeight="1"/>
    <row r="378" ht="25" customHeight="1"/>
    <row r="379" ht="25" customHeight="1"/>
    <row r="380" ht="25" customHeight="1"/>
    <row r="381" ht="25" customHeight="1"/>
    <row r="382" ht="25" customHeight="1"/>
    <row r="383" ht="25" customHeight="1"/>
    <row r="384" ht="25" customHeight="1"/>
    <row r="385" ht="25" customHeight="1"/>
    <row r="386" ht="25" customHeight="1"/>
    <row r="387" ht="25" customHeight="1"/>
    <row r="388" ht="25" customHeight="1"/>
    <row r="389" ht="25" customHeight="1"/>
    <row r="390" ht="25" customHeight="1"/>
    <row r="391" ht="25" customHeight="1"/>
    <row r="392" ht="25" customHeight="1"/>
    <row r="393" ht="25" customHeight="1"/>
    <row r="394" ht="25" customHeight="1"/>
    <row r="395" ht="25" customHeight="1"/>
    <row r="396" ht="25" customHeight="1"/>
    <row r="397" ht="25" customHeight="1"/>
    <row r="398" ht="25" customHeight="1"/>
    <row r="399" ht="25" customHeight="1"/>
    <row r="400" ht="25" customHeight="1"/>
    <row r="401" ht="25" customHeight="1"/>
    <row r="402" ht="25" customHeight="1"/>
    <row r="403" ht="25" customHeight="1"/>
    <row r="404" ht="25" customHeight="1"/>
    <row r="405" ht="25" customHeight="1"/>
    <row r="406" ht="25" customHeight="1"/>
    <row r="407" ht="25" customHeight="1"/>
    <row r="408" ht="25" customHeight="1"/>
    <row r="409" ht="25" customHeight="1"/>
    <row r="410" ht="25" customHeight="1"/>
    <row r="411" ht="25" customHeight="1"/>
    <row r="412" ht="25" customHeight="1"/>
    <row r="413" ht="25" customHeight="1"/>
    <row r="414" ht="25" customHeight="1"/>
    <row r="415" ht="25" customHeight="1"/>
    <row r="416" ht="25" customHeight="1"/>
    <row r="417" ht="25" customHeight="1"/>
    <row r="418" ht="25" customHeight="1"/>
    <row r="419" ht="25" customHeight="1"/>
    <row r="420" ht="25" customHeight="1"/>
    <row r="421" ht="25" customHeight="1"/>
    <row r="422" ht="25" customHeight="1"/>
    <row r="423" ht="25" customHeight="1"/>
    <row r="424" ht="25" customHeight="1"/>
    <row r="425" ht="25" customHeight="1"/>
    <row r="426" ht="25" customHeight="1"/>
    <row r="427" ht="25" customHeight="1"/>
    <row r="428" ht="25" customHeight="1"/>
    <row r="429" ht="25" customHeight="1"/>
    <row r="430" ht="25" customHeight="1"/>
    <row r="431" ht="25" customHeight="1"/>
    <row r="432" ht="25" customHeight="1"/>
    <row r="433" ht="25" customHeight="1"/>
    <row r="434" ht="25" customHeight="1"/>
    <row r="435" ht="25" customHeight="1"/>
    <row r="436" ht="25" customHeight="1"/>
    <row r="437" ht="25" customHeight="1"/>
    <row r="438" ht="25" customHeight="1"/>
    <row r="439" ht="25" customHeight="1"/>
    <row r="440" ht="25" customHeight="1"/>
    <row r="441" ht="25" customHeight="1"/>
    <row r="442" ht="25" customHeight="1"/>
    <row r="443" ht="25" customHeight="1"/>
    <row r="444" ht="25" customHeight="1"/>
    <row r="445" ht="25" customHeight="1"/>
    <row r="446" ht="25" customHeight="1"/>
    <row r="447" ht="25" customHeight="1"/>
    <row r="448" ht="25" customHeight="1"/>
    <row r="449" ht="25" customHeight="1"/>
    <row r="450" ht="25" customHeight="1"/>
    <row r="451" ht="25" customHeight="1"/>
    <row r="452" ht="25" customHeight="1"/>
    <row r="453" ht="25" customHeight="1"/>
    <row r="454" ht="25" customHeight="1"/>
    <row r="455" ht="25" customHeight="1"/>
    <row r="456" ht="25" customHeight="1"/>
    <row r="457" ht="25" customHeight="1"/>
    <row r="458" ht="25" customHeight="1"/>
    <row r="459" ht="25" customHeight="1"/>
    <row r="460" ht="25" customHeight="1"/>
    <row r="461" ht="25" customHeight="1"/>
    <row r="462" ht="25" customHeight="1"/>
    <row r="463" ht="25" customHeight="1"/>
    <row r="464" ht="25" customHeight="1"/>
    <row r="465" ht="25" customHeight="1"/>
    <row r="466" ht="25" customHeight="1"/>
    <row r="467" ht="25" customHeight="1"/>
    <row r="468" ht="25" customHeight="1"/>
    <row r="469" ht="25" customHeight="1"/>
    <row r="470" ht="25" customHeight="1"/>
    <row r="471" ht="25" customHeight="1"/>
    <row r="472" ht="25" customHeight="1"/>
    <row r="473" ht="25" customHeight="1"/>
    <row r="474" ht="25" customHeight="1"/>
    <row r="475" ht="25" customHeight="1"/>
    <row r="476" ht="25" customHeight="1"/>
    <row r="477" ht="25" customHeight="1"/>
    <row r="478" ht="25" customHeight="1"/>
    <row r="479" ht="25" customHeight="1"/>
    <row r="480" ht="25" customHeight="1"/>
    <row r="481" ht="25" customHeight="1"/>
    <row r="482" ht="25" customHeight="1"/>
    <row r="483" ht="25" customHeight="1"/>
    <row r="484" ht="25" customHeight="1"/>
    <row r="485" ht="25" customHeight="1"/>
    <row r="486" ht="25" customHeight="1"/>
    <row r="487" ht="25" customHeight="1"/>
    <row r="488" ht="25" customHeight="1"/>
    <row r="489" ht="25" customHeight="1"/>
    <row r="490" ht="25" customHeight="1"/>
    <row r="491" ht="25" customHeight="1"/>
    <row r="492" ht="25" customHeight="1"/>
    <row r="493" ht="25" customHeight="1"/>
    <row r="494" ht="25" customHeight="1"/>
    <row r="495" ht="25" customHeight="1"/>
  </sheetData>
  <mergeCells count="39">
    <mergeCell ref="B4:J4"/>
    <mergeCell ref="L50:M50"/>
    <mergeCell ref="B50:D50"/>
    <mergeCell ref="A53:A60"/>
    <mergeCell ref="A49:A52"/>
    <mergeCell ref="B41:B47"/>
    <mergeCell ref="G50:H50"/>
    <mergeCell ref="G49:I49"/>
    <mergeCell ref="B49:D49"/>
    <mergeCell ref="B51:D51"/>
    <mergeCell ref="B60:D60"/>
    <mergeCell ref="B55:D55"/>
    <mergeCell ref="B56:D56"/>
    <mergeCell ref="B59:D59"/>
    <mergeCell ref="B57:D57"/>
    <mergeCell ref="B58:D58"/>
    <mergeCell ref="B1:M2"/>
    <mergeCell ref="G52:H52"/>
    <mergeCell ref="B52:D52"/>
    <mergeCell ref="B53:D53"/>
    <mergeCell ref="B54:D54"/>
    <mergeCell ref="L13:M13"/>
    <mergeCell ref="K4:L4"/>
    <mergeCell ref="B6:B12"/>
    <mergeCell ref="B5:C5"/>
    <mergeCell ref="K3:L3"/>
    <mergeCell ref="B34:B40"/>
    <mergeCell ref="L6:M6"/>
    <mergeCell ref="B13:B19"/>
    <mergeCell ref="B20:B26"/>
    <mergeCell ref="B27:B33"/>
    <mergeCell ref="B3:J3"/>
    <mergeCell ref="G54:H54"/>
    <mergeCell ref="G53:H53"/>
    <mergeCell ref="G51:H51"/>
    <mergeCell ref="L20:M20"/>
    <mergeCell ref="L27:M27"/>
    <mergeCell ref="L34:M34"/>
    <mergeCell ref="L41:M41"/>
  </mergeCells>
  <printOptions horizontalCentered="1" verticalCentered="1"/>
  <pageMargins left="0.23622047244094491" right="0.23622047244094491" top="0.55118110236220474" bottom="0.55118110236220474" header="0" footer="0"/>
  <pageSetup paperSize="9" scale="30" orientation="portrait" verticalDpi="4294967294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 enableFormatConditionsCalculation="0"/>
  <dimension ref="A1:BD23"/>
  <sheetViews>
    <sheetView tabSelected="1" topLeftCell="AM1" workbookViewId="0">
      <pane ySplit="1" topLeftCell="A2" activePane="bottomLeft" state="frozen"/>
      <selection pane="bottomLeft" activeCell="S2" sqref="S2"/>
    </sheetView>
  </sheetViews>
  <sheetFormatPr baseColWidth="10" defaultColWidth="10.83203125" defaultRowHeight="14" x14ac:dyDescent="0"/>
  <cols>
    <col min="1" max="1" width="27.1640625" style="55" customWidth="1"/>
    <col min="2" max="4" width="10.83203125" style="55"/>
    <col min="5" max="5" width="13.83203125" style="55" customWidth="1"/>
    <col min="6" max="6" width="22.1640625" style="55" customWidth="1"/>
    <col min="7" max="7" width="11.1640625" style="3" customWidth="1"/>
    <col min="8" max="8" width="12.5" style="55" customWidth="1"/>
    <col min="9" max="9" width="11.83203125" style="55" customWidth="1"/>
    <col min="10" max="10" width="11.33203125" style="55" customWidth="1"/>
    <col min="11" max="12" width="10.83203125" style="55"/>
    <col min="13" max="14" width="14.5" style="55" customWidth="1"/>
    <col min="15" max="15" width="12.5" style="55" customWidth="1"/>
    <col min="16" max="16" width="10.83203125" style="55"/>
    <col min="17" max="17" width="12.5" style="55" customWidth="1"/>
    <col min="18" max="18" width="10.83203125" style="55"/>
    <col min="19" max="19" width="12.5" style="55" customWidth="1"/>
    <col min="20" max="32" width="10.83203125" style="55"/>
    <col min="33" max="33" width="15.33203125" style="55" customWidth="1"/>
    <col min="34" max="38" width="16.6640625" style="55" customWidth="1"/>
    <col min="39" max="39" width="12.6640625" style="55" customWidth="1"/>
    <col min="40" max="40" width="14.6640625" style="55" customWidth="1"/>
    <col min="41" max="41" width="16.5" style="55" customWidth="1"/>
    <col min="42" max="43" width="10.83203125" style="55"/>
    <col min="44" max="44" width="15.83203125" style="55" customWidth="1"/>
    <col min="45" max="45" width="11.83203125" style="55" customWidth="1"/>
    <col min="46" max="46" width="15.33203125" style="55" customWidth="1"/>
    <col min="47" max="47" width="14.33203125" style="55" customWidth="1"/>
    <col min="48" max="48" width="17.5" style="55" bestFit="1" customWidth="1"/>
    <col min="49" max="49" width="10.83203125" style="55"/>
    <col min="50" max="50" width="10.5" style="55" customWidth="1"/>
    <col min="51" max="16384" width="10.83203125" style="55"/>
  </cols>
  <sheetData>
    <row r="1" spans="1:56" ht="56">
      <c r="A1" s="46" t="s">
        <v>53</v>
      </c>
      <c r="B1" s="46" t="s">
        <v>52</v>
      </c>
      <c r="C1" s="45" t="s">
        <v>51</v>
      </c>
      <c r="D1" s="45" t="s">
        <v>50</v>
      </c>
      <c r="E1" s="47" t="s">
        <v>0</v>
      </c>
      <c r="F1" s="47" t="s">
        <v>49</v>
      </c>
      <c r="G1" s="65" t="s">
        <v>80</v>
      </c>
      <c r="H1" s="47" t="s">
        <v>48</v>
      </c>
      <c r="I1" s="47" t="s">
        <v>47</v>
      </c>
      <c r="J1" s="47" t="s">
        <v>46</v>
      </c>
      <c r="K1" s="47" t="s">
        <v>45</v>
      </c>
      <c r="L1" s="47" t="s">
        <v>54</v>
      </c>
      <c r="M1" s="47" t="s">
        <v>65</v>
      </c>
      <c r="N1" s="47" t="s">
        <v>55</v>
      </c>
      <c r="O1" s="47" t="s">
        <v>66</v>
      </c>
      <c r="P1" s="47" t="s">
        <v>56</v>
      </c>
      <c r="Q1" s="47" t="s">
        <v>67</v>
      </c>
      <c r="R1" s="47" t="s">
        <v>57</v>
      </c>
      <c r="S1" s="47" t="s">
        <v>68</v>
      </c>
      <c r="T1" s="47" t="s">
        <v>58</v>
      </c>
      <c r="U1" s="47" t="s">
        <v>69</v>
      </c>
      <c r="V1" s="47" t="s">
        <v>61</v>
      </c>
      <c r="W1" s="47" t="s">
        <v>70</v>
      </c>
      <c r="X1" s="47" t="s">
        <v>62</v>
      </c>
      <c r="Y1" s="47" t="s">
        <v>71</v>
      </c>
      <c r="Z1" s="47" t="s">
        <v>59</v>
      </c>
      <c r="AA1" s="47" t="s">
        <v>72</v>
      </c>
      <c r="AB1" s="47" t="s">
        <v>63</v>
      </c>
      <c r="AC1" s="47" t="s">
        <v>73</v>
      </c>
      <c r="AD1" s="47" t="s">
        <v>64</v>
      </c>
      <c r="AE1" s="47" t="s">
        <v>74</v>
      </c>
      <c r="AF1" s="47" t="s">
        <v>60</v>
      </c>
      <c r="AG1" s="65" t="s">
        <v>82</v>
      </c>
      <c r="AH1" s="47" t="s">
        <v>76</v>
      </c>
      <c r="AI1" s="47" t="s">
        <v>44</v>
      </c>
      <c r="AJ1" s="47" t="s">
        <v>77</v>
      </c>
      <c r="AK1" s="65" t="s">
        <v>81</v>
      </c>
      <c r="AL1" s="47" t="s">
        <v>78</v>
      </c>
      <c r="AM1" s="47" t="s">
        <v>93</v>
      </c>
      <c r="AN1" s="47" t="s">
        <v>92</v>
      </c>
      <c r="AO1" s="47" t="s">
        <v>94</v>
      </c>
      <c r="AP1" s="47" t="s">
        <v>31</v>
      </c>
      <c r="AQ1" s="47" t="s">
        <v>32</v>
      </c>
      <c r="AR1" s="47" t="s">
        <v>14</v>
      </c>
      <c r="AS1" s="106" t="s">
        <v>87</v>
      </c>
      <c r="AT1" s="107" t="s">
        <v>95</v>
      </c>
      <c r="AU1" s="107" t="s">
        <v>96</v>
      </c>
      <c r="AV1" s="107" t="s">
        <v>88</v>
      </c>
      <c r="AX1" s="104" t="s">
        <v>102</v>
      </c>
      <c r="AY1" s="105" t="s">
        <v>103</v>
      </c>
      <c r="AZ1" s="105" t="s">
        <v>98</v>
      </c>
      <c r="BA1" s="105" t="s">
        <v>99</v>
      </c>
      <c r="BB1" s="105"/>
    </row>
    <row r="2" spans="1:56">
      <c r="A2" s="56" t="str">
        <f t="shared" ref="A2:A22" si="0">CONCATENATE($F2,$E2)</f>
        <v>JACKSON43344</v>
      </c>
      <c r="B2" s="48">
        <f t="shared" ref="B2:B22" si="1">IF(E2="","",$E2)</f>
        <v>43344</v>
      </c>
      <c r="C2" s="49">
        <f t="shared" ref="C2:C22" si="2">IF(E2="","",E2)</f>
        <v>43344</v>
      </c>
      <c r="D2" s="50">
        <f t="shared" ref="D2:D22" si="3">IF(E2="","",WEEKNUM(E2,2))</f>
        <v>35</v>
      </c>
      <c r="E2" s="57">
        <v>43344</v>
      </c>
      <c r="F2" s="58" t="s">
        <v>100</v>
      </c>
      <c r="G2" s="58"/>
      <c r="H2" s="58"/>
      <c r="I2" s="58"/>
      <c r="J2" s="58"/>
      <c r="K2" s="58">
        <f>Tableau3[[#This Row],[Km Fin]]-Tableau3[[#This Row],[Km Début]]</f>
        <v>0</v>
      </c>
      <c r="L2" s="61">
        <v>0.16666666666666666</v>
      </c>
      <c r="M2" s="58" t="s">
        <v>76</v>
      </c>
      <c r="N2" s="61">
        <v>0.20833333333333334</v>
      </c>
      <c r="O2" s="58" t="s">
        <v>44</v>
      </c>
      <c r="P2" s="61">
        <v>0.29166666666666669</v>
      </c>
      <c r="Q2" s="58" t="s">
        <v>93</v>
      </c>
      <c r="R2" s="61">
        <v>0.30208333333333331</v>
      </c>
      <c r="S2" s="58" t="s">
        <v>92</v>
      </c>
      <c r="T2" s="61">
        <v>0.32291666666666669</v>
      </c>
      <c r="U2" s="58" t="s">
        <v>44</v>
      </c>
      <c r="V2" s="61">
        <v>0.42708333333333331</v>
      </c>
      <c r="W2" s="58"/>
      <c r="X2" s="61"/>
      <c r="Y2" s="58"/>
      <c r="Z2" s="61"/>
      <c r="AA2" s="58"/>
      <c r="AB2" s="61"/>
      <c r="AC2" s="58"/>
      <c r="AD2" s="61"/>
      <c r="AE2" s="58"/>
      <c r="AF2" s="61"/>
      <c r="AG2" s="61">
        <f>MOD(Tableau3[[#This Row],[CHARGEMENT]]+Tableau3[[#This Row],[DECHARGEMENT]]+Tableau3[[#This Row],[CONDUITE]]+Tableau3[[#This Row],[GASOIL
EMBALLAGE]]+Tableau3[[#This Row],[ADMINISTRATIF]],1)</f>
        <v>0.22916666666666666</v>
      </c>
      <c r="AH2" s="61">
        <f t="shared" ref="AH2:AH22" si="4">MOD(IF($M2=AH$1,$N2-$L2,0)+IF($O2=AH$1,$P2-$N2,0)+IF($Q2=AH$1,$R2-$P2,0)+IF($S2=AH$1,$T2-$R2,0)+IF($U2=AH$1,$V2-$T2,0)+IF($W2=AH$1,$X2-$V2,0)+IF($Y2=AH$1,$Z2-$X2,0)+IF($AA2=AH$1,$AB2-$Z2,0)+IF($AC2=AH$1,$AD2-$AB2,0)+IF($AE2=AH$1,$AF2-$AD2,0),1)</f>
        <v>4.1666666666666685E-2</v>
      </c>
      <c r="AI2" s="61">
        <f t="shared" ref="AI2:AI22" si="5">MOD(IF($M2=AI$1,$N2-$L2,0)+IF($O2=AI$1,$P2-$N2,0)+IF($Q2=AI$1,$R2-$P2,0)+IF($S2=AI$1,$T2-$R2,0)+IF($U2=AI$1,$V2-$T2,0)+IF($W2=AI$1,$X2-$V2,0)+IF($Y2=AI$1,$Z2-$X2,0)+IF($AA2=AI$1,$AB2-$Z2,0)+IF($AC2=AI$1,$AD2-$AB2,0)+IF($AE2=AI$1,$AF2-$AD2,0),1)</f>
        <v>0.18749999999999997</v>
      </c>
      <c r="AJ2" s="61">
        <f t="shared" ref="AJ2:AJ22" si="6">MOD(IF($M2=AJ$1,$N2-$L2,0)+IF($O2=AJ$1,$P2-$N2,0)+IF($Q2=AJ$1,$R2-$P2,0)+IF($S2=AJ$1,$T2-$R2,0)+IF($U2=AJ$1,$V2-$T2,0)+IF($W2=AJ$1,$X2-$V2,0)+IF($Y2=AJ$1,$Z2-$X2,0)+IF($AA2=AJ$1,$AB2-$Z2,0)+IF($AC2=AJ$1,$AD2-$AB2,0)+IF($AE2=AJ$1,$AF2-$AD2,0),1)</f>
        <v>0</v>
      </c>
      <c r="AK2" s="61">
        <f t="shared" ref="AK2:AK22" si="7">MOD(IF($M2=AK$1,$N2-$L2,0)+IF($O2=AK$1,$P2-$N2,0)+IF($Q2=AK$1,$R2-$P2,0)+IF($S2=AK$1,$T2-$R2,0)+IF($U2=AK$1,$V2-$T2,0)+IF($W2=AK$1,$X2-$V2,0)+IF($Y2=AK$1,$Z2-$X2,0)+IF($AA2=AK$1,$AB2-$Z2,0)+IF($AC2=AK$1,$AD2-$AB2,0)+IF($AE2=AK$1,$AF2-$AD2,0),1)</f>
        <v>0</v>
      </c>
      <c r="AL2" s="61">
        <f t="shared" ref="AL2:AL22" si="8">MOD(IF($M2=AL$1,$N2-$L2,0)+IF($O2=AL$1,$P2-$N2,0)+IF($Q2=AL$1,$R2-$P2,0)+IF($S2=AL$1,$T2-$R2,0)+IF($U2=AL$1,$V2-$T2,0)+IF($W2=AL$1,$X2-$V2,0)+IF($Y2=AL$1,$Z2-$X2,0)+IF($AA2=AL$1,$AB2-$Z2,0)+IF($AC2=AL$1,$AD2-$AB2,0)+IF($AE2=AL$1,$AF2-$AD2,0),1)</f>
        <v>0</v>
      </c>
      <c r="AM2" s="61">
        <f t="shared" ref="AM2:AM22" si="9">MOD(IF($M2=AM$1,$N2-$L2,0)+IF($O2=AM$1,$P2-$N2,0)+IF($Q2=AM$1,$R2-$P2,0)+IF($S2=AM$1,$T2-$R2,0)+IF($U2=AM$1,$V2-$T2,0)+IF($W2=AM$1,$X2-$V2,0)+IF($Y2=AM$1,$Z2-$X2,0)+IF($AA2=AM$1,$AB2-$Z2,0)+IF($AC2=AM$1,$AD2-$AB2,0)+IF($AE2=AM$1,$AF2-$AD2,0),1)</f>
        <v>1.041666666666663E-2</v>
      </c>
      <c r="AN2" s="61">
        <f t="shared" ref="AN2:AN22" si="10">MOD(IF($M2=AN$1,$N2-$L2,0)+IF($O2=AN$1,$P2-$N2,0)+IF($Q2=AN$1,$R2-$P2,0)+IF($S2=AN$1,$T2-$R2,0)+IF($U2=AN$1,$V2-$T2,0)+IF($W2=AN$1,$X2-$V2,0)+IF($Y2=AN$1,$Z2-$X2,0)+IF($AA2=AN$1,$AB2-$Z2,0)+IF($AC2=AN$1,$AD2-$AB2,0)+IF($AE2=AN$1,$AF2-$AD2,0),1)</f>
        <v>2.083333333333337E-2</v>
      </c>
      <c r="AO2" s="61">
        <f>MOD(Tableau3[[#This Row],[PAUSE 1]]+Tableau3[[#This Row],[PAUSE 2]],1)</f>
        <v>3.125E-2</v>
      </c>
      <c r="AP2" s="61">
        <f t="shared" ref="AP2:AP22" si="11">MOD(IF($M2=AP$1,$N2-$L2,0)+IF($O2=AP$1,$P2-$N2,0)+IF($Q2=AP$1,$R2-$P2,0)+IF($S2=AP$1,$T2-$R2,0)+IF($U2=AP$1,$V2-$T2,0)+IF($W2=AP$1,$X2-$V2,0)+IF($Y2=AP$1,$Z2-$X2,0)+IF($AA2=AP$1,$AB2-$Z2,0)+IF($AC2=AP$1,$AD2-$AB2,0)+IF($AE2=AP$1,$AF2-$AD2,0),1)</f>
        <v>0</v>
      </c>
      <c r="AQ2" s="61">
        <f t="shared" ref="AQ2:AQ22" si="12">MOD(IF($M2=AQ$1,$N2-$L2,0)+IF($O2=AQ$1,$P2-$N2,0)+IF($Q2=AQ$1,$R2-$P2,0)+IF($S2=AQ$1,$T2-$R2,0)+IF($U2=AQ$1,$V2-$T2,0)+IF($W2=AQ$1,$X2-$V2,0)+IF($Y2=AQ$1,$Z2-$X2,0)+IF($AA2=AQ$1,$AB2-$Z2,0)+IF($AC2=AQ$1,$AD2-$AB2,0)+IF($AE2=AQ$1,$AF2-$AD2,0),1)</f>
        <v>0</v>
      </c>
      <c r="AR2" s="61">
        <f t="shared" ref="AR2:AR22" si="13">MOD(IF($M2=AR$1,$N2-$L2,0)+IF($O2=AR$1,$P2-$N2,0)+IF($Q2=AR$1,$R2-$P2,0)+IF($S2=AR$1,$T2-$R2,0)+IF($U2=AR$1,$V2-$T2,0)+IF($W2=AR$1,$X2-$V2,0)+IF($Y2=AR$1,$Z2-$X2,0)+IF($AA2=AR$1,$AB2-$Z2,0)+IF($AC2=AR$1,$AD2-$AB2,0)+IF($AE2=AR$1,$AF2-$AD2,0),1)</f>
        <v>0</v>
      </c>
      <c r="AS2" s="87">
        <f>Tableau3[[#This Row],[TOTAL EFFECTIF]]+Tableau3[[#This Row],[TOTAL PAUSE]]</f>
        <v>0.26041666666666663</v>
      </c>
      <c r="AT2" s="91" t="str">
        <f>IF(Tableau3[[#This Row],[TOTAL EFFECTIF]]+Tableau3[[#This Row],[DEL]]+Tableau3[[#This Row],[DIR]]+Tableau3[[#This Row],[FORMATION]]&gt;Feuil2!$E$2,"INFRACTION","")</f>
        <v/>
      </c>
      <c r="AU2" s="87" t="str">
        <f>IFERROR(IF(Tableau3[[#This Row],[TOTAL EFFECTIF]]&gt;=Feuil2!$F$2,IF(Tableau3[[#This Row],[PAUSE 1]]&gt;0,IF(IF(M2="PAUSE 1",L2,IF(O2="PAUSE 1",N2,IF(Q2="PAUSE 1",P2,IF(S2="PAUSE 1",R2,IF(U2="PAUSE 1",T2,IF(W2="PAUSE 1",V2,IF(Y2="PAUSE 1",X2,IF(AA2="PAUSE 1",Z2,IF(AC2="PAUSE 1",AB2,IF(AE2="PAUSE 1",AD2,""))))))))))-Tableau3[[#This Row],[DEBUT]]&lt;Feuil2!$F$2,IF(AM2&gt;=Feuil2!$F$3,"",IF(IF(M2="PAUSE 2",L2,IF(O2="PAUSE 2",N2,IF(Q2="PAUSE 2",P2,IF(S2="PAUSE 2",R2,IF(U2="PAUSE 2",T2,IF(W2="PAUSE 2",V2,IF(Y2="PAUSE 2",X2,IF(AA2="PAUSE 2",Z2,IF(AC2="PAUSE 2",AB2,IF(AE2="PAUSE 2",AD2,""))))))))))-L2&lt;Feuil2!$F$2,IF(AN2&gt;0,IF(AO2&gt;=Feuil2!$F$3,"","Infraction"),"Infraction"),"Infraction")),"Infraction"),"Infraction"),""),"Infraction")</f>
        <v/>
      </c>
      <c r="AV2" s="89" t="str">
        <f>IF($AI2&gt;=Feuil2!$G$2,IF(AM2&gt;0,IF(IF(M2="PAUSE 1",L2,IF(O2="PAUSE 1",N2-L2,IF(Q2="PAUSE 1",P2-L2,IF(S2="PAUSE 1",R2-L2,IF(U2="PAUSE 1",T2-L2,IF(W2="PAUSE 1",V2-L2,IF(Y2="PAUSE 1",X2-L2,IF(AA2="PAUSE 1",Z2-L2,IF(AC2="PAUSE 1",AB2-L2,IF(AE2="PAUSE 1",AD2-L2,""))))))))))-$N2&lt;=Feuil2!$G$2,IF(AM2&lt;Feuil2!$G$3,"Infraction",IF(AM2&gt;=Feuil2!$G$5,"",IF(AN2&gt;0,IF(IF(M2="PAUSE 2",L2,IF(O2="PAUSE 2",N2,IF(Q2="PAUSE 2",P2,IF(S2="PAUSE 2",R2,IF(U2="PAUSE 2",T2,IF(W2="PAUSE 2",V2,IF(Y2="PAUSE 2",X2,IF(AA2="PAUSE 2",Z2,IF(AC2="PAUSE 2",AB2,IF(AE2="PAUSE 2",AD2,""))))))))))-$N2&lt;=Feuil2!$G$2,IF(AN2&lt;Feuil2!$G$4,"Infraction",IF(AO2&gt;=Feuil2!$G$5,"","Infraction")),"Infraction"),"Infraction"))),"Infraction"),"Infraction"),"")</f>
        <v>Infraction</v>
      </c>
      <c r="AW2" s="90"/>
      <c r="AX2" s="99">
        <f>IFERROR(MOD(IF(M2="PAUSE 1",L2,IF(O2="PAUSE 1",N2-L2,IF(Q2="PAUSE 1",P2-L2,IF(S2="PAUSE 1",R2-L2,IF(U2="PAUSE 1",T2-L2,IF(W2="PAUSE 1",V2-L2,IF(Y2="PAUSE 1",X2-L2,IF(AA2="PAUSE 1",Z2-L2,IF(AC2="PAUSE 1",AB2-L2,IF(AE2="PAUSE 1",AD2-L2,"")))))))))),1),"")</f>
        <v>0.12500000000000003</v>
      </c>
      <c r="AY2" s="99">
        <f t="shared" ref="AY2:AY22" si="14">IFERROR(MOD(IF(M2="PAUSE 2",L2,IF(O2="PAUSE 2",N2-L2,IF(Q2="PAUSE 2",P2-L2,IF(S2="PAUSE 2",R2-L2,IF(U2="PAUSE 2",T2-L2,IF(W2="PAUSE 2",V2-L2,IF(Y2="PAUSE 2",X2-L2,IF(AA2="PAUSE 2",Z2-L2,IF(AC2="PAUSE 2",AB2-L2,IF(AE2="PAUSE 2",AD2-L2,"")))))))))),1),"")</f>
        <v>0.13541666666666666</v>
      </c>
      <c r="BB2" s="55" t="str">
        <f>IF(AO2&gt;=Feuil2!$G$5,"","Infraction")</f>
        <v/>
      </c>
      <c r="BC2" s="55" t="str">
        <f>IF(AO2&gt;=Feuil2!$G$5,"X","Infraction")</f>
        <v>X</v>
      </c>
      <c r="BD2" s="55" t="s">
        <v>97</v>
      </c>
    </row>
    <row r="3" spans="1:56">
      <c r="A3" s="59" t="str">
        <f t="shared" si="0"/>
        <v>43344</v>
      </c>
      <c r="B3" s="51">
        <f t="shared" si="1"/>
        <v>43344</v>
      </c>
      <c r="C3" s="52">
        <f t="shared" si="2"/>
        <v>43344</v>
      </c>
      <c r="D3" s="53">
        <f t="shared" si="3"/>
        <v>35</v>
      </c>
      <c r="E3" s="60">
        <v>43344</v>
      </c>
      <c r="F3" s="53"/>
      <c r="G3" s="53"/>
      <c r="H3" s="53"/>
      <c r="I3" s="53"/>
      <c r="J3" s="53"/>
      <c r="K3" s="53">
        <f>Tableau3[[#This Row],[Km Fin]]-Tableau3[[#This Row],[Km Début]]</f>
        <v>0</v>
      </c>
      <c r="L3" s="62"/>
      <c r="M3" s="53"/>
      <c r="N3" s="62"/>
      <c r="O3" s="53"/>
      <c r="P3" s="62"/>
      <c r="Q3" s="53"/>
      <c r="R3" s="62"/>
      <c r="S3" s="53"/>
      <c r="T3" s="62"/>
      <c r="U3" s="53"/>
      <c r="V3" s="62"/>
      <c r="W3" s="53"/>
      <c r="X3" s="62"/>
      <c r="Y3" s="53"/>
      <c r="Z3" s="62"/>
      <c r="AA3" s="53"/>
      <c r="AB3" s="62"/>
      <c r="AC3" s="53"/>
      <c r="AD3" s="62"/>
      <c r="AE3" s="53"/>
      <c r="AF3" s="62"/>
      <c r="AG3" s="62">
        <f>MOD(Tableau3[[#This Row],[CHARGEMENT]]+Tableau3[[#This Row],[DECHARGEMENT]]+Tableau3[[#This Row],[CONDUITE]]+Tableau3[[#This Row],[GASOIL
EMBALLAGE]]+Tableau3[[#This Row],[ADMINISTRATIF]],1)</f>
        <v>0</v>
      </c>
      <c r="AH3" s="95">
        <f t="shared" si="4"/>
        <v>0</v>
      </c>
      <c r="AI3" s="95">
        <f t="shared" si="5"/>
        <v>0</v>
      </c>
      <c r="AJ3" s="95">
        <f t="shared" si="6"/>
        <v>0</v>
      </c>
      <c r="AK3" s="95">
        <f t="shared" si="7"/>
        <v>0</v>
      </c>
      <c r="AL3" s="95">
        <f t="shared" si="8"/>
        <v>0</v>
      </c>
      <c r="AM3" s="95">
        <f t="shared" si="9"/>
        <v>0</v>
      </c>
      <c r="AN3" s="95">
        <f t="shared" si="10"/>
        <v>0</v>
      </c>
      <c r="AO3" s="95">
        <f>MOD(Tableau3[[#This Row],[PAUSE 1]]+Tableau3[[#This Row],[PAUSE 2]],1)</f>
        <v>0</v>
      </c>
      <c r="AP3" s="95">
        <f t="shared" si="11"/>
        <v>0</v>
      </c>
      <c r="AQ3" s="95">
        <f t="shared" si="12"/>
        <v>0</v>
      </c>
      <c r="AR3" s="95">
        <f t="shared" si="13"/>
        <v>0</v>
      </c>
      <c r="AS3" s="96">
        <f>Tableau3[[#This Row],[TOTAL EFFECTIF]]+Tableau3[[#This Row],[TOTAL PAUSE]]</f>
        <v>0</v>
      </c>
      <c r="AT3" s="97" t="str">
        <f>IF(Tableau3[[#This Row],[TOTAL EFFECTIF]]+Tableau3[[#This Row],[DEL]]+Tableau3[[#This Row],[DIR]]+Tableau3[[#This Row],[FORMATION]]&gt;Feuil2!$E$2,"INFRACTION","")</f>
        <v/>
      </c>
      <c r="AU3" s="96" t="str">
        <f>IFERROR(IF(Tableau3[[#This Row],[TOTAL EFFECTIF]]&gt;=Feuil2!$F$2,IF(Tableau3[[#This Row],[PAUSE 1]]&gt;0,IF(IF(M3="PAUSE 1",L3,IF(O3="PAUSE 1",N3,IF(Q3="PAUSE 1",P3,IF(S3="PAUSE 1",R3,IF(U3="PAUSE 1",T3,IF(W3="PAUSE 1",V3,IF(Y3="PAUSE 1",X3,IF(AA3="PAUSE 1",Z3,IF(AC3="PAUSE 1",AB3,IF(AE3="PAUSE 1",AD3,""))))))))))-Tableau3[[#This Row],[DEBUT]]&lt;Feuil2!$F$2,IF(AM3&gt;=Feuil2!$F$3,"",IF(IF(M3="PAUSE 2",L3,IF(O3="PAUSE 2",N3,IF(Q3="PAUSE 2",P3,IF(S3="PAUSE 2",R3,IF(U3="PAUSE 2",T3,IF(W3="PAUSE 2",V3,IF(Y3="PAUSE 2",X3,IF(AA3="PAUSE 2",Z3,IF(AC3="PAUSE 2",AB3,IF(AE3="PAUSE 2",AD3,""))))))))))-L3&lt;Feuil2!$F$2,IF(AN3&gt;0,IF(AO3&gt;=Feuil2!$F$3,"","Infraction"),"Infraction"),"Infraction")),"Infraction"),"Infraction"),""),"Infraction")</f>
        <v/>
      </c>
      <c r="AV3" s="88" t="str">
        <f>IF($AI3&gt;=Feuil2!$G$2,IF(AM3&gt;0,IF(IF(M3="PAUSE 1",L3,IF(O3="PAUSE 1",N3-L3,IF(Q3="PAUSE 1",P3-L3,IF(S3="PAUSE 1",R3-L3,IF(U3="PAUSE 1",T3-L3,IF(W3="PAUSE 1",V3-L3,IF(Y3="PAUSE 1",X3-L3,IF(AA3="PAUSE 1",Z3-L3,IF(AC3="PAUSE 1",AB3-L3,IF(AE3="PAUSE 1",AD3-L3,""))))))))))-$N3&lt;=Feuil2!$G$2,IF(AM3&lt;Feuil2!$G$3,"Infraction",IF(AM3&gt;=Feuil2!$G$5,"",IF(AN3&gt;0,IF(IF(M3="PAUSE 2",L3,IF(O3="PAUSE 2",N3,IF(Q3="PAUSE 2",P3,IF(S3="PAUSE 2",R3,IF(U3="PAUSE 2",T3,IF(W3="PAUSE 2",V3,IF(Y3="PAUSE 2",X3,IF(AA3="PAUSE 2",Z3,IF(AC3="PAUSE 2",AB3,IF(AE3="PAUSE 2",AD3,""))))))))))-$N3&lt;=Feuil2!$G$2,IF(AN3&lt;Feuil2!$G$4,"Infraction",IF(AO3&gt;=Feuil2!$G$5,"","Infraction")),"Infraction"),"Infraction"))),"Infraction"),"Infraction"),"")</f>
        <v/>
      </c>
      <c r="AX3" s="99" t="str">
        <f t="shared" ref="AX3:AX22" si="15">IFERROR(MOD(IF(M3="PAUSE 1",L3,IF(O3="PAUSE 1",N3-L3,IF(Q3="PAUSE 1",P3-L3,IF(S3="PAUSE 1",R3-L3,IF(U3="PAUSE 1",T3-L3,IF(W3="PAUSE 1",V3-L3,IF(Y3="PAUSE 1",X3-L3,IF(AA3="PAUSE 1",Z3-L3,IF(AC3="PAUSE 1",AB3-L3,IF(AE3="PAUSE 1",AD3-L3,"")))))))))),1),"")</f>
        <v/>
      </c>
      <c r="AY3" s="99" t="str">
        <f t="shared" si="14"/>
        <v/>
      </c>
      <c r="BB3" s="55" t="str">
        <f>IF(AN2&lt;Feuil2!$G$4,"Infraction",IF(AO2&gt;=Feuil2!$G$5,"","Infraction"))</f>
        <v/>
      </c>
      <c r="BC3" s="55" t="str">
        <f>IF(AN2&lt;Feuil2!$G$4,"Infraction","X")</f>
        <v>X</v>
      </c>
      <c r="BD3" s="55" t="str">
        <f>IF(OR(AE2="CHARGEMENT",AE2="DECHARGEMENT",AE2="ADMINISTRATIF",AE2="DEL",AE2="DIR",AE2="FORMATION",AE2="GASOIL/EMBALLAGE"),IF(M2="PAUSE 2",L2,IF(O2="PAUSE 2",N2-L2,IF(Q2="PAUSE 2",P2-L2,IF(S2="PAUSE 2",R2-L2,IF(U2="PAUSE 2",T2-L2,IF(W2="PAUSE 2",V2-L2,IF(Y2="PAUSE 2",X2-L2,IF(AA2="PAUSE 2",Z2-L2,IF(AC2="PAUSE 2",AB2-L2,IF(AE2="PAUSE 2",AD2-L2,""))))))))))-($AD2-$L2),IF(OR(AC2="CHARGEMENT",AC2="DECHARGEMENT",AC2="ADMINISTRATIF",AC2="DEL",AC2="DIR",AC2="FORMATION",AC2="GASOIL/EMBALLAGE"),IF(M2="PAUSE 2",L2,IF(O2="PAUSE 2",N2-L2,IF(Q2="PAUSE 2",P2-L2,IF(S2="PAUSE 2",R2-L2,IF(U2="PAUSE 2",T2-L2,IF(W2="PAUSE 2",V2-L2,IF(Y2="PAUSE 2",X2-L2,IF(AA2="PAUSE 2",Z2-L2,IF(AC2="PAUSE 2",AB2-L2,IF(AE2="PAUSE 2",AD2-L2,""))))))))))-($AB2-$L2),IF(OR(AA2="CHARGEMENT",AA2="DECHARGEMENT",AA2="ADMINISTRATIF",AA2="DEL",AA2="DIR",AA2="FORMATION",AA2="GASOIL/EMBALLAGE"),IF(M2="PAUSE 2",L2,IF(O2="PAUSE 2",N2-L2,IF(Q2="PAUSE 2",P2-L2,IF(S2="PAUSE 2",R2-L2,IF(U2="PAUSE 2",T2-L2,IF(W2="PAUSE 2",V2-L2,IF(Y2="PAUSE 2",X2-L2,IF(AA2="PAUSE 2",Z2-L2,IF(AC2="PAUSE 2",AB2-L2,IF(AE2="PAUSE 2",AD2-L2,""))))))))))-($Z2-$L2),IF(OR(Y2="CHARGEMENT",Y2="DECHARGEMENT",Y2="ADMINISTRATIF",Y2="DEL",X2="DIR",Y2="FORMATION",Y2="GASOIL/EMBALLAGE"),IF(M2="PAUSE 2",L2,IF(O2="PAUSE 2",N2-L2,IF(Q2="PAUSE 2",P2-L2,IF(S2="PAUSE 2",R2-L2,IF(U2="PAUSE 2",T2-L2,IF(W2="PAUSE 2",V2-L2,IF(Y2="PAUSE 2",X2-L2,IF(AA2="PAUSE 2",Z2-L2,IF(AC2="PAUSE 2",AB2-L2,IF(AE2="PAUSE 2",AD2-L2,""))))))))))-($X2-$L2),IF(OR(W2="CHARGEMENT",W2="DECHARGEMENT",W2="ADMINISTRATIF",W2="DEL",W2="DIR",W2="FORMATION",W2="GASOIL/EMBALLAGE"),IF(M2="PAUSE 2",L2,IF(O2="PAUSE 2",N2-L2,IF(Q2="PAUSE 2",P2-L2,IF(S2="PAUSE 2",R2-L2,IF(U2="PAUSE 2",T2-L2,IF(W2="PAUSE 2",V2-L2,IF(Y2="PAUSE 2",X2-L2,IF(AA2="PAUSE 2",Z2-L2,IF(AC2="PAUSE 2",AB2-L2,IF(AE2="PAUSE 2",AD2-L2,""))))))))))-($V2-$L2),IF(OR(U2="CHARGEMENT",U2="DECHARGEMENT",U2="ADMINISTRATIF",U2="DEL",U2="DIR",U2="FORMATION",U2="GASOIL/EMBALLAGE"),IF(M2="PAUSE 2",L2,IF(O2="PAUSE 2",N2-L2,IF(Q2="PAUSE 2",P2-L2,IF(S2="PAUSE 2",R2-L2,IF(U2="PAUSE 2",T2-L2,IF(W2="PAUSE 2",V2-L2,IF(Y2="PAUSE 2",X2-L2,IF(AA2="PAUSE 2",Z2-L2,IF(AC2="PAUSE 2",AB2-L2,IF(AE2="PAUSE 2",AD2-L2,""))))))))))-($T2-$L2),IF(OR(S2="CHARGEMENT",S2="DECHARGEMENT",S2="ADMINISTRATIF",S2="DEL",S2="DIR",S2="FORMATION",S2="GASOIL/EMBALLAGE"),IF(M2="PAUSE 2",L2,IF(O2="PAUSE 2",N2-L2,IF(Q2="PAUSE 2",P2-L2,IF(S2="PAUSE 2",R2-L2,IF(U2="PAUSE 2",T2-L2,IF(W2="PAUSE 2",V2-L2,IF(Y2="PAUSE 2",X2-L2,IF(AA2="PAUSE 2",Z2-L2,IF(AC2="PAUSE 2",AB2-L2,IF(AE2="PAUSE 2",AD2-L2,""))))))))))-($R2-$L2),IF(OR(Q2="CHARGEMENT",Q2="DECHARGEMENT",Q2="ADMINISTRATIF",Q2="DEL",Q2="DIR",Q2="FORMATION",Q2="GASOIL/EMBALLAGE"),IF(M2="PAUSE 2",L2,IF(O2="PAUSE 2",N2-L2,IF(Q2="PAUSE 2",P2-L2,IF(S2="PAUSE 2",R2-L2,IF(U2="PAUSE 2",T2-L2,IF(W2="PAUSE 2",V2-L2,IF(Y2="PAUSE 2",X2-L2,IF(AA2="PAUSE 2",Z2-L2,IF(AC2="PAUSE 2",AB2-L2,IF(AE2="PAUSE 2",AD2-L2,""))))))))))-($P2-$L2),IF(OR(O2="CHARGEMENT",O2="DECHARGEMENT",O2="ADMINISTRATIF",O2="DEL",O2="DIR",O2="FORMATION",O2="GASOIL/EMBALLAGE"),IF(M2="PAUSE 2",L2,IF(O2="PAUSE 2",N2-L2,IF(Q2="PAUSE 2",P2-L2,IF(S2="PAUSE 2",R2-L2,IF(U2="PAUSE 2",T2-L2,IF(W2="PAUSE 2",V2-L2,IF(Y2="PAUSE 2",X2-L2,IF(AA2="PAUSE 2",Z2-L2,IF(AC2="PAUSE 2",AB2-L2,IF(AE2="PAUSE 2",AD2-L2,""))))))))))-($N2-$L2),"")))))))))</f>
        <v/>
      </c>
    </row>
    <row r="4" spans="1:56">
      <c r="A4" s="56" t="str">
        <f t="shared" si="0"/>
        <v>43344</v>
      </c>
      <c r="B4" s="54">
        <f t="shared" si="1"/>
        <v>43344</v>
      </c>
      <c r="C4" s="49">
        <f t="shared" si="2"/>
        <v>43344</v>
      </c>
      <c r="D4" s="50">
        <f t="shared" si="3"/>
        <v>35</v>
      </c>
      <c r="E4" s="57">
        <v>43344</v>
      </c>
      <c r="F4" s="50"/>
      <c r="G4" s="50"/>
      <c r="H4" s="50"/>
      <c r="I4" s="50"/>
      <c r="J4" s="50"/>
      <c r="K4" s="50">
        <f>Tableau3[[#This Row],[Km Fin]]-Tableau3[[#This Row],[Km Début]]</f>
        <v>0</v>
      </c>
      <c r="L4" s="63"/>
      <c r="M4" s="50"/>
      <c r="N4" s="63"/>
      <c r="O4" s="50"/>
      <c r="P4" s="63"/>
      <c r="Q4" s="50"/>
      <c r="R4" s="63"/>
      <c r="S4" s="50"/>
      <c r="T4" s="63"/>
      <c r="U4" s="50"/>
      <c r="V4" s="63"/>
      <c r="W4" s="50"/>
      <c r="X4" s="63"/>
      <c r="Y4" s="50"/>
      <c r="Z4" s="63"/>
      <c r="AA4" s="50"/>
      <c r="AB4" s="63"/>
      <c r="AC4" s="50"/>
      <c r="AD4" s="63"/>
      <c r="AE4" s="50"/>
      <c r="AF4" s="63"/>
      <c r="AG4" s="63">
        <f>MOD(Tableau3[[#This Row],[CHARGEMENT]]+Tableau3[[#This Row],[DECHARGEMENT]]+Tableau3[[#This Row],[CONDUITE]]+Tableau3[[#This Row],[GASOIL
EMBALLAGE]]+Tableau3[[#This Row],[ADMINISTRATIF]],1)</f>
        <v>0</v>
      </c>
      <c r="AH4" s="61">
        <f t="shared" si="4"/>
        <v>0</v>
      </c>
      <c r="AI4" s="61">
        <f t="shared" si="5"/>
        <v>0</v>
      </c>
      <c r="AJ4" s="63">
        <f t="shared" si="6"/>
        <v>0</v>
      </c>
      <c r="AK4" s="61">
        <f t="shared" si="7"/>
        <v>0</v>
      </c>
      <c r="AL4" s="61">
        <f t="shared" si="8"/>
        <v>0</v>
      </c>
      <c r="AM4" s="61">
        <f t="shared" si="9"/>
        <v>0</v>
      </c>
      <c r="AN4" s="61">
        <f t="shared" si="10"/>
        <v>0</v>
      </c>
      <c r="AO4" s="61">
        <f>MOD(Tableau3[[#This Row],[PAUSE 1]]+Tableau3[[#This Row],[PAUSE 2]],1)</f>
        <v>0</v>
      </c>
      <c r="AP4" s="61">
        <f t="shared" si="11"/>
        <v>0</v>
      </c>
      <c r="AQ4" s="61">
        <f t="shared" si="12"/>
        <v>0</v>
      </c>
      <c r="AR4" s="63">
        <f t="shared" si="13"/>
        <v>0</v>
      </c>
      <c r="AS4" s="87">
        <f>Tableau3[[#This Row],[TOTAL EFFECTIF]]+Tableau3[[#This Row],[TOTAL PAUSE]]</f>
        <v>0</v>
      </c>
      <c r="AT4" s="91" t="str">
        <f>IF(Tableau3[[#This Row],[TOTAL EFFECTIF]]+Tableau3[[#This Row],[DEL]]+Tableau3[[#This Row],[DIR]]+Tableau3[[#This Row],[FORMATION]]&gt;Feuil2!$E$2,"INFRACTION","")</f>
        <v/>
      </c>
      <c r="AU4" s="87" t="str">
        <f>IFERROR(IF(Tableau3[[#This Row],[TOTAL EFFECTIF]]&gt;=Feuil2!$F$2,IF(Tableau3[[#This Row],[PAUSE 1]]&gt;0,IF(IF(M4="PAUSE 1",L4,IF(O4="PAUSE 1",N4,IF(Q4="PAUSE 1",P4,IF(S4="PAUSE 1",R4,IF(U4="PAUSE 1",T4,IF(W4="PAUSE 1",V4,IF(Y4="PAUSE 1",X4,IF(AA4="PAUSE 1",Z4,IF(AC4="PAUSE 1",AB4,IF(AE4="PAUSE 1",AD4,""))))))))))-Tableau3[[#This Row],[DEBUT]]&lt;Feuil2!$F$2,IF(AM4&gt;=Feuil2!$F$3,"",IF(IF(M4="PAUSE 2",L4,IF(O4="PAUSE 2",N4,IF(Q4="PAUSE 2",P4,IF(S4="PAUSE 2",R4,IF(U4="PAUSE 2",T4,IF(W4="PAUSE 2",V4,IF(Y4="PAUSE 2",X4,IF(AA4="PAUSE 2",Z4,IF(AC4="PAUSE 2",AB4,IF(AE4="PAUSE 2",AD4,""))))))))))-L4&lt;Feuil2!$F$2,IF(AN4&gt;0,IF(AO4&gt;=Feuil2!$F$3,"","Infraction"),"Infraction"),"Infraction")),"Infraction"),"Infraction"),""),"Infraction")</f>
        <v/>
      </c>
      <c r="AV4" s="89" t="str">
        <f>IF($AI4&gt;=Feuil2!$G$2,IF(AM4&gt;0,IF(IF(M4="PAUSE 1",L4,IF(O4="PAUSE 1",N4-L4,IF(Q4="PAUSE 1",P4-L4,IF(S4="PAUSE 1",R4-L4,IF(U4="PAUSE 1",T4-L4,IF(W4="PAUSE 1",V4-L4,IF(Y4="PAUSE 1",X4-L4,IF(AA4="PAUSE 1",Z4-L4,IF(AC4="PAUSE 1",AB4-L4,IF(AE4="PAUSE 1",AD4-L4,""))))))))))-$N4&lt;=Feuil2!$G$2,IF(AM4&lt;Feuil2!$G$3,"Infraction",IF(AM4&gt;=Feuil2!$G$5,"",IF(AN4&gt;0,IF(IF(M4="PAUSE 2",L4,IF(O4="PAUSE 2",N4,IF(Q4="PAUSE 2",P4,IF(S4="PAUSE 2",R4,IF(U4="PAUSE 2",T4,IF(W4="PAUSE 2",V4,IF(Y4="PAUSE 2",X4,IF(AA4="PAUSE 2",Z4,IF(AC4="PAUSE 2",AB4,IF(AE4="PAUSE 2",AD4,""))))))))))-$N4&lt;=Feuil2!$G$2,IF(AN4&lt;Feuil2!$G$4,"Infraction",IF(AO4&gt;=Feuil2!$G$5,"","Infraction")),"Infraction"),"Infraction"))),"Infraction"),"Infraction"),"")</f>
        <v/>
      </c>
      <c r="AX4" s="99" t="str">
        <f t="shared" si="15"/>
        <v/>
      </c>
      <c r="AY4" s="99" t="str">
        <f t="shared" si="14"/>
        <v/>
      </c>
      <c r="BB4" s="99" t="str">
        <f>IF(IF(M2="PAUSE 2",L2,IF(O2="PAUSE 2",N2,IF(Q2="PAUSE 2",P2,IF(S2="PAUSE 2",R2,IF(U2="PAUSE 2",T2,IF(W2="PAUSE 2",V2,IF(Y2="PAUSE 2",X2,IF(AA2="PAUSE 2",Z2,IF(AC2="PAUSE 2",AB2,IF(AE2="PAUSE 2",AD2,""))))))))))-$N2&lt;=Feuil2!$G$2,IF(AN2&lt;Feuil2!$G$4,"Infraction",IF(AO2&gt;=Feuil2!$G$5,"","Infraction")),"Infraction")</f>
        <v/>
      </c>
      <c r="BC4" s="55" t="str">
        <f>IF(IF(M2="PAUSE 2",L2,IF(O2="PAUSE 2",N2,IF(Q2="PAUSE 2",P2,IF(S2="PAUSE 2",R2,IF(U2="PAUSE 2",T2,IF(W2="PAUSE 2",V2,IF(Y2="PAUSE 2",X2,IF(AA2="PAUSE 2",Z2,IF(AC2="PAUSE 2",AB2,IF(AE2="PAUSE 2",AD2,""))))))))))-$N2&lt;=Feuil2!$G$2,"X","Infraction")</f>
        <v>X</v>
      </c>
    </row>
    <row r="5" spans="1:56">
      <c r="A5" s="59" t="str">
        <f t="shared" si="0"/>
        <v>43344</v>
      </c>
      <c r="B5" s="51">
        <f t="shared" si="1"/>
        <v>43344</v>
      </c>
      <c r="C5" s="52">
        <f t="shared" si="2"/>
        <v>43344</v>
      </c>
      <c r="D5" s="53">
        <f t="shared" si="3"/>
        <v>35</v>
      </c>
      <c r="E5" s="60">
        <v>43344</v>
      </c>
      <c r="F5" s="53"/>
      <c r="G5" s="53"/>
      <c r="H5" s="53"/>
      <c r="I5" s="53"/>
      <c r="J5" s="53"/>
      <c r="K5" s="53">
        <f>Tableau3[[#This Row],[Km Fin]]-Tableau3[[#This Row],[Km Début]]</f>
        <v>0</v>
      </c>
      <c r="L5" s="62"/>
      <c r="M5" s="53"/>
      <c r="N5" s="62"/>
      <c r="O5" s="53"/>
      <c r="P5" s="62"/>
      <c r="Q5" s="53"/>
      <c r="R5" s="62"/>
      <c r="S5" s="53"/>
      <c r="T5" s="62"/>
      <c r="U5" s="53"/>
      <c r="V5" s="62"/>
      <c r="W5" s="53"/>
      <c r="X5" s="62"/>
      <c r="Y5" s="53"/>
      <c r="Z5" s="62"/>
      <c r="AA5" s="53"/>
      <c r="AB5" s="62"/>
      <c r="AC5" s="53"/>
      <c r="AD5" s="62"/>
      <c r="AE5" s="53"/>
      <c r="AF5" s="62"/>
      <c r="AG5" s="62">
        <f>MOD(Tableau3[[#This Row],[CHARGEMENT]]+Tableau3[[#This Row],[DECHARGEMENT]]+Tableau3[[#This Row],[CONDUITE]]+Tableau3[[#This Row],[GASOIL
EMBALLAGE]]+Tableau3[[#This Row],[ADMINISTRATIF]],1)</f>
        <v>0</v>
      </c>
      <c r="AH5" s="95">
        <f t="shared" si="4"/>
        <v>0</v>
      </c>
      <c r="AI5" s="95">
        <f t="shared" si="5"/>
        <v>0</v>
      </c>
      <c r="AJ5" s="95">
        <f t="shared" si="6"/>
        <v>0</v>
      </c>
      <c r="AK5" s="95">
        <f t="shared" si="7"/>
        <v>0</v>
      </c>
      <c r="AL5" s="95">
        <f t="shared" si="8"/>
        <v>0</v>
      </c>
      <c r="AM5" s="95">
        <f t="shared" si="9"/>
        <v>0</v>
      </c>
      <c r="AN5" s="95">
        <f t="shared" si="10"/>
        <v>0</v>
      </c>
      <c r="AO5" s="95">
        <f>MOD(Tableau3[[#This Row],[PAUSE 1]]+Tableau3[[#This Row],[PAUSE 2]],1)</f>
        <v>0</v>
      </c>
      <c r="AP5" s="95">
        <f t="shared" si="11"/>
        <v>0</v>
      </c>
      <c r="AQ5" s="95">
        <f t="shared" si="12"/>
        <v>0</v>
      </c>
      <c r="AR5" s="95">
        <f t="shared" si="13"/>
        <v>0</v>
      </c>
      <c r="AS5" s="96">
        <f>Tableau3[[#This Row],[TOTAL EFFECTIF]]+Tableau3[[#This Row],[TOTAL PAUSE]]</f>
        <v>0</v>
      </c>
      <c r="AT5" s="97" t="str">
        <f>IF(Tableau3[[#This Row],[TOTAL EFFECTIF]]+Tableau3[[#This Row],[DEL]]+Tableau3[[#This Row],[DIR]]+Tableau3[[#This Row],[FORMATION]]&gt;Feuil2!$E$2,"INFRACTION","")</f>
        <v/>
      </c>
      <c r="AU5" s="96" t="str">
        <f>IFERROR(IF(Tableau3[[#This Row],[TOTAL EFFECTIF]]&gt;=Feuil2!$F$2,IF(Tableau3[[#This Row],[PAUSE 1]]&gt;0,IF(IF(M5="PAUSE 1",L5,IF(O5="PAUSE 1",N5,IF(Q5="PAUSE 1",P5,IF(S5="PAUSE 1",R5,IF(U5="PAUSE 1",T5,IF(W5="PAUSE 1",V5,IF(Y5="PAUSE 1",X5,IF(AA5="PAUSE 1",Z5,IF(AC5="PAUSE 1",AB5,IF(AE5="PAUSE 1",AD5,""))))))))))-Tableau3[[#This Row],[DEBUT]]&lt;Feuil2!$F$2,IF(AM5&gt;=Feuil2!$F$3,"",IF(IF(M5="PAUSE 2",L5,IF(O5="PAUSE 2",N5,IF(Q5="PAUSE 2",P5,IF(S5="PAUSE 2",R5,IF(U5="PAUSE 2",T5,IF(W5="PAUSE 2",V5,IF(Y5="PAUSE 2",X5,IF(AA5="PAUSE 2",Z5,IF(AC5="PAUSE 2",AB5,IF(AE5="PAUSE 2",AD5,""))))))))))-L5&lt;Feuil2!$F$2,IF(AN5&gt;0,IF(AO5&gt;=Feuil2!$F$3,"","Infraction"),"Infraction"),"Infraction")),"Infraction"),"Infraction"),""),"Infraction")</f>
        <v/>
      </c>
      <c r="AV5" s="88" t="str">
        <f>IF($AI5&gt;=Feuil2!$G$2,IF(AM5&gt;0,IF(IF(M5="PAUSE 1",L5,IF(O5="PAUSE 1",N5-L5,IF(Q5="PAUSE 1",P5-L5,IF(S5="PAUSE 1",R5-L5,IF(U5="PAUSE 1",T5-L5,IF(W5="PAUSE 1",V5-L5,IF(Y5="PAUSE 1",X5-L5,IF(AA5="PAUSE 1",Z5-L5,IF(AC5="PAUSE 1",AB5-L5,IF(AE5="PAUSE 1",AD5-L5,""))))))))))-$N5&lt;=Feuil2!$G$2,IF(AM5&lt;Feuil2!$G$3,"Infraction",IF(AM5&gt;=Feuil2!$G$5,"",IF(AN5&gt;0,IF(IF(M5="PAUSE 2",L5,IF(O5="PAUSE 2",N5,IF(Q5="PAUSE 2",P5,IF(S5="PAUSE 2",R5,IF(U5="PAUSE 2",T5,IF(W5="PAUSE 2",V5,IF(Y5="PAUSE 2",X5,IF(AA5="PAUSE 2",Z5,IF(AC5="PAUSE 2",AB5,IF(AE5="PAUSE 2",AD5,""))))))))))-$N5&lt;=Feuil2!$G$2,IF(AN5&lt;Feuil2!$G$4,"Infraction",IF(AO5&gt;=Feuil2!$G$5,"","Infraction")),"Infraction"),"Infraction"))),"Infraction"),"Infraction"),"")</f>
        <v/>
      </c>
      <c r="AX5" s="99" t="str">
        <f t="shared" si="15"/>
        <v/>
      </c>
      <c r="AY5" s="99" t="str">
        <f t="shared" si="14"/>
        <v/>
      </c>
      <c r="BB5" s="55" t="str">
        <f>IF(AN2&gt;0,IF(IF(M2="PAUSE 2",L2,IF(O2="PAUSE 2",N2,IF(Q2="PAUSE 2",P2,IF(S2="PAUSE 2",R2,IF(U2="PAUSE 2",T2,IF(W2="PAUSE 2",V2,IF(Y2="PAUSE 2",X2,IF(AA2="PAUSE 2",Z2,IF(AC2="PAUSE 2",AB2,IF(AE2="PAUSE 2",AD2,""))))))))))-$N2&lt;=Feuil2!$G$2,IF(AN2&lt;Feuil2!$G$4,"Infraction",IF(AO2&gt;=Feuil2!$G$5,"","Infraction")),"Infraction"),"Infraction")</f>
        <v/>
      </c>
      <c r="BC5" s="55" t="str">
        <f>IF(AN2&gt;0,"X","Infraction")</f>
        <v>X</v>
      </c>
    </row>
    <row r="6" spans="1:56">
      <c r="A6" s="56" t="str">
        <f t="shared" si="0"/>
        <v>43344</v>
      </c>
      <c r="B6" s="54">
        <f t="shared" si="1"/>
        <v>43344</v>
      </c>
      <c r="C6" s="49">
        <f t="shared" si="2"/>
        <v>43344</v>
      </c>
      <c r="D6" s="50">
        <f t="shared" si="3"/>
        <v>35</v>
      </c>
      <c r="E6" s="57">
        <v>43344</v>
      </c>
      <c r="F6" s="50"/>
      <c r="G6" s="50"/>
      <c r="H6" s="50"/>
      <c r="I6" s="50"/>
      <c r="J6" s="50"/>
      <c r="K6" s="50">
        <f>Tableau3[[#This Row],[Km Fin]]-Tableau3[[#This Row],[Km Début]]</f>
        <v>0</v>
      </c>
      <c r="L6" s="63"/>
      <c r="M6" s="50"/>
      <c r="N6" s="63"/>
      <c r="O6" s="50"/>
      <c r="P6" s="63"/>
      <c r="Q6" s="50"/>
      <c r="R6" s="63"/>
      <c r="S6" s="50"/>
      <c r="T6" s="63"/>
      <c r="U6" s="50"/>
      <c r="V6" s="63"/>
      <c r="W6" s="50"/>
      <c r="X6" s="63"/>
      <c r="Y6" s="50"/>
      <c r="Z6" s="63"/>
      <c r="AA6" s="50"/>
      <c r="AB6" s="63"/>
      <c r="AC6" s="50"/>
      <c r="AD6" s="63"/>
      <c r="AE6" s="50"/>
      <c r="AF6" s="63"/>
      <c r="AG6" s="63">
        <f>MOD(Tableau3[[#This Row],[CHARGEMENT]]+Tableau3[[#This Row],[DECHARGEMENT]]+Tableau3[[#This Row],[CONDUITE]]+Tableau3[[#This Row],[GASOIL
EMBALLAGE]]+Tableau3[[#This Row],[ADMINISTRATIF]],1)</f>
        <v>0</v>
      </c>
      <c r="AH6" s="61">
        <f t="shared" si="4"/>
        <v>0</v>
      </c>
      <c r="AI6" s="61">
        <f t="shared" si="5"/>
        <v>0</v>
      </c>
      <c r="AJ6" s="63">
        <f t="shared" si="6"/>
        <v>0</v>
      </c>
      <c r="AK6" s="61">
        <f t="shared" si="7"/>
        <v>0</v>
      </c>
      <c r="AL6" s="61">
        <f t="shared" si="8"/>
        <v>0</v>
      </c>
      <c r="AM6" s="61">
        <f t="shared" si="9"/>
        <v>0</v>
      </c>
      <c r="AN6" s="61">
        <f t="shared" si="10"/>
        <v>0</v>
      </c>
      <c r="AO6" s="61">
        <f>MOD(Tableau3[[#This Row],[PAUSE 1]]+Tableau3[[#This Row],[PAUSE 2]],1)</f>
        <v>0</v>
      </c>
      <c r="AP6" s="61">
        <f t="shared" si="11"/>
        <v>0</v>
      </c>
      <c r="AQ6" s="61">
        <f t="shared" si="12"/>
        <v>0</v>
      </c>
      <c r="AR6" s="63">
        <f t="shared" si="13"/>
        <v>0</v>
      </c>
      <c r="AS6" s="87">
        <f>Tableau3[[#This Row],[TOTAL EFFECTIF]]+Tableau3[[#This Row],[TOTAL PAUSE]]</f>
        <v>0</v>
      </c>
      <c r="AT6" s="91" t="str">
        <f>IF(Tableau3[[#This Row],[TOTAL EFFECTIF]]+Tableau3[[#This Row],[DEL]]+Tableau3[[#This Row],[DIR]]+Tableau3[[#This Row],[FORMATION]]&gt;Feuil2!$E$2,"INFRACTION","")</f>
        <v/>
      </c>
      <c r="AU6" s="87" t="str">
        <f>IFERROR(IF(Tableau3[[#This Row],[TOTAL EFFECTIF]]&gt;=Feuil2!$F$2,IF(Tableau3[[#This Row],[PAUSE 1]]&gt;0,IF(IF(M6="PAUSE 1",L6,IF(O6="PAUSE 1",N6,IF(Q6="PAUSE 1",P6,IF(S6="PAUSE 1",R6,IF(U6="PAUSE 1",T6,IF(W6="PAUSE 1",V6,IF(Y6="PAUSE 1",X6,IF(AA6="PAUSE 1",Z6,IF(AC6="PAUSE 1",AB6,IF(AE6="PAUSE 1",AD6,""))))))))))-Tableau3[[#This Row],[DEBUT]]&lt;Feuil2!$F$2,IF(AM6&gt;=Feuil2!$F$3,"",IF(IF(M6="PAUSE 2",L6,IF(O6="PAUSE 2",N6,IF(Q6="PAUSE 2",P6,IF(S6="PAUSE 2",R6,IF(U6="PAUSE 2",T6,IF(W6="PAUSE 2",V6,IF(Y6="PAUSE 2",X6,IF(AA6="PAUSE 2",Z6,IF(AC6="PAUSE 2",AB6,IF(AE6="PAUSE 2",AD6,""))))))))))-L6&lt;Feuil2!$F$2,IF(AN6&gt;0,IF(AO6&gt;=Feuil2!$F$3,"","Infraction"),"Infraction"),"Infraction")),"Infraction"),"Infraction"),""),"Infraction")</f>
        <v/>
      </c>
      <c r="AV6" s="89" t="str">
        <f>IF($AI6&gt;=Feuil2!$G$2,IF(AM6&gt;0,IF(IF(M6="PAUSE 1",L6,IF(O6="PAUSE 1",N6-L6,IF(Q6="PAUSE 1",P6-L6,IF(S6="PAUSE 1",R6-L6,IF(U6="PAUSE 1",T6-L6,IF(W6="PAUSE 1",V6-L6,IF(Y6="PAUSE 1",X6-L6,IF(AA6="PAUSE 1",Z6-L6,IF(AC6="PAUSE 1",AB6-L6,IF(AE6="PAUSE 1",AD6-L6,""))))))))))-$N6&lt;=Feuil2!$G$2,IF(AM6&lt;Feuil2!$G$3,"Infraction",IF(AM6&gt;=Feuil2!$G$5,"",IF(AN6&gt;0,IF(IF(M6="PAUSE 2",L6,IF(O6="PAUSE 2",N6,IF(Q6="PAUSE 2",P6,IF(S6="PAUSE 2",R6,IF(U6="PAUSE 2",T6,IF(W6="PAUSE 2",V6,IF(Y6="PAUSE 2",X6,IF(AA6="PAUSE 2",Z6,IF(AC6="PAUSE 2",AB6,IF(AE6="PAUSE 2",AD6,""))))))))))-$N6&lt;=Feuil2!$G$2,IF(AN6&lt;Feuil2!$G$4,"Infraction",IF(AO6&gt;=Feuil2!$G$5,"","Infraction")),"Infraction"),"Infraction"))),"Infraction"),"Infraction"),"")</f>
        <v/>
      </c>
      <c r="AX6" s="99" t="str">
        <f t="shared" si="15"/>
        <v/>
      </c>
      <c r="AY6" s="99" t="str">
        <f t="shared" si="14"/>
        <v/>
      </c>
      <c r="BB6" s="55" t="str">
        <f>IF(AM2&gt;=Feuil2!$G$5,"",IF(AN2&gt;0,IF(IF(M2="PAUSE 2",L2,IF(O2="PAUSE 2",N2,IF(Q2="PAUSE 2",P2,IF(S2="PAUSE 2",R2,IF(U2="PAUSE 2",T2,IF(W2="PAUSE 2",V2,IF(Y2="PAUSE 2",X2,IF(AA2="PAUSE 2",Z2,IF(AC2="PAUSE 2",AB2,IF(AE2="PAUSE 2",AD2,""))))))))))-$N2&lt;=Feuil2!$G$2,IF(AN2&lt;Feuil2!$G$4,"Infraction",IF(AO2&gt;=Feuil2!$G$5,"","Infraction")),"Infraction"),"Infraction"))</f>
        <v/>
      </c>
      <c r="BC6" s="55" t="str">
        <f>IF(AM2&gt;=Feuil2!$G$5,"","X")</f>
        <v>X</v>
      </c>
    </row>
    <row r="7" spans="1:56">
      <c r="A7" s="59" t="str">
        <f t="shared" si="0"/>
        <v>43344</v>
      </c>
      <c r="B7" s="51">
        <f t="shared" si="1"/>
        <v>43344</v>
      </c>
      <c r="C7" s="52">
        <f t="shared" si="2"/>
        <v>43344</v>
      </c>
      <c r="D7" s="53">
        <f t="shared" si="3"/>
        <v>35</v>
      </c>
      <c r="E7" s="60">
        <v>43344</v>
      </c>
      <c r="F7" s="53"/>
      <c r="G7" s="53"/>
      <c r="H7" s="53"/>
      <c r="I7" s="53"/>
      <c r="J7" s="53"/>
      <c r="K7" s="53">
        <f>Tableau3[[#This Row],[Km Fin]]-Tableau3[[#This Row],[Km Début]]</f>
        <v>0</v>
      </c>
      <c r="L7" s="62"/>
      <c r="M7" s="53"/>
      <c r="N7" s="62"/>
      <c r="O7" s="53"/>
      <c r="P7" s="62"/>
      <c r="Q7" s="53"/>
      <c r="R7" s="62"/>
      <c r="S7" s="53"/>
      <c r="T7" s="62"/>
      <c r="U7" s="53"/>
      <c r="V7" s="62"/>
      <c r="W7" s="53"/>
      <c r="X7" s="62"/>
      <c r="Y7" s="53"/>
      <c r="Z7" s="62"/>
      <c r="AA7" s="53"/>
      <c r="AB7" s="62"/>
      <c r="AC7" s="53"/>
      <c r="AD7" s="62"/>
      <c r="AE7" s="53"/>
      <c r="AF7" s="62"/>
      <c r="AG7" s="62">
        <f>MOD(Tableau3[[#This Row],[CHARGEMENT]]+Tableau3[[#This Row],[DECHARGEMENT]]+Tableau3[[#This Row],[CONDUITE]]+Tableau3[[#This Row],[GASOIL
EMBALLAGE]]+Tableau3[[#This Row],[ADMINISTRATIF]],1)</f>
        <v>0</v>
      </c>
      <c r="AH7" s="95">
        <f t="shared" si="4"/>
        <v>0</v>
      </c>
      <c r="AI7" s="95">
        <f t="shared" si="5"/>
        <v>0</v>
      </c>
      <c r="AJ7" s="95">
        <f t="shared" si="6"/>
        <v>0</v>
      </c>
      <c r="AK7" s="95">
        <f t="shared" si="7"/>
        <v>0</v>
      </c>
      <c r="AL7" s="95">
        <f t="shared" si="8"/>
        <v>0</v>
      </c>
      <c r="AM7" s="95">
        <f t="shared" si="9"/>
        <v>0</v>
      </c>
      <c r="AN7" s="95">
        <f t="shared" si="10"/>
        <v>0</v>
      </c>
      <c r="AO7" s="95">
        <f>MOD(Tableau3[[#This Row],[PAUSE 1]]+Tableau3[[#This Row],[PAUSE 2]],1)</f>
        <v>0</v>
      </c>
      <c r="AP7" s="95">
        <f t="shared" si="11"/>
        <v>0</v>
      </c>
      <c r="AQ7" s="95">
        <f t="shared" si="12"/>
        <v>0</v>
      </c>
      <c r="AR7" s="95">
        <f t="shared" si="13"/>
        <v>0</v>
      </c>
      <c r="AS7" s="96">
        <f>Tableau3[[#This Row],[TOTAL EFFECTIF]]+Tableau3[[#This Row],[TOTAL PAUSE]]</f>
        <v>0</v>
      </c>
      <c r="AT7" s="97" t="str">
        <f>IF(Tableau3[[#This Row],[TOTAL EFFECTIF]]+Tableau3[[#This Row],[DEL]]+Tableau3[[#This Row],[DIR]]+Tableau3[[#This Row],[FORMATION]]&gt;Feuil2!$E$2,"INFRACTION","")</f>
        <v/>
      </c>
      <c r="AU7" s="96" t="str">
        <f>IFERROR(IF(Tableau3[[#This Row],[TOTAL EFFECTIF]]&gt;=Feuil2!$F$2,IF(Tableau3[[#This Row],[PAUSE 1]]&gt;0,IF(IF(M7="PAUSE 1",L7,IF(O7="PAUSE 1",N7,IF(Q7="PAUSE 1",P7,IF(S7="PAUSE 1",R7,IF(U7="PAUSE 1",T7,IF(W7="PAUSE 1",V7,IF(Y7="PAUSE 1",X7,IF(AA7="PAUSE 1",Z7,IF(AC7="PAUSE 1",AB7,IF(AE7="PAUSE 1",AD7,""))))))))))-Tableau3[[#This Row],[DEBUT]]&lt;Feuil2!$F$2,IF(AM7&gt;=Feuil2!$F$3,"",IF(IF(M7="PAUSE 2",L7,IF(O7="PAUSE 2",N7,IF(Q7="PAUSE 2",P7,IF(S7="PAUSE 2",R7,IF(U7="PAUSE 2",T7,IF(W7="PAUSE 2",V7,IF(Y7="PAUSE 2",X7,IF(AA7="PAUSE 2",Z7,IF(AC7="PAUSE 2",AB7,IF(AE7="PAUSE 2",AD7,""))))))))))-L7&lt;Feuil2!$F$2,IF(AN7&gt;0,IF(AO7&gt;=Feuil2!$F$3,"","Infraction"),"Infraction"),"Infraction")),"Infraction"),"Infraction"),""),"Infraction")</f>
        <v/>
      </c>
      <c r="AV7" s="88" t="str">
        <f>IF($AI7&gt;=Feuil2!$G$2,IF(AM7&gt;0,IF(IF(M7="PAUSE 1",L7,IF(O7="PAUSE 1",N7-L7,IF(Q7="PAUSE 1",P7-L7,IF(S7="PAUSE 1",R7-L7,IF(U7="PAUSE 1",T7-L7,IF(W7="PAUSE 1",V7-L7,IF(Y7="PAUSE 1",X7-L7,IF(AA7="PAUSE 1",Z7-L7,IF(AC7="PAUSE 1",AB7-L7,IF(AE7="PAUSE 1",AD7-L7,""))))))))))-$N7&lt;=Feuil2!$G$2,IF(AM7&lt;Feuil2!$G$3,"Infraction",IF(AM7&gt;=Feuil2!$G$5,"",IF(AN7&gt;0,IF(IF(M7="PAUSE 2",L7,IF(O7="PAUSE 2",N7,IF(Q7="PAUSE 2",P7,IF(S7="PAUSE 2",R7,IF(U7="PAUSE 2",T7,IF(W7="PAUSE 2",V7,IF(Y7="PAUSE 2",X7,IF(AA7="PAUSE 2",Z7,IF(AC7="PAUSE 2",AB7,IF(AE7="PAUSE 2",AD7,""))))))))))-$N7&lt;=Feuil2!$G$2,IF(AN7&lt;Feuil2!$G$4,"Infraction",IF(AO7&gt;=Feuil2!$G$5,"","Infraction")),"Infraction"),"Infraction"))),"Infraction"),"Infraction"),"")</f>
        <v/>
      </c>
      <c r="AX7" s="99" t="str">
        <f t="shared" si="15"/>
        <v/>
      </c>
      <c r="AY7" s="99" t="str">
        <f t="shared" si="14"/>
        <v/>
      </c>
      <c r="BB7" s="55" t="str">
        <f>IF(AM2&lt;=Feuil2!$G$3,"Infraction",IF(AM2&gt;=Feuil2!$G$5,"",IF(AN2&gt;0,IF(IF(M2="PAUSE 2",L2,IF(O2="PAUSE 2",N2,IF(Q2="PAUSE 2",P2,IF(S2="PAUSE 2",R2,IF(U2="PAUSE 2",T2,IF(W2="PAUSE 2",V2,IF(Y2="PAUSE 2",X2,IF(AA2="PAUSE 2",Z2,IF(AC2="PAUSE 2",AB2,IF(AE2="PAUSE 2",AD2,""))))))))))-$N2&lt;=Feuil2!$G$2,IF(AN2&lt;Feuil2!$G$4,"Infraction",IF(AO2&gt;=Feuil2!$G$5,"","Infraction")),"Infraction"),"Infraction")))</f>
        <v>Infraction</v>
      </c>
      <c r="BC7" s="55" t="str">
        <f>IF(AM2&lt;Feuil2!$G$3,"Infraction","X")</f>
        <v>Infraction</v>
      </c>
    </row>
    <row r="8" spans="1:56">
      <c r="A8" s="56" t="str">
        <f t="shared" si="0"/>
        <v>43344</v>
      </c>
      <c r="B8" s="54">
        <f t="shared" si="1"/>
        <v>43344</v>
      </c>
      <c r="C8" s="49">
        <f t="shared" si="2"/>
        <v>43344</v>
      </c>
      <c r="D8" s="50">
        <f t="shared" si="3"/>
        <v>35</v>
      </c>
      <c r="E8" s="57">
        <v>43344</v>
      </c>
      <c r="F8" s="50"/>
      <c r="G8" s="50"/>
      <c r="H8" s="50"/>
      <c r="I8" s="50"/>
      <c r="J8" s="50"/>
      <c r="K8" s="50">
        <f>Tableau3[[#This Row],[Km Fin]]-Tableau3[[#This Row],[Km Début]]</f>
        <v>0</v>
      </c>
      <c r="L8" s="63"/>
      <c r="M8" s="50"/>
      <c r="N8" s="63"/>
      <c r="O8" s="50"/>
      <c r="P8" s="63"/>
      <c r="Q8" s="50"/>
      <c r="R8" s="63"/>
      <c r="S8" s="50"/>
      <c r="T8" s="63"/>
      <c r="U8" s="50"/>
      <c r="V8" s="63"/>
      <c r="W8" s="50"/>
      <c r="X8" s="63"/>
      <c r="Y8" s="50"/>
      <c r="Z8" s="63"/>
      <c r="AA8" s="50"/>
      <c r="AB8" s="63"/>
      <c r="AC8" s="50"/>
      <c r="AD8" s="63"/>
      <c r="AE8" s="50"/>
      <c r="AF8" s="63"/>
      <c r="AG8" s="63">
        <f>MOD(Tableau3[[#This Row],[CHARGEMENT]]+Tableau3[[#This Row],[DECHARGEMENT]]+Tableau3[[#This Row],[CONDUITE]]+Tableau3[[#This Row],[GASOIL
EMBALLAGE]]+Tableau3[[#This Row],[ADMINISTRATIF]],1)</f>
        <v>0</v>
      </c>
      <c r="AH8" s="61">
        <f t="shared" si="4"/>
        <v>0</v>
      </c>
      <c r="AI8" s="61">
        <f t="shared" si="5"/>
        <v>0</v>
      </c>
      <c r="AJ8" s="63">
        <f t="shared" si="6"/>
        <v>0</v>
      </c>
      <c r="AK8" s="61">
        <f t="shared" si="7"/>
        <v>0</v>
      </c>
      <c r="AL8" s="61">
        <f t="shared" si="8"/>
        <v>0</v>
      </c>
      <c r="AM8" s="61">
        <f t="shared" si="9"/>
        <v>0</v>
      </c>
      <c r="AN8" s="61">
        <f t="shared" si="10"/>
        <v>0</v>
      </c>
      <c r="AO8" s="61">
        <f>MOD(Tableau3[[#This Row],[PAUSE 1]]+Tableau3[[#This Row],[PAUSE 2]],1)</f>
        <v>0</v>
      </c>
      <c r="AP8" s="61">
        <f t="shared" si="11"/>
        <v>0</v>
      </c>
      <c r="AQ8" s="61">
        <f t="shared" si="12"/>
        <v>0</v>
      </c>
      <c r="AR8" s="63">
        <f t="shared" si="13"/>
        <v>0</v>
      </c>
      <c r="AS8" s="87">
        <f>Tableau3[[#This Row],[TOTAL EFFECTIF]]+Tableau3[[#This Row],[TOTAL PAUSE]]</f>
        <v>0</v>
      </c>
      <c r="AT8" s="91" t="str">
        <f>IF(Tableau3[[#This Row],[TOTAL EFFECTIF]]+Tableau3[[#This Row],[DEL]]+Tableau3[[#This Row],[DIR]]+Tableau3[[#This Row],[FORMATION]]&gt;Feuil2!$E$2,"INFRACTION","")</f>
        <v/>
      </c>
      <c r="AU8" s="87" t="str">
        <f>IFERROR(IF(Tableau3[[#This Row],[TOTAL EFFECTIF]]&gt;=Feuil2!$F$2,IF(Tableau3[[#This Row],[PAUSE 1]]&gt;0,IF(IF(M8="PAUSE 1",L8,IF(O8="PAUSE 1",N8,IF(Q8="PAUSE 1",P8,IF(S8="PAUSE 1",R8,IF(U8="PAUSE 1",T8,IF(W8="PAUSE 1",V8,IF(Y8="PAUSE 1",X8,IF(AA8="PAUSE 1",Z8,IF(AC8="PAUSE 1",AB8,IF(AE8="PAUSE 1",AD8,""))))))))))-Tableau3[[#This Row],[DEBUT]]&lt;Feuil2!$F$2,IF(AM8&gt;=Feuil2!$F$3,"",IF(IF(M8="PAUSE 2",L8,IF(O8="PAUSE 2",N8,IF(Q8="PAUSE 2",P8,IF(S8="PAUSE 2",R8,IF(U8="PAUSE 2",T8,IF(W8="PAUSE 2",V8,IF(Y8="PAUSE 2",X8,IF(AA8="PAUSE 2",Z8,IF(AC8="PAUSE 2",AB8,IF(AE8="PAUSE 2",AD8,""))))))))))-L8&lt;Feuil2!$F$2,IF(AN8&gt;0,IF(AO8&gt;=Feuil2!$F$3,"","Infraction"),"Infraction"),"Infraction")),"Infraction"),"Infraction"),""),"Infraction")</f>
        <v/>
      </c>
      <c r="AV8" s="89" t="str">
        <f>IF($AI8&gt;=Feuil2!$G$2,IF(AM8&gt;0,IF(IF(M8="PAUSE 1",L8,IF(O8="PAUSE 1",N8-L8,IF(Q8="PAUSE 1",P8-L8,IF(S8="PAUSE 1",R8-L8,IF(U8="PAUSE 1",T8-L8,IF(W8="PAUSE 1",V8-L8,IF(Y8="PAUSE 1",X8-L8,IF(AA8="PAUSE 1",Z8-L8,IF(AC8="PAUSE 1",AB8-L8,IF(AE8="PAUSE 1",AD8-L8,""))))))))))-$N8&lt;=Feuil2!$G$2,IF(AM8&lt;Feuil2!$G$3,"Infraction",IF(AM8&gt;=Feuil2!$G$5,"",IF(AN8&gt;0,IF(IF(M8="PAUSE 2",L8,IF(O8="PAUSE 2",N8,IF(Q8="PAUSE 2",P8,IF(S8="PAUSE 2",R8,IF(U8="PAUSE 2",T8,IF(W8="PAUSE 2",V8,IF(Y8="PAUSE 2",X8,IF(AA8="PAUSE 2",Z8,IF(AC8="PAUSE 2",AB8,IF(AE8="PAUSE 2",AD8,""))))))))))-$N8&lt;=Feuil2!$G$2,IF(AN8&lt;Feuil2!$G$4,"Infraction",IF(AO8&gt;=Feuil2!$G$5,"","Infraction")),"Infraction"),"Infraction"))),"Infraction"),"Infraction"),"")</f>
        <v/>
      </c>
      <c r="AX8" s="99" t="str">
        <f t="shared" si="15"/>
        <v/>
      </c>
      <c r="AY8" s="99" t="str">
        <f t="shared" si="14"/>
        <v/>
      </c>
      <c r="AZ8" s="99"/>
      <c r="BA8" s="99"/>
      <c r="BB8" s="55" t="str">
        <f>IF(IF(M2="PAUSE 1",L2,IF(O2="PAUSE 1",N2-L2,IF(Q2="PAUSE 1",P2-L2,IF(S2="PAUSE 1",R2-L2,IF(U2="PAUSE 1",T2-L2,IF(W2="PAUSE 1",V2-L2,IF(Y2="PAUSE 1",X2-L2,IF(AA2="PAUSE 1",Z2-L2,IF(AC2="PAUSE 1",AB2-L2,IF(AE2="PAUSE 1",AD2-L2,""))))))))))-$N2&lt;=Feuil2!$G$2,IF(AM2&lt;Feuil2!$G$3,"Infraction",IF(AM2&gt;=Feuil2!$G$5,"",IF(AN2&gt;0,IF(IF(M2="PAUSE 2",L2,IF(O2="PAUSE 2",N2,IF(Q2="PAUSE 2",P2,IF(S2="PAUSE 2",R2,IF(U2="PAUSE 2",T2,IF(W2="PAUSE 2",V2,IF(Y2="PAUSE 2",X2,IF(AA2="PAUSE 2",Z2,IF(AC2="PAUSE 2",AB2,IF(AE2="PAUSE 2",AD2,""))))))))))-$N2&lt;=Feuil2!$G$2,IF(AN2&lt;Feuil2!$G$4,"Infraction",IF(AO2&gt;=Feuil2!$G$5,"","Infraction")),"Infraction"),"Infraction"))),"Infraction")</f>
        <v>Infraction</v>
      </c>
      <c r="BC8" s="55" t="str">
        <f>IF(IF(M2="PAUSE 1",L2,IF(O2="PAUSE 1",N2-L2,IF(Q2="PAUSE 1",P2-L2,IF(S2="PAUSE 1",R2-L2,IF(U2="PAUSE 1",T2-L2,IF(W2="PAUSE 1",V2-L2,IF(Y2="PAUSE 1",X2-L2,IF(AA2="PAUSE 1",Z2-L2,IF(AC2="PAUSE 1",AB2-L2,IF(AE2="PAUSE 1",AD2-L2,""))))))))))-$N2&lt;=Feuil2!$G$2,"X","Infraction")</f>
        <v>X</v>
      </c>
    </row>
    <row r="9" spans="1:56">
      <c r="A9" s="59" t="str">
        <f t="shared" si="0"/>
        <v>43344</v>
      </c>
      <c r="B9" s="51">
        <f t="shared" si="1"/>
        <v>43344</v>
      </c>
      <c r="C9" s="52">
        <f t="shared" si="2"/>
        <v>43344</v>
      </c>
      <c r="D9" s="53">
        <f t="shared" si="3"/>
        <v>35</v>
      </c>
      <c r="E9" s="60">
        <v>43344</v>
      </c>
      <c r="F9" s="53"/>
      <c r="G9" s="53"/>
      <c r="H9" s="53"/>
      <c r="I9" s="53"/>
      <c r="J9" s="53"/>
      <c r="K9" s="53">
        <f>Tableau3[[#This Row],[Km Fin]]-Tableau3[[#This Row],[Km Début]]</f>
        <v>0</v>
      </c>
      <c r="L9" s="62"/>
      <c r="M9" s="53"/>
      <c r="N9" s="62"/>
      <c r="O9" s="53"/>
      <c r="P9" s="62"/>
      <c r="Q9" s="53"/>
      <c r="R9" s="62"/>
      <c r="S9" s="53"/>
      <c r="T9" s="62"/>
      <c r="U9" s="53"/>
      <c r="V9" s="62"/>
      <c r="W9" s="53"/>
      <c r="X9" s="62"/>
      <c r="Y9" s="53"/>
      <c r="Z9" s="62"/>
      <c r="AA9" s="53"/>
      <c r="AB9" s="62"/>
      <c r="AC9" s="53"/>
      <c r="AD9" s="62"/>
      <c r="AE9" s="53"/>
      <c r="AF9" s="62"/>
      <c r="AG9" s="62">
        <f>MOD(Tableau3[[#This Row],[CHARGEMENT]]+Tableau3[[#This Row],[DECHARGEMENT]]+Tableau3[[#This Row],[CONDUITE]]+Tableau3[[#This Row],[GASOIL
EMBALLAGE]]+Tableau3[[#This Row],[ADMINISTRATIF]],1)</f>
        <v>0</v>
      </c>
      <c r="AH9" s="95">
        <f t="shared" si="4"/>
        <v>0</v>
      </c>
      <c r="AI9" s="95">
        <f t="shared" si="5"/>
        <v>0</v>
      </c>
      <c r="AJ9" s="95">
        <f t="shared" si="6"/>
        <v>0</v>
      </c>
      <c r="AK9" s="95">
        <f t="shared" si="7"/>
        <v>0</v>
      </c>
      <c r="AL9" s="95">
        <f t="shared" si="8"/>
        <v>0</v>
      </c>
      <c r="AM9" s="95">
        <f t="shared" si="9"/>
        <v>0</v>
      </c>
      <c r="AN9" s="95">
        <f t="shared" si="10"/>
        <v>0</v>
      </c>
      <c r="AO9" s="95">
        <f>MOD(Tableau3[[#This Row],[PAUSE 1]]+Tableau3[[#This Row],[PAUSE 2]],1)</f>
        <v>0</v>
      </c>
      <c r="AP9" s="95">
        <f t="shared" si="11"/>
        <v>0</v>
      </c>
      <c r="AQ9" s="95">
        <f t="shared" si="12"/>
        <v>0</v>
      </c>
      <c r="AR9" s="95">
        <f t="shared" si="13"/>
        <v>0</v>
      </c>
      <c r="AS9" s="96">
        <f>Tableau3[[#This Row],[TOTAL EFFECTIF]]+Tableau3[[#This Row],[TOTAL PAUSE]]</f>
        <v>0</v>
      </c>
      <c r="AT9" s="97" t="str">
        <f>IF(Tableau3[[#This Row],[TOTAL EFFECTIF]]+Tableau3[[#This Row],[DEL]]+Tableau3[[#This Row],[DIR]]+Tableau3[[#This Row],[FORMATION]]&gt;Feuil2!$E$2,"INFRACTION","")</f>
        <v/>
      </c>
      <c r="AU9" s="96" t="str">
        <f>IFERROR(IF(Tableau3[[#This Row],[TOTAL EFFECTIF]]&gt;=Feuil2!$F$2,IF(Tableau3[[#This Row],[PAUSE 1]]&gt;0,IF(IF(M9="PAUSE 1",L9,IF(O9="PAUSE 1",N9,IF(Q9="PAUSE 1",P9,IF(S9="PAUSE 1",R9,IF(U9="PAUSE 1",T9,IF(W9="PAUSE 1",V9,IF(Y9="PAUSE 1",X9,IF(AA9="PAUSE 1",Z9,IF(AC9="PAUSE 1",AB9,IF(AE9="PAUSE 1",AD9,""))))))))))-Tableau3[[#This Row],[DEBUT]]&lt;Feuil2!$F$2,IF(AM9&gt;=Feuil2!$F$3,"",IF(IF(M9="PAUSE 2",L9,IF(O9="PAUSE 2",N9,IF(Q9="PAUSE 2",P9,IF(S9="PAUSE 2",R9,IF(U9="PAUSE 2",T9,IF(W9="PAUSE 2",V9,IF(Y9="PAUSE 2",X9,IF(AA9="PAUSE 2",Z9,IF(AC9="PAUSE 2",AB9,IF(AE9="PAUSE 2",AD9,""))))))))))-L9&lt;Feuil2!$F$2,IF(AN9&gt;0,IF(AO9&gt;=Feuil2!$F$3,"","Infraction"),"Infraction"),"Infraction")),"Infraction"),"Infraction"),""),"Infraction")</f>
        <v/>
      </c>
      <c r="AV9" s="88" t="str">
        <f>IF($AI9&gt;=Feuil2!$G$2,IF(AM9&gt;0,IF(IF(M9="PAUSE 1",L9,IF(O9="PAUSE 1",N9-L9,IF(Q9="PAUSE 1",P9-L9,IF(S9="PAUSE 1",R9-L9,IF(U9="PAUSE 1",T9-L9,IF(W9="PAUSE 1",V9-L9,IF(Y9="PAUSE 1",X9-L9,IF(AA9="PAUSE 1",Z9-L9,IF(AC9="PAUSE 1",AB9-L9,IF(AE9="PAUSE 1",AD9-L9,""))))))))))-$N9&lt;=Feuil2!$G$2,IF(AM9&lt;Feuil2!$G$3,"Infraction",IF(AM9&gt;=Feuil2!$G$5,"",IF(AN9&gt;0,IF(IF(M9="PAUSE 2",L9,IF(O9="PAUSE 2",N9,IF(Q9="PAUSE 2",P9,IF(S9="PAUSE 2",R9,IF(U9="PAUSE 2",T9,IF(W9="PAUSE 2",V9,IF(Y9="PAUSE 2",X9,IF(AA9="PAUSE 2",Z9,IF(AC9="PAUSE 2",AB9,IF(AE9="PAUSE 2",AD9,""))))))))))-$N9&lt;=Feuil2!$G$2,IF(AN9&lt;Feuil2!$G$4,"Infraction",IF(AO9&gt;=Feuil2!$G$5,"","Infraction")),"Infraction"),"Infraction"))),"Infraction"),"Infraction"),"")</f>
        <v/>
      </c>
      <c r="AX9" s="99" t="str">
        <f t="shared" si="15"/>
        <v/>
      </c>
      <c r="AY9" s="99" t="str">
        <f t="shared" si="14"/>
        <v/>
      </c>
      <c r="AZ9" s="99"/>
      <c r="BA9" s="99"/>
      <c r="BB9" s="55" t="str">
        <f>IF(AM2&gt;0,IF(IF(M2="PAUSE 1",L2,IF(O2="PAUSE 1",N2-L2,IF(Q2="PAUSE 1",P2-L2,IF(S2="PAUSE 1",R2-L2,IF(U2="PAUSE 1",T2-L2,IF(W2="PAUSE 1",V2-L2,IF(Y2="PAUSE 1",X2-L2,IF(AA2="PAUSE 1",Z2-L2,IF(AC2="PAUSE 1",AB2-L2,IF(AE2="PAUSE 1",AD2-L2,""))))))))))-$N2&lt;=Feuil2!$G$2,IF(AM2&lt;Feuil2!$G$3,"Infraction",IF(AM2&gt;=Feuil2!$G$5,"",IF(AN2&gt;0,IF(IF(M2="PAUSE 2",L2,IF(O2="PAUSE 2",N2,IF(Q2="PAUSE 2",P2,IF(S2="PAUSE 2",R2,IF(U2="PAUSE 2",T2,IF(W2="PAUSE 2",V2,IF(Y2="PAUSE 2",X2,IF(AA2="PAUSE 2",Z2,IF(AC2="PAUSE 2",AB2,IF(AE2="PAUSE 2",AD2,""))))))))))-$N2&lt;=Feuil2!$G$2,IF(AN2&lt;Feuil2!$G$4,"Infraction",IF(AO2&gt;=Feuil2!$G$5,"","Infraction")),"Infraction"),"Infraction"))),"Infraction"),"Infraction")</f>
        <v>Infraction</v>
      </c>
      <c r="BC9" s="55" t="str">
        <f>IF(AM2&gt;0,"X","Infraction")</f>
        <v>X</v>
      </c>
    </row>
    <row r="10" spans="1:56">
      <c r="A10" s="56" t="str">
        <f t="shared" si="0"/>
        <v>43344</v>
      </c>
      <c r="B10" s="54">
        <f t="shared" si="1"/>
        <v>43344</v>
      </c>
      <c r="C10" s="49">
        <f t="shared" si="2"/>
        <v>43344</v>
      </c>
      <c r="D10" s="50">
        <f t="shared" si="3"/>
        <v>35</v>
      </c>
      <c r="E10" s="57">
        <v>43344</v>
      </c>
      <c r="F10" s="50"/>
      <c r="G10" s="50"/>
      <c r="H10" s="50"/>
      <c r="I10" s="50"/>
      <c r="J10" s="50"/>
      <c r="K10" s="50">
        <f>Tableau3[[#This Row],[Km Fin]]-Tableau3[[#This Row],[Km Début]]</f>
        <v>0</v>
      </c>
      <c r="L10" s="63"/>
      <c r="M10" s="50"/>
      <c r="N10" s="63"/>
      <c r="O10" s="50"/>
      <c r="P10" s="63"/>
      <c r="Q10" s="50"/>
      <c r="R10" s="63"/>
      <c r="S10" s="50"/>
      <c r="T10" s="63"/>
      <c r="U10" s="50"/>
      <c r="V10" s="63"/>
      <c r="W10" s="50"/>
      <c r="X10" s="63"/>
      <c r="Y10" s="50"/>
      <c r="Z10" s="63"/>
      <c r="AA10" s="50"/>
      <c r="AB10" s="63"/>
      <c r="AC10" s="50"/>
      <c r="AD10" s="63"/>
      <c r="AE10" s="50"/>
      <c r="AF10" s="63"/>
      <c r="AG10" s="63">
        <f>MOD(Tableau3[[#This Row],[CHARGEMENT]]+Tableau3[[#This Row],[DECHARGEMENT]]+Tableau3[[#This Row],[CONDUITE]]+Tableau3[[#This Row],[GASOIL
EMBALLAGE]]+Tableau3[[#This Row],[ADMINISTRATIF]],1)</f>
        <v>0</v>
      </c>
      <c r="AH10" s="61">
        <f t="shared" si="4"/>
        <v>0</v>
      </c>
      <c r="AI10" s="61">
        <f t="shared" si="5"/>
        <v>0</v>
      </c>
      <c r="AJ10" s="63">
        <f t="shared" si="6"/>
        <v>0</v>
      </c>
      <c r="AK10" s="61">
        <f t="shared" si="7"/>
        <v>0</v>
      </c>
      <c r="AL10" s="61">
        <f t="shared" si="8"/>
        <v>0</v>
      </c>
      <c r="AM10" s="61">
        <f t="shared" si="9"/>
        <v>0</v>
      </c>
      <c r="AN10" s="61">
        <f t="shared" si="10"/>
        <v>0</v>
      </c>
      <c r="AO10" s="61">
        <f>MOD(Tableau3[[#This Row],[PAUSE 1]]+Tableau3[[#This Row],[PAUSE 2]],1)</f>
        <v>0</v>
      </c>
      <c r="AP10" s="61">
        <f t="shared" si="11"/>
        <v>0</v>
      </c>
      <c r="AQ10" s="61">
        <f t="shared" si="12"/>
        <v>0</v>
      </c>
      <c r="AR10" s="63">
        <f t="shared" si="13"/>
        <v>0</v>
      </c>
      <c r="AS10" s="87">
        <f>Tableau3[[#This Row],[TOTAL EFFECTIF]]+Tableau3[[#This Row],[TOTAL PAUSE]]</f>
        <v>0</v>
      </c>
      <c r="AT10" s="91" t="str">
        <f>IF(Tableau3[[#This Row],[TOTAL EFFECTIF]]+Tableau3[[#This Row],[DEL]]+Tableau3[[#This Row],[DIR]]+Tableau3[[#This Row],[FORMATION]]&gt;Feuil2!$E$2,"INFRACTION","")</f>
        <v/>
      </c>
      <c r="AU10" s="87" t="str">
        <f>IFERROR(IF(Tableau3[[#This Row],[TOTAL EFFECTIF]]&gt;=Feuil2!$F$2,IF(Tableau3[[#This Row],[PAUSE 1]]&gt;0,IF(IF(M10="PAUSE 1",L10,IF(O10="PAUSE 1",N10,IF(Q10="PAUSE 1",P10,IF(S10="PAUSE 1",R10,IF(U10="PAUSE 1",T10,IF(W10="PAUSE 1",V10,IF(Y10="PAUSE 1",X10,IF(AA10="PAUSE 1",Z10,IF(AC10="PAUSE 1",AB10,IF(AE10="PAUSE 1",AD10,""))))))))))-Tableau3[[#This Row],[DEBUT]]&lt;Feuil2!$F$2,IF(AM10&gt;=Feuil2!$F$3,"",IF(IF(M10="PAUSE 2",L10,IF(O10="PAUSE 2",N10,IF(Q10="PAUSE 2",P10,IF(S10="PAUSE 2",R10,IF(U10="PAUSE 2",T10,IF(W10="PAUSE 2",V10,IF(Y10="PAUSE 2",X10,IF(AA10="PAUSE 2",Z10,IF(AC10="PAUSE 2",AB10,IF(AE10="PAUSE 2",AD10,""))))))))))-L10&lt;Feuil2!$F$2,IF(AN10&gt;0,IF(AO10&gt;=Feuil2!$F$3,"","Infraction"),"Infraction"),"Infraction")),"Infraction"),"Infraction"),""),"Infraction")</f>
        <v/>
      </c>
      <c r="AV10" s="89" t="str">
        <f>IF($AI10&gt;=Feuil2!$G$2,IF(AM10&gt;0,IF(IF(M10="PAUSE 1",L10,IF(O10="PAUSE 1",N10-L10,IF(Q10="PAUSE 1",P10-L10,IF(S10="PAUSE 1",R10-L10,IF(U10="PAUSE 1",T10-L10,IF(W10="PAUSE 1",V10-L10,IF(Y10="PAUSE 1",X10-L10,IF(AA10="PAUSE 1",Z10-L10,IF(AC10="PAUSE 1",AB10-L10,IF(AE10="PAUSE 1",AD10-L10,""))))))))))-$N10&lt;=Feuil2!$G$2,IF(AM10&lt;Feuil2!$G$3,"Infraction",IF(AM10&gt;=Feuil2!$G$5,"",IF(AN10&gt;0,IF(IF(M10="PAUSE 2",L10,IF(O10="PAUSE 2",N10,IF(Q10="PAUSE 2",P10,IF(S10="PAUSE 2",R10,IF(U10="PAUSE 2",T10,IF(W10="PAUSE 2",V10,IF(Y10="PAUSE 2",X10,IF(AA10="PAUSE 2",Z10,IF(AC10="PAUSE 2",AB10,IF(AE10="PAUSE 2",AD10,""))))))))))-$N10&lt;=Feuil2!$G$2,IF(AN10&lt;Feuil2!$G$4,"Infraction",IF(AO10&gt;=Feuil2!$G$5,"","Infraction")),"Infraction"),"Infraction"))),"Infraction"),"Infraction"),"")</f>
        <v/>
      </c>
      <c r="AX10" s="99" t="str">
        <f t="shared" si="15"/>
        <v/>
      </c>
      <c r="AY10" s="99" t="str">
        <f t="shared" si="14"/>
        <v/>
      </c>
      <c r="BB10" s="55" t="str">
        <f>IF($AI2&gt;=Feuil2!$G$2,IF(AM2&gt;0,IF(IF(M2="PAUSE 1",L2,IF(O2="PAUSE 1",N2-L2,IF(Q2="PAUSE 1",P2-L2,IF(S2="PAUSE 1",R2-L2,IF(U2="PAUSE 1",T2-L2,IF(W2="PAUSE 1",V2-L2,IF(Y2="PAUSE 1",X2-L2,IF(AA2="PAUSE 1",Z2-L2,IF(AC2="PAUSE 1",AB2-L2,IF(AE2="PAUSE 1",AD2-L2,""))))))))))-$N2&lt;=Feuil2!$G$2,IF(AM2&lt;Feuil2!$G$3,"Infraction",IF(AM2&gt;=Feuil2!$G$5,"",IF(AN2&gt;0,IF(IF(M2="PAUSE 2",L2,IF(O2="PAUSE 2",N2,IF(Q2="PAUSE 2",P2,IF(S2="PAUSE 2",R2,IF(U2="PAUSE 2",T2,IF(W2="PAUSE 2",V2,IF(Y2="PAUSE 2",X2,IF(AA2="PAUSE 2",Z2,IF(AC2="PAUSE 2",AB2,IF(AE2="PAUSE 2",AD2,""))))))))))-$N2&lt;=Feuil2!$G$2,IF(AN2&lt;Feuil2!$G$4,"Infraction",IF(AO2&gt;=Feuil2!$G$5,"","Infraction")),"Infraction"),"Infraction"))),"Infraction"),"Infraction"),"")</f>
        <v>Infraction</v>
      </c>
      <c r="BC10" s="55" t="str">
        <f>IF($AI2&gt;=Feuil2!$G$2,"X","")</f>
        <v>X</v>
      </c>
    </row>
    <row r="11" spans="1:56">
      <c r="A11" s="59" t="str">
        <f t="shared" si="0"/>
        <v>43344</v>
      </c>
      <c r="B11" s="51">
        <f t="shared" si="1"/>
        <v>43344</v>
      </c>
      <c r="C11" s="52">
        <f t="shared" si="2"/>
        <v>43344</v>
      </c>
      <c r="D11" s="53">
        <f t="shared" si="3"/>
        <v>35</v>
      </c>
      <c r="E11" s="60">
        <v>43344</v>
      </c>
      <c r="F11" s="53"/>
      <c r="G11" s="53"/>
      <c r="H11" s="53"/>
      <c r="I11" s="53"/>
      <c r="J11" s="53"/>
      <c r="K11" s="53">
        <f>Tableau3[[#This Row],[Km Fin]]-Tableau3[[#This Row],[Km Début]]</f>
        <v>0</v>
      </c>
      <c r="L11" s="62"/>
      <c r="M11" s="53"/>
      <c r="N11" s="62"/>
      <c r="O11" s="53"/>
      <c r="P11" s="62"/>
      <c r="Q11" s="53"/>
      <c r="R11" s="62"/>
      <c r="S11" s="53"/>
      <c r="T11" s="62"/>
      <c r="U11" s="53"/>
      <c r="V11" s="62"/>
      <c r="W11" s="53"/>
      <c r="X11" s="62"/>
      <c r="Y11" s="53"/>
      <c r="Z11" s="62"/>
      <c r="AA11" s="53"/>
      <c r="AB11" s="62"/>
      <c r="AC11" s="53"/>
      <c r="AD11" s="62"/>
      <c r="AE11" s="53"/>
      <c r="AF11" s="62"/>
      <c r="AG11" s="62">
        <f>MOD(Tableau3[[#This Row],[CHARGEMENT]]+Tableau3[[#This Row],[DECHARGEMENT]]+Tableau3[[#This Row],[CONDUITE]]+Tableau3[[#This Row],[GASOIL
EMBALLAGE]]+Tableau3[[#This Row],[ADMINISTRATIF]],1)</f>
        <v>0</v>
      </c>
      <c r="AH11" s="95">
        <f t="shared" si="4"/>
        <v>0</v>
      </c>
      <c r="AI11" s="95">
        <f t="shared" si="5"/>
        <v>0</v>
      </c>
      <c r="AJ11" s="95">
        <f t="shared" si="6"/>
        <v>0</v>
      </c>
      <c r="AK11" s="95">
        <f t="shared" si="7"/>
        <v>0</v>
      </c>
      <c r="AL11" s="95">
        <f t="shared" si="8"/>
        <v>0</v>
      </c>
      <c r="AM11" s="95">
        <f t="shared" si="9"/>
        <v>0</v>
      </c>
      <c r="AN11" s="95">
        <f t="shared" si="10"/>
        <v>0</v>
      </c>
      <c r="AO11" s="95">
        <f>MOD(Tableau3[[#This Row],[PAUSE 1]]+Tableau3[[#This Row],[PAUSE 2]],1)</f>
        <v>0</v>
      </c>
      <c r="AP11" s="95">
        <f t="shared" si="11"/>
        <v>0</v>
      </c>
      <c r="AQ11" s="95">
        <f t="shared" si="12"/>
        <v>0</v>
      </c>
      <c r="AR11" s="95">
        <f t="shared" si="13"/>
        <v>0</v>
      </c>
      <c r="AS11" s="96">
        <f>Tableau3[[#This Row],[TOTAL EFFECTIF]]+Tableau3[[#This Row],[TOTAL PAUSE]]</f>
        <v>0</v>
      </c>
      <c r="AT11" s="97" t="str">
        <f>IF(Tableau3[[#This Row],[TOTAL EFFECTIF]]+Tableau3[[#This Row],[DEL]]+Tableau3[[#This Row],[DIR]]+Tableau3[[#This Row],[FORMATION]]&gt;Feuil2!$E$2,"INFRACTION","")</f>
        <v/>
      </c>
      <c r="AU11" s="96" t="str">
        <f>IFERROR(IF(Tableau3[[#This Row],[TOTAL EFFECTIF]]&gt;=Feuil2!$F$2,IF(Tableau3[[#This Row],[PAUSE 1]]&gt;0,IF(IF(M11="PAUSE 1",L11,IF(O11="PAUSE 1",N11,IF(Q11="PAUSE 1",P11,IF(S11="PAUSE 1",R11,IF(U11="PAUSE 1",T11,IF(W11="PAUSE 1",V11,IF(Y11="PAUSE 1",X11,IF(AA11="PAUSE 1",Z11,IF(AC11="PAUSE 1",AB11,IF(AE11="PAUSE 1",AD11,""))))))))))-Tableau3[[#This Row],[DEBUT]]&lt;Feuil2!$F$2,IF(AM11&gt;=Feuil2!$F$3,"",IF(IF(M11="PAUSE 2",L11,IF(O11="PAUSE 2",N11,IF(Q11="PAUSE 2",P11,IF(S11="PAUSE 2",R11,IF(U11="PAUSE 2",T11,IF(W11="PAUSE 2",V11,IF(Y11="PAUSE 2",X11,IF(AA11="PAUSE 2",Z11,IF(AC11="PAUSE 2",AB11,IF(AE11="PAUSE 2",AD11,""))))))))))-L11&lt;Feuil2!$F$2,IF(AN11&gt;0,IF(AO11&gt;=Feuil2!$F$3,"","Infraction"),"Infraction"),"Infraction")),"Infraction"),"Infraction"),""),"Infraction")</f>
        <v/>
      </c>
      <c r="AV11" s="88" t="str">
        <f>IF($AI11&gt;=Feuil2!$G$2,IF(AM11&gt;0,IF(IF(M11="PAUSE 1",L11,IF(O11="PAUSE 1",N11-L11,IF(Q11="PAUSE 1",P11-L11,IF(S11="PAUSE 1",R11-L11,IF(U11="PAUSE 1",T11-L11,IF(W11="PAUSE 1",V11-L11,IF(Y11="PAUSE 1",X11-L11,IF(AA11="PAUSE 1",Z11-L11,IF(AC11="PAUSE 1",AB11-L11,IF(AE11="PAUSE 1",AD11-L11,""))))))))))-$N11&lt;=Feuil2!$G$2,IF(AM11&lt;Feuil2!$G$3,"Infraction",IF(AM11&gt;=Feuil2!$G$5,"",IF(AN11&gt;0,IF(IF(M11="PAUSE 2",L11,IF(O11="PAUSE 2",N11,IF(Q11="PAUSE 2",P11,IF(S11="PAUSE 2",R11,IF(U11="PAUSE 2",T11,IF(W11="PAUSE 2",V11,IF(Y11="PAUSE 2",X11,IF(AA11="PAUSE 2",Z11,IF(AC11="PAUSE 2",AB11,IF(AE11="PAUSE 2",AD11,""))))))))))-$N11&lt;=Feuil2!$G$2,IF(AN11&lt;Feuil2!$G$4,"Infraction",IF(AO11&gt;=Feuil2!$G$5,"","Infraction")),"Infraction"),"Infraction"))),"Infraction"),"Infraction"),"")</f>
        <v/>
      </c>
      <c r="AX11" s="99" t="str">
        <f t="shared" si="15"/>
        <v/>
      </c>
      <c r="AY11" s="99" t="str">
        <f t="shared" si="14"/>
        <v/>
      </c>
    </row>
    <row r="12" spans="1:56">
      <c r="A12" s="56" t="str">
        <f t="shared" si="0"/>
        <v>43344</v>
      </c>
      <c r="B12" s="54">
        <f t="shared" si="1"/>
        <v>43344</v>
      </c>
      <c r="C12" s="49">
        <f t="shared" si="2"/>
        <v>43344</v>
      </c>
      <c r="D12" s="50">
        <f t="shared" si="3"/>
        <v>35</v>
      </c>
      <c r="E12" s="57">
        <v>43344</v>
      </c>
      <c r="F12" s="50"/>
      <c r="G12" s="50"/>
      <c r="H12" s="50"/>
      <c r="I12" s="50"/>
      <c r="J12" s="50"/>
      <c r="K12" s="50">
        <f>Tableau3[[#This Row],[Km Fin]]-Tableau3[[#This Row],[Km Début]]</f>
        <v>0</v>
      </c>
      <c r="L12" s="63"/>
      <c r="M12" s="50"/>
      <c r="N12" s="63"/>
      <c r="O12" s="50"/>
      <c r="P12" s="63"/>
      <c r="Q12" s="50"/>
      <c r="R12" s="63"/>
      <c r="S12" s="50"/>
      <c r="T12" s="63"/>
      <c r="U12" s="50"/>
      <c r="V12" s="63"/>
      <c r="W12" s="50"/>
      <c r="X12" s="63"/>
      <c r="Y12" s="50"/>
      <c r="Z12" s="63"/>
      <c r="AA12" s="50"/>
      <c r="AB12" s="63"/>
      <c r="AC12" s="50"/>
      <c r="AD12" s="63"/>
      <c r="AE12" s="50"/>
      <c r="AF12" s="63"/>
      <c r="AG12" s="63">
        <f>MOD(Tableau3[[#This Row],[CHARGEMENT]]+Tableau3[[#This Row],[DECHARGEMENT]]+Tableau3[[#This Row],[CONDUITE]]+Tableau3[[#This Row],[GASOIL
EMBALLAGE]]+Tableau3[[#This Row],[ADMINISTRATIF]],1)</f>
        <v>0</v>
      </c>
      <c r="AH12" s="61">
        <f t="shared" si="4"/>
        <v>0</v>
      </c>
      <c r="AI12" s="61">
        <f t="shared" si="5"/>
        <v>0</v>
      </c>
      <c r="AJ12" s="63">
        <f t="shared" si="6"/>
        <v>0</v>
      </c>
      <c r="AK12" s="61">
        <f t="shared" si="7"/>
        <v>0</v>
      </c>
      <c r="AL12" s="61">
        <f t="shared" si="8"/>
        <v>0</v>
      </c>
      <c r="AM12" s="61">
        <f t="shared" si="9"/>
        <v>0</v>
      </c>
      <c r="AN12" s="61">
        <f t="shared" si="10"/>
        <v>0</v>
      </c>
      <c r="AO12" s="61">
        <f>MOD(Tableau3[[#This Row],[PAUSE 1]]+Tableau3[[#This Row],[PAUSE 2]],1)</f>
        <v>0</v>
      </c>
      <c r="AP12" s="61">
        <f t="shared" si="11"/>
        <v>0</v>
      </c>
      <c r="AQ12" s="61">
        <f t="shared" si="12"/>
        <v>0</v>
      </c>
      <c r="AR12" s="63">
        <f t="shared" si="13"/>
        <v>0</v>
      </c>
      <c r="AS12" s="87">
        <f>Tableau3[[#This Row],[TOTAL EFFECTIF]]+Tableau3[[#This Row],[TOTAL PAUSE]]</f>
        <v>0</v>
      </c>
      <c r="AT12" s="91" t="str">
        <f>IF(Tableau3[[#This Row],[TOTAL EFFECTIF]]+Tableau3[[#This Row],[DEL]]+Tableau3[[#This Row],[DIR]]+Tableau3[[#This Row],[FORMATION]]&gt;Feuil2!$E$2,"INFRACTION","")</f>
        <v/>
      </c>
      <c r="AU12" s="87" t="str">
        <f>IFERROR(IF(Tableau3[[#This Row],[TOTAL EFFECTIF]]&gt;=Feuil2!$F$2,IF(Tableau3[[#This Row],[PAUSE 1]]&gt;0,IF(IF(M12="PAUSE 1",L12,IF(O12="PAUSE 1",N12,IF(Q12="PAUSE 1",P12,IF(S12="PAUSE 1",R12,IF(U12="PAUSE 1",T12,IF(W12="PAUSE 1",V12,IF(Y12="PAUSE 1",X12,IF(AA12="PAUSE 1",Z12,IF(AC12="PAUSE 1",AB12,IF(AE12="PAUSE 1",AD12,""))))))))))-Tableau3[[#This Row],[DEBUT]]&lt;Feuil2!$F$2,IF(AM12&gt;=Feuil2!$F$3,"",IF(IF(M12="PAUSE 2",L12,IF(O12="PAUSE 2",N12,IF(Q12="PAUSE 2",P12,IF(S12="PAUSE 2",R12,IF(U12="PAUSE 2",T12,IF(W12="PAUSE 2",V12,IF(Y12="PAUSE 2",X12,IF(AA12="PAUSE 2",Z12,IF(AC12="PAUSE 2",AB12,IF(AE12="PAUSE 2",AD12,""))))))))))-L12&lt;Feuil2!$F$2,IF(AN12&gt;0,IF(AO12&gt;=Feuil2!$F$3,"","Infraction"),"Infraction"),"Infraction")),"Infraction"),"Infraction"),""),"Infraction")</f>
        <v/>
      </c>
      <c r="AV12" s="89" t="str">
        <f>IF($AI12&gt;=Feuil2!$G$2,IF(AM12&gt;0,IF(IF(M12="PAUSE 1",L12,IF(O12="PAUSE 1",N12-L12,IF(Q12="PAUSE 1",P12-L12,IF(S12="PAUSE 1",R12-L12,IF(U12="PAUSE 1",T12-L12,IF(W12="PAUSE 1",V12-L12,IF(Y12="PAUSE 1",X12-L12,IF(AA12="PAUSE 1",Z12-L12,IF(AC12="PAUSE 1",AB12-L12,IF(AE12="PAUSE 1",AD12-L12,""))))))))))-$N12&lt;=Feuil2!$G$2,IF(AM12&lt;Feuil2!$G$3,"Infraction",IF(AM12&gt;=Feuil2!$G$5,"",IF(AN12&gt;0,IF(IF(M12="PAUSE 2",L12,IF(O12="PAUSE 2",N12,IF(Q12="PAUSE 2",P12,IF(S12="PAUSE 2",R12,IF(U12="PAUSE 2",T12,IF(W12="PAUSE 2",V12,IF(Y12="PAUSE 2",X12,IF(AA12="PAUSE 2",Z12,IF(AC12="PAUSE 2",AB12,IF(AE12="PAUSE 2",AD12,""))))))))))-$N12&lt;=Feuil2!$G$2,IF(AN12&lt;Feuil2!$G$4,"Infraction",IF(AO12&gt;=Feuil2!$G$5,"","Infraction")),"Infraction"),"Infraction"))),"Infraction"),"Infraction"),"")</f>
        <v/>
      </c>
      <c r="AX12" s="99" t="str">
        <f t="shared" si="15"/>
        <v/>
      </c>
      <c r="AY12" s="99" t="str">
        <f t="shared" si="14"/>
        <v/>
      </c>
    </row>
    <row r="13" spans="1:56">
      <c r="A13" s="59" t="str">
        <f t="shared" si="0"/>
        <v>43344</v>
      </c>
      <c r="B13" s="51">
        <f t="shared" si="1"/>
        <v>43344</v>
      </c>
      <c r="C13" s="52">
        <f t="shared" si="2"/>
        <v>43344</v>
      </c>
      <c r="D13" s="53">
        <f t="shared" si="3"/>
        <v>35</v>
      </c>
      <c r="E13" s="60">
        <v>43344</v>
      </c>
      <c r="F13" s="53"/>
      <c r="G13" s="53"/>
      <c r="H13" s="53"/>
      <c r="I13" s="53"/>
      <c r="J13" s="53"/>
      <c r="K13" s="53">
        <f>Tableau3[[#This Row],[Km Fin]]-Tableau3[[#This Row],[Km Début]]</f>
        <v>0</v>
      </c>
      <c r="L13" s="62"/>
      <c r="M13" s="53"/>
      <c r="N13" s="62"/>
      <c r="O13" s="53"/>
      <c r="P13" s="62"/>
      <c r="Q13" s="53"/>
      <c r="R13" s="62"/>
      <c r="S13" s="53"/>
      <c r="T13" s="62"/>
      <c r="U13" s="53"/>
      <c r="V13" s="62"/>
      <c r="W13" s="53"/>
      <c r="X13" s="62"/>
      <c r="Y13" s="53"/>
      <c r="Z13" s="62"/>
      <c r="AA13" s="53"/>
      <c r="AB13" s="62"/>
      <c r="AC13" s="53"/>
      <c r="AD13" s="62"/>
      <c r="AE13" s="53"/>
      <c r="AF13" s="62"/>
      <c r="AG13" s="62">
        <f>MOD(Tableau3[[#This Row],[CHARGEMENT]]+Tableau3[[#This Row],[DECHARGEMENT]]+Tableau3[[#This Row],[CONDUITE]]+Tableau3[[#This Row],[GASOIL
EMBALLAGE]]+Tableau3[[#This Row],[ADMINISTRATIF]],1)</f>
        <v>0</v>
      </c>
      <c r="AH13" s="95">
        <f t="shared" si="4"/>
        <v>0</v>
      </c>
      <c r="AI13" s="95">
        <f t="shared" si="5"/>
        <v>0</v>
      </c>
      <c r="AJ13" s="95">
        <f t="shared" si="6"/>
        <v>0</v>
      </c>
      <c r="AK13" s="95">
        <f t="shared" si="7"/>
        <v>0</v>
      </c>
      <c r="AL13" s="95">
        <f t="shared" si="8"/>
        <v>0</v>
      </c>
      <c r="AM13" s="95">
        <f t="shared" si="9"/>
        <v>0</v>
      </c>
      <c r="AN13" s="95">
        <f t="shared" si="10"/>
        <v>0</v>
      </c>
      <c r="AO13" s="95">
        <f>MOD(Tableau3[[#This Row],[PAUSE 1]]+Tableau3[[#This Row],[PAUSE 2]],1)</f>
        <v>0</v>
      </c>
      <c r="AP13" s="95">
        <f t="shared" si="11"/>
        <v>0</v>
      </c>
      <c r="AQ13" s="95">
        <f t="shared" si="12"/>
        <v>0</v>
      </c>
      <c r="AR13" s="95">
        <f t="shared" si="13"/>
        <v>0</v>
      </c>
      <c r="AS13" s="96">
        <f>Tableau3[[#This Row],[TOTAL EFFECTIF]]+Tableau3[[#This Row],[TOTAL PAUSE]]</f>
        <v>0</v>
      </c>
      <c r="AT13" s="97" t="str">
        <f>IF(Tableau3[[#This Row],[TOTAL EFFECTIF]]+Tableau3[[#This Row],[DEL]]+Tableau3[[#This Row],[DIR]]+Tableau3[[#This Row],[FORMATION]]&gt;Feuil2!$E$2,"INFRACTION","")</f>
        <v/>
      </c>
      <c r="AU13" s="96" t="str">
        <f>IFERROR(IF(Tableau3[[#This Row],[TOTAL EFFECTIF]]&gt;=Feuil2!$F$2,IF(Tableau3[[#This Row],[PAUSE 1]]&gt;0,IF(IF(M13="PAUSE 1",L13,IF(O13="PAUSE 1",N13,IF(Q13="PAUSE 1",P13,IF(S13="PAUSE 1",R13,IF(U13="PAUSE 1",T13,IF(W13="PAUSE 1",V13,IF(Y13="PAUSE 1",X13,IF(AA13="PAUSE 1",Z13,IF(AC13="PAUSE 1",AB13,IF(AE13="PAUSE 1",AD13,""))))))))))-Tableau3[[#This Row],[DEBUT]]&lt;Feuil2!$F$2,IF(AM13&gt;=Feuil2!$F$3,"",IF(IF(M13="PAUSE 2",L13,IF(O13="PAUSE 2",N13,IF(Q13="PAUSE 2",P13,IF(S13="PAUSE 2",R13,IF(U13="PAUSE 2",T13,IF(W13="PAUSE 2",V13,IF(Y13="PAUSE 2",X13,IF(AA13="PAUSE 2",Z13,IF(AC13="PAUSE 2",AB13,IF(AE13="PAUSE 2",AD13,""))))))))))-L13&lt;Feuil2!$F$2,IF(AN13&gt;0,IF(AO13&gt;=Feuil2!$F$3,"","Infraction"),"Infraction"),"Infraction")),"Infraction"),"Infraction"),""),"Infraction")</f>
        <v/>
      </c>
      <c r="AV13" s="88" t="str">
        <f>IF($AI13&gt;=Feuil2!$G$2,IF(AM13&gt;0,IF(IF(M13="PAUSE 1",L13,IF(O13="PAUSE 1",N13-L13,IF(Q13="PAUSE 1",P13-L13,IF(S13="PAUSE 1",R13-L13,IF(U13="PAUSE 1",T13-L13,IF(W13="PAUSE 1",V13-L13,IF(Y13="PAUSE 1",X13-L13,IF(AA13="PAUSE 1",Z13-L13,IF(AC13="PAUSE 1",AB13-L13,IF(AE13="PAUSE 1",AD13-L13,""))))))))))-$N13&lt;=Feuil2!$G$2,IF(AM13&lt;Feuil2!$G$3,"Infraction",IF(AM13&gt;=Feuil2!$G$5,"",IF(AN13&gt;0,IF(IF(M13="PAUSE 2",L13,IF(O13="PAUSE 2",N13,IF(Q13="PAUSE 2",P13,IF(S13="PAUSE 2",R13,IF(U13="PAUSE 2",T13,IF(W13="PAUSE 2",V13,IF(Y13="PAUSE 2",X13,IF(AA13="PAUSE 2",Z13,IF(AC13="PAUSE 2",AB13,IF(AE13="PAUSE 2",AD13,""))))))))))-$N13&lt;=Feuil2!$G$2,IF(AN13&lt;Feuil2!$G$4,"Infraction",IF(AO13&gt;=Feuil2!$G$5,"","Infraction")),"Infraction"),"Infraction"))),"Infraction"),"Infraction"),"")</f>
        <v/>
      </c>
      <c r="AX13" s="99" t="str">
        <f t="shared" si="15"/>
        <v/>
      </c>
      <c r="AY13" s="99" t="str">
        <f t="shared" si="14"/>
        <v/>
      </c>
    </row>
    <row r="14" spans="1:56">
      <c r="A14" s="56" t="str">
        <f t="shared" si="0"/>
        <v>43344</v>
      </c>
      <c r="B14" s="54">
        <f t="shared" si="1"/>
        <v>43344</v>
      </c>
      <c r="C14" s="49">
        <f t="shared" si="2"/>
        <v>43344</v>
      </c>
      <c r="D14" s="50">
        <f t="shared" si="3"/>
        <v>35</v>
      </c>
      <c r="E14" s="57">
        <v>43344</v>
      </c>
      <c r="F14" s="50"/>
      <c r="G14" s="50"/>
      <c r="H14" s="50"/>
      <c r="I14" s="50"/>
      <c r="J14" s="50"/>
      <c r="K14" s="50">
        <f>Tableau3[[#This Row],[Km Fin]]-Tableau3[[#This Row],[Km Début]]</f>
        <v>0</v>
      </c>
      <c r="L14" s="63"/>
      <c r="M14" s="50"/>
      <c r="N14" s="63"/>
      <c r="O14" s="50"/>
      <c r="P14" s="63"/>
      <c r="Q14" s="50"/>
      <c r="R14" s="63"/>
      <c r="S14" s="50"/>
      <c r="T14" s="63"/>
      <c r="U14" s="50"/>
      <c r="V14" s="63"/>
      <c r="W14" s="50"/>
      <c r="X14" s="63"/>
      <c r="Y14" s="50"/>
      <c r="Z14" s="63"/>
      <c r="AA14" s="50"/>
      <c r="AB14" s="63"/>
      <c r="AC14" s="50"/>
      <c r="AD14" s="63"/>
      <c r="AE14" s="50"/>
      <c r="AF14" s="63"/>
      <c r="AG14" s="63">
        <f>MOD(Tableau3[[#This Row],[CHARGEMENT]]+Tableau3[[#This Row],[DECHARGEMENT]]+Tableau3[[#This Row],[CONDUITE]]+Tableau3[[#This Row],[GASOIL
EMBALLAGE]]+Tableau3[[#This Row],[ADMINISTRATIF]],1)</f>
        <v>0</v>
      </c>
      <c r="AH14" s="61">
        <f t="shared" si="4"/>
        <v>0</v>
      </c>
      <c r="AI14" s="61">
        <f t="shared" si="5"/>
        <v>0</v>
      </c>
      <c r="AJ14" s="63">
        <f t="shared" si="6"/>
        <v>0</v>
      </c>
      <c r="AK14" s="61">
        <f t="shared" si="7"/>
        <v>0</v>
      </c>
      <c r="AL14" s="61">
        <f t="shared" si="8"/>
        <v>0</v>
      </c>
      <c r="AM14" s="61">
        <f t="shared" si="9"/>
        <v>0</v>
      </c>
      <c r="AN14" s="61">
        <f t="shared" si="10"/>
        <v>0</v>
      </c>
      <c r="AO14" s="61">
        <f>MOD(Tableau3[[#This Row],[PAUSE 1]]+Tableau3[[#This Row],[PAUSE 2]],1)</f>
        <v>0</v>
      </c>
      <c r="AP14" s="61">
        <f t="shared" si="11"/>
        <v>0</v>
      </c>
      <c r="AQ14" s="61">
        <f t="shared" si="12"/>
        <v>0</v>
      </c>
      <c r="AR14" s="63">
        <f t="shared" si="13"/>
        <v>0</v>
      </c>
      <c r="AS14" s="87">
        <f>Tableau3[[#This Row],[TOTAL EFFECTIF]]+Tableau3[[#This Row],[TOTAL PAUSE]]</f>
        <v>0</v>
      </c>
      <c r="AT14" s="91" t="str">
        <f>IF(Tableau3[[#This Row],[TOTAL EFFECTIF]]+Tableau3[[#This Row],[DEL]]+Tableau3[[#This Row],[DIR]]+Tableau3[[#This Row],[FORMATION]]&gt;Feuil2!$E$2,"INFRACTION","")</f>
        <v/>
      </c>
      <c r="AU14" s="87" t="str">
        <f>IFERROR(IF(Tableau3[[#This Row],[TOTAL EFFECTIF]]&gt;=Feuil2!$F$2,IF(Tableau3[[#This Row],[PAUSE 1]]&gt;0,IF(IF(M14="PAUSE 1",L14,IF(O14="PAUSE 1",N14,IF(Q14="PAUSE 1",P14,IF(S14="PAUSE 1",R14,IF(U14="PAUSE 1",T14,IF(W14="PAUSE 1",V14,IF(Y14="PAUSE 1",X14,IF(AA14="PAUSE 1",Z14,IF(AC14="PAUSE 1",AB14,IF(AE14="PAUSE 1",AD14,""))))))))))-Tableau3[[#This Row],[DEBUT]]&lt;Feuil2!$F$2,IF(AM14&gt;=Feuil2!$F$3,"",IF(IF(M14="PAUSE 2",L14,IF(O14="PAUSE 2",N14,IF(Q14="PAUSE 2",P14,IF(S14="PAUSE 2",R14,IF(U14="PAUSE 2",T14,IF(W14="PAUSE 2",V14,IF(Y14="PAUSE 2",X14,IF(AA14="PAUSE 2",Z14,IF(AC14="PAUSE 2",AB14,IF(AE14="PAUSE 2",AD14,""))))))))))-L14&lt;Feuil2!$F$2,IF(AN14&gt;0,IF(AO14&gt;=Feuil2!$F$3,"","Infraction"),"Infraction"),"Infraction")),"Infraction"),"Infraction"),""),"Infraction")</f>
        <v/>
      </c>
      <c r="AV14" s="89" t="str">
        <f>IF($AI14&gt;=Feuil2!$G$2,IF(AM14&gt;0,IF(IF(M14="PAUSE 1",L14,IF(O14="PAUSE 1",N14-L14,IF(Q14="PAUSE 1",P14-L14,IF(S14="PAUSE 1",R14-L14,IF(U14="PAUSE 1",T14-L14,IF(W14="PAUSE 1",V14-L14,IF(Y14="PAUSE 1",X14-L14,IF(AA14="PAUSE 1",Z14-L14,IF(AC14="PAUSE 1",AB14-L14,IF(AE14="PAUSE 1",AD14-L14,""))))))))))-$N14&lt;=Feuil2!$G$2,IF(AM14&lt;Feuil2!$G$3,"Infraction",IF(AM14&gt;=Feuil2!$G$5,"",IF(AN14&gt;0,IF(IF(M14="PAUSE 2",L14,IF(O14="PAUSE 2",N14,IF(Q14="PAUSE 2",P14,IF(S14="PAUSE 2",R14,IF(U14="PAUSE 2",T14,IF(W14="PAUSE 2",V14,IF(Y14="PAUSE 2",X14,IF(AA14="PAUSE 2",Z14,IF(AC14="PAUSE 2",AB14,IF(AE14="PAUSE 2",AD14,""))))))))))-$N14&lt;=Feuil2!$G$2,IF(AN14&lt;Feuil2!$G$4,"Infraction",IF(AO14&gt;=Feuil2!$G$5,"","Infraction")),"Infraction"),"Infraction"))),"Infraction"),"Infraction"),"")</f>
        <v/>
      </c>
      <c r="AX14" s="99" t="str">
        <f t="shared" si="15"/>
        <v/>
      </c>
      <c r="AY14" s="99" t="str">
        <f t="shared" si="14"/>
        <v/>
      </c>
    </row>
    <row r="15" spans="1:56">
      <c r="A15" s="59" t="str">
        <f t="shared" si="0"/>
        <v>43344</v>
      </c>
      <c r="B15" s="51">
        <f t="shared" si="1"/>
        <v>43344</v>
      </c>
      <c r="C15" s="52">
        <f t="shared" si="2"/>
        <v>43344</v>
      </c>
      <c r="D15" s="53">
        <f t="shared" si="3"/>
        <v>35</v>
      </c>
      <c r="E15" s="60">
        <v>43344</v>
      </c>
      <c r="F15" s="53"/>
      <c r="G15" s="53"/>
      <c r="H15" s="53"/>
      <c r="I15" s="53"/>
      <c r="J15" s="53"/>
      <c r="K15" s="53">
        <f>Tableau3[[#This Row],[Km Fin]]-Tableau3[[#This Row],[Km Début]]</f>
        <v>0</v>
      </c>
      <c r="L15" s="62"/>
      <c r="M15" s="53"/>
      <c r="N15" s="62"/>
      <c r="O15" s="53"/>
      <c r="P15" s="62"/>
      <c r="Q15" s="53"/>
      <c r="R15" s="62"/>
      <c r="S15" s="53"/>
      <c r="T15" s="62"/>
      <c r="U15" s="53"/>
      <c r="V15" s="62"/>
      <c r="W15" s="53"/>
      <c r="X15" s="62"/>
      <c r="Y15" s="53"/>
      <c r="Z15" s="62"/>
      <c r="AA15" s="53"/>
      <c r="AB15" s="62"/>
      <c r="AC15" s="53"/>
      <c r="AD15" s="62"/>
      <c r="AE15" s="53"/>
      <c r="AF15" s="62"/>
      <c r="AG15" s="62">
        <f>MOD(Tableau3[[#This Row],[CHARGEMENT]]+Tableau3[[#This Row],[DECHARGEMENT]]+Tableau3[[#This Row],[CONDUITE]]+Tableau3[[#This Row],[GASOIL
EMBALLAGE]]+Tableau3[[#This Row],[ADMINISTRATIF]],1)</f>
        <v>0</v>
      </c>
      <c r="AH15" s="95">
        <f t="shared" si="4"/>
        <v>0</v>
      </c>
      <c r="AI15" s="95">
        <f t="shared" si="5"/>
        <v>0</v>
      </c>
      <c r="AJ15" s="95">
        <f t="shared" si="6"/>
        <v>0</v>
      </c>
      <c r="AK15" s="95">
        <f t="shared" si="7"/>
        <v>0</v>
      </c>
      <c r="AL15" s="95">
        <f t="shared" si="8"/>
        <v>0</v>
      </c>
      <c r="AM15" s="95">
        <f t="shared" si="9"/>
        <v>0</v>
      </c>
      <c r="AN15" s="95">
        <f t="shared" si="10"/>
        <v>0</v>
      </c>
      <c r="AO15" s="95">
        <f>MOD(Tableau3[[#This Row],[PAUSE 1]]+Tableau3[[#This Row],[PAUSE 2]],1)</f>
        <v>0</v>
      </c>
      <c r="AP15" s="95">
        <f t="shared" si="11"/>
        <v>0</v>
      </c>
      <c r="AQ15" s="95">
        <f t="shared" si="12"/>
        <v>0</v>
      </c>
      <c r="AR15" s="95">
        <f t="shared" si="13"/>
        <v>0</v>
      </c>
      <c r="AS15" s="96">
        <f>Tableau3[[#This Row],[TOTAL EFFECTIF]]+Tableau3[[#This Row],[TOTAL PAUSE]]</f>
        <v>0</v>
      </c>
      <c r="AT15" s="97" t="str">
        <f>IF(Tableau3[[#This Row],[TOTAL EFFECTIF]]+Tableau3[[#This Row],[DEL]]+Tableau3[[#This Row],[DIR]]+Tableau3[[#This Row],[FORMATION]]&gt;Feuil2!$E$2,"INFRACTION","")</f>
        <v/>
      </c>
      <c r="AU15" s="96" t="str">
        <f>IFERROR(IF(Tableau3[[#This Row],[TOTAL EFFECTIF]]&gt;=Feuil2!$F$2,IF(Tableau3[[#This Row],[PAUSE 1]]&gt;0,IF(IF(M15="PAUSE 1",L15,IF(O15="PAUSE 1",N15,IF(Q15="PAUSE 1",P15,IF(S15="PAUSE 1",R15,IF(U15="PAUSE 1",T15,IF(W15="PAUSE 1",V15,IF(Y15="PAUSE 1",X15,IF(AA15="PAUSE 1",Z15,IF(AC15="PAUSE 1",AB15,IF(AE15="PAUSE 1",AD15,""))))))))))-Tableau3[[#This Row],[DEBUT]]&lt;Feuil2!$F$2,IF(AM15&gt;=Feuil2!$F$3,"",IF(IF(M15="PAUSE 2",L15,IF(O15="PAUSE 2",N15,IF(Q15="PAUSE 2",P15,IF(S15="PAUSE 2",R15,IF(U15="PAUSE 2",T15,IF(W15="PAUSE 2",V15,IF(Y15="PAUSE 2",X15,IF(AA15="PAUSE 2",Z15,IF(AC15="PAUSE 2",AB15,IF(AE15="PAUSE 2",AD15,""))))))))))-L15&lt;Feuil2!$F$2,IF(AN15&gt;0,IF(AO15&gt;=Feuil2!$F$3,"","Infraction"),"Infraction"),"Infraction")),"Infraction"),"Infraction"),""),"Infraction")</f>
        <v/>
      </c>
      <c r="AV15" s="88" t="str">
        <f>IF($AI15&gt;=Feuil2!$G$2,IF(AM15&gt;0,IF(IF(M15="PAUSE 1",L15,IF(O15="PAUSE 1",N15-L15,IF(Q15="PAUSE 1",P15-L15,IF(S15="PAUSE 1",R15-L15,IF(U15="PAUSE 1",T15-L15,IF(W15="PAUSE 1",V15-L15,IF(Y15="PAUSE 1",X15-L15,IF(AA15="PAUSE 1",Z15-L15,IF(AC15="PAUSE 1",AB15-L15,IF(AE15="PAUSE 1",AD15-L15,""))))))))))-$N15&lt;=Feuil2!$G$2,IF(AM15&lt;Feuil2!$G$3,"Infraction",IF(AM15&gt;=Feuil2!$G$5,"",IF(AN15&gt;0,IF(IF(M15="PAUSE 2",L15,IF(O15="PAUSE 2",N15,IF(Q15="PAUSE 2",P15,IF(S15="PAUSE 2",R15,IF(U15="PAUSE 2",T15,IF(W15="PAUSE 2",V15,IF(Y15="PAUSE 2",X15,IF(AA15="PAUSE 2",Z15,IF(AC15="PAUSE 2",AB15,IF(AE15="PAUSE 2",AD15,""))))))))))-$N15&lt;=Feuil2!$G$2,IF(AN15&lt;Feuil2!$G$4,"Infraction",IF(AO15&gt;=Feuil2!$G$5,"","Infraction")),"Infraction"),"Infraction"))),"Infraction"),"Infraction"),"")</f>
        <v/>
      </c>
      <c r="AX15" s="99" t="str">
        <f t="shared" si="15"/>
        <v/>
      </c>
      <c r="AY15" s="99" t="str">
        <f t="shared" si="14"/>
        <v/>
      </c>
    </row>
    <row r="16" spans="1:56">
      <c r="A16" s="56" t="str">
        <f t="shared" si="0"/>
        <v>43344</v>
      </c>
      <c r="B16" s="54">
        <f t="shared" si="1"/>
        <v>43344</v>
      </c>
      <c r="C16" s="49">
        <f t="shared" si="2"/>
        <v>43344</v>
      </c>
      <c r="D16" s="50">
        <f t="shared" si="3"/>
        <v>35</v>
      </c>
      <c r="E16" s="57">
        <v>43344</v>
      </c>
      <c r="F16" s="50"/>
      <c r="G16" s="50"/>
      <c r="H16" s="50"/>
      <c r="I16" s="50"/>
      <c r="J16" s="50"/>
      <c r="K16" s="50">
        <f>Tableau3[[#This Row],[Km Fin]]-Tableau3[[#This Row],[Km Début]]</f>
        <v>0</v>
      </c>
      <c r="L16" s="63"/>
      <c r="M16" s="50"/>
      <c r="N16" s="63"/>
      <c r="O16" s="50"/>
      <c r="P16" s="63"/>
      <c r="Q16" s="50"/>
      <c r="R16" s="63"/>
      <c r="S16" s="50"/>
      <c r="T16" s="63"/>
      <c r="U16" s="50"/>
      <c r="V16" s="63"/>
      <c r="W16" s="50"/>
      <c r="X16" s="63"/>
      <c r="Y16" s="50"/>
      <c r="Z16" s="63"/>
      <c r="AA16" s="50"/>
      <c r="AB16" s="63"/>
      <c r="AC16" s="50"/>
      <c r="AD16" s="63"/>
      <c r="AE16" s="50"/>
      <c r="AF16" s="63"/>
      <c r="AG16" s="63">
        <f>MOD(Tableau3[[#This Row],[CHARGEMENT]]+Tableau3[[#This Row],[DECHARGEMENT]]+Tableau3[[#This Row],[CONDUITE]]+Tableau3[[#This Row],[GASOIL
EMBALLAGE]]+Tableau3[[#This Row],[ADMINISTRATIF]],1)</f>
        <v>0</v>
      </c>
      <c r="AH16" s="61">
        <f t="shared" si="4"/>
        <v>0</v>
      </c>
      <c r="AI16" s="61">
        <f t="shared" si="5"/>
        <v>0</v>
      </c>
      <c r="AJ16" s="63">
        <f t="shared" si="6"/>
        <v>0</v>
      </c>
      <c r="AK16" s="61">
        <f t="shared" si="7"/>
        <v>0</v>
      </c>
      <c r="AL16" s="61">
        <f t="shared" si="8"/>
        <v>0</v>
      </c>
      <c r="AM16" s="61">
        <f t="shared" si="9"/>
        <v>0</v>
      </c>
      <c r="AN16" s="61">
        <f t="shared" si="10"/>
        <v>0</v>
      </c>
      <c r="AO16" s="61">
        <f>MOD(Tableau3[[#This Row],[PAUSE 1]]+Tableau3[[#This Row],[PAUSE 2]],1)</f>
        <v>0</v>
      </c>
      <c r="AP16" s="61">
        <f t="shared" si="11"/>
        <v>0</v>
      </c>
      <c r="AQ16" s="61">
        <f t="shared" si="12"/>
        <v>0</v>
      </c>
      <c r="AR16" s="63">
        <f t="shared" si="13"/>
        <v>0</v>
      </c>
      <c r="AS16" s="87">
        <f>Tableau3[[#This Row],[TOTAL EFFECTIF]]+Tableau3[[#This Row],[TOTAL PAUSE]]</f>
        <v>0</v>
      </c>
      <c r="AT16" s="91" t="str">
        <f>IF(Tableau3[[#This Row],[TOTAL EFFECTIF]]+Tableau3[[#This Row],[DEL]]+Tableau3[[#This Row],[DIR]]+Tableau3[[#This Row],[FORMATION]]&gt;Feuil2!$E$2,"INFRACTION","")</f>
        <v/>
      </c>
      <c r="AU16" s="87" t="str">
        <f>IFERROR(IF(Tableau3[[#This Row],[TOTAL EFFECTIF]]&gt;=Feuil2!$F$2,IF(Tableau3[[#This Row],[PAUSE 1]]&gt;0,IF(IF(M16="PAUSE 1",L16,IF(O16="PAUSE 1",N16,IF(Q16="PAUSE 1",P16,IF(S16="PAUSE 1",R16,IF(U16="PAUSE 1",T16,IF(W16="PAUSE 1",V16,IF(Y16="PAUSE 1",X16,IF(AA16="PAUSE 1",Z16,IF(AC16="PAUSE 1",AB16,IF(AE16="PAUSE 1",AD16,""))))))))))-Tableau3[[#This Row],[DEBUT]]&lt;Feuil2!$F$2,IF(AM16&gt;=Feuil2!$F$3,"",IF(IF(M16="PAUSE 2",L16,IF(O16="PAUSE 2",N16,IF(Q16="PAUSE 2",P16,IF(S16="PAUSE 2",R16,IF(U16="PAUSE 2",T16,IF(W16="PAUSE 2",V16,IF(Y16="PAUSE 2",X16,IF(AA16="PAUSE 2",Z16,IF(AC16="PAUSE 2",AB16,IF(AE16="PAUSE 2",AD16,""))))))))))-L16&lt;Feuil2!$F$2,IF(AN16&gt;0,IF(AO16&gt;=Feuil2!$F$3,"","Infraction"),"Infraction"),"Infraction")),"Infraction"),"Infraction"),""),"Infraction")</f>
        <v/>
      </c>
      <c r="AV16" s="89" t="str">
        <f>IF($AI16&gt;=Feuil2!$G$2,IF(AM16&gt;0,IF(IF(M16="PAUSE 1",L16,IF(O16="PAUSE 1",N16-L16,IF(Q16="PAUSE 1",P16-L16,IF(S16="PAUSE 1",R16-L16,IF(U16="PAUSE 1",T16-L16,IF(W16="PAUSE 1",V16-L16,IF(Y16="PAUSE 1",X16-L16,IF(AA16="PAUSE 1",Z16-L16,IF(AC16="PAUSE 1",AB16-L16,IF(AE16="PAUSE 1",AD16-L16,""))))))))))-$N16&lt;=Feuil2!$G$2,IF(AM16&lt;Feuil2!$G$3,"Infraction",IF(AM16&gt;=Feuil2!$G$5,"",IF(AN16&gt;0,IF(IF(M16="PAUSE 2",L16,IF(O16="PAUSE 2",N16,IF(Q16="PAUSE 2",P16,IF(S16="PAUSE 2",R16,IF(U16="PAUSE 2",T16,IF(W16="PAUSE 2",V16,IF(Y16="PAUSE 2",X16,IF(AA16="PAUSE 2",Z16,IF(AC16="PAUSE 2",AB16,IF(AE16="PAUSE 2",AD16,""))))))))))-$N16&lt;=Feuil2!$G$2,IF(AN16&lt;Feuil2!$G$4,"Infraction",IF(AO16&gt;=Feuil2!$G$5,"","Infraction")),"Infraction"),"Infraction"))),"Infraction"),"Infraction"),"")</f>
        <v/>
      </c>
      <c r="AX16" s="99" t="str">
        <f t="shared" si="15"/>
        <v/>
      </c>
      <c r="AY16" s="99" t="str">
        <f t="shared" si="14"/>
        <v/>
      </c>
    </row>
    <row r="17" spans="1:51">
      <c r="A17" s="59" t="str">
        <f t="shared" si="0"/>
        <v>43344</v>
      </c>
      <c r="B17" s="51">
        <f t="shared" si="1"/>
        <v>43344</v>
      </c>
      <c r="C17" s="52">
        <f t="shared" si="2"/>
        <v>43344</v>
      </c>
      <c r="D17" s="53">
        <f t="shared" si="3"/>
        <v>35</v>
      </c>
      <c r="E17" s="60">
        <v>43344</v>
      </c>
      <c r="F17" s="53"/>
      <c r="G17" s="53"/>
      <c r="H17" s="53"/>
      <c r="I17" s="53"/>
      <c r="J17" s="53"/>
      <c r="K17" s="53">
        <f>Tableau3[[#This Row],[Km Fin]]-Tableau3[[#This Row],[Km Début]]</f>
        <v>0</v>
      </c>
      <c r="L17" s="62"/>
      <c r="M17" s="53"/>
      <c r="N17" s="62"/>
      <c r="O17" s="53"/>
      <c r="P17" s="62"/>
      <c r="Q17" s="53"/>
      <c r="R17" s="62"/>
      <c r="S17" s="53"/>
      <c r="T17" s="62"/>
      <c r="U17" s="53"/>
      <c r="V17" s="62"/>
      <c r="W17" s="53"/>
      <c r="X17" s="62"/>
      <c r="Y17" s="53"/>
      <c r="Z17" s="62"/>
      <c r="AA17" s="53"/>
      <c r="AB17" s="62"/>
      <c r="AC17" s="53"/>
      <c r="AD17" s="62"/>
      <c r="AE17" s="53"/>
      <c r="AF17" s="62"/>
      <c r="AG17" s="62">
        <f>MOD(Tableau3[[#This Row],[CHARGEMENT]]+Tableau3[[#This Row],[DECHARGEMENT]]+Tableau3[[#This Row],[CONDUITE]]+Tableau3[[#This Row],[GASOIL
EMBALLAGE]]+Tableau3[[#This Row],[ADMINISTRATIF]],1)</f>
        <v>0</v>
      </c>
      <c r="AH17" s="95">
        <f t="shared" si="4"/>
        <v>0</v>
      </c>
      <c r="AI17" s="95">
        <f t="shared" si="5"/>
        <v>0</v>
      </c>
      <c r="AJ17" s="95">
        <f t="shared" si="6"/>
        <v>0</v>
      </c>
      <c r="AK17" s="95">
        <f t="shared" si="7"/>
        <v>0</v>
      </c>
      <c r="AL17" s="95">
        <f t="shared" si="8"/>
        <v>0</v>
      </c>
      <c r="AM17" s="95">
        <f t="shared" si="9"/>
        <v>0</v>
      </c>
      <c r="AN17" s="95">
        <f t="shared" si="10"/>
        <v>0</v>
      </c>
      <c r="AO17" s="95">
        <f>MOD(Tableau3[[#This Row],[PAUSE 1]]+Tableau3[[#This Row],[PAUSE 2]],1)</f>
        <v>0</v>
      </c>
      <c r="AP17" s="95">
        <f t="shared" si="11"/>
        <v>0</v>
      </c>
      <c r="AQ17" s="95">
        <f t="shared" si="12"/>
        <v>0</v>
      </c>
      <c r="AR17" s="95">
        <f t="shared" si="13"/>
        <v>0</v>
      </c>
      <c r="AS17" s="96">
        <f>Tableau3[[#This Row],[TOTAL EFFECTIF]]+Tableau3[[#This Row],[TOTAL PAUSE]]</f>
        <v>0</v>
      </c>
      <c r="AT17" s="97" t="str">
        <f>IF(Tableau3[[#This Row],[TOTAL EFFECTIF]]+Tableau3[[#This Row],[DEL]]+Tableau3[[#This Row],[DIR]]+Tableau3[[#This Row],[FORMATION]]&gt;Feuil2!$E$2,"INFRACTION","")</f>
        <v/>
      </c>
      <c r="AU17" s="96" t="str">
        <f>IFERROR(IF(Tableau3[[#This Row],[TOTAL EFFECTIF]]&gt;=Feuil2!$F$2,IF(Tableau3[[#This Row],[PAUSE 1]]&gt;0,IF(IF(M17="PAUSE 1",L17,IF(O17="PAUSE 1",N17,IF(Q17="PAUSE 1",P17,IF(S17="PAUSE 1",R17,IF(U17="PAUSE 1",T17,IF(W17="PAUSE 1",V17,IF(Y17="PAUSE 1",X17,IF(AA17="PAUSE 1",Z17,IF(AC17="PAUSE 1",AB17,IF(AE17="PAUSE 1",AD17,""))))))))))-Tableau3[[#This Row],[DEBUT]]&lt;Feuil2!$F$2,IF(AM17&gt;=Feuil2!$F$3,"",IF(IF(M17="PAUSE 2",L17,IF(O17="PAUSE 2",N17,IF(Q17="PAUSE 2",P17,IF(S17="PAUSE 2",R17,IF(U17="PAUSE 2",T17,IF(W17="PAUSE 2",V17,IF(Y17="PAUSE 2",X17,IF(AA17="PAUSE 2",Z17,IF(AC17="PAUSE 2",AB17,IF(AE17="PAUSE 2",AD17,""))))))))))-L17&lt;Feuil2!$F$2,IF(AN17&gt;0,IF(AO17&gt;=Feuil2!$F$3,"","Infraction"),"Infraction"),"Infraction")),"Infraction"),"Infraction"),""),"Infraction")</f>
        <v/>
      </c>
      <c r="AV17" s="88" t="str">
        <f>IF($AI17&gt;=Feuil2!$G$2,IF(AM17&gt;0,IF(IF(M17="PAUSE 1",L17,IF(O17="PAUSE 1",N17-L17,IF(Q17="PAUSE 1",P17-L17,IF(S17="PAUSE 1",R17-L17,IF(U17="PAUSE 1",T17-L17,IF(W17="PAUSE 1",V17-L17,IF(Y17="PAUSE 1",X17-L17,IF(AA17="PAUSE 1",Z17-L17,IF(AC17="PAUSE 1",AB17-L17,IF(AE17="PAUSE 1",AD17-L17,""))))))))))-$N17&lt;=Feuil2!$G$2,IF(AM17&lt;Feuil2!$G$3,"Infraction",IF(AM17&gt;=Feuil2!$G$5,"",IF(AN17&gt;0,IF(IF(M17="PAUSE 2",L17,IF(O17="PAUSE 2",N17,IF(Q17="PAUSE 2",P17,IF(S17="PAUSE 2",R17,IF(U17="PAUSE 2",T17,IF(W17="PAUSE 2",V17,IF(Y17="PAUSE 2",X17,IF(AA17="PAUSE 2",Z17,IF(AC17="PAUSE 2",AB17,IF(AE17="PAUSE 2",AD17,""))))))))))-$N17&lt;=Feuil2!$G$2,IF(AN17&lt;Feuil2!$G$4,"Infraction",IF(AO17&gt;=Feuil2!$G$5,"","Infraction")),"Infraction"),"Infraction"))),"Infraction"),"Infraction"),"")</f>
        <v/>
      </c>
      <c r="AX17" s="99" t="str">
        <f t="shared" si="15"/>
        <v/>
      </c>
      <c r="AY17" s="99" t="str">
        <f t="shared" si="14"/>
        <v/>
      </c>
    </row>
    <row r="18" spans="1:51">
      <c r="A18" s="56" t="str">
        <f t="shared" si="0"/>
        <v>43344</v>
      </c>
      <c r="B18" s="54">
        <f t="shared" si="1"/>
        <v>43344</v>
      </c>
      <c r="C18" s="49">
        <f t="shared" si="2"/>
        <v>43344</v>
      </c>
      <c r="D18" s="50">
        <f t="shared" si="3"/>
        <v>35</v>
      </c>
      <c r="E18" s="57">
        <v>43344</v>
      </c>
      <c r="F18" s="50"/>
      <c r="G18" s="50"/>
      <c r="H18" s="50"/>
      <c r="I18" s="50"/>
      <c r="J18" s="50"/>
      <c r="K18" s="50">
        <f>Tableau3[[#This Row],[Km Fin]]-Tableau3[[#This Row],[Km Début]]</f>
        <v>0</v>
      </c>
      <c r="L18" s="63"/>
      <c r="M18" s="50"/>
      <c r="N18" s="63"/>
      <c r="O18" s="50"/>
      <c r="P18" s="63"/>
      <c r="Q18" s="50"/>
      <c r="R18" s="63"/>
      <c r="S18" s="50"/>
      <c r="T18" s="63"/>
      <c r="U18" s="50"/>
      <c r="V18" s="63"/>
      <c r="W18" s="50"/>
      <c r="X18" s="63"/>
      <c r="Y18" s="50"/>
      <c r="Z18" s="63"/>
      <c r="AA18" s="50"/>
      <c r="AB18" s="63"/>
      <c r="AC18" s="50"/>
      <c r="AD18" s="63"/>
      <c r="AE18" s="50"/>
      <c r="AF18" s="63"/>
      <c r="AG18" s="63">
        <f>MOD(Tableau3[[#This Row],[CHARGEMENT]]+Tableau3[[#This Row],[DECHARGEMENT]]+Tableau3[[#This Row],[CONDUITE]]+Tableau3[[#This Row],[GASOIL
EMBALLAGE]]+Tableau3[[#This Row],[ADMINISTRATIF]],1)</f>
        <v>0</v>
      </c>
      <c r="AH18" s="61">
        <f t="shared" si="4"/>
        <v>0</v>
      </c>
      <c r="AI18" s="61">
        <f t="shared" si="5"/>
        <v>0</v>
      </c>
      <c r="AJ18" s="63">
        <f t="shared" si="6"/>
        <v>0</v>
      </c>
      <c r="AK18" s="61">
        <f t="shared" si="7"/>
        <v>0</v>
      </c>
      <c r="AL18" s="61">
        <f t="shared" si="8"/>
        <v>0</v>
      </c>
      <c r="AM18" s="61">
        <f t="shared" si="9"/>
        <v>0</v>
      </c>
      <c r="AN18" s="61">
        <f t="shared" si="10"/>
        <v>0</v>
      </c>
      <c r="AO18" s="61">
        <f>MOD(Tableau3[[#This Row],[PAUSE 1]]+Tableau3[[#This Row],[PAUSE 2]],1)</f>
        <v>0</v>
      </c>
      <c r="AP18" s="61">
        <f t="shared" si="11"/>
        <v>0</v>
      </c>
      <c r="AQ18" s="61">
        <f t="shared" si="12"/>
        <v>0</v>
      </c>
      <c r="AR18" s="63">
        <f t="shared" si="13"/>
        <v>0</v>
      </c>
      <c r="AS18" s="87">
        <f>Tableau3[[#This Row],[TOTAL EFFECTIF]]+Tableau3[[#This Row],[TOTAL PAUSE]]</f>
        <v>0</v>
      </c>
      <c r="AT18" s="91" t="str">
        <f>IF(Tableau3[[#This Row],[TOTAL EFFECTIF]]+Tableau3[[#This Row],[DEL]]+Tableau3[[#This Row],[DIR]]+Tableau3[[#This Row],[FORMATION]]&gt;Feuil2!$E$2,"INFRACTION","")</f>
        <v/>
      </c>
      <c r="AU18" s="87" t="str">
        <f>IFERROR(IF(Tableau3[[#This Row],[TOTAL EFFECTIF]]&gt;=Feuil2!$F$2,IF(Tableau3[[#This Row],[PAUSE 1]]&gt;0,IF(IF(M18="PAUSE 1",L18,IF(O18="PAUSE 1",N18,IF(Q18="PAUSE 1",P18,IF(S18="PAUSE 1",R18,IF(U18="PAUSE 1",T18,IF(W18="PAUSE 1",V18,IF(Y18="PAUSE 1",X18,IF(AA18="PAUSE 1",Z18,IF(AC18="PAUSE 1",AB18,IF(AE18="PAUSE 1",AD18,""))))))))))-Tableau3[[#This Row],[DEBUT]]&lt;Feuil2!$F$2,IF(AM18&gt;=Feuil2!$F$3,"",IF(IF(M18="PAUSE 2",L18,IF(O18="PAUSE 2",N18,IF(Q18="PAUSE 2",P18,IF(S18="PAUSE 2",R18,IF(U18="PAUSE 2",T18,IF(W18="PAUSE 2",V18,IF(Y18="PAUSE 2",X18,IF(AA18="PAUSE 2",Z18,IF(AC18="PAUSE 2",AB18,IF(AE18="PAUSE 2",AD18,""))))))))))-L18&lt;Feuil2!$F$2,IF(AN18&gt;0,IF(AO18&gt;=Feuil2!$F$3,"","Infraction"),"Infraction"),"Infraction")),"Infraction"),"Infraction"),""),"Infraction")</f>
        <v/>
      </c>
      <c r="AV18" s="89" t="str">
        <f>IF($AI18&gt;=Feuil2!$G$2,IF(AM18&gt;0,IF(IF(M18="PAUSE 1",L18,IF(O18="PAUSE 1",N18-L18,IF(Q18="PAUSE 1",P18-L18,IF(S18="PAUSE 1",R18-L18,IF(U18="PAUSE 1",T18-L18,IF(W18="PAUSE 1",V18-L18,IF(Y18="PAUSE 1",X18-L18,IF(AA18="PAUSE 1",Z18-L18,IF(AC18="PAUSE 1",AB18-L18,IF(AE18="PAUSE 1",AD18-L18,""))))))))))-$N18&lt;=Feuil2!$G$2,IF(AM18&lt;Feuil2!$G$3,"Infraction",IF(AM18&gt;=Feuil2!$G$5,"",IF(AN18&gt;0,IF(IF(M18="PAUSE 2",L18,IF(O18="PAUSE 2",N18,IF(Q18="PAUSE 2",P18,IF(S18="PAUSE 2",R18,IF(U18="PAUSE 2",T18,IF(W18="PAUSE 2",V18,IF(Y18="PAUSE 2",X18,IF(AA18="PAUSE 2",Z18,IF(AC18="PAUSE 2",AB18,IF(AE18="PAUSE 2",AD18,""))))))))))-$N18&lt;=Feuil2!$G$2,IF(AN18&lt;Feuil2!$G$4,"Infraction",IF(AO18&gt;=Feuil2!$G$5,"","Infraction")),"Infraction"),"Infraction"))),"Infraction"),"Infraction"),"")</f>
        <v/>
      </c>
      <c r="AX18" s="99" t="str">
        <f t="shared" si="15"/>
        <v/>
      </c>
      <c r="AY18" s="99" t="str">
        <f t="shared" si="14"/>
        <v/>
      </c>
    </row>
    <row r="19" spans="1:51">
      <c r="A19" s="59" t="str">
        <f t="shared" si="0"/>
        <v>43344</v>
      </c>
      <c r="B19" s="51">
        <f t="shared" si="1"/>
        <v>43344</v>
      </c>
      <c r="C19" s="52">
        <f t="shared" si="2"/>
        <v>43344</v>
      </c>
      <c r="D19" s="53">
        <f t="shared" si="3"/>
        <v>35</v>
      </c>
      <c r="E19" s="60">
        <v>43344</v>
      </c>
      <c r="F19" s="53"/>
      <c r="G19" s="53"/>
      <c r="H19" s="53"/>
      <c r="I19" s="53"/>
      <c r="J19" s="53"/>
      <c r="K19" s="53">
        <f>Tableau3[[#This Row],[Km Fin]]-Tableau3[[#This Row],[Km Début]]</f>
        <v>0</v>
      </c>
      <c r="L19" s="62"/>
      <c r="M19" s="53"/>
      <c r="N19" s="62"/>
      <c r="O19" s="53"/>
      <c r="P19" s="62"/>
      <c r="Q19" s="53"/>
      <c r="R19" s="62"/>
      <c r="S19" s="53"/>
      <c r="T19" s="62"/>
      <c r="U19" s="53"/>
      <c r="V19" s="62"/>
      <c r="W19" s="53"/>
      <c r="X19" s="62"/>
      <c r="Y19" s="53"/>
      <c r="Z19" s="62"/>
      <c r="AA19" s="53"/>
      <c r="AB19" s="62"/>
      <c r="AC19" s="53"/>
      <c r="AD19" s="62"/>
      <c r="AE19" s="53"/>
      <c r="AF19" s="62"/>
      <c r="AG19" s="62">
        <f>MOD(Tableau3[[#This Row],[CHARGEMENT]]+Tableau3[[#This Row],[DECHARGEMENT]]+Tableau3[[#This Row],[CONDUITE]]+Tableau3[[#This Row],[GASOIL
EMBALLAGE]]+Tableau3[[#This Row],[ADMINISTRATIF]],1)</f>
        <v>0</v>
      </c>
      <c r="AH19" s="95">
        <f t="shared" si="4"/>
        <v>0</v>
      </c>
      <c r="AI19" s="95">
        <f t="shared" si="5"/>
        <v>0</v>
      </c>
      <c r="AJ19" s="95">
        <f t="shared" si="6"/>
        <v>0</v>
      </c>
      <c r="AK19" s="95">
        <f t="shared" si="7"/>
        <v>0</v>
      </c>
      <c r="AL19" s="95">
        <f t="shared" si="8"/>
        <v>0</v>
      </c>
      <c r="AM19" s="95">
        <f t="shared" si="9"/>
        <v>0</v>
      </c>
      <c r="AN19" s="95">
        <f t="shared" si="10"/>
        <v>0</v>
      </c>
      <c r="AO19" s="95">
        <f>MOD(Tableau3[[#This Row],[PAUSE 1]]+Tableau3[[#This Row],[PAUSE 2]],1)</f>
        <v>0</v>
      </c>
      <c r="AP19" s="95">
        <f t="shared" si="11"/>
        <v>0</v>
      </c>
      <c r="AQ19" s="95">
        <f t="shared" si="12"/>
        <v>0</v>
      </c>
      <c r="AR19" s="95">
        <f t="shared" si="13"/>
        <v>0</v>
      </c>
      <c r="AS19" s="96">
        <f>Tableau3[[#This Row],[TOTAL EFFECTIF]]+Tableau3[[#This Row],[TOTAL PAUSE]]</f>
        <v>0</v>
      </c>
      <c r="AT19" s="97" t="str">
        <f>IF(Tableau3[[#This Row],[TOTAL EFFECTIF]]+Tableau3[[#This Row],[DEL]]+Tableau3[[#This Row],[DIR]]+Tableau3[[#This Row],[FORMATION]]&gt;Feuil2!$E$2,"INFRACTION","")</f>
        <v/>
      </c>
      <c r="AU19" s="96" t="str">
        <f>IFERROR(IF(Tableau3[[#This Row],[TOTAL EFFECTIF]]&gt;=Feuil2!$F$2,IF(Tableau3[[#This Row],[PAUSE 1]]&gt;0,IF(IF(M19="PAUSE 1",L19,IF(O19="PAUSE 1",N19,IF(Q19="PAUSE 1",P19,IF(S19="PAUSE 1",R19,IF(U19="PAUSE 1",T19,IF(W19="PAUSE 1",V19,IF(Y19="PAUSE 1",X19,IF(AA19="PAUSE 1",Z19,IF(AC19="PAUSE 1",AB19,IF(AE19="PAUSE 1",AD19,""))))))))))-Tableau3[[#This Row],[DEBUT]]&lt;Feuil2!$F$2,IF(AM19&gt;=Feuil2!$F$3,"",IF(IF(M19="PAUSE 2",L19,IF(O19="PAUSE 2",N19,IF(Q19="PAUSE 2",P19,IF(S19="PAUSE 2",R19,IF(U19="PAUSE 2",T19,IF(W19="PAUSE 2",V19,IF(Y19="PAUSE 2",X19,IF(AA19="PAUSE 2",Z19,IF(AC19="PAUSE 2",AB19,IF(AE19="PAUSE 2",AD19,""))))))))))-L19&lt;Feuil2!$F$2,IF(AN19&gt;0,IF(AO19&gt;=Feuil2!$F$3,"","Infraction"),"Infraction"),"Infraction")),"Infraction"),"Infraction"),""),"Infraction")</f>
        <v/>
      </c>
      <c r="AV19" s="88" t="str">
        <f>IF($AI19&gt;=Feuil2!$G$2,IF(AM19&gt;0,IF(IF(M19="PAUSE 1",L19,IF(O19="PAUSE 1",N19-L19,IF(Q19="PAUSE 1",P19-L19,IF(S19="PAUSE 1",R19-L19,IF(U19="PAUSE 1",T19-L19,IF(W19="PAUSE 1",V19-L19,IF(Y19="PAUSE 1",X19-L19,IF(AA19="PAUSE 1",Z19-L19,IF(AC19="PAUSE 1",AB19-L19,IF(AE19="PAUSE 1",AD19-L19,""))))))))))-$N19&lt;=Feuil2!$G$2,IF(AM19&lt;Feuil2!$G$3,"Infraction",IF(AM19&gt;=Feuil2!$G$5,"",IF(AN19&gt;0,IF(IF(M19="PAUSE 2",L19,IF(O19="PAUSE 2",N19,IF(Q19="PAUSE 2",P19,IF(S19="PAUSE 2",R19,IF(U19="PAUSE 2",T19,IF(W19="PAUSE 2",V19,IF(Y19="PAUSE 2",X19,IF(AA19="PAUSE 2",Z19,IF(AC19="PAUSE 2",AB19,IF(AE19="PAUSE 2",AD19,""))))))))))-$N19&lt;=Feuil2!$G$2,IF(AN19&lt;Feuil2!$G$4,"Infraction",IF(AO19&gt;=Feuil2!$G$5,"","Infraction")),"Infraction"),"Infraction"))),"Infraction"),"Infraction"),"")</f>
        <v/>
      </c>
      <c r="AX19" s="99" t="str">
        <f t="shared" si="15"/>
        <v/>
      </c>
      <c r="AY19" s="99" t="str">
        <f t="shared" si="14"/>
        <v/>
      </c>
    </row>
    <row r="20" spans="1:51">
      <c r="A20" s="56" t="str">
        <f t="shared" si="0"/>
        <v>43344</v>
      </c>
      <c r="B20" s="54">
        <f t="shared" si="1"/>
        <v>43344</v>
      </c>
      <c r="C20" s="49">
        <f t="shared" si="2"/>
        <v>43344</v>
      </c>
      <c r="D20" s="50">
        <f t="shared" si="3"/>
        <v>35</v>
      </c>
      <c r="E20" s="57">
        <v>43344</v>
      </c>
      <c r="F20" s="50"/>
      <c r="G20" s="50"/>
      <c r="H20" s="50"/>
      <c r="I20" s="50"/>
      <c r="J20" s="50"/>
      <c r="K20" s="50">
        <f>Tableau3[[#This Row],[Km Fin]]-Tableau3[[#This Row],[Km Début]]</f>
        <v>0</v>
      </c>
      <c r="L20" s="63"/>
      <c r="M20" s="50"/>
      <c r="N20" s="63"/>
      <c r="O20" s="50"/>
      <c r="P20" s="63"/>
      <c r="Q20" s="50"/>
      <c r="R20" s="63"/>
      <c r="S20" s="50"/>
      <c r="T20" s="63"/>
      <c r="U20" s="50"/>
      <c r="V20" s="63"/>
      <c r="W20" s="50"/>
      <c r="X20" s="63"/>
      <c r="Y20" s="50"/>
      <c r="Z20" s="63"/>
      <c r="AA20" s="50"/>
      <c r="AB20" s="63"/>
      <c r="AC20" s="50"/>
      <c r="AD20" s="63"/>
      <c r="AE20" s="50"/>
      <c r="AF20" s="63"/>
      <c r="AG20" s="63">
        <f>MOD(Tableau3[[#This Row],[CHARGEMENT]]+Tableau3[[#This Row],[DECHARGEMENT]]+Tableau3[[#This Row],[CONDUITE]]+Tableau3[[#This Row],[GASOIL
EMBALLAGE]]+Tableau3[[#This Row],[ADMINISTRATIF]],1)</f>
        <v>0</v>
      </c>
      <c r="AH20" s="61">
        <f t="shared" si="4"/>
        <v>0</v>
      </c>
      <c r="AI20" s="61">
        <f t="shared" si="5"/>
        <v>0</v>
      </c>
      <c r="AJ20" s="63">
        <f t="shared" si="6"/>
        <v>0</v>
      </c>
      <c r="AK20" s="61">
        <f t="shared" si="7"/>
        <v>0</v>
      </c>
      <c r="AL20" s="61">
        <f t="shared" si="8"/>
        <v>0</v>
      </c>
      <c r="AM20" s="61">
        <f t="shared" si="9"/>
        <v>0</v>
      </c>
      <c r="AN20" s="61">
        <f t="shared" si="10"/>
        <v>0</v>
      </c>
      <c r="AO20" s="61">
        <f>MOD(Tableau3[[#This Row],[PAUSE 1]]+Tableau3[[#This Row],[PAUSE 2]],1)</f>
        <v>0</v>
      </c>
      <c r="AP20" s="61">
        <f t="shared" si="11"/>
        <v>0</v>
      </c>
      <c r="AQ20" s="61">
        <f t="shared" si="12"/>
        <v>0</v>
      </c>
      <c r="AR20" s="63">
        <f t="shared" si="13"/>
        <v>0</v>
      </c>
      <c r="AS20" s="87">
        <f>Tableau3[[#This Row],[TOTAL EFFECTIF]]+Tableau3[[#This Row],[TOTAL PAUSE]]</f>
        <v>0</v>
      </c>
      <c r="AT20" s="91" t="str">
        <f>IF(Tableau3[[#This Row],[TOTAL EFFECTIF]]+Tableau3[[#This Row],[DEL]]+Tableau3[[#This Row],[DIR]]+Tableau3[[#This Row],[FORMATION]]&gt;Feuil2!$E$2,"INFRACTION","")</f>
        <v/>
      </c>
      <c r="AU20" s="87" t="str">
        <f>IFERROR(IF(Tableau3[[#This Row],[TOTAL EFFECTIF]]&gt;=Feuil2!$F$2,IF(Tableau3[[#This Row],[PAUSE 1]]&gt;0,IF(IF(M20="PAUSE 1",L20,IF(O20="PAUSE 1",N20,IF(Q20="PAUSE 1",P20,IF(S20="PAUSE 1",R20,IF(U20="PAUSE 1",T20,IF(W20="PAUSE 1",V20,IF(Y20="PAUSE 1",X20,IF(AA20="PAUSE 1",Z20,IF(AC20="PAUSE 1",AB20,IF(AE20="PAUSE 1",AD20,""))))))))))-Tableau3[[#This Row],[DEBUT]]&lt;Feuil2!$F$2,IF(AM20&gt;=Feuil2!$F$3,"",IF(IF(M20="PAUSE 2",L20,IF(O20="PAUSE 2",N20,IF(Q20="PAUSE 2",P20,IF(S20="PAUSE 2",R20,IF(U20="PAUSE 2",T20,IF(W20="PAUSE 2",V20,IF(Y20="PAUSE 2",X20,IF(AA20="PAUSE 2",Z20,IF(AC20="PAUSE 2",AB20,IF(AE20="PAUSE 2",AD20,""))))))))))-L20&lt;Feuil2!$F$2,IF(AN20&gt;0,IF(AO20&gt;=Feuil2!$F$3,"","Infraction"),"Infraction"),"Infraction")),"Infraction"),"Infraction"),""),"Infraction")</f>
        <v/>
      </c>
      <c r="AV20" s="89" t="str">
        <f>IF($AI20&gt;=Feuil2!$G$2,IF(AM20&gt;0,IF(IF(M20="PAUSE 1",L20,IF(O20="PAUSE 1",N20-L20,IF(Q20="PAUSE 1",P20-L20,IF(S20="PAUSE 1",R20-L20,IF(U20="PAUSE 1",T20-L20,IF(W20="PAUSE 1",V20-L20,IF(Y20="PAUSE 1",X20-L20,IF(AA20="PAUSE 1",Z20-L20,IF(AC20="PAUSE 1",AB20-L20,IF(AE20="PAUSE 1",AD20-L20,""))))))))))-$N20&lt;=Feuil2!$G$2,IF(AM20&lt;Feuil2!$G$3,"Infraction",IF(AM20&gt;=Feuil2!$G$5,"",IF(AN20&gt;0,IF(IF(M20="PAUSE 2",L20,IF(O20="PAUSE 2",N20,IF(Q20="PAUSE 2",P20,IF(S20="PAUSE 2",R20,IF(U20="PAUSE 2",T20,IF(W20="PAUSE 2",V20,IF(Y20="PAUSE 2",X20,IF(AA20="PAUSE 2",Z20,IF(AC20="PAUSE 2",AB20,IF(AE20="PAUSE 2",AD20,""))))))))))-$N20&lt;=Feuil2!$G$2,IF(AN20&lt;Feuil2!$G$4,"Infraction",IF(AO20&gt;=Feuil2!$G$5,"","Infraction")),"Infraction"),"Infraction"))),"Infraction"),"Infraction"),"")</f>
        <v/>
      </c>
      <c r="AX20" s="99" t="str">
        <f t="shared" si="15"/>
        <v/>
      </c>
      <c r="AY20" s="99" t="str">
        <f t="shared" si="14"/>
        <v/>
      </c>
    </row>
    <row r="21" spans="1:51">
      <c r="A21" s="59" t="str">
        <f t="shared" si="0"/>
        <v>43344</v>
      </c>
      <c r="B21" s="51">
        <f t="shared" si="1"/>
        <v>43344</v>
      </c>
      <c r="C21" s="52">
        <f t="shared" si="2"/>
        <v>43344</v>
      </c>
      <c r="D21" s="53">
        <f t="shared" si="3"/>
        <v>35</v>
      </c>
      <c r="E21" s="60">
        <v>43344</v>
      </c>
      <c r="F21" s="53"/>
      <c r="G21" s="53"/>
      <c r="H21" s="53"/>
      <c r="I21" s="53"/>
      <c r="J21" s="53"/>
      <c r="K21" s="53">
        <f>Tableau3[[#This Row],[Km Fin]]-Tableau3[[#This Row],[Km Début]]</f>
        <v>0</v>
      </c>
      <c r="L21" s="62"/>
      <c r="M21" s="53"/>
      <c r="N21" s="62"/>
      <c r="O21" s="53"/>
      <c r="P21" s="62"/>
      <c r="Q21" s="53"/>
      <c r="R21" s="62"/>
      <c r="S21" s="53"/>
      <c r="T21" s="62"/>
      <c r="U21" s="53"/>
      <c r="V21" s="62"/>
      <c r="W21" s="53"/>
      <c r="X21" s="62"/>
      <c r="Y21" s="53"/>
      <c r="Z21" s="62"/>
      <c r="AA21" s="53"/>
      <c r="AB21" s="62"/>
      <c r="AC21" s="53"/>
      <c r="AD21" s="62"/>
      <c r="AE21" s="53"/>
      <c r="AF21" s="62"/>
      <c r="AG21" s="62">
        <f>MOD(Tableau3[[#This Row],[CHARGEMENT]]+Tableau3[[#This Row],[DECHARGEMENT]]+Tableau3[[#This Row],[CONDUITE]]+Tableau3[[#This Row],[GASOIL
EMBALLAGE]]+Tableau3[[#This Row],[ADMINISTRATIF]],1)</f>
        <v>0</v>
      </c>
      <c r="AH21" s="95">
        <f t="shared" si="4"/>
        <v>0</v>
      </c>
      <c r="AI21" s="95">
        <f t="shared" si="5"/>
        <v>0</v>
      </c>
      <c r="AJ21" s="95">
        <f t="shared" si="6"/>
        <v>0</v>
      </c>
      <c r="AK21" s="95">
        <f t="shared" si="7"/>
        <v>0</v>
      </c>
      <c r="AL21" s="95">
        <f t="shared" si="8"/>
        <v>0</v>
      </c>
      <c r="AM21" s="95">
        <f t="shared" si="9"/>
        <v>0</v>
      </c>
      <c r="AN21" s="95">
        <f t="shared" si="10"/>
        <v>0</v>
      </c>
      <c r="AO21" s="95">
        <f>MOD(Tableau3[[#This Row],[PAUSE 1]]+Tableau3[[#This Row],[PAUSE 2]],1)</f>
        <v>0</v>
      </c>
      <c r="AP21" s="95">
        <f t="shared" si="11"/>
        <v>0</v>
      </c>
      <c r="AQ21" s="95">
        <f t="shared" si="12"/>
        <v>0</v>
      </c>
      <c r="AR21" s="95">
        <f t="shared" si="13"/>
        <v>0</v>
      </c>
      <c r="AS21" s="96">
        <f>Tableau3[[#This Row],[TOTAL EFFECTIF]]+Tableau3[[#This Row],[TOTAL PAUSE]]</f>
        <v>0</v>
      </c>
      <c r="AT21" s="97" t="str">
        <f>IF(Tableau3[[#This Row],[TOTAL EFFECTIF]]+Tableau3[[#This Row],[DEL]]+Tableau3[[#This Row],[DIR]]+Tableau3[[#This Row],[FORMATION]]&gt;Feuil2!$E$2,"INFRACTION","")</f>
        <v/>
      </c>
      <c r="AU21" s="96" t="str">
        <f>IFERROR(IF(Tableau3[[#This Row],[TOTAL EFFECTIF]]&gt;=Feuil2!$F$2,IF(Tableau3[[#This Row],[PAUSE 1]]&gt;0,IF(IF(M21="PAUSE 1",L21,IF(O21="PAUSE 1",N21,IF(Q21="PAUSE 1",P21,IF(S21="PAUSE 1",R21,IF(U21="PAUSE 1",T21,IF(W21="PAUSE 1",V21,IF(Y21="PAUSE 1",X21,IF(AA21="PAUSE 1",Z21,IF(AC21="PAUSE 1",AB21,IF(AE21="PAUSE 1",AD21,""))))))))))-Tableau3[[#This Row],[DEBUT]]&lt;Feuil2!$F$2,IF(AM21&gt;=Feuil2!$F$3,"",IF(IF(M21="PAUSE 2",L21,IF(O21="PAUSE 2",N21,IF(Q21="PAUSE 2",P21,IF(S21="PAUSE 2",R21,IF(U21="PAUSE 2",T21,IF(W21="PAUSE 2",V21,IF(Y21="PAUSE 2",X21,IF(AA21="PAUSE 2",Z21,IF(AC21="PAUSE 2",AB21,IF(AE21="PAUSE 2",AD21,""))))))))))-L21&lt;Feuil2!$F$2,IF(AN21&gt;0,IF(AO21&gt;=Feuil2!$F$3,"","Infraction"),"Infraction"),"Infraction")),"Infraction"),"Infraction"),""),"Infraction")</f>
        <v/>
      </c>
      <c r="AV21" s="88" t="str">
        <f>IF($AI21&gt;=Feuil2!$G$2,IF(AM21&gt;0,IF(IF(M21="PAUSE 1",L21,IF(O21="PAUSE 1",N21-L21,IF(Q21="PAUSE 1",P21-L21,IF(S21="PAUSE 1",R21-L21,IF(U21="PAUSE 1",T21-L21,IF(W21="PAUSE 1",V21-L21,IF(Y21="PAUSE 1",X21-L21,IF(AA21="PAUSE 1",Z21-L21,IF(AC21="PAUSE 1",AB21-L21,IF(AE21="PAUSE 1",AD21-L21,""))))))))))-$N21&lt;=Feuil2!$G$2,IF(AM21&lt;Feuil2!$G$3,"Infraction",IF(AM21&gt;=Feuil2!$G$5,"",IF(AN21&gt;0,IF(IF(M21="PAUSE 2",L21,IF(O21="PAUSE 2",N21,IF(Q21="PAUSE 2",P21,IF(S21="PAUSE 2",R21,IF(U21="PAUSE 2",T21,IF(W21="PAUSE 2",V21,IF(Y21="PAUSE 2",X21,IF(AA21="PAUSE 2",Z21,IF(AC21="PAUSE 2",AB21,IF(AE21="PAUSE 2",AD21,""))))))))))-$N21&lt;=Feuil2!$G$2,IF(AN21&lt;Feuil2!$G$4,"Infraction",IF(AO21&gt;=Feuil2!$G$5,"","Infraction")),"Infraction"),"Infraction"))),"Infraction"),"Infraction"),"")</f>
        <v/>
      </c>
      <c r="AX21" s="99" t="str">
        <f t="shared" si="15"/>
        <v/>
      </c>
      <c r="AY21" s="99" t="str">
        <f t="shared" si="14"/>
        <v/>
      </c>
    </row>
    <row r="22" spans="1:51">
      <c r="A22" s="81" t="str">
        <f t="shared" si="0"/>
        <v>43344</v>
      </c>
      <c r="B22" s="100">
        <f t="shared" si="1"/>
        <v>43344</v>
      </c>
      <c r="C22" s="101">
        <f t="shared" si="2"/>
        <v>43344</v>
      </c>
      <c r="D22" s="81">
        <f t="shared" si="3"/>
        <v>35</v>
      </c>
      <c r="E22" s="102">
        <v>43344</v>
      </c>
      <c r="F22" s="81"/>
      <c r="G22" s="81"/>
      <c r="H22" s="81"/>
      <c r="I22" s="81"/>
      <c r="J22" s="81"/>
      <c r="K22" s="81">
        <f>Tableau3[[#This Row],[Km Fin]]-Tableau3[[#This Row],[Km Début]]</f>
        <v>0</v>
      </c>
      <c r="L22" s="103"/>
      <c r="M22" s="81"/>
      <c r="N22" s="103"/>
      <c r="O22" s="81"/>
      <c r="P22" s="103"/>
      <c r="Q22" s="81"/>
      <c r="R22" s="103"/>
      <c r="S22" s="81"/>
      <c r="T22" s="103"/>
      <c r="U22" s="81"/>
      <c r="V22" s="103"/>
      <c r="W22" s="81"/>
      <c r="X22" s="103"/>
      <c r="Y22" s="81"/>
      <c r="Z22" s="103"/>
      <c r="AA22" s="81"/>
      <c r="AB22" s="103"/>
      <c r="AC22" s="81"/>
      <c r="AD22" s="103"/>
      <c r="AE22" s="81"/>
      <c r="AF22" s="103"/>
      <c r="AG22" s="103">
        <f>MOD(Tableau3[[#This Row],[CHARGEMENT]]+Tableau3[[#This Row],[DECHARGEMENT]]+Tableau3[[#This Row],[CONDUITE]]+Tableau3[[#This Row],[GASOIL
EMBALLAGE]]+Tableau3[[#This Row],[ADMINISTRATIF]],1)</f>
        <v>0</v>
      </c>
      <c r="AH22" s="98">
        <f t="shared" si="4"/>
        <v>0</v>
      </c>
      <c r="AI22" s="98">
        <f t="shared" si="5"/>
        <v>0</v>
      </c>
      <c r="AJ22" s="103">
        <f t="shared" si="6"/>
        <v>0</v>
      </c>
      <c r="AK22" s="98">
        <f t="shared" si="7"/>
        <v>0</v>
      </c>
      <c r="AL22" s="98">
        <f t="shared" si="8"/>
        <v>0</v>
      </c>
      <c r="AM22" s="98">
        <f t="shared" si="9"/>
        <v>0</v>
      </c>
      <c r="AN22" s="98">
        <f t="shared" si="10"/>
        <v>0</v>
      </c>
      <c r="AO22" s="98">
        <f>MOD(Tableau3[[#This Row],[PAUSE 1]]+Tableau3[[#This Row],[PAUSE 2]],1)</f>
        <v>0</v>
      </c>
      <c r="AP22" s="98">
        <f t="shared" si="11"/>
        <v>0</v>
      </c>
      <c r="AQ22" s="98">
        <f t="shared" si="12"/>
        <v>0</v>
      </c>
      <c r="AR22" s="64">
        <f t="shared" si="13"/>
        <v>0</v>
      </c>
      <c r="AS22" s="87">
        <f>Tableau3[[#This Row],[TOTAL EFFECTIF]]+Tableau3[[#This Row],[TOTAL PAUSE]]</f>
        <v>0</v>
      </c>
      <c r="AT22" s="91" t="str">
        <f>IF(Tableau3[[#This Row],[TOTAL EFFECTIF]]+Tableau3[[#This Row],[DEL]]+Tableau3[[#This Row],[DIR]]+Tableau3[[#This Row],[FORMATION]]&gt;Feuil2!$E$2,"INFRACTION","")</f>
        <v/>
      </c>
      <c r="AU22" s="87" t="str">
        <f>IFERROR(IF(Tableau3[[#This Row],[TOTAL EFFECTIF]]&gt;=Feuil2!$F$2,IF(Tableau3[[#This Row],[PAUSE 1]]&gt;0,IF(IF(M22="PAUSE 1",L22,IF(O22="PAUSE 1",N22,IF(Q22="PAUSE 1",P22,IF(S22="PAUSE 1",R22,IF(U22="PAUSE 1",T22,IF(W22="PAUSE 1",V22,IF(Y22="PAUSE 1",X22,IF(AA22="PAUSE 1",Z22,IF(AC22="PAUSE 1",AB22,IF(AE22="PAUSE 1",AD22,""))))))))))-Tableau3[[#This Row],[DEBUT]]&lt;Feuil2!$F$2,IF(AM22&gt;=Feuil2!$F$3,"",IF(IF(M22="PAUSE 2",L22,IF(O22="PAUSE 2",N22,IF(Q22="PAUSE 2",P22,IF(S22="PAUSE 2",R22,IF(U22="PAUSE 2",T22,IF(W22="PAUSE 2",V22,IF(Y22="PAUSE 2",X22,IF(AA22="PAUSE 2",Z22,IF(AC22="PAUSE 2",AB22,IF(AE22="PAUSE 2",AD22,""))))))))))-L22&lt;Feuil2!$F$2,IF(AN22&gt;0,IF(AO22&gt;=Feuil2!$F$3,"","Infraction"),"Infraction"),"Infraction")),"Infraction"),"Infraction"),""),"Infraction")</f>
        <v/>
      </c>
      <c r="AV22" s="89" t="str">
        <f>IF($AI22&gt;=Feuil2!$G$2,IF(AM22&gt;0,IF(IF(M22="PAUSE 1",L22,IF(O22="PAUSE 1",N22-L22,IF(Q22="PAUSE 1",P22-L22,IF(S22="PAUSE 1",R22-L22,IF(U22="PAUSE 1",T22-L22,IF(W22="PAUSE 1",V22-L22,IF(Y22="PAUSE 1",X22-L22,IF(AA22="PAUSE 1",Z22-L22,IF(AC22="PAUSE 1",AB22-L22,IF(AE22="PAUSE 1",AD22-L22,""))))))))))-$N22&lt;=Feuil2!$G$2,IF(AM22&lt;Feuil2!$G$3,"Infraction",IF(AM22&gt;=Feuil2!$G$5,"",IF(AN22&gt;0,IF(IF(M22="PAUSE 2",L22,IF(O22="PAUSE 2",N22,IF(Q22="PAUSE 2",P22,IF(S22="PAUSE 2",R22,IF(U22="PAUSE 2",T22,IF(W22="PAUSE 2",V22,IF(Y22="PAUSE 2",X22,IF(AA22="PAUSE 2",Z22,IF(AC22="PAUSE 2",AB22,IF(AE22="PAUSE 2",AD22,""))))))))))-$N22&lt;=Feuil2!$G$2,IF(AN22&lt;Feuil2!$G$4,"Infraction",IF(AO22&gt;=Feuil2!$G$5,"","Infraction")),"Infraction"),"Infraction"))),"Infraction"),"Infraction"),"")</f>
        <v/>
      </c>
      <c r="AX22" s="99" t="str">
        <f t="shared" si="15"/>
        <v/>
      </c>
      <c r="AY22" s="99" t="str">
        <f t="shared" si="14"/>
        <v/>
      </c>
    </row>
    <row r="23" spans="1:51">
      <c r="G23" s="55"/>
    </row>
  </sheetData>
  <sheetProtection selectLockedCells="1"/>
  <pageMargins left="0.75" right="0.75" top="1" bottom="1" header="0.5" footer="0.5"/>
  <pageSetup paperSize="9" orientation="portrait" horizontalDpi="4294967292" verticalDpi="4294967292"/>
  <tableParts count="1">
    <tablePart r:id="rId1"/>
  </tableParts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Feuil2!$B$1:$B$10</xm:f>
          </x14:formula1>
          <xm:sqref>G2:G22</xm:sqref>
        </x14:dataValidation>
        <x14:dataValidation type="list" allowBlank="1" showInputMessage="1" showErrorMessage="1">
          <x14:formula1>
            <xm:f>Feuil2!$A$1:$A$11</xm:f>
          </x14:formula1>
          <xm:sqref>AE2:AE22 M2:M22 O2:O22 Q2:Q22 S2:S22 U2:U22 W2:W22 Y2:Y22 AA2:AA22 AC2:AC22</xm:sqref>
        </x14:dataValidation>
      </x14:dataValidations>
    </ex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1"/>
  <sheetViews>
    <sheetView workbookViewId="0">
      <selection activeCell="C34" sqref="C34"/>
    </sheetView>
  </sheetViews>
  <sheetFormatPr baseColWidth="10" defaultRowHeight="14" x14ac:dyDescent="0"/>
  <cols>
    <col min="1" max="1" width="11.6640625" style="3" customWidth="1"/>
    <col min="2" max="2" width="13.5" style="3" customWidth="1"/>
    <col min="3" max="3" width="25.1640625" style="3" customWidth="1"/>
    <col min="4" max="4" width="13.6640625" style="3" customWidth="1"/>
    <col min="5" max="5" width="16.83203125" style="3" customWidth="1"/>
    <col min="6" max="16384" width="10.83203125" style="3"/>
  </cols>
  <sheetData>
    <row r="1" spans="1:5">
      <c r="A1" s="3" t="s">
        <v>16</v>
      </c>
      <c r="B1" s="3" t="s">
        <v>15</v>
      </c>
      <c r="C1" s="3" t="s">
        <v>17</v>
      </c>
      <c r="D1" s="3" t="s">
        <v>18</v>
      </c>
      <c r="E1" s="3" t="s">
        <v>19</v>
      </c>
    </row>
    <row r="2" spans="1:5">
      <c r="A2" s="42">
        <v>1</v>
      </c>
      <c r="B2" s="42"/>
      <c r="C2" s="79" t="s">
        <v>101</v>
      </c>
      <c r="D2" s="42"/>
      <c r="E2" s="42">
        <v>43</v>
      </c>
    </row>
    <row r="3" spans="1:5">
      <c r="A3" s="42">
        <v>2</v>
      </c>
      <c r="B3" s="42"/>
      <c r="C3" s="80"/>
      <c r="D3" s="42"/>
      <c r="E3" s="42">
        <v>35</v>
      </c>
    </row>
    <row r="4" spans="1:5">
      <c r="A4" s="42">
        <v>3</v>
      </c>
      <c r="B4" s="42"/>
      <c r="C4" s="81"/>
      <c r="D4" s="42"/>
      <c r="E4" s="42">
        <v>35</v>
      </c>
    </row>
    <row r="5" spans="1:5">
      <c r="A5" s="42">
        <v>4</v>
      </c>
      <c r="B5" s="42"/>
      <c r="C5" s="80"/>
      <c r="D5" s="42"/>
      <c r="E5" s="42">
        <v>35</v>
      </c>
    </row>
    <row r="6" spans="1:5">
      <c r="A6" s="42">
        <v>5</v>
      </c>
      <c r="B6" s="42"/>
      <c r="C6" s="81"/>
      <c r="D6" s="42"/>
      <c r="E6" s="42">
        <v>35</v>
      </c>
    </row>
    <row r="7" spans="1:5">
      <c r="A7" s="42">
        <v>6</v>
      </c>
      <c r="B7" s="42"/>
      <c r="C7" s="80"/>
      <c r="D7" s="42"/>
      <c r="E7" s="42">
        <v>35</v>
      </c>
    </row>
    <row r="8" spans="1:5">
      <c r="A8" s="42">
        <v>7</v>
      </c>
      <c r="B8" s="42"/>
      <c r="C8" s="81"/>
      <c r="D8" s="42"/>
      <c r="E8" s="42">
        <v>35</v>
      </c>
    </row>
    <row r="9" spans="1:5">
      <c r="A9" s="42">
        <v>8</v>
      </c>
      <c r="B9" s="42"/>
      <c r="C9" s="80"/>
      <c r="D9" s="42"/>
      <c r="E9" s="42">
        <v>35</v>
      </c>
    </row>
    <row r="10" spans="1:5">
      <c r="A10" s="42">
        <v>9</v>
      </c>
      <c r="B10" s="42"/>
      <c r="C10" s="81"/>
      <c r="D10" s="42"/>
      <c r="E10" s="42">
        <v>35</v>
      </c>
    </row>
    <row r="11" spans="1:5">
      <c r="A11" s="42">
        <v>10</v>
      </c>
      <c r="B11" s="42"/>
      <c r="C11" s="80"/>
      <c r="D11" s="42"/>
      <c r="E11" s="42">
        <v>35</v>
      </c>
    </row>
    <row r="12" spans="1:5">
      <c r="A12" s="42">
        <v>11</v>
      </c>
      <c r="B12" s="42"/>
      <c r="C12" s="81"/>
      <c r="D12" s="42"/>
      <c r="E12" s="42">
        <v>35</v>
      </c>
    </row>
    <row r="13" spans="1:5">
      <c r="A13" s="42">
        <v>12</v>
      </c>
      <c r="B13" s="42"/>
      <c r="C13" s="80"/>
      <c r="D13" s="42"/>
      <c r="E13" s="42">
        <v>35</v>
      </c>
    </row>
    <row r="14" spans="1:5">
      <c r="A14" s="42">
        <v>13</v>
      </c>
      <c r="B14" s="42"/>
      <c r="C14" s="81"/>
      <c r="D14" s="42"/>
      <c r="E14" s="42">
        <v>35</v>
      </c>
    </row>
    <row r="15" spans="1:5">
      <c r="A15" s="42">
        <v>14</v>
      </c>
      <c r="B15" s="42"/>
      <c r="C15" s="80"/>
      <c r="D15" s="42"/>
      <c r="E15" s="42">
        <v>35</v>
      </c>
    </row>
    <row r="16" spans="1:5">
      <c r="A16" s="42">
        <v>15</v>
      </c>
      <c r="B16" s="42"/>
      <c r="C16" s="81"/>
      <c r="D16" s="42"/>
      <c r="E16" s="42">
        <v>35</v>
      </c>
    </row>
    <row r="17" spans="1:5">
      <c r="A17" s="42">
        <v>16</v>
      </c>
      <c r="B17" s="42"/>
      <c r="C17" s="80"/>
      <c r="D17" s="42"/>
      <c r="E17" s="42">
        <v>35</v>
      </c>
    </row>
    <row r="18" spans="1:5">
      <c r="A18" s="42">
        <v>17</v>
      </c>
      <c r="B18" s="42"/>
      <c r="C18" s="81"/>
      <c r="D18" s="42"/>
      <c r="E18" s="42">
        <v>35</v>
      </c>
    </row>
    <row r="19" spans="1:5">
      <c r="A19" s="42">
        <v>18</v>
      </c>
      <c r="B19" s="42"/>
      <c r="C19" s="80"/>
      <c r="D19" s="42"/>
      <c r="E19" s="42">
        <v>35</v>
      </c>
    </row>
    <row r="20" spans="1:5">
      <c r="A20" s="42">
        <v>19</v>
      </c>
      <c r="B20" s="42"/>
      <c r="C20" s="81"/>
      <c r="D20" s="42"/>
      <c r="E20" s="42">
        <v>35</v>
      </c>
    </row>
    <row r="21" spans="1:5">
      <c r="A21" s="42">
        <v>20</v>
      </c>
      <c r="B21" s="42"/>
      <c r="C21" s="80"/>
      <c r="D21" s="42"/>
      <c r="E21" s="42">
        <v>35</v>
      </c>
    </row>
    <row r="22" spans="1:5">
      <c r="A22" s="42">
        <v>21</v>
      </c>
      <c r="B22" s="42"/>
      <c r="C22" s="81"/>
      <c r="D22" s="42"/>
      <c r="E22" s="42">
        <v>35</v>
      </c>
    </row>
    <row r="23" spans="1:5">
      <c r="A23" s="42">
        <v>22</v>
      </c>
      <c r="B23" s="42"/>
      <c r="C23" s="42"/>
      <c r="D23" s="42"/>
      <c r="E23" s="42"/>
    </row>
    <row r="24" spans="1:5">
      <c r="A24" s="42">
        <v>23</v>
      </c>
      <c r="B24" s="42"/>
      <c r="C24" s="42"/>
      <c r="D24" s="42"/>
      <c r="E24" s="42"/>
    </row>
    <row r="25" spans="1:5">
      <c r="A25" s="42">
        <v>24</v>
      </c>
      <c r="B25" s="42"/>
      <c r="C25" s="42"/>
      <c r="D25" s="42"/>
      <c r="E25" s="42"/>
    </row>
    <row r="26" spans="1:5">
      <c r="A26" s="42">
        <v>25</v>
      </c>
      <c r="B26" s="42"/>
      <c r="C26" s="42"/>
      <c r="D26" s="42"/>
      <c r="E26" s="42"/>
    </row>
    <row r="27" spans="1:5">
      <c r="A27" s="42">
        <v>26</v>
      </c>
      <c r="B27" s="42"/>
      <c r="C27" s="42"/>
      <c r="D27" s="42"/>
      <c r="E27" s="42"/>
    </row>
    <row r="28" spans="1:5">
      <c r="A28" s="42">
        <v>27</v>
      </c>
      <c r="B28" s="42"/>
      <c r="C28" s="42"/>
      <c r="D28" s="42"/>
      <c r="E28" s="42"/>
    </row>
    <row r="29" spans="1:5">
      <c r="A29" s="42">
        <v>28</v>
      </c>
      <c r="B29" s="42"/>
      <c r="C29" s="42"/>
      <c r="D29" s="42"/>
      <c r="E29" s="42"/>
    </row>
    <row r="30" spans="1:5">
      <c r="A30" s="42">
        <v>29</v>
      </c>
      <c r="B30" s="42"/>
      <c r="C30" s="42"/>
      <c r="D30" s="42"/>
      <c r="E30" s="42"/>
    </row>
    <row r="31" spans="1:5">
      <c r="A31" s="42">
        <v>30</v>
      </c>
      <c r="B31" s="42"/>
      <c r="C31" s="42"/>
      <c r="D31" s="42"/>
      <c r="E31" s="42"/>
    </row>
  </sheetData>
  <pageMargins left="0.7" right="0.7" top="0.75" bottom="0.75" header="0.3" footer="0.3"/>
  <tableParts count="1">
    <tablePart r:id="rId1"/>
  </tableParts>
  <extLs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pageSetUpPr fitToPage="1"/>
  </sheetPr>
  <dimension ref="A1:G10"/>
  <sheetViews>
    <sheetView workbookViewId="0">
      <selection activeCell="G4" sqref="G4"/>
    </sheetView>
  </sheetViews>
  <sheetFormatPr baseColWidth="10" defaultRowHeight="14" x14ac:dyDescent="0"/>
  <cols>
    <col min="1" max="1" width="21.1640625" customWidth="1"/>
  </cols>
  <sheetData>
    <row r="1" spans="1:7">
      <c r="A1" t="s">
        <v>76</v>
      </c>
      <c r="B1" t="s">
        <v>79</v>
      </c>
      <c r="C1" t="s">
        <v>83</v>
      </c>
      <c r="D1" t="s">
        <v>84</v>
      </c>
      <c r="E1" t="s">
        <v>89</v>
      </c>
      <c r="F1" t="s">
        <v>90</v>
      </c>
      <c r="G1" t="s">
        <v>91</v>
      </c>
    </row>
    <row r="2" spans="1:7">
      <c r="A2" t="s">
        <v>44</v>
      </c>
      <c r="B2" t="s">
        <v>33</v>
      </c>
      <c r="C2" s="75">
        <v>0.875</v>
      </c>
      <c r="D2" s="75">
        <v>0.25</v>
      </c>
      <c r="E2" s="75">
        <v>0.41666666666666669</v>
      </c>
      <c r="F2" s="75">
        <v>0.25</v>
      </c>
      <c r="G2" s="75">
        <v>0.1875</v>
      </c>
    </row>
    <row r="3" spans="1:7">
      <c r="A3" t="s">
        <v>77</v>
      </c>
      <c r="B3" t="s">
        <v>39</v>
      </c>
      <c r="C3" s="75">
        <v>4.1666666666666664E-2</v>
      </c>
      <c r="D3" s="75">
        <v>0.91666666666666663</v>
      </c>
      <c r="F3" s="75">
        <v>2.0833333333333332E-2</v>
      </c>
      <c r="G3" s="75">
        <v>1.0416666666666666E-2</v>
      </c>
    </row>
    <row r="4" spans="1:7">
      <c r="A4" t="s">
        <v>75</v>
      </c>
      <c r="B4" t="s">
        <v>37</v>
      </c>
      <c r="D4" s="75">
        <v>0</v>
      </c>
      <c r="G4" s="75">
        <v>2.0833333333333332E-2</v>
      </c>
    </row>
    <row r="5" spans="1:7">
      <c r="A5" t="s">
        <v>78</v>
      </c>
      <c r="B5" t="s">
        <v>43</v>
      </c>
      <c r="D5" s="75">
        <v>8.3333333333333329E-2</v>
      </c>
      <c r="G5" s="75">
        <v>3.125E-2</v>
      </c>
    </row>
    <row r="6" spans="1:7">
      <c r="A6" t="s">
        <v>93</v>
      </c>
      <c r="B6" t="s">
        <v>40</v>
      </c>
    </row>
    <row r="7" spans="1:7">
      <c r="A7" t="s">
        <v>92</v>
      </c>
      <c r="B7" t="s">
        <v>38</v>
      </c>
      <c r="G7" s="75"/>
    </row>
    <row r="8" spans="1:7">
      <c r="A8" t="s">
        <v>31</v>
      </c>
      <c r="B8" t="s">
        <v>42</v>
      </c>
    </row>
    <row r="9" spans="1:7">
      <c r="A9" t="s">
        <v>32</v>
      </c>
      <c r="B9" t="s">
        <v>7</v>
      </c>
    </row>
    <row r="10" spans="1:7">
      <c r="A10" t="s">
        <v>14</v>
      </c>
      <c r="B10" t="s">
        <v>41</v>
      </c>
    </row>
  </sheetData>
  <pageMargins left="0.7" right="0.7" top="0.75" bottom="0.75" header="0.3" footer="0.3"/>
  <pageSetup paperSize="9" orientation="portrait" horizontalDpi="4294967294" verticalDpi="4294967294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Fiche RECAP</vt:lpstr>
      <vt:lpstr>Fiche Horaire</vt:lpstr>
      <vt:lpstr>XTIME</vt:lpstr>
      <vt:lpstr>Feuil2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Olivier PROUST</dc:creator>
  <cp:lastModifiedBy>Philip Schaumberger</cp:lastModifiedBy>
  <cp:lastPrinted>2018-08-27T15:48:33Z</cp:lastPrinted>
  <dcterms:created xsi:type="dcterms:W3CDTF">2018-08-04T06:46:32Z</dcterms:created>
  <dcterms:modified xsi:type="dcterms:W3CDTF">2018-09-03T10:15:15Z</dcterms:modified>
</cp:coreProperties>
</file>