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drawings/drawing1.xml" ContentType="application/vnd.openxmlformats-officedocument.drawing+xml"/>
  <Override PartName="/xl/tables/table9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 codeName="{54D0D2CB-4C12-4D6E-6EDF-ACB5E8E520A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Quentin Margot\OneDrive\Personnel\Dépenses\Dépenses type\Tableau vierge\"/>
    </mc:Choice>
  </mc:AlternateContent>
  <xr:revisionPtr revIDLastSave="1656" documentId="14_{DDAD681E-F5D1-4C27-9CDA-4CC56EF2A578}" xr6:coauthVersionLast="43" xr6:coauthVersionMax="43" xr10:uidLastSave="{AE13D0F7-C2A2-4EF6-B6E5-CEB2A53ED486}"/>
  <bookViews>
    <workbookView xWindow="-120" yWindow="-120" windowWidth="29040" windowHeight="16440" activeTab="2" xr2:uid="{D94C8E24-84F4-4467-A593-F2F1057B2FD7}"/>
  </bookViews>
  <sheets>
    <sheet name="BASE" sheetId="1" r:id="rId1"/>
    <sheet name="BASE EPARGNE" sheetId="5" r:id="rId2"/>
    <sheet name="TEST" sheetId="2" r:id="rId3"/>
    <sheet name="Feuil1" sheetId="4" state="hidden" r:id="rId4"/>
  </sheets>
  <definedNames>
    <definedName name="annee">TEST!$O$6</definedName>
    <definedName name="categorie">TEST!$O$8</definedName>
    <definedName name="compte">TEST!$O$5</definedName>
    <definedName name="descritpion">TEST!$O$9</definedName>
    <definedName name="mois">TEST!$O$7</definedName>
    <definedName name="numeroligne">TEST!$X$1</definedName>
    <definedName name="titulaire">TEST!$O$4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23" i="2" l="1"/>
  <c r="X1" i="2"/>
  <c r="J2" i="5" l="1"/>
  <c r="J3" i="5" s="1"/>
  <c r="J4" i="5" s="1"/>
  <c r="J5" i="5" s="1"/>
  <c r="J6" i="5" s="1"/>
  <c r="J7" i="5" s="1"/>
  <c r="J8" i="5" s="1"/>
  <c r="J9" i="5" s="1"/>
  <c r="J10" i="5" s="1"/>
  <c r="J11" i="5" s="1"/>
  <c r="J12" i="5" s="1"/>
  <c r="J13" i="5" s="1"/>
  <c r="J14" i="5" s="1"/>
  <c r="C2" i="5"/>
  <c r="C3" i="5"/>
  <c r="C4" i="5"/>
  <c r="C5" i="5"/>
  <c r="C6" i="5"/>
  <c r="C7" i="5"/>
  <c r="C8" i="5"/>
  <c r="C9" i="5"/>
  <c r="C10" i="5"/>
  <c r="C11" i="5"/>
  <c r="C12" i="5"/>
  <c r="C13" i="5"/>
  <c r="C14" i="5"/>
  <c r="D2" i="5"/>
  <c r="D3" i="5"/>
  <c r="D4" i="5"/>
  <c r="D5" i="5"/>
  <c r="D6" i="5"/>
  <c r="D7" i="5"/>
  <c r="D8" i="5"/>
  <c r="D9" i="5"/>
  <c r="D10" i="5"/>
  <c r="D11" i="5"/>
  <c r="D12" i="5"/>
  <c r="D13" i="5"/>
  <c r="D14" i="5"/>
  <c r="E2" i="5"/>
  <c r="E3" i="5"/>
  <c r="E4" i="5"/>
  <c r="E5" i="5"/>
  <c r="E6" i="5"/>
  <c r="E7" i="5"/>
  <c r="E8" i="5"/>
  <c r="E9" i="5"/>
  <c r="E10" i="5"/>
  <c r="E11" i="5"/>
  <c r="E12" i="5"/>
  <c r="E13" i="5"/>
  <c r="E14" i="5"/>
  <c r="A2" i="5"/>
  <c r="A3" i="5"/>
  <c r="A4" i="5"/>
  <c r="A5" i="5"/>
  <c r="A6" i="5"/>
  <c r="A7" i="5"/>
  <c r="A8" i="5"/>
  <c r="A9" i="5"/>
  <c r="A10" i="5"/>
  <c r="A11" i="5"/>
  <c r="A12" i="5"/>
  <c r="A13" i="5"/>
  <c r="A14" i="5"/>
  <c r="J2" i="1" l="1"/>
  <c r="B2" i="5" l="1"/>
  <c r="B3" i="5"/>
  <c r="B4" i="5"/>
  <c r="B5" i="5"/>
  <c r="B6" i="5"/>
  <c r="B7" i="5"/>
  <c r="B8" i="5"/>
  <c r="B9" i="5"/>
  <c r="B10" i="5"/>
  <c r="B11" i="5"/>
  <c r="B12" i="5"/>
  <c r="B13" i="5"/>
  <c r="B14" i="5"/>
  <c r="A299" i="1" l="1"/>
  <c r="D299" i="1"/>
  <c r="E299" i="1"/>
  <c r="F299" i="1"/>
  <c r="F191" i="1" l="1"/>
  <c r="F187" i="1"/>
  <c r="F186" i="1"/>
  <c r="F184" i="1"/>
  <c r="F185" i="1"/>
  <c r="F183" i="1"/>
  <c r="F181" i="1"/>
  <c r="F182" i="1"/>
  <c r="F172" i="1"/>
  <c r="F173" i="1"/>
  <c r="F174" i="1"/>
  <c r="F175" i="1"/>
  <c r="F176" i="1"/>
  <c r="F177" i="1"/>
  <c r="F178" i="1"/>
  <c r="F179" i="1"/>
  <c r="F180" i="1"/>
  <c r="F169" i="1"/>
  <c r="F170" i="1"/>
  <c r="F171" i="1"/>
  <c r="F166" i="1"/>
  <c r="F167" i="1"/>
  <c r="F168" i="1"/>
  <c r="F165" i="1"/>
  <c r="F164" i="1"/>
  <c r="F158" i="1"/>
  <c r="F159" i="1"/>
  <c r="F160" i="1"/>
  <c r="F161" i="1"/>
  <c r="F162" i="1"/>
  <c r="F163" i="1"/>
  <c r="F155" i="1"/>
  <c r="F156" i="1"/>
  <c r="F157" i="1"/>
  <c r="F154" i="1"/>
  <c r="F153" i="1"/>
  <c r="F151" i="1"/>
  <c r="F152" i="1"/>
  <c r="F145" i="1"/>
  <c r="F146" i="1"/>
  <c r="F147" i="1"/>
  <c r="F148" i="1"/>
  <c r="F149" i="1"/>
  <c r="F150" i="1"/>
  <c r="F143" i="1"/>
  <c r="F144" i="1"/>
  <c r="F142" i="1"/>
  <c r="F141" i="1"/>
  <c r="F140" i="1"/>
  <c r="F139" i="1"/>
  <c r="F138" i="1"/>
  <c r="F134" i="1"/>
  <c r="F135" i="1"/>
  <c r="F136" i="1"/>
  <c r="F137" i="1"/>
  <c r="F132" i="1"/>
  <c r="F133" i="1"/>
  <c r="F130" i="1"/>
  <c r="F131" i="1"/>
  <c r="F126" i="1"/>
  <c r="F127" i="1"/>
  <c r="F128" i="1"/>
  <c r="F129" i="1"/>
  <c r="F125" i="1"/>
  <c r="F124" i="1"/>
  <c r="F116" i="1"/>
  <c r="F117" i="1"/>
  <c r="F118" i="1"/>
  <c r="F119" i="1"/>
  <c r="F120" i="1"/>
  <c r="F121" i="1"/>
  <c r="F122" i="1"/>
  <c r="F123" i="1"/>
  <c r="F115" i="1"/>
  <c r="F114" i="1"/>
  <c r="F112" i="1"/>
  <c r="F113" i="1"/>
  <c r="F108" i="1"/>
  <c r="F109" i="1"/>
  <c r="F110" i="1"/>
  <c r="F111" i="1"/>
  <c r="F106" i="1"/>
  <c r="F107" i="1"/>
  <c r="F103" i="1"/>
  <c r="F104" i="1"/>
  <c r="F105" i="1"/>
  <c r="F101" i="1"/>
  <c r="F102" i="1"/>
  <c r="F92" i="1"/>
  <c r="F93" i="1"/>
  <c r="F94" i="1"/>
  <c r="F95" i="1"/>
  <c r="F96" i="1"/>
  <c r="F97" i="1"/>
  <c r="F98" i="1"/>
  <c r="F99" i="1"/>
  <c r="F100" i="1"/>
  <c r="F86" i="1"/>
  <c r="F87" i="1"/>
  <c r="F88" i="1"/>
  <c r="F89" i="1"/>
  <c r="F90" i="1"/>
  <c r="F91" i="1"/>
  <c r="F85" i="1"/>
  <c r="F81" i="1"/>
  <c r="F82" i="1"/>
  <c r="F83" i="1"/>
  <c r="F84" i="1"/>
  <c r="F80" i="1"/>
  <c r="F76" i="1"/>
  <c r="F77" i="1"/>
  <c r="F78" i="1"/>
  <c r="F79" i="1"/>
  <c r="F72" i="1"/>
  <c r="F73" i="1"/>
  <c r="F74" i="1"/>
  <c r="F75" i="1"/>
  <c r="F69" i="1"/>
  <c r="F70" i="1"/>
  <c r="F71" i="1"/>
  <c r="F63" i="1"/>
  <c r="F64" i="1"/>
  <c r="F65" i="1"/>
  <c r="F66" i="1"/>
  <c r="F67" i="1"/>
  <c r="F68" i="1"/>
  <c r="F60" i="1"/>
  <c r="F61" i="1"/>
  <c r="F62" i="1"/>
  <c r="F58" i="1"/>
  <c r="F59" i="1"/>
  <c r="F57" i="1"/>
  <c r="F55" i="1"/>
  <c r="F56" i="1"/>
  <c r="F47" i="1"/>
  <c r="F48" i="1"/>
  <c r="F49" i="1"/>
  <c r="F50" i="1"/>
  <c r="F51" i="1"/>
  <c r="F52" i="1"/>
  <c r="F53" i="1"/>
  <c r="F54" i="1"/>
  <c r="F46" i="1"/>
  <c r="F44" i="1"/>
  <c r="F45" i="1"/>
  <c r="F38" i="1"/>
  <c r="F39" i="1"/>
  <c r="F40" i="1"/>
  <c r="F41" i="1"/>
  <c r="F42" i="1"/>
  <c r="F43" i="1"/>
  <c r="F34" i="1"/>
  <c r="F35" i="1"/>
  <c r="F36" i="1"/>
  <c r="F37" i="1"/>
  <c r="F30" i="1"/>
  <c r="F31" i="1"/>
  <c r="F32" i="1"/>
  <c r="F33" i="1"/>
  <c r="F28" i="1"/>
  <c r="F29" i="1"/>
  <c r="F26" i="1"/>
  <c r="F27" i="1"/>
  <c r="F24" i="1"/>
  <c r="F25" i="1"/>
  <c r="F18" i="1"/>
  <c r="F19" i="1"/>
  <c r="F20" i="1"/>
  <c r="F21" i="1"/>
  <c r="F22" i="1"/>
  <c r="F23" i="1"/>
  <c r="F17" i="1"/>
  <c r="F15" i="1"/>
  <c r="F16" i="1"/>
  <c r="F14" i="1"/>
  <c r="F13" i="1"/>
  <c r="F6" i="1"/>
  <c r="F7" i="1"/>
  <c r="F8" i="1"/>
  <c r="F9" i="1"/>
  <c r="F10" i="1"/>
  <c r="F11" i="1"/>
  <c r="F12" i="1"/>
  <c r="F4" i="1"/>
  <c r="F5" i="1"/>
  <c r="F2" i="1"/>
  <c r="F3" i="1"/>
  <c r="F297" i="1"/>
  <c r="F298" i="1"/>
  <c r="F295" i="1"/>
  <c r="F296" i="1"/>
  <c r="F293" i="1"/>
  <c r="F294" i="1"/>
  <c r="F292" i="1"/>
  <c r="F288" i="1"/>
  <c r="F289" i="1"/>
  <c r="F290" i="1"/>
  <c r="F291" i="1"/>
  <c r="F287" i="1"/>
  <c r="F285" i="1"/>
  <c r="F286" i="1"/>
  <c r="F281" i="1"/>
  <c r="F282" i="1"/>
  <c r="F283" i="1"/>
  <c r="F284" i="1"/>
  <c r="F280" i="1"/>
  <c r="F278" i="1"/>
  <c r="F279" i="1"/>
  <c r="F271" i="1"/>
  <c r="F272" i="1"/>
  <c r="F273" i="1"/>
  <c r="F274" i="1"/>
  <c r="F275" i="1"/>
  <c r="F276" i="1"/>
  <c r="F277" i="1"/>
  <c r="F267" i="1"/>
  <c r="F268" i="1"/>
  <c r="F269" i="1"/>
  <c r="F270" i="1"/>
  <c r="F259" i="1"/>
  <c r="F260" i="1"/>
  <c r="F261" i="1"/>
  <c r="F262" i="1"/>
  <c r="F263" i="1"/>
  <c r="F264" i="1"/>
  <c r="F265" i="1"/>
  <c r="F266" i="1"/>
  <c r="F258" i="1"/>
  <c r="F257" i="1"/>
  <c r="F251" i="1"/>
  <c r="F252" i="1"/>
  <c r="F253" i="1"/>
  <c r="F254" i="1"/>
  <c r="F255" i="1"/>
  <c r="F256" i="1"/>
  <c r="F250" i="1"/>
  <c r="F249" i="1"/>
  <c r="F243" i="1"/>
  <c r="F244" i="1"/>
  <c r="F245" i="1"/>
  <c r="F246" i="1"/>
  <c r="F247" i="1"/>
  <c r="F248" i="1"/>
  <c r="F242" i="1"/>
  <c r="F238" i="1"/>
  <c r="F239" i="1"/>
  <c r="F240" i="1"/>
  <c r="F241" i="1"/>
  <c r="F237" i="1"/>
  <c r="F235" i="1"/>
  <c r="F236" i="1"/>
  <c r="F234" i="1"/>
  <c r="F230" i="1"/>
  <c r="F231" i="1"/>
  <c r="F232" i="1"/>
  <c r="F233" i="1"/>
  <c r="F228" i="1"/>
  <c r="F229" i="1"/>
  <c r="F227" i="1"/>
  <c r="F224" i="1"/>
  <c r="F225" i="1"/>
  <c r="F226" i="1"/>
  <c r="F222" i="1"/>
  <c r="F223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06" i="1"/>
  <c r="F207" i="1"/>
  <c r="F205" i="1"/>
  <c r="F204" i="1"/>
  <c r="F203" i="1"/>
  <c r="F200" i="1"/>
  <c r="F201" i="1"/>
  <c r="F202" i="1"/>
  <c r="F198" i="1"/>
  <c r="F199" i="1"/>
  <c r="F197" i="1"/>
  <c r="F192" i="1"/>
  <c r="F193" i="1"/>
  <c r="F194" i="1"/>
  <c r="F195" i="1"/>
  <c r="F196" i="1"/>
  <c r="F188" i="1"/>
  <c r="F189" i="1"/>
  <c r="F190" i="1"/>
  <c r="F300" i="1"/>
  <c r="A300" i="1" l="1"/>
  <c r="D300" i="1"/>
  <c r="E300" i="1"/>
  <c r="A191" i="1"/>
  <c r="A187" i="1"/>
  <c r="A186" i="1"/>
  <c r="A184" i="1"/>
  <c r="A185" i="1"/>
  <c r="A183" i="1"/>
  <c r="A181" i="1"/>
  <c r="A182" i="1"/>
  <c r="A172" i="1"/>
  <c r="A173" i="1"/>
  <c r="A174" i="1"/>
  <c r="A175" i="1"/>
  <c r="A176" i="1"/>
  <c r="A177" i="1"/>
  <c r="A178" i="1"/>
  <c r="A179" i="1"/>
  <c r="A180" i="1"/>
  <c r="A169" i="1"/>
  <c r="A170" i="1"/>
  <c r="A171" i="1"/>
  <c r="A166" i="1"/>
  <c r="A167" i="1"/>
  <c r="A168" i="1"/>
  <c r="A165" i="1"/>
  <c r="A164" i="1"/>
  <c r="A158" i="1"/>
  <c r="A159" i="1"/>
  <c r="A160" i="1"/>
  <c r="A161" i="1"/>
  <c r="A162" i="1"/>
  <c r="A163" i="1"/>
  <c r="A155" i="1"/>
  <c r="A156" i="1"/>
  <c r="A157" i="1"/>
  <c r="A154" i="1"/>
  <c r="A153" i="1"/>
  <c r="A151" i="1"/>
  <c r="A152" i="1"/>
  <c r="A145" i="1"/>
  <c r="A146" i="1"/>
  <c r="A147" i="1"/>
  <c r="A148" i="1"/>
  <c r="A149" i="1"/>
  <c r="A150" i="1"/>
  <c r="A143" i="1"/>
  <c r="A144" i="1"/>
  <c r="A142" i="1"/>
  <c r="A141" i="1"/>
  <c r="A140" i="1"/>
  <c r="A139" i="1"/>
  <c r="A138" i="1"/>
  <c r="A134" i="1"/>
  <c r="A135" i="1"/>
  <c r="A136" i="1"/>
  <c r="A137" i="1"/>
  <c r="A132" i="1"/>
  <c r="A133" i="1"/>
  <c r="A130" i="1"/>
  <c r="A131" i="1"/>
  <c r="A126" i="1"/>
  <c r="A127" i="1"/>
  <c r="A128" i="1"/>
  <c r="A129" i="1"/>
  <c r="A125" i="1"/>
  <c r="A124" i="1"/>
  <c r="A116" i="1"/>
  <c r="A117" i="1"/>
  <c r="A118" i="1"/>
  <c r="A119" i="1"/>
  <c r="A120" i="1"/>
  <c r="A121" i="1"/>
  <c r="A122" i="1"/>
  <c r="A123" i="1"/>
  <c r="A115" i="1"/>
  <c r="A114" i="1"/>
  <c r="A112" i="1"/>
  <c r="A113" i="1"/>
  <c r="A108" i="1"/>
  <c r="A109" i="1"/>
  <c r="A110" i="1"/>
  <c r="A111" i="1"/>
  <c r="A106" i="1"/>
  <c r="A107" i="1"/>
  <c r="A103" i="1"/>
  <c r="A104" i="1"/>
  <c r="A105" i="1"/>
  <c r="A101" i="1"/>
  <c r="A102" i="1"/>
  <c r="A92" i="1"/>
  <c r="A93" i="1"/>
  <c r="A94" i="1"/>
  <c r="A95" i="1"/>
  <c r="A96" i="1"/>
  <c r="A97" i="1"/>
  <c r="A98" i="1"/>
  <c r="A99" i="1"/>
  <c r="A100" i="1"/>
  <c r="A86" i="1"/>
  <c r="A87" i="1"/>
  <c r="A88" i="1"/>
  <c r="A89" i="1"/>
  <c r="A90" i="1"/>
  <c r="A91" i="1"/>
  <c r="A85" i="1"/>
  <c r="A81" i="1"/>
  <c r="A82" i="1"/>
  <c r="A83" i="1"/>
  <c r="A84" i="1"/>
  <c r="A80" i="1"/>
  <c r="A76" i="1"/>
  <c r="A77" i="1"/>
  <c r="A78" i="1"/>
  <c r="A79" i="1"/>
  <c r="A72" i="1"/>
  <c r="A73" i="1"/>
  <c r="A74" i="1"/>
  <c r="A75" i="1"/>
  <c r="A69" i="1"/>
  <c r="A70" i="1"/>
  <c r="A71" i="1"/>
  <c r="A63" i="1"/>
  <c r="A64" i="1"/>
  <c r="A65" i="1"/>
  <c r="A66" i="1"/>
  <c r="A67" i="1"/>
  <c r="A68" i="1"/>
  <c r="A60" i="1"/>
  <c r="A61" i="1"/>
  <c r="A62" i="1"/>
  <c r="A58" i="1"/>
  <c r="A59" i="1"/>
  <c r="A57" i="1"/>
  <c r="A55" i="1"/>
  <c r="A56" i="1"/>
  <c r="A47" i="1"/>
  <c r="A48" i="1"/>
  <c r="A49" i="1"/>
  <c r="A50" i="1"/>
  <c r="A51" i="1"/>
  <c r="A52" i="1"/>
  <c r="A53" i="1"/>
  <c r="A54" i="1"/>
  <c r="A46" i="1"/>
  <c r="A44" i="1"/>
  <c r="A45" i="1"/>
  <c r="A38" i="1"/>
  <c r="A39" i="1"/>
  <c r="A40" i="1"/>
  <c r="A41" i="1"/>
  <c r="A42" i="1"/>
  <c r="A43" i="1"/>
  <c r="A34" i="1"/>
  <c r="A35" i="1"/>
  <c r="A36" i="1"/>
  <c r="A37" i="1"/>
  <c r="A30" i="1"/>
  <c r="A31" i="1"/>
  <c r="A32" i="1"/>
  <c r="A33" i="1"/>
  <c r="A28" i="1"/>
  <c r="A29" i="1"/>
  <c r="A26" i="1"/>
  <c r="A27" i="1"/>
  <c r="A24" i="1"/>
  <c r="A25" i="1"/>
  <c r="A18" i="1"/>
  <c r="A19" i="1"/>
  <c r="A20" i="1"/>
  <c r="A21" i="1"/>
  <c r="A22" i="1"/>
  <c r="A23" i="1"/>
  <c r="A17" i="1"/>
  <c r="A15" i="1"/>
  <c r="A16" i="1"/>
  <c r="A14" i="1"/>
  <c r="A13" i="1"/>
  <c r="A6" i="1"/>
  <c r="A7" i="1"/>
  <c r="A8" i="1"/>
  <c r="A9" i="1"/>
  <c r="A10" i="1"/>
  <c r="A11" i="1"/>
  <c r="A12" i="1"/>
  <c r="A4" i="1"/>
  <c r="A5" i="1"/>
  <c r="A2" i="1"/>
  <c r="A3" i="1"/>
  <c r="D191" i="1"/>
  <c r="D187" i="1"/>
  <c r="D186" i="1"/>
  <c r="D184" i="1"/>
  <c r="D185" i="1"/>
  <c r="D183" i="1"/>
  <c r="D181" i="1"/>
  <c r="D182" i="1"/>
  <c r="D172" i="1"/>
  <c r="D173" i="1"/>
  <c r="D174" i="1"/>
  <c r="D175" i="1"/>
  <c r="D176" i="1"/>
  <c r="D177" i="1"/>
  <c r="D178" i="1"/>
  <c r="D179" i="1"/>
  <c r="D180" i="1"/>
  <c r="D169" i="1"/>
  <c r="D170" i="1"/>
  <c r="D171" i="1"/>
  <c r="D166" i="1"/>
  <c r="D167" i="1"/>
  <c r="D168" i="1"/>
  <c r="D165" i="1"/>
  <c r="D164" i="1"/>
  <c r="D158" i="1"/>
  <c r="D159" i="1"/>
  <c r="D160" i="1"/>
  <c r="D161" i="1"/>
  <c r="D162" i="1"/>
  <c r="D163" i="1"/>
  <c r="D155" i="1"/>
  <c r="D156" i="1"/>
  <c r="D157" i="1"/>
  <c r="D154" i="1"/>
  <c r="D153" i="1"/>
  <c r="D151" i="1"/>
  <c r="D152" i="1"/>
  <c r="D145" i="1"/>
  <c r="D146" i="1"/>
  <c r="D147" i="1"/>
  <c r="D148" i="1"/>
  <c r="D149" i="1"/>
  <c r="D150" i="1"/>
  <c r="D143" i="1"/>
  <c r="D144" i="1"/>
  <c r="D142" i="1"/>
  <c r="D141" i="1"/>
  <c r="D140" i="1"/>
  <c r="D139" i="1"/>
  <c r="D138" i="1"/>
  <c r="D134" i="1"/>
  <c r="D135" i="1"/>
  <c r="D136" i="1"/>
  <c r="D137" i="1"/>
  <c r="D132" i="1"/>
  <c r="D133" i="1"/>
  <c r="D130" i="1"/>
  <c r="D131" i="1"/>
  <c r="D126" i="1"/>
  <c r="D127" i="1"/>
  <c r="D128" i="1"/>
  <c r="D129" i="1"/>
  <c r="D125" i="1"/>
  <c r="D124" i="1"/>
  <c r="D116" i="1"/>
  <c r="D117" i="1"/>
  <c r="D118" i="1"/>
  <c r="D119" i="1"/>
  <c r="D120" i="1"/>
  <c r="D121" i="1"/>
  <c r="D122" i="1"/>
  <c r="D123" i="1"/>
  <c r="D115" i="1"/>
  <c r="D114" i="1"/>
  <c r="D112" i="1"/>
  <c r="D113" i="1"/>
  <c r="D108" i="1"/>
  <c r="D109" i="1"/>
  <c r="D110" i="1"/>
  <c r="D111" i="1"/>
  <c r="D106" i="1"/>
  <c r="D107" i="1"/>
  <c r="D103" i="1"/>
  <c r="D104" i="1"/>
  <c r="D105" i="1"/>
  <c r="D101" i="1"/>
  <c r="D102" i="1"/>
  <c r="D92" i="1"/>
  <c r="D93" i="1"/>
  <c r="D94" i="1"/>
  <c r="D95" i="1"/>
  <c r="D96" i="1"/>
  <c r="D97" i="1"/>
  <c r="D98" i="1"/>
  <c r="D99" i="1"/>
  <c r="D100" i="1"/>
  <c r="D86" i="1"/>
  <c r="D87" i="1"/>
  <c r="D88" i="1"/>
  <c r="D89" i="1"/>
  <c r="D90" i="1"/>
  <c r="D91" i="1"/>
  <c r="D85" i="1"/>
  <c r="D81" i="1"/>
  <c r="D82" i="1"/>
  <c r="D83" i="1"/>
  <c r="D84" i="1"/>
  <c r="D80" i="1"/>
  <c r="D76" i="1"/>
  <c r="D77" i="1"/>
  <c r="D78" i="1"/>
  <c r="D79" i="1"/>
  <c r="D72" i="1"/>
  <c r="D73" i="1"/>
  <c r="D74" i="1"/>
  <c r="D75" i="1"/>
  <c r="D69" i="1"/>
  <c r="D70" i="1"/>
  <c r="D71" i="1"/>
  <c r="D63" i="1"/>
  <c r="D64" i="1"/>
  <c r="D65" i="1"/>
  <c r="D66" i="1"/>
  <c r="D67" i="1"/>
  <c r="D68" i="1"/>
  <c r="D60" i="1"/>
  <c r="D61" i="1"/>
  <c r="D62" i="1"/>
  <c r="D58" i="1"/>
  <c r="D59" i="1"/>
  <c r="D57" i="1"/>
  <c r="D55" i="1"/>
  <c r="D56" i="1"/>
  <c r="D47" i="1"/>
  <c r="D48" i="1"/>
  <c r="D49" i="1"/>
  <c r="D50" i="1"/>
  <c r="D51" i="1"/>
  <c r="D52" i="1"/>
  <c r="D53" i="1"/>
  <c r="D54" i="1"/>
  <c r="D46" i="1"/>
  <c r="D44" i="1"/>
  <c r="D45" i="1"/>
  <c r="D38" i="1"/>
  <c r="D39" i="1"/>
  <c r="D40" i="1"/>
  <c r="D41" i="1"/>
  <c r="D42" i="1"/>
  <c r="D43" i="1"/>
  <c r="D34" i="1"/>
  <c r="D35" i="1"/>
  <c r="D36" i="1"/>
  <c r="D37" i="1"/>
  <c r="D30" i="1"/>
  <c r="D31" i="1"/>
  <c r="D32" i="1"/>
  <c r="D33" i="1"/>
  <c r="D28" i="1"/>
  <c r="D29" i="1"/>
  <c r="D26" i="1"/>
  <c r="D27" i="1"/>
  <c r="D24" i="1"/>
  <c r="D25" i="1"/>
  <c r="D18" i="1"/>
  <c r="D19" i="1"/>
  <c r="D20" i="1"/>
  <c r="D21" i="1"/>
  <c r="D22" i="1"/>
  <c r="D23" i="1"/>
  <c r="D17" i="1"/>
  <c r="D15" i="1"/>
  <c r="D16" i="1"/>
  <c r="D14" i="1"/>
  <c r="D13" i="1"/>
  <c r="D6" i="1"/>
  <c r="D7" i="1"/>
  <c r="D8" i="1"/>
  <c r="D9" i="1"/>
  <c r="D10" i="1"/>
  <c r="D11" i="1"/>
  <c r="D12" i="1"/>
  <c r="D4" i="1"/>
  <c r="D5" i="1"/>
  <c r="D2" i="1"/>
  <c r="D3" i="1"/>
  <c r="E191" i="1"/>
  <c r="E187" i="1"/>
  <c r="E186" i="1"/>
  <c r="E184" i="1"/>
  <c r="E185" i="1"/>
  <c r="E183" i="1"/>
  <c r="E181" i="1"/>
  <c r="E182" i="1"/>
  <c r="E172" i="1"/>
  <c r="E173" i="1"/>
  <c r="E174" i="1"/>
  <c r="E175" i="1"/>
  <c r="E176" i="1"/>
  <c r="E177" i="1"/>
  <c r="E178" i="1"/>
  <c r="E179" i="1"/>
  <c r="E180" i="1"/>
  <c r="E169" i="1"/>
  <c r="E170" i="1"/>
  <c r="E171" i="1"/>
  <c r="E166" i="1"/>
  <c r="E167" i="1"/>
  <c r="E168" i="1"/>
  <c r="E165" i="1"/>
  <c r="E164" i="1"/>
  <c r="E158" i="1"/>
  <c r="E159" i="1"/>
  <c r="E160" i="1"/>
  <c r="E161" i="1"/>
  <c r="E162" i="1"/>
  <c r="E163" i="1"/>
  <c r="E155" i="1"/>
  <c r="E156" i="1"/>
  <c r="E157" i="1"/>
  <c r="E154" i="1"/>
  <c r="E153" i="1"/>
  <c r="E151" i="1"/>
  <c r="E152" i="1"/>
  <c r="E145" i="1"/>
  <c r="E146" i="1"/>
  <c r="E147" i="1"/>
  <c r="E148" i="1"/>
  <c r="E149" i="1"/>
  <c r="E150" i="1"/>
  <c r="E143" i="1"/>
  <c r="E144" i="1"/>
  <c r="E142" i="1"/>
  <c r="E141" i="1"/>
  <c r="E140" i="1"/>
  <c r="E139" i="1"/>
  <c r="E138" i="1"/>
  <c r="E134" i="1"/>
  <c r="E135" i="1"/>
  <c r="E136" i="1"/>
  <c r="E137" i="1"/>
  <c r="E132" i="1"/>
  <c r="E133" i="1"/>
  <c r="E130" i="1"/>
  <c r="E131" i="1"/>
  <c r="E126" i="1"/>
  <c r="E127" i="1"/>
  <c r="E128" i="1"/>
  <c r="E129" i="1"/>
  <c r="E125" i="1"/>
  <c r="E124" i="1"/>
  <c r="E116" i="1"/>
  <c r="E117" i="1"/>
  <c r="E118" i="1"/>
  <c r="E119" i="1"/>
  <c r="E120" i="1"/>
  <c r="E121" i="1"/>
  <c r="E122" i="1"/>
  <c r="E123" i="1"/>
  <c r="E115" i="1"/>
  <c r="E114" i="1"/>
  <c r="E112" i="1"/>
  <c r="E113" i="1"/>
  <c r="E108" i="1"/>
  <c r="E109" i="1"/>
  <c r="E110" i="1"/>
  <c r="E111" i="1"/>
  <c r="E106" i="1"/>
  <c r="E107" i="1"/>
  <c r="E103" i="1"/>
  <c r="E104" i="1"/>
  <c r="E105" i="1"/>
  <c r="E101" i="1"/>
  <c r="E102" i="1"/>
  <c r="E92" i="1"/>
  <c r="E93" i="1"/>
  <c r="E94" i="1"/>
  <c r="E95" i="1"/>
  <c r="E96" i="1"/>
  <c r="E97" i="1"/>
  <c r="E98" i="1"/>
  <c r="E99" i="1"/>
  <c r="E100" i="1"/>
  <c r="E86" i="1"/>
  <c r="E87" i="1"/>
  <c r="E88" i="1"/>
  <c r="E89" i="1"/>
  <c r="E90" i="1"/>
  <c r="E91" i="1"/>
  <c r="E85" i="1"/>
  <c r="E81" i="1"/>
  <c r="E82" i="1"/>
  <c r="E83" i="1"/>
  <c r="E84" i="1"/>
  <c r="E80" i="1"/>
  <c r="E76" i="1"/>
  <c r="E77" i="1"/>
  <c r="E78" i="1"/>
  <c r="E79" i="1"/>
  <c r="E72" i="1"/>
  <c r="E73" i="1"/>
  <c r="E74" i="1"/>
  <c r="E75" i="1"/>
  <c r="E69" i="1"/>
  <c r="E70" i="1"/>
  <c r="E71" i="1"/>
  <c r="E63" i="1"/>
  <c r="E64" i="1"/>
  <c r="E65" i="1"/>
  <c r="E66" i="1"/>
  <c r="E67" i="1"/>
  <c r="E68" i="1"/>
  <c r="E60" i="1"/>
  <c r="E61" i="1"/>
  <c r="E62" i="1"/>
  <c r="E58" i="1"/>
  <c r="E59" i="1"/>
  <c r="E57" i="1"/>
  <c r="E55" i="1"/>
  <c r="E56" i="1"/>
  <c r="E47" i="1"/>
  <c r="E48" i="1"/>
  <c r="E49" i="1"/>
  <c r="E50" i="1"/>
  <c r="E51" i="1"/>
  <c r="E52" i="1"/>
  <c r="E53" i="1"/>
  <c r="E54" i="1"/>
  <c r="E46" i="1"/>
  <c r="E44" i="1"/>
  <c r="E45" i="1"/>
  <c r="E38" i="1"/>
  <c r="E39" i="1"/>
  <c r="E40" i="1"/>
  <c r="E41" i="1"/>
  <c r="E42" i="1"/>
  <c r="E43" i="1"/>
  <c r="E34" i="1"/>
  <c r="E35" i="1"/>
  <c r="E36" i="1"/>
  <c r="E37" i="1"/>
  <c r="E30" i="1"/>
  <c r="E31" i="1"/>
  <c r="E32" i="1"/>
  <c r="E33" i="1"/>
  <c r="E28" i="1"/>
  <c r="E29" i="1"/>
  <c r="E26" i="1"/>
  <c r="E27" i="1"/>
  <c r="E24" i="1"/>
  <c r="E25" i="1"/>
  <c r="E18" i="1"/>
  <c r="E19" i="1"/>
  <c r="E20" i="1"/>
  <c r="E21" i="1"/>
  <c r="E22" i="1"/>
  <c r="E23" i="1"/>
  <c r="E17" i="1"/>
  <c r="E15" i="1"/>
  <c r="E16" i="1"/>
  <c r="E14" i="1"/>
  <c r="E13" i="1"/>
  <c r="E6" i="1"/>
  <c r="E7" i="1"/>
  <c r="E8" i="1"/>
  <c r="E9" i="1"/>
  <c r="E10" i="1"/>
  <c r="E11" i="1"/>
  <c r="E12" i="1"/>
  <c r="E4" i="1"/>
  <c r="E5" i="1"/>
  <c r="E2" i="1"/>
  <c r="E3" i="1"/>
  <c r="D2" i="4" l="1"/>
  <c r="D3" i="4"/>
  <c r="D4" i="4"/>
  <c r="D5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1" i="4"/>
  <c r="A190" i="1" l="1"/>
  <c r="D297" i="1"/>
  <c r="D298" i="1"/>
  <c r="D295" i="1"/>
  <c r="D296" i="1"/>
  <c r="D293" i="1"/>
  <c r="D294" i="1"/>
  <c r="D292" i="1"/>
  <c r="D288" i="1"/>
  <c r="D289" i="1"/>
  <c r="D290" i="1"/>
  <c r="D291" i="1"/>
  <c r="D287" i="1"/>
  <c r="D285" i="1"/>
  <c r="D286" i="1"/>
  <c r="D281" i="1"/>
  <c r="D282" i="1"/>
  <c r="D283" i="1"/>
  <c r="D284" i="1"/>
  <c r="D280" i="1"/>
  <c r="D278" i="1"/>
  <c r="D279" i="1"/>
  <c r="D271" i="1"/>
  <c r="D272" i="1"/>
  <c r="D273" i="1"/>
  <c r="D274" i="1"/>
  <c r="D275" i="1"/>
  <c r="D276" i="1"/>
  <c r="D277" i="1"/>
  <c r="D267" i="1"/>
  <c r="D268" i="1"/>
  <c r="D269" i="1"/>
  <c r="D270" i="1"/>
  <c r="D259" i="1"/>
  <c r="D260" i="1"/>
  <c r="D261" i="1"/>
  <c r="D262" i="1"/>
  <c r="D263" i="1"/>
  <c r="D264" i="1"/>
  <c r="D265" i="1"/>
  <c r="D266" i="1"/>
  <c r="D258" i="1"/>
  <c r="D257" i="1"/>
  <c r="D251" i="1"/>
  <c r="D252" i="1"/>
  <c r="D253" i="1"/>
  <c r="D254" i="1"/>
  <c r="D255" i="1"/>
  <c r="D256" i="1"/>
  <c r="D250" i="1"/>
  <c r="D249" i="1"/>
  <c r="D243" i="1"/>
  <c r="D244" i="1"/>
  <c r="D245" i="1"/>
  <c r="D246" i="1"/>
  <c r="D247" i="1"/>
  <c r="D248" i="1"/>
  <c r="D242" i="1"/>
  <c r="D238" i="1"/>
  <c r="D239" i="1"/>
  <c r="D240" i="1"/>
  <c r="D241" i="1"/>
  <c r="D237" i="1"/>
  <c r="D235" i="1"/>
  <c r="D236" i="1"/>
  <c r="D234" i="1"/>
  <c r="D230" i="1"/>
  <c r="D231" i="1"/>
  <c r="D232" i="1"/>
  <c r="D233" i="1"/>
  <c r="D228" i="1"/>
  <c r="D229" i="1"/>
  <c r="D227" i="1"/>
  <c r="D224" i="1"/>
  <c r="D225" i="1"/>
  <c r="D226" i="1"/>
  <c r="D222" i="1"/>
  <c r="D223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06" i="1"/>
  <c r="D207" i="1"/>
  <c r="D205" i="1"/>
  <c r="D204" i="1"/>
  <c r="D203" i="1"/>
  <c r="D200" i="1"/>
  <c r="D201" i="1"/>
  <c r="D202" i="1"/>
  <c r="D198" i="1"/>
  <c r="D199" i="1"/>
  <c r="D197" i="1"/>
  <c r="D192" i="1"/>
  <c r="D193" i="1"/>
  <c r="D194" i="1"/>
  <c r="D195" i="1"/>
  <c r="D196" i="1"/>
  <c r="D188" i="1"/>
  <c r="D189" i="1"/>
  <c r="D190" i="1"/>
  <c r="E297" i="1"/>
  <c r="E298" i="1"/>
  <c r="E295" i="1"/>
  <c r="E296" i="1"/>
  <c r="E293" i="1"/>
  <c r="E294" i="1"/>
  <c r="E292" i="1"/>
  <c r="E288" i="1"/>
  <c r="E289" i="1"/>
  <c r="E290" i="1"/>
  <c r="E291" i="1"/>
  <c r="E287" i="1"/>
  <c r="E285" i="1"/>
  <c r="E286" i="1"/>
  <c r="E281" i="1"/>
  <c r="E282" i="1"/>
  <c r="E283" i="1"/>
  <c r="E284" i="1"/>
  <c r="E280" i="1"/>
  <c r="E278" i="1"/>
  <c r="E279" i="1"/>
  <c r="E271" i="1"/>
  <c r="E272" i="1"/>
  <c r="E273" i="1"/>
  <c r="E274" i="1"/>
  <c r="E275" i="1"/>
  <c r="E276" i="1"/>
  <c r="E277" i="1"/>
  <c r="E267" i="1"/>
  <c r="E268" i="1"/>
  <c r="E269" i="1"/>
  <c r="E270" i="1"/>
  <c r="E259" i="1"/>
  <c r="E260" i="1"/>
  <c r="E261" i="1"/>
  <c r="E262" i="1"/>
  <c r="E263" i="1"/>
  <c r="E264" i="1"/>
  <c r="E265" i="1"/>
  <c r="E266" i="1"/>
  <c r="E258" i="1"/>
  <c r="E257" i="1"/>
  <c r="E251" i="1"/>
  <c r="E252" i="1"/>
  <c r="E253" i="1"/>
  <c r="E254" i="1"/>
  <c r="E255" i="1"/>
  <c r="E256" i="1"/>
  <c r="E250" i="1"/>
  <c r="E249" i="1"/>
  <c r="E243" i="1"/>
  <c r="E244" i="1"/>
  <c r="E245" i="1"/>
  <c r="E246" i="1"/>
  <c r="E247" i="1"/>
  <c r="E248" i="1"/>
  <c r="E242" i="1"/>
  <c r="E238" i="1"/>
  <c r="E239" i="1"/>
  <c r="E240" i="1"/>
  <c r="E241" i="1"/>
  <c r="E237" i="1"/>
  <c r="E235" i="1"/>
  <c r="E236" i="1"/>
  <c r="E234" i="1"/>
  <c r="E230" i="1"/>
  <c r="E231" i="1"/>
  <c r="E232" i="1"/>
  <c r="E233" i="1"/>
  <c r="E228" i="1"/>
  <c r="E229" i="1"/>
  <c r="E227" i="1"/>
  <c r="E224" i="1"/>
  <c r="E225" i="1"/>
  <c r="E226" i="1"/>
  <c r="E222" i="1"/>
  <c r="E223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06" i="1"/>
  <c r="E207" i="1"/>
  <c r="E205" i="1"/>
  <c r="E204" i="1"/>
  <c r="E203" i="1"/>
  <c r="E200" i="1"/>
  <c r="E201" i="1"/>
  <c r="E202" i="1"/>
  <c r="E198" i="1"/>
  <c r="E199" i="1"/>
  <c r="E197" i="1"/>
  <c r="E192" i="1"/>
  <c r="E193" i="1"/>
  <c r="E194" i="1"/>
  <c r="E195" i="1"/>
  <c r="E196" i="1"/>
  <c r="E188" i="1"/>
  <c r="E189" i="1"/>
  <c r="E190" i="1"/>
  <c r="P4" i="2" l="1"/>
  <c r="P8" i="2"/>
  <c r="P9" i="2"/>
  <c r="P6" i="2"/>
  <c r="P5" i="2"/>
  <c r="P7" i="2" l="1"/>
  <c r="AH10" i="2" s="1"/>
  <c r="AG10" i="2"/>
  <c r="AG6" i="2"/>
  <c r="AG2" i="2"/>
  <c r="AG7" i="2"/>
  <c r="AG5" i="2"/>
  <c r="AG3" i="2"/>
  <c r="AG4" i="2"/>
  <c r="AG12" i="2"/>
  <c r="AG9" i="2"/>
  <c r="AG11" i="2"/>
  <c r="AG8" i="2"/>
  <c r="AG13" i="2"/>
  <c r="T8" i="2" l="1"/>
  <c r="U8" i="2"/>
  <c r="U10" i="2"/>
  <c r="U9" i="2"/>
  <c r="T10" i="2"/>
  <c r="S9" i="2"/>
  <c r="S10" i="2"/>
  <c r="T4" i="2"/>
  <c r="U4" i="2"/>
  <c r="U5" i="2"/>
  <c r="S6" i="2"/>
  <c r="T6" i="2"/>
  <c r="S7" i="2"/>
  <c r="S11" i="2"/>
  <c r="T7" i="2"/>
  <c r="U11" i="2"/>
  <c r="T9" i="2"/>
  <c r="T5" i="2"/>
  <c r="S4" i="2"/>
  <c r="S5" i="2"/>
  <c r="S8" i="2"/>
  <c r="U6" i="2"/>
  <c r="U7" i="2"/>
  <c r="T11" i="2"/>
  <c r="AH12" i="2"/>
  <c r="AH8" i="2"/>
  <c r="AA2" i="2"/>
  <c r="AH2" i="2"/>
  <c r="AI2" i="2" s="1"/>
  <c r="AA5" i="2"/>
  <c r="AB3" i="2"/>
  <c r="AH6" i="2"/>
  <c r="AH9" i="2"/>
  <c r="AH5" i="2"/>
  <c r="AH13" i="2"/>
  <c r="AH7" i="2"/>
  <c r="AA3" i="2"/>
  <c r="AH4" i="2"/>
  <c r="AB2" i="2"/>
  <c r="AH11" i="2"/>
  <c r="AB5" i="2"/>
  <c r="AA4" i="2"/>
  <c r="AH3" i="2"/>
  <c r="AB4" i="2"/>
  <c r="A189" i="1"/>
  <c r="A194" i="1"/>
  <c r="A195" i="1"/>
  <c r="A196" i="1"/>
  <c r="A188" i="1"/>
  <c r="A193" i="1"/>
  <c r="A197" i="1"/>
  <c r="A192" i="1"/>
  <c r="A199" i="1"/>
  <c r="A200" i="1"/>
  <c r="A201" i="1"/>
  <c r="A202" i="1"/>
  <c r="A198" i="1"/>
  <c r="A204" i="1"/>
  <c r="A203" i="1"/>
  <c r="A205" i="1"/>
  <c r="A221" i="1"/>
  <c r="A206" i="1"/>
  <c r="A207" i="1"/>
  <c r="A219" i="1"/>
  <c r="A220" i="1"/>
  <c r="A226" i="1"/>
  <c r="A222" i="1"/>
  <c r="A223" i="1"/>
  <c r="A208" i="1"/>
  <c r="A209" i="1"/>
  <c r="A210" i="1"/>
  <c r="A211" i="1"/>
  <c r="A212" i="1"/>
  <c r="A213" i="1"/>
  <c r="A214" i="1"/>
  <c r="A215" i="1"/>
  <c r="A216" i="1"/>
  <c r="A217" i="1"/>
  <c r="A218" i="1"/>
  <c r="A224" i="1"/>
  <c r="A225" i="1"/>
  <c r="A227" i="1"/>
  <c r="A229" i="1"/>
  <c r="A228" i="1"/>
  <c r="A231" i="1"/>
  <c r="A232" i="1"/>
  <c r="A233" i="1"/>
  <c r="A234" i="1"/>
  <c r="A230" i="1"/>
  <c r="A235" i="1"/>
  <c r="A236" i="1"/>
  <c r="A242" i="1"/>
  <c r="A238" i="1"/>
  <c r="A239" i="1"/>
  <c r="A240" i="1"/>
  <c r="A241" i="1"/>
  <c r="A237" i="1"/>
  <c r="A246" i="1"/>
  <c r="A247" i="1"/>
  <c r="A248" i="1"/>
  <c r="A245" i="1"/>
  <c r="A244" i="1"/>
  <c r="A249" i="1"/>
  <c r="A243" i="1"/>
  <c r="A250" i="1"/>
  <c r="A255" i="1"/>
  <c r="A256" i="1"/>
  <c r="A264" i="1"/>
  <c r="A265" i="1"/>
  <c r="A266" i="1"/>
  <c r="A258" i="1"/>
  <c r="A257" i="1"/>
  <c r="A251" i="1"/>
  <c r="A252" i="1"/>
  <c r="A253" i="1"/>
  <c r="A254" i="1"/>
  <c r="A261" i="1"/>
  <c r="A262" i="1"/>
  <c r="A263" i="1"/>
  <c r="A270" i="1"/>
  <c r="A259" i="1"/>
  <c r="A260" i="1"/>
  <c r="A269" i="1"/>
  <c r="A268" i="1"/>
  <c r="A273" i="1"/>
  <c r="A274" i="1"/>
  <c r="A275" i="1"/>
  <c r="A276" i="1"/>
  <c r="A277" i="1"/>
  <c r="A267" i="1"/>
  <c r="A279" i="1"/>
  <c r="A271" i="1"/>
  <c r="A272" i="1"/>
  <c r="A278" i="1"/>
  <c r="A280" i="1"/>
  <c r="A298" i="1"/>
  <c r="A295" i="1"/>
  <c r="A296" i="1"/>
  <c r="A293" i="1"/>
  <c r="A294" i="1"/>
  <c r="A297" i="1"/>
  <c r="A283" i="1"/>
  <c r="A284" i="1"/>
  <c r="A291" i="1"/>
  <c r="A287" i="1"/>
  <c r="A285" i="1"/>
  <c r="A286" i="1"/>
  <c r="A281" i="1"/>
  <c r="A282" i="1"/>
  <c r="A292" i="1"/>
  <c r="A288" i="1"/>
  <c r="A289" i="1"/>
  <c r="A290" i="1"/>
  <c r="AC3" i="2" l="1"/>
  <c r="AC5" i="2"/>
  <c r="AC2" i="2"/>
  <c r="AI3" i="2"/>
  <c r="AI4" i="2" s="1"/>
  <c r="AI5" i="2" s="1"/>
  <c r="AI6" i="2" s="1"/>
  <c r="AI7" i="2" s="1"/>
  <c r="AI8" i="2" s="1"/>
  <c r="AI9" i="2" s="1"/>
  <c r="AI10" i="2" s="1"/>
  <c r="AI11" i="2" s="1"/>
  <c r="AI12" i="2" s="1"/>
  <c r="AI13" i="2" s="1"/>
  <c r="AC4" i="2"/>
  <c r="AB6" i="2"/>
  <c r="U12" i="2"/>
  <c r="AI14" i="2" l="1"/>
  <c r="AC6" i="2" s="1"/>
  <c r="AC9" i="2"/>
  <c r="AB9" i="2" s="1"/>
  <c r="AA6" i="2"/>
  <c r="S12" i="2" l="1"/>
  <c r="T12" i="2"/>
  <c r="A24" i="2" l="1"/>
  <c r="A25" i="2" s="1"/>
  <c r="B23" i="2"/>
  <c r="D23" i="2"/>
  <c r="H23" i="2"/>
  <c r="E23" i="2"/>
  <c r="I23" i="2"/>
  <c r="F23" i="2"/>
  <c r="J23" i="2"/>
  <c r="G23" i="2"/>
  <c r="C23" i="2"/>
  <c r="F25" i="2" l="1"/>
  <c r="B25" i="2"/>
  <c r="G25" i="2"/>
  <c r="C25" i="2"/>
  <c r="H25" i="2"/>
  <c r="D25" i="2"/>
  <c r="I25" i="2"/>
  <c r="E25" i="2"/>
  <c r="J25" i="2"/>
  <c r="A26" i="2"/>
  <c r="C24" i="2"/>
  <c r="D24" i="2"/>
  <c r="G24" i="2"/>
  <c r="J24" i="2"/>
  <c r="F24" i="2"/>
  <c r="B24" i="2"/>
  <c r="H24" i="2"/>
  <c r="I24" i="2"/>
  <c r="E24" i="2"/>
  <c r="B26" i="2" l="1"/>
  <c r="J26" i="2"/>
  <c r="F26" i="2"/>
  <c r="G26" i="2"/>
  <c r="C26" i="2"/>
  <c r="E26" i="2"/>
  <c r="I26" i="2"/>
  <c r="H26" i="2"/>
  <c r="D26" i="2"/>
  <c r="A27" i="2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D27" i="2" l="1"/>
  <c r="J27" i="2"/>
  <c r="B27" i="2"/>
  <c r="H27" i="2"/>
  <c r="E27" i="2"/>
  <c r="F27" i="2"/>
  <c r="C27" i="2"/>
  <c r="G27" i="2"/>
  <c r="I27" i="2"/>
  <c r="A28" i="2"/>
  <c r="E28" i="2" l="1"/>
  <c r="H28" i="2"/>
  <c r="B28" i="2"/>
  <c r="I28" i="2"/>
  <c r="F28" i="2"/>
  <c r="G28" i="2"/>
  <c r="D28" i="2"/>
  <c r="C28" i="2"/>
  <c r="J28" i="2"/>
  <c r="A29" i="2"/>
  <c r="E29" i="2" l="1"/>
  <c r="F29" i="2"/>
  <c r="H29" i="2"/>
  <c r="J29" i="2"/>
  <c r="D29" i="2"/>
  <c r="C29" i="2"/>
  <c r="B29" i="2"/>
  <c r="G29" i="2"/>
  <c r="I29" i="2"/>
  <c r="A30" i="2"/>
  <c r="G30" i="2" l="1"/>
  <c r="E30" i="2"/>
  <c r="D30" i="2"/>
  <c r="C30" i="2"/>
  <c r="I30" i="2"/>
  <c r="F30" i="2"/>
  <c r="J30" i="2"/>
  <c r="B30" i="2"/>
  <c r="H30" i="2"/>
  <c r="A31" i="2"/>
  <c r="J31" i="2" l="1"/>
  <c r="H31" i="2"/>
  <c r="B31" i="2"/>
  <c r="D31" i="2"/>
  <c r="C31" i="2"/>
  <c r="F31" i="2"/>
  <c r="G31" i="2"/>
  <c r="E31" i="2"/>
  <c r="I31" i="2"/>
  <c r="A32" i="2"/>
  <c r="E32" i="2" l="1"/>
  <c r="B32" i="2"/>
  <c r="J32" i="2"/>
  <c r="C32" i="2"/>
  <c r="G32" i="2"/>
  <c r="I32" i="2"/>
  <c r="D32" i="2"/>
  <c r="H32" i="2"/>
  <c r="F32" i="2"/>
  <c r="A33" i="2"/>
  <c r="H33" i="2" l="1"/>
  <c r="D33" i="2"/>
  <c r="G33" i="2"/>
  <c r="E33" i="2"/>
  <c r="I33" i="2"/>
  <c r="F33" i="2"/>
  <c r="B33" i="2"/>
  <c r="J33" i="2"/>
  <c r="C33" i="2"/>
  <c r="A34" i="2"/>
  <c r="B34" i="2" l="1"/>
  <c r="I34" i="2"/>
  <c r="F34" i="2"/>
  <c r="H34" i="2"/>
  <c r="G34" i="2"/>
  <c r="D34" i="2"/>
  <c r="J34" i="2"/>
  <c r="E34" i="2"/>
  <c r="C34" i="2"/>
  <c r="A35" i="2"/>
  <c r="C35" i="2" l="1"/>
  <c r="G35" i="2"/>
  <c r="D35" i="2"/>
  <c r="E35" i="2"/>
  <c r="J35" i="2"/>
  <c r="B35" i="2"/>
  <c r="I35" i="2"/>
  <c r="F35" i="2"/>
  <c r="H35" i="2"/>
  <c r="A36" i="2"/>
  <c r="D36" i="2" l="1"/>
  <c r="H36" i="2"/>
  <c r="B36" i="2"/>
  <c r="C36" i="2"/>
  <c r="J36" i="2"/>
  <c r="I36" i="2"/>
  <c r="F36" i="2"/>
  <c r="G36" i="2"/>
  <c r="E36" i="2"/>
  <c r="A37" i="2"/>
  <c r="E37" i="2" l="1"/>
  <c r="C37" i="2"/>
  <c r="D37" i="2"/>
  <c r="J37" i="2"/>
  <c r="B37" i="2"/>
  <c r="G37" i="2"/>
  <c r="I37" i="2"/>
  <c r="F37" i="2"/>
  <c r="H37" i="2"/>
  <c r="A38" i="2"/>
  <c r="D38" i="2" l="1"/>
  <c r="H38" i="2"/>
  <c r="J38" i="2"/>
  <c r="F38" i="2"/>
  <c r="G38" i="2"/>
  <c r="C38" i="2"/>
  <c r="B38" i="2"/>
  <c r="E38" i="2"/>
  <c r="I38" i="2"/>
  <c r="A39" i="2"/>
  <c r="B39" i="2" l="1"/>
  <c r="H39" i="2"/>
  <c r="C39" i="2"/>
  <c r="F39" i="2"/>
  <c r="G39" i="2"/>
  <c r="J39" i="2"/>
  <c r="E39" i="2"/>
  <c r="D39" i="2"/>
  <c r="I39" i="2"/>
  <c r="A40" i="2"/>
  <c r="F40" i="2" l="1"/>
  <c r="B40" i="2"/>
  <c r="J40" i="2"/>
  <c r="A41" i="2"/>
  <c r="E40" i="2"/>
  <c r="C40" i="2"/>
  <c r="I40" i="2"/>
  <c r="D40" i="2"/>
  <c r="H40" i="2"/>
  <c r="G40" i="2"/>
  <c r="A42" i="2" l="1"/>
  <c r="E41" i="2"/>
  <c r="F41" i="2"/>
  <c r="C41" i="2"/>
  <c r="B41" i="2"/>
  <c r="I41" i="2"/>
  <c r="G41" i="2"/>
  <c r="D41" i="2"/>
  <c r="H41" i="2"/>
  <c r="J41" i="2"/>
  <c r="B42" i="2" l="1"/>
  <c r="J42" i="2"/>
  <c r="A43" i="2"/>
  <c r="H42" i="2"/>
  <c r="G42" i="2"/>
  <c r="D42" i="2"/>
  <c r="F42" i="2"/>
  <c r="I42" i="2"/>
  <c r="E42" i="2"/>
  <c r="C42" i="2"/>
  <c r="G43" i="2" l="1"/>
  <c r="C43" i="2"/>
  <c r="B43" i="2"/>
  <c r="F43" i="2"/>
  <c r="H43" i="2"/>
  <c r="I43" i="2"/>
  <c r="D43" i="2"/>
  <c r="A44" i="2"/>
  <c r="E43" i="2"/>
  <c r="J43" i="2"/>
  <c r="D44" i="2" l="1"/>
  <c r="B44" i="2"/>
  <c r="E44" i="2"/>
  <c r="J44" i="2"/>
  <c r="I44" i="2"/>
  <c r="C44" i="2"/>
  <c r="H44" i="2"/>
  <c r="A45" i="2"/>
  <c r="F44" i="2"/>
  <c r="G44" i="2"/>
  <c r="D45" i="2" l="1"/>
  <c r="F45" i="2"/>
  <c r="E45" i="2"/>
  <c r="C45" i="2"/>
  <c r="I45" i="2"/>
  <c r="B45" i="2"/>
  <c r="J45" i="2"/>
  <c r="G45" i="2"/>
  <c r="H45" i="2"/>
  <c r="A46" i="2"/>
  <c r="G46" i="2" l="1"/>
  <c r="I46" i="2"/>
  <c r="J46" i="2"/>
  <c r="F46" i="2"/>
  <c r="D46" i="2"/>
  <c r="E46" i="2"/>
  <c r="C46" i="2"/>
  <c r="B46" i="2"/>
  <c r="A47" i="2"/>
  <c r="H46" i="2"/>
  <c r="F47" i="2" l="1"/>
  <c r="A48" i="2"/>
  <c r="E47" i="2"/>
  <c r="J47" i="2"/>
  <c r="G47" i="2"/>
  <c r="H47" i="2"/>
  <c r="D47" i="2"/>
  <c r="I47" i="2"/>
  <c r="C47" i="2"/>
  <c r="B47" i="2"/>
  <c r="C48" i="2" l="1"/>
  <c r="G48" i="2"/>
  <c r="A49" i="2"/>
  <c r="H48" i="2"/>
  <c r="F48" i="2"/>
  <c r="E48" i="2"/>
  <c r="B48" i="2"/>
  <c r="J48" i="2"/>
  <c r="D48" i="2"/>
  <c r="I48" i="2"/>
  <c r="H49" i="2" l="1"/>
  <c r="B49" i="2"/>
  <c r="D49" i="2"/>
  <c r="E49" i="2"/>
  <c r="I49" i="2"/>
  <c r="J49" i="2"/>
  <c r="A50" i="2"/>
  <c r="G49" i="2"/>
  <c r="F49" i="2"/>
  <c r="C49" i="2"/>
  <c r="J50" i="2" l="1"/>
  <c r="C50" i="2"/>
  <c r="I50" i="2"/>
  <c r="F50" i="2"/>
  <c r="B50" i="2"/>
  <c r="A51" i="2"/>
  <c r="H50" i="2"/>
  <c r="D50" i="2"/>
  <c r="G50" i="2"/>
  <c r="E50" i="2"/>
  <c r="G51" i="2" l="1"/>
  <c r="J51" i="2"/>
  <c r="C51" i="2"/>
  <c r="D51" i="2"/>
  <c r="B51" i="2"/>
  <c r="F51" i="2"/>
  <c r="E51" i="2"/>
  <c r="I51" i="2"/>
  <c r="H51" i="2"/>
  <c r="A52" i="2"/>
  <c r="H52" i="2" l="1"/>
  <c r="D52" i="2"/>
  <c r="E52" i="2"/>
  <c r="B52" i="2"/>
  <c r="C52" i="2"/>
  <c r="G52" i="2"/>
  <c r="J52" i="2"/>
  <c r="A53" i="2"/>
  <c r="I52" i="2"/>
  <c r="F52" i="2"/>
  <c r="D53" i="2" l="1"/>
  <c r="E53" i="2"/>
  <c r="H53" i="2"/>
  <c r="C53" i="2"/>
  <c r="F53" i="2"/>
  <c r="J53" i="2"/>
  <c r="B53" i="2"/>
  <c r="A54" i="2"/>
  <c r="I53" i="2"/>
  <c r="G53" i="2"/>
  <c r="E54" i="2" l="1"/>
  <c r="G54" i="2"/>
  <c r="I54" i="2"/>
  <c r="J54" i="2"/>
  <c r="F54" i="2"/>
  <c r="D54" i="2"/>
  <c r="H54" i="2"/>
  <c r="C54" i="2"/>
  <c r="B54" i="2"/>
  <c r="A55" i="2"/>
  <c r="B55" i="2" l="1"/>
  <c r="G55" i="2"/>
  <c r="C55" i="2"/>
  <c r="J55" i="2"/>
  <c r="F55" i="2"/>
  <c r="E55" i="2"/>
  <c r="A56" i="2"/>
  <c r="D55" i="2"/>
  <c r="I55" i="2"/>
  <c r="H55" i="2"/>
  <c r="G56" i="2" l="1"/>
  <c r="D56" i="2"/>
  <c r="A57" i="2"/>
  <c r="C56" i="2"/>
  <c r="H56" i="2"/>
  <c r="I56" i="2"/>
  <c r="F56" i="2"/>
  <c r="B56" i="2"/>
  <c r="E56" i="2"/>
  <c r="J56" i="2"/>
  <c r="H57" i="2" l="1"/>
  <c r="J57" i="2"/>
  <c r="E57" i="2"/>
  <c r="I57" i="2"/>
  <c r="A58" i="2"/>
  <c r="G57" i="2"/>
  <c r="D57" i="2"/>
  <c r="F57" i="2"/>
  <c r="C57" i="2"/>
  <c r="B57" i="2"/>
  <c r="I58" i="2" l="1"/>
  <c r="A59" i="2"/>
  <c r="J58" i="2"/>
  <c r="F58" i="2"/>
  <c r="C58" i="2"/>
  <c r="H58" i="2"/>
  <c r="D58" i="2"/>
  <c r="E58" i="2"/>
  <c r="B58" i="2"/>
  <c r="G58" i="2"/>
  <c r="J59" i="2" l="1"/>
  <c r="D59" i="2"/>
  <c r="C59" i="2"/>
  <c r="F59" i="2"/>
  <c r="G59" i="2"/>
  <c r="B59" i="2"/>
  <c r="I59" i="2"/>
  <c r="E59" i="2"/>
  <c r="H59" i="2"/>
  <c r="A60" i="2"/>
  <c r="C60" i="2" l="1"/>
  <c r="H60" i="2"/>
  <c r="D60" i="2"/>
  <c r="B60" i="2"/>
  <c r="E60" i="2"/>
  <c r="J60" i="2"/>
  <c r="I60" i="2"/>
  <c r="A61" i="2"/>
  <c r="F60" i="2"/>
  <c r="G60" i="2"/>
  <c r="I61" i="2" l="1"/>
  <c r="H61" i="2"/>
  <c r="D61" i="2"/>
  <c r="C61" i="2"/>
  <c r="F61" i="2"/>
  <c r="A62" i="2"/>
  <c r="B61" i="2"/>
  <c r="E61" i="2"/>
  <c r="J61" i="2"/>
  <c r="G61" i="2"/>
  <c r="G62" i="2" l="1"/>
  <c r="F62" i="2"/>
  <c r="I62" i="2"/>
  <c r="J62" i="2"/>
  <c r="D62" i="2"/>
  <c r="E62" i="2"/>
  <c r="C62" i="2"/>
  <c r="A63" i="2"/>
  <c r="H62" i="2"/>
  <c r="B62" i="2"/>
  <c r="F63" i="2" l="1"/>
  <c r="H63" i="2"/>
  <c r="G63" i="2"/>
  <c r="B63" i="2"/>
  <c r="E63" i="2"/>
  <c r="C63" i="2"/>
  <c r="D63" i="2"/>
  <c r="A64" i="2"/>
  <c r="I63" i="2"/>
  <c r="J63" i="2"/>
  <c r="G64" i="2" l="1"/>
  <c r="A65" i="2"/>
  <c r="I64" i="2"/>
  <c r="H64" i="2"/>
  <c r="D64" i="2"/>
  <c r="F64" i="2"/>
  <c r="E64" i="2"/>
  <c r="B64" i="2"/>
  <c r="J64" i="2"/>
  <c r="C64" i="2"/>
  <c r="H65" i="2" l="1"/>
  <c r="I65" i="2"/>
  <c r="B65" i="2"/>
  <c r="J65" i="2"/>
  <c r="A66" i="2"/>
  <c r="D65" i="2"/>
  <c r="E65" i="2"/>
  <c r="G65" i="2"/>
  <c r="F65" i="2"/>
  <c r="C65" i="2"/>
  <c r="I66" i="2" l="1"/>
  <c r="A67" i="2"/>
  <c r="F66" i="2"/>
  <c r="H66" i="2"/>
  <c r="G66" i="2"/>
  <c r="D66" i="2"/>
  <c r="E66" i="2"/>
  <c r="C66" i="2"/>
  <c r="B66" i="2"/>
  <c r="J66" i="2"/>
  <c r="D67" i="2" l="1"/>
  <c r="F67" i="2"/>
  <c r="G67" i="2"/>
  <c r="B67" i="2"/>
  <c r="J67" i="2"/>
  <c r="A68" i="2"/>
  <c r="I67" i="2"/>
  <c r="E67" i="2"/>
  <c r="C67" i="2"/>
  <c r="H67" i="2"/>
  <c r="C68" i="2" l="1"/>
  <c r="H68" i="2"/>
  <c r="F68" i="2"/>
  <c r="D68" i="2"/>
  <c r="G68" i="2"/>
  <c r="B68" i="2"/>
  <c r="J68" i="2"/>
  <c r="I68" i="2"/>
  <c r="E68" i="2"/>
  <c r="A69" i="2"/>
  <c r="I69" i="2" l="1"/>
  <c r="F69" i="2"/>
  <c r="C69" i="2"/>
  <c r="D69" i="2"/>
  <c r="H69" i="2"/>
  <c r="B69" i="2"/>
  <c r="E69" i="2"/>
  <c r="G69" i="2"/>
  <c r="A70" i="2"/>
  <c r="J69" i="2"/>
  <c r="J70" i="2" l="1"/>
  <c r="E70" i="2"/>
  <c r="F70" i="2"/>
  <c r="D70" i="2"/>
  <c r="I70" i="2"/>
  <c r="C70" i="2"/>
  <c r="A71" i="2"/>
  <c r="B70" i="2"/>
  <c r="H70" i="2"/>
  <c r="G70" i="2"/>
  <c r="H71" i="2" l="1"/>
  <c r="A72" i="2"/>
  <c r="C71" i="2"/>
  <c r="G71" i="2"/>
  <c r="F71" i="2"/>
  <c r="J71" i="2"/>
  <c r="E71" i="2"/>
  <c r="D71" i="2"/>
  <c r="I71" i="2"/>
  <c r="B71" i="2"/>
  <c r="D72" i="2" l="1"/>
  <c r="G72" i="2"/>
  <c r="H72" i="2"/>
  <c r="C72" i="2"/>
  <c r="A73" i="2"/>
  <c r="F72" i="2"/>
  <c r="E72" i="2"/>
  <c r="J72" i="2"/>
  <c r="B72" i="2"/>
  <c r="I72" i="2"/>
  <c r="D73" i="2" l="1"/>
  <c r="J73" i="2"/>
  <c r="H73" i="2"/>
  <c r="A74" i="2"/>
  <c r="E73" i="2"/>
  <c r="G73" i="2"/>
  <c r="F73" i="2"/>
  <c r="I73" i="2"/>
  <c r="C73" i="2"/>
  <c r="B73" i="2"/>
  <c r="J74" i="2" l="1"/>
  <c r="E74" i="2"/>
  <c r="B74" i="2"/>
  <c r="C74" i="2"/>
  <c r="A75" i="2"/>
  <c r="I74" i="2"/>
  <c r="H74" i="2"/>
  <c r="G74" i="2"/>
  <c r="D74" i="2"/>
  <c r="F74" i="2"/>
  <c r="D75" i="2" l="1"/>
  <c r="F75" i="2"/>
  <c r="I75" i="2"/>
  <c r="G75" i="2"/>
  <c r="J75" i="2"/>
  <c r="H75" i="2"/>
  <c r="E75" i="2"/>
  <c r="B75" i="2"/>
  <c r="C75" i="2"/>
</calcChain>
</file>

<file path=xl/sharedStrings.xml><?xml version="1.0" encoding="utf-8"?>
<sst xmlns="http://schemas.openxmlformats.org/spreadsheetml/2006/main" count="1432" uniqueCount="206">
  <si>
    <t>DATE</t>
  </si>
  <si>
    <t>DESCRIPTION</t>
  </si>
  <si>
    <t>CATEGORIE</t>
  </si>
  <si>
    <t>ANNEE</t>
  </si>
  <si>
    <t>MOIS</t>
  </si>
  <si>
    <t>COMPTE</t>
  </si>
  <si>
    <t>TITULAIRE</t>
  </si>
  <si>
    <t>MIN</t>
  </si>
  <si>
    <t>MAX</t>
  </si>
  <si>
    <t>NB</t>
  </si>
  <si>
    <t>1-1-1-1-1-1</t>
  </si>
  <si>
    <t>1-1-1-1-1-0</t>
  </si>
  <si>
    <t>1-1-1-1-0-0</t>
  </si>
  <si>
    <t>1-1-1-0-0-0</t>
  </si>
  <si>
    <t>1-1-1-0-1-0</t>
  </si>
  <si>
    <t>1-1-1-0-0-1</t>
  </si>
  <si>
    <t>1-1-1-0-1-1</t>
  </si>
  <si>
    <t>1-1-1-1-0-1</t>
  </si>
  <si>
    <t>ETAT</t>
  </si>
  <si>
    <t>INDEX</t>
  </si>
  <si>
    <t>N°LIGNE</t>
  </si>
  <si>
    <t>Salaire</t>
  </si>
  <si>
    <t>Placement LJMO</t>
  </si>
  <si>
    <t>O'Tacos</t>
  </si>
  <si>
    <t>Compte à composer</t>
  </si>
  <si>
    <t>Assurance pret perso.</t>
  </si>
  <si>
    <t>Péage</t>
  </si>
  <si>
    <t>Frais d'irr.et incident</t>
  </si>
  <si>
    <t>Restaurant</t>
  </si>
  <si>
    <t>Super U</t>
  </si>
  <si>
    <t>Essence</t>
  </si>
  <si>
    <t>Intermarché</t>
  </si>
  <si>
    <t>Loyer</t>
  </si>
  <si>
    <t>HP OMEN</t>
  </si>
  <si>
    <t>Leclerc</t>
  </si>
  <si>
    <t>Restitution de fonds</t>
  </si>
  <si>
    <t>Steam</t>
  </si>
  <si>
    <t>Permis 1€</t>
  </si>
  <si>
    <t>KFC</t>
  </si>
  <si>
    <t>Blablacar</t>
  </si>
  <si>
    <t>Géant Casino</t>
  </si>
  <si>
    <t>Transport Bordeaux</t>
  </si>
  <si>
    <t>Part sociale</t>
  </si>
  <si>
    <t>Virement Julie +</t>
  </si>
  <si>
    <t>Campo Verde</t>
  </si>
  <si>
    <t>Assurance Tout Mobile</t>
  </si>
  <si>
    <t>Piece HP OMEN</t>
  </si>
  <si>
    <t>Carrefour</t>
  </si>
  <si>
    <t>Anniversaire</t>
  </si>
  <si>
    <t>Netflix</t>
  </si>
  <si>
    <t>Patinoire</t>
  </si>
  <si>
    <t>Coiffeur</t>
  </si>
  <si>
    <t>Anime Digital Network</t>
  </si>
  <si>
    <t>Bar</t>
  </si>
  <si>
    <t>Youtube</t>
  </si>
  <si>
    <t>Onedrive</t>
  </si>
  <si>
    <t>Train</t>
  </si>
  <si>
    <t>Macdonald's</t>
  </si>
  <si>
    <t>E-assiste</t>
  </si>
  <si>
    <t>Boulangerie</t>
  </si>
  <si>
    <t>Amazon</t>
  </si>
  <si>
    <t>Kebab</t>
  </si>
  <si>
    <t>Remboursement E-assiste</t>
  </si>
  <si>
    <t>Chinois</t>
  </si>
  <si>
    <t>Le Bistro Régent</t>
  </si>
  <si>
    <t>Retrait Talence</t>
  </si>
  <si>
    <t>Aide transport</t>
  </si>
  <si>
    <t>Versement espèce</t>
  </si>
  <si>
    <t>Centrakor</t>
  </si>
  <si>
    <t>Composants</t>
  </si>
  <si>
    <t>Uber Eat</t>
  </si>
  <si>
    <t>Zara</t>
  </si>
  <si>
    <t>H&amp;M</t>
  </si>
  <si>
    <t>Joom</t>
  </si>
  <si>
    <t>HFC</t>
  </si>
  <si>
    <t>Virement Maman +</t>
  </si>
  <si>
    <t>Cinéma</t>
  </si>
  <si>
    <t>SALAIRE</t>
  </si>
  <si>
    <t>RESTAURATION</t>
  </si>
  <si>
    <t>FACTURE</t>
  </si>
  <si>
    <t>TRANSPORT</t>
  </si>
  <si>
    <t>COURSE</t>
  </si>
  <si>
    <t>CREDIT</t>
  </si>
  <si>
    <t>RECU</t>
  </si>
  <si>
    <t>LOISIRS</t>
  </si>
  <si>
    <t>PERSONNEL</t>
  </si>
  <si>
    <t>DIVERS</t>
  </si>
  <si>
    <t>RETRAIT</t>
  </si>
  <si>
    <t>AIDE</t>
  </si>
  <si>
    <t>INFORMATIQUE</t>
  </si>
  <si>
    <t>VESTIMENTAIRE</t>
  </si>
  <si>
    <t>CCHQ</t>
  </si>
  <si>
    <t>MR MARGOT QUENTIN</t>
  </si>
  <si>
    <t>LJMO</t>
  </si>
  <si>
    <t>N°COMPTE</t>
  </si>
  <si>
    <t>MOIS CHIFFRE</t>
  </si>
  <si>
    <t>MOIS LETTRE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</si>
  <si>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</si>
  <si>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</si>
  <si>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</si>
  <si>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</si>
  <si>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</si>
  <si>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</si>
  <si>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</si>
  <si>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</si>
  <si>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</si>
  <si>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</si>
  <si>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</si>
  <si>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</si>
  <si>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TYPE</t>
  </si>
  <si>
    <t>NOM</t>
  </si>
  <si>
    <t>MONTANT</t>
  </si>
  <si>
    <t>RETRAIT EPARGNE</t>
  </si>
  <si>
    <t>PLACEMENT EPARGNE</t>
  </si>
  <si>
    <t>RESULTAT</t>
  </si>
  <si>
    <t>RESTANT</t>
  </si>
  <si>
    <t>Placement epargne</t>
  </si>
  <si>
    <t xml:space="preserve">actif </t>
  </si>
  <si>
    <t>Réelle :</t>
  </si>
  <si>
    <t>Aide départementale</t>
  </si>
  <si>
    <t>Aide régionale</t>
  </si>
  <si>
    <t>Bershka</t>
  </si>
  <si>
    <t>Best Secret</t>
  </si>
  <si>
    <t>Billard</t>
  </si>
  <si>
    <t>Bistro Boheme</t>
  </si>
  <si>
    <t>Blablacar remboursement</t>
  </si>
  <si>
    <t>Burger King</t>
  </si>
  <si>
    <t>Câble</t>
  </si>
  <si>
    <t>Cadeau</t>
  </si>
  <si>
    <t>Carte sans contact</t>
  </si>
  <si>
    <t>Celio</t>
  </si>
  <si>
    <t>Compte en négatif</t>
  </si>
  <si>
    <t>Cotisation carte banquaire</t>
  </si>
  <si>
    <t>Crescendo</t>
  </si>
  <si>
    <t>Dentiste</t>
  </si>
  <si>
    <t>Distri Center</t>
  </si>
  <si>
    <t>Divers</t>
  </si>
  <si>
    <t>Docteur</t>
  </si>
  <si>
    <t>Easy Cash</t>
  </si>
  <si>
    <t>Ebay</t>
  </si>
  <si>
    <t>Enchere VIP</t>
  </si>
  <si>
    <t>Espace Culturel</t>
  </si>
  <si>
    <t>Fast Food</t>
  </si>
  <si>
    <t>Flunch</t>
  </si>
  <si>
    <t>Fortnite</t>
  </si>
  <si>
    <t>Forum Food</t>
  </si>
  <si>
    <t>Fournil 113</t>
  </si>
  <si>
    <t>Fournil Gascon</t>
  </si>
  <si>
    <t>GearBest</t>
  </si>
  <si>
    <t>Gémo</t>
  </si>
  <si>
    <t>Google Play</t>
  </si>
  <si>
    <t>Impôts</t>
  </si>
  <si>
    <t>Imprimerie</t>
  </si>
  <si>
    <t>Indigo Weel</t>
  </si>
  <si>
    <t>Instant Gaming</t>
  </si>
  <si>
    <t>iOffer</t>
  </si>
  <si>
    <t>Jump Arena</t>
  </si>
  <si>
    <t>Just Eat</t>
  </si>
  <si>
    <t>Le Bon Coin</t>
  </si>
  <si>
    <t>Lidl</t>
  </si>
  <si>
    <t>Lineage II</t>
  </si>
  <si>
    <t>Noël</t>
  </si>
  <si>
    <t>Ophtalmologue</t>
  </si>
  <si>
    <t>Opticien</t>
  </si>
  <si>
    <t>Orange</t>
  </si>
  <si>
    <t>Pharmacie</t>
  </si>
  <si>
    <t>Photomaton</t>
  </si>
  <si>
    <t>Pièces</t>
  </si>
  <si>
    <t>Pièces Moto</t>
  </si>
  <si>
    <t>Remise de chèque</t>
  </si>
  <si>
    <t>Réparation Moto</t>
  </si>
  <si>
    <t>Repas</t>
  </si>
  <si>
    <t>Retrait Artigues</t>
  </si>
  <si>
    <t>Retrait Bazeille</t>
  </si>
  <si>
    <t>Retrait Cocumont</t>
  </si>
  <si>
    <t>Retrait Marmande</t>
  </si>
  <si>
    <t>Spotify</t>
  </si>
  <si>
    <t>Taxe foncière</t>
  </si>
  <si>
    <t>Virement Julie -</t>
  </si>
  <si>
    <t>Virement Laurent +</t>
  </si>
  <si>
    <t>Virement Maman -</t>
  </si>
  <si>
    <t>Wakanim</t>
  </si>
  <si>
    <t>Wish</t>
  </si>
  <si>
    <t>Wish remboursement</t>
  </si>
  <si>
    <t>FAMILIALE</t>
  </si>
  <si>
    <t>SANTE</t>
  </si>
  <si>
    <t>VIREMENT</t>
  </si>
  <si>
    <t>ANTICIPATION MONTANT</t>
  </si>
  <si>
    <t>Reste annuel</t>
  </si>
  <si>
    <t>Placement épargne</t>
  </si>
  <si>
    <t>Retrait épargne</t>
  </si>
  <si>
    <t>Leroy Merlin</t>
  </si>
  <si>
    <t>Google play</t>
  </si>
  <si>
    <t>Virement Axel +</t>
  </si>
  <si>
    <t>Remboursement Uber Eat</t>
  </si>
  <si>
    <t>Kiabi</t>
  </si>
  <si>
    <t>Gearbest</t>
  </si>
  <si>
    <t>Viva</t>
  </si>
  <si>
    <t>OCS</t>
  </si>
  <si>
    <t>Xtreme Skins</t>
  </si>
  <si>
    <t>salaire</t>
  </si>
  <si>
    <t>Paris sportif</t>
  </si>
  <si>
    <t>CPS</t>
  </si>
  <si>
    <t>SELECTION DU CRITERE</t>
  </si>
  <si>
    <t>Chargement des caractéristiques du tableau selon les criteres</t>
  </si>
  <si>
    <t>ETAT CRITERE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</si>
</sst>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6" tint="0.59999389629810485"/>
      </patternFill>
    </fill>
    <fill>
      <patternFill patternType="solid">
        <fgColor theme="0"/>
        <bgColor theme="6" tint="0.79998168889431442"/>
      </patternFill>
    </fill>
  </fills>
  <borders count="30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6" tint="0.39997558519241921"/>
      </left>
      <right style="thin">
        <color theme="6" tint="0.39997558519241921"/>
      </right>
      <top style="thin">
        <color theme="4" tint="0.39997558519241921"/>
      </top>
      <bottom style="thin">
        <color theme="6" tint="0.39997558519241921"/>
      </bottom>
      <diagonal/>
    </border>
    <border>
      <left style="thin">
        <color theme="6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6" tint="0.39997558519241921"/>
      </bottom>
      <diagonal/>
    </border>
    <border>
      <left style="thin">
        <color theme="6" tint="0.39997558519241921"/>
      </left>
      <right style="thin">
        <color theme="6" tint="0.39997558519241921"/>
      </right>
      <top style="thin">
        <color theme="6" tint="0.39997558519241921"/>
      </top>
      <bottom style="thin">
        <color theme="6" tint="0.39997558519241921"/>
      </bottom>
      <diagonal/>
    </border>
    <border>
      <left style="thin">
        <color theme="6" tint="0.39997558519241921"/>
      </left>
      <right style="thin">
        <color theme="4" tint="0.39997558519241921"/>
      </right>
      <top style="thin">
        <color theme="6" tint="0.39997558519241921"/>
      </top>
      <bottom style="thin">
        <color theme="6" tint="0.39997558519241921"/>
      </bottom>
      <diagonal/>
    </border>
    <border>
      <left style="thin">
        <color theme="6" tint="0.39997558519241921"/>
      </left>
      <right style="thin">
        <color theme="6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6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6" tint="0.39997558519241921"/>
      </left>
      <right style="thin">
        <color theme="6" tint="0.39997558519241921"/>
      </right>
      <top/>
      <bottom style="thin">
        <color theme="6" tint="0.39997558519241921"/>
      </bottom>
      <diagonal/>
    </border>
    <border>
      <left style="thin">
        <color theme="6" tint="0.39997558519241921"/>
      </left>
      <right style="thin">
        <color theme="4" tint="0.39997558519241921"/>
      </right>
      <top/>
      <bottom style="thin">
        <color theme="6" tint="0.3999755851924192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4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64" fontId="0" fillId="5" borderId="15" xfId="1" applyNumberFormat="1" applyFont="1" applyFill="1" applyBorder="1" applyAlignment="1">
      <alignment horizontal="center" vertical="center"/>
    </xf>
    <xf numFmtId="164" fontId="0" fillId="5" borderId="16" xfId="1" applyNumberFormat="1" applyFont="1" applyFill="1" applyBorder="1" applyAlignment="1">
      <alignment horizontal="center" vertical="center"/>
    </xf>
    <xf numFmtId="164" fontId="0" fillId="6" borderId="15" xfId="1" applyNumberFormat="1" applyFont="1" applyFill="1" applyBorder="1" applyAlignment="1">
      <alignment horizontal="center" vertical="center"/>
    </xf>
    <xf numFmtId="164" fontId="0" fillId="6" borderId="16" xfId="1" applyNumberFormat="1" applyFont="1" applyFill="1" applyBorder="1" applyAlignment="1">
      <alignment horizontal="center" vertical="center"/>
    </xf>
    <xf numFmtId="164" fontId="0" fillId="5" borderId="17" xfId="1" applyNumberFormat="1" applyFont="1" applyFill="1" applyBorder="1" applyAlignment="1">
      <alignment horizontal="center" vertical="center"/>
    </xf>
    <xf numFmtId="164" fontId="0" fillId="5" borderId="18" xfId="1" applyNumberFormat="1" applyFont="1" applyFill="1" applyBorder="1" applyAlignment="1">
      <alignment horizontal="center" vertical="center"/>
    </xf>
    <xf numFmtId="164" fontId="0" fillId="6" borderId="17" xfId="1" applyNumberFormat="1" applyFont="1" applyFill="1" applyBorder="1" applyAlignment="1">
      <alignment horizontal="center" vertical="center"/>
    </xf>
    <xf numFmtId="164" fontId="0" fillId="6" borderId="18" xfId="1" applyNumberFormat="1" applyFont="1" applyFill="1" applyBorder="1" applyAlignment="1">
      <alignment horizontal="center" vertical="center"/>
    </xf>
    <xf numFmtId="164" fontId="0" fillId="6" borderId="19" xfId="1" applyNumberFormat="1" applyFont="1" applyFill="1" applyBorder="1" applyAlignment="1">
      <alignment horizontal="center" vertical="center"/>
    </xf>
    <xf numFmtId="164" fontId="0" fillId="6" borderId="20" xfId="1" applyNumberFormat="1" applyFont="1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164" fontId="0" fillId="0" borderId="0" xfId="0" applyNumberFormat="1"/>
    <xf numFmtId="0" fontId="0" fillId="0" borderId="1" xfId="0" applyFont="1" applyBorder="1" applyAlignment="1">
      <alignment horizontal="center" vertical="center"/>
    </xf>
    <xf numFmtId="164" fontId="0" fillId="3" borderId="1" xfId="0" applyNumberFormat="1" applyFont="1" applyFill="1" applyBorder="1" applyAlignment="1">
      <alignment horizontal="center" vertical="center"/>
    </xf>
    <xf numFmtId="164" fontId="0" fillId="0" borderId="1" xfId="0" applyNumberFormat="1" applyFont="1" applyBorder="1" applyAlignment="1">
      <alignment horizontal="center" vertical="center"/>
    </xf>
    <xf numFmtId="164" fontId="0" fillId="4" borderId="21" xfId="0" applyNumberFormat="1" applyFill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164" fontId="0" fillId="5" borderId="28" xfId="1" applyNumberFormat="1" applyFont="1" applyFill="1" applyBorder="1" applyAlignment="1">
      <alignment horizontal="center" vertical="center"/>
    </xf>
    <xf numFmtId="164" fontId="0" fillId="5" borderId="29" xfId="1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64" fontId="0" fillId="0" borderId="0" xfId="1" applyNumberFormat="1" applyFont="1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63">
    <dxf>
      <numFmt numFmtId="0" formatCode="General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border outline="0">
        <top style="thin">
          <color theme="4" tint="0.39997558519241921"/>
        </top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alignment horizontal="center" vertical="center" textRotation="0" wrapText="0" indent="0" justifyLastLine="0" shrinkToFit="0" readingOrder="0"/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top style="thin">
          <color theme="4" tint="0.39997558519241921"/>
        </top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2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png"/><Relationship Id="rId18" Type="http://schemas.openxmlformats.org/officeDocument/2006/relationships/image" Target="../media/image18.svg"/><Relationship Id="rId26" Type="http://schemas.openxmlformats.org/officeDocument/2006/relationships/image" Target="../media/image26.svg"/><Relationship Id="rId39" Type="http://schemas.openxmlformats.org/officeDocument/2006/relationships/image" Target="../media/image39.png"/><Relationship Id="rId21" Type="http://schemas.openxmlformats.org/officeDocument/2006/relationships/image" Target="../media/image21.png"/><Relationship Id="rId34" Type="http://schemas.openxmlformats.org/officeDocument/2006/relationships/image" Target="../media/image34.svg"/><Relationship Id="rId42" Type="http://schemas.openxmlformats.org/officeDocument/2006/relationships/image" Target="../media/image42.svg"/><Relationship Id="rId7" Type="http://schemas.openxmlformats.org/officeDocument/2006/relationships/image" Target="../media/image7.png"/><Relationship Id="rId2" Type="http://schemas.openxmlformats.org/officeDocument/2006/relationships/image" Target="../media/image2.svg"/><Relationship Id="rId16" Type="http://schemas.openxmlformats.org/officeDocument/2006/relationships/image" Target="../media/image16.svg"/><Relationship Id="rId29" Type="http://schemas.openxmlformats.org/officeDocument/2006/relationships/image" Target="../media/image29.png"/><Relationship Id="rId1" Type="http://schemas.openxmlformats.org/officeDocument/2006/relationships/image" Target="../media/image1.png"/><Relationship Id="rId6" Type="http://schemas.openxmlformats.org/officeDocument/2006/relationships/image" Target="../media/image6.svg"/><Relationship Id="rId11" Type="http://schemas.openxmlformats.org/officeDocument/2006/relationships/image" Target="../media/image11.png"/><Relationship Id="rId24" Type="http://schemas.openxmlformats.org/officeDocument/2006/relationships/image" Target="../media/image24.svg"/><Relationship Id="rId32" Type="http://schemas.openxmlformats.org/officeDocument/2006/relationships/image" Target="../media/image32.svg"/><Relationship Id="rId37" Type="http://schemas.openxmlformats.org/officeDocument/2006/relationships/image" Target="../media/image37.png"/><Relationship Id="rId40" Type="http://schemas.openxmlformats.org/officeDocument/2006/relationships/image" Target="../media/image40.svg"/><Relationship Id="rId45" Type="http://schemas.openxmlformats.org/officeDocument/2006/relationships/image" Target="../media/image45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svg"/><Relationship Id="rId36" Type="http://schemas.openxmlformats.org/officeDocument/2006/relationships/image" Target="../media/image36.svg"/><Relationship Id="rId10" Type="http://schemas.openxmlformats.org/officeDocument/2006/relationships/image" Target="../media/image10.sv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4" Type="http://schemas.openxmlformats.org/officeDocument/2006/relationships/image" Target="../media/image4.svg"/><Relationship Id="rId9" Type="http://schemas.openxmlformats.org/officeDocument/2006/relationships/image" Target="../media/image9.png"/><Relationship Id="rId14" Type="http://schemas.openxmlformats.org/officeDocument/2006/relationships/image" Target="../media/image14.svg"/><Relationship Id="rId22" Type="http://schemas.openxmlformats.org/officeDocument/2006/relationships/image" Target="../media/image22.svg"/><Relationship Id="rId27" Type="http://schemas.openxmlformats.org/officeDocument/2006/relationships/image" Target="../media/image27.png"/><Relationship Id="rId30" Type="http://schemas.openxmlformats.org/officeDocument/2006/relationships/image" Target="../media/image30.svg"/><Relationship Id="rId35" Type="http://schemas.openxmlformats.org/officeDocument/2006/relationships/image" Target="../media/image35.png"/><Relationship Id="rId43" Type="http://schemas.openxmlformats.org/officeDocument/2006/relationships/image" Target="../media/image43.png"/><Relationship Id="rId8" Type="http://schemas.openxmlformats.org/officeDocument/2006/relationships/image" Target="../media/image8.svg"/><Relationship Id="rId3" Type="http://schemas.openxmlformats.org/officeDocument/2006/relationships/image" Target="../media/image3.png"/><Relationship Id="rId12" Type="http://schemas.openxmlformats.org/officeDocument/2006/relationships/image" Target="../media/image12.sv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svg"/><Relationship Id="rId46" Type="http://schemas.openxmlformats.org/officeDocument/2006/relationships/image" Target="../media/image46.svg"/><Relationship Id="rId20" Type="http://schemas.openxmlformats.org/officeDocument/2006/relationships/image" Target="../media/image20.svg"/><Relationship Id="rId41" Type="http://schemas.openxmlformats.org/officeDocument/2006/relationships/image" Target="../media/image4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95250</xdr:colOff>
      <xdr:row>17</xdr:row>
      <xdr:rowOff>95250</xdr:rowOff>
    </xdr:from>
    <xdr:to>
      <xdr:col>19</xdr:col>
      <xdr:colOff>200025</xdr:colOff>
      <xdr:row>30</xdr:row>
      <xdr:rowOff>19050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12182475" y="3371850"/>
          <a:ext cx="7296150" cy="24003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r"/>
          <a:r>
            <a:rPr lang="fr-FR" sz="1100"/>
            <a:t>Voici</a:t>
          </a:r>
          <a:r>
            <a:rPr lang="fr-FR" sz="1100" baseline="0"/>
            <a:t> la ligne qui va me permettre de déduire le nombre de ligne nécessaire</a:t>
          </a:r>
        </a:p>
        <a:p>
          <a:pPr algn="l"/>
          <a:r>
            <a:rPr lang="fr-FR" sz="1100" baseline="0"/>
            <a:t>Et le tableau concerné par la modification</a:t>
          </a:r>
        </a:p>
        <a:p>
          <a:pPr algn="l"/>
          <a:endParaRPr lang="fr-FR" sz="1100"/>
        </a:p>
        <a:p>
          <a:pPr algn="l"/>
          <a:endParaRPr lang="fr-FR" sz="1100"/>
        </a:p>
        <a:p>
          <a:pPr algn="l"/>
          <a:endParaRPr lang="fr-FR" sz="1100"/>
        </a:p>
        <a:p>
          <a:pPr algn="l"/>
          <a:endParaRPr lang="fr-FR" sz="1100"/>
        </a:p>
        <a:p>
          <a:pPr algn="ctr"/>
          <a:r>
            <a:rPr lang="fr-FR" sz="1800"/>
            <a:t>Le</a:t>
          </a:r>
          <a:r>
            <a:rPr lang="fr-FR" sz="1800" baseline="0"/>
            <a:t> nombre de ligne est déduit en fonction des critères inscrits dans les cellules O2:O7, tous ceci est chargé selon le résultats trouvé dans les formules (correspondance de critère selon l'état du critère)</a:t>
          </a:r>
          <a:endParaRPr lang="fr-FR" sz="2000"/>
        </a:p>
      </xdr:txBody>
    </xdr:sp>
    <xdr:clientData/>
  </xdr:twoCellAnchor>
  <xdr:twoCellAnchor>
    <xdr:from>
      <xdr:col>19</xdr:col>
      <xdr:colOff>200025</xdr:colOff>
      <xdr:row>1</xdr:row>
      <xdr:rowOff>47625</xdr:rowOff>
    </xdr:from>
    <xdr:to>
      <xdr:col>23</xdr:col>
      <xdr:colOff>409575</xdr:colOff>
      <xdr:row>17</xdr:row>
      <xdr:rowOff>171450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CxnSpPr/>
      </xdr:nvCxnSpPr>
      <xdr:spPr>
        <a:xfrm flipV="1">
          <a:off x="19478625" y="247650"/>
          <a:ext cx="3257550" cy="3200400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95251</xdr:colOff>
      <xdr:row>19</xdr:row>
      <xdr:rowOff>66675</xdr:rowOff>
    </xdr:from>
    <xdr:to>
      <xdr:col>13</xdr:col>
      <xdr:colOff>95250</xdr:colOff>
      <xdr:row>23</xdr:row>
      <xdr:rowOff>38101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CxnSpPr/>
      </xdr:nvCxnSpPr>
      <xdr:spPr>
        <a:xfrm flipH="1">
          <a:off x="9563101" y="3724275"/>
          <a:ext cx="2619374" cy="733426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914400</xdr:colOff>
      <xdr:row>2</xdr:row>
      <xdr:rowOff>47625</xdr:rowOff>
    </xdr:from>
    <xdr:to>
      <xdr:col>18</xdr:col>
      <xdr:colOff>276224</xdr:colOff>
      <xdr:row>11</xdr:row>
      <xdr:rowOff>38100</xdr:rowOff>
    </xdr:to>
    <xdr:sp macro="" textlink="">
      <xdr:nvSpPr>
        <xdr:cNvPr id="3" name="Ellipse 2">
          <a:extLst>
            <a:ext uri="{FF2B5EF4-FFF2-40B4-BE49-F238E27FC236}">
              <a16:creationId xmlns:a16="http://schemas.microsoft.com/office/drawing/2014/main" id="{E857336F-995C-4581-A3AF-54173F65FA66}"/>
            </a:ext>
          </a:extLst>
        </xdr:cNvPr>
        <xdr:cNvSpPr/>
      </xdr:nvSpPr>
      <xdr:spPr>
        <a:xfrm>
          <a:off x="17278350" y="447675"/>
          <a:ext cx="1333499" cy="1724025"/>
        </a:xfrm>
        <a:prstGeom prst="ellipse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142875</xdr:colOff>
      <xdr:row>0</xdr:row>
      <xdr:rowOff>161925</xdr:rowOff>
    </xdr:from>
    <xdr:to>
      <xdr:col>15</xdr:col>
      <xdr:colOff>1476374</xdr:colOff>
      <xdr:row>9</xdr:row>
      <xdr:rowOff>133350</xdr:rowOff>
    </xdr:to>
    <xdr:sp macro="" textlink="">
      <xdr:nvSpPr>
        <xdr:cNvPr id="6" name="Ellipse 5">
          <a:extLst>
            <a:ext uri="{FF2B5EF4-FFF2-40B4-BE49-F238E27FC236}">
              <a16:creationId xmlns:a16="http://schemas.microsoft.com/office/drawing/2014/main" id="{85AD85E3-6F4B-48D0-BAF3-1AA8E1485173}"/>
            </a:ext>
          </a:extLst>
        </xdr:cNvPr>
        <xdr:cNvSpPr/>
      </xdr:nvSpPr>
      <xdr:spPr>
        <a:xfrm>
          <a:off x="14887575" y="161925"/>
          <a:ext cx="1333499" cy="1724025"/>
        </a:xfrm>
        <a:prstGeom prst="ellipse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1476374</xdr:colOff>
      <xdr:row>5</xdr:row>
      <xdr:rowOff>52388</xdr:rowOff>
    </xdr:from>
    <xdr:to>
      <xdr:col>16</xdr:col>
      <xdr:colOff>914400</xdr:colOff>
      <xdr:row>6</xdr:row>
      <xdr:rowOff>138113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9AC24726-F1D3-4F91-86CF-6FD026975520}"/>
            </a:ext>
          </a:extLst>
        </xdr:cNvPr>
        <xdr:cNvCxnSpPr>
          <a:stCxn id="6" idx="6"/>
          <a:endCxn id="3" idx="2"/>
        </xdr:cNvCxnSpPr>
      </xdr:nvCxnSpPr>
      <xdr:spPr>
        <a:xfrm>
          <a:off x="16221074" y="1023938"/>
          <a:ext cx="1057276" cy="285750"/>
        </a:xfrm>
        <a:prstGeom prst="straightConnector1">
          <a:avLst/>
        </a:prstGeom>
        <a:ln w="57150">
          <a:solidFill>
            <a:sysClr val="windowText" lastClr="00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238125</xdr:colOff>
      <xdr:row>2</xdr:row>
      <xdr:rowOff>85725</xdr:rowOff>
    </xdr:from>
    <xdr:to>
      <xdr:col>16</xdr:col>
      <xdr:colOff>390525</xdr:colOff>
      <xdr:row>7</xdr:row>
      <xdr:rowOff>47625</xdr:rowOff>
    </xdr:to>
    <xdr:pic>
      <xdr:nvPicPr>
        <xdr:cNvPr id="2" name="Graphique 1" descr="Tableau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11915775" y="466725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18</xdr:col>
      <xdr:colOff>64275</xdr:colOff>
      <xdr:row>2</xdr:row>
      <xdr:rowOff>111900</xdr:rowOff>
    </xdr:from>
    <xdr:to>
      <xdr:col>19</xdr:col>
      <xdr:colOff>216675</xdr:colOff>
      <xdr:row>7</xdr:row>
      <xdr:rowOff>73800</xdr:rowOff>
    </xdr:to>
    <xdr:pic>
      <xdr:nvPicPr>
        <xdr:cNvPr id="3" name="Graphique 2" descr="Histogramme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14027925" y="492900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15</xdr:col>
      <xdr:colOff>309525</xdr:colOff>
      <xdr:row>2</xdr:row>
      <xdr:rowOff>80925</xdr:rowOff>
    </xdr:from>
    <xdr:to>
      <xdr:col>16</xdr:col>
      <xdr:colOff>461925</xdr:colOff>
      <xdr:row>7</xdr:row>
      <xdr:rowOff>42825</xdr:rowOff>
    </xdr:to>
    <xdr:pic>
      <xdr:nvPicPr>
        <xdr:cNvPr id="4" name="Graphique 3" descr="Engrenages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10977525" y="461925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14</xdr:col>
      <xdr:colOff>135675</xdr:colOff>
      <xdr:row>4</xdr:row>
      <xdr:rowOff>154725</xdr:rowOff>
    </xdr:from>
    <xdr:to>
      <xdr:col>15</xdr:col>
      <xdr:colOff>288075</xdr:colOff>
      <xdr:row>9</xdr:row>
      <xdr:rowOff>116625</xdr:rowOff>
    </xdr:to>
    <xdr:pic>
      <xdr:nvPicPr>
        <xdr:cNvPr id="5" name="Graphique 4" descr="Graphique en secteurs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8"/>
            </a:ext>
          </a:extLst>
        </a:blip>
        <a:stretch>
          <a:fillRect/>
        </a:stretch>
      </xdr:blipFill>
      <xdr:spPr>
        <a:xfrm>
          <a:off x="11051325" y="916725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15</xdr:col>
      <xdr:colOff>114225</xdr:colOff>
      <xdr:row>11</xdr:row>
      <xdr:rowOff>133275</xdr:rowOff>
    </xdr:from>
    <xdr:to>
      <xdr:col>16</xdr:col>
      <xdr:colOff>266625</xdr:colOff>
      <xdr:row>16</xdr:row>
      <xdr:rowOff>95175</xdr:rowOff>
    </xdr:to>
    <xdr:pic>
      <xdr:nvPicPr>
        <xdr:cNvPr id="6" name="Graphique 5" descr="Badge d'employé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0"/>
            </a:ext>
          </a:extLst>
        </a:blip>
        <a:stretch>
          <a:fillRect/>
        </a:stretch>
      </xdr:blipFill>
      <xdr:spPr>
        <a:xfrm>
          <a:off x="11791875" y="2228775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18</xdr:col>
      <xdr:colOff>7050</xdr:colOff>
      <xdr:row>11</xdr:row>
      <xdr:rowOff>121350</xdr:rowOff>
    </xdr:from>
    <xdr:to>
      <xdr:col>19</xdr:col>
      <xdr:colOff>159450</xdr:colOff>
      <xdr:row>16</xdr:row>
      <xdr:rowOff>83250</xdr:rowOff>
    </xdr:to>
    <xdr:pic>
      <xdr:nvPicPr>
        <xdr:cNvPr id="7" name="Graphique 6" descr="Liste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2"/>
            </a:ext>
          </a:extLst>
        </a:blip>
        <a:stretch>
          <a:fillRect/>
        </a:stretch>
      </xdr:blipFill>
      <xdr:spPr>
        <a:xfrm>
          <a:off x="13970700" y="2216850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16</xdr:col>
      <xdr:colOff>318975</xdr:colOff>
      <xdr:row>7</xdr:row>
      <xdr:rowOff>23700</xdr:rowOff>
    </xdr:from>
    <xdr:to>
      <xdr:col>17</xdr:col>
      <xdr:colOff>471375</xdr:colOff>
      <xdr:row>11</xdr:row>
      <xdr:rowOff>176100</xdr:rowOff>
    </xdr:to>
    <xdr:pic>
      <xdr:nvPicPr>
        <xdr:cNvPr id="8" name="Graphique 7" descr="Public cible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4"/>
            </a:ext>
          </a:extLst>
        </a:blip>
        <a:stretch>
          <a:fillRect/>
        </a:stretch>
      </xdr:blipFill>
      <xdr:spPr>
        <a:xfrm>
          <a:off x="12758625" y="1357200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16</xdr:col>
      <xdr:colOff>278475</xdr:colOff>
      <xdr:row>11</xdr:row>
      <xdr:rowOff>135600</xdr:rowOff>
    </xdr:from>
    <xdr:to>
      <xdr:col>17</xdr:col>
      <xdr:colOff>430875</xdr:colOff>
      <xdr:row>16</xdr:row>
      <xdr:rowOff>97500</xdr:rowOff>
    </xdr:to>
    <xdr:pic>
      <xdr:nvPicPr>
        <xdr:cNvPr id="9" name="Graphique 8" descr="Portefeuille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6"/>
            </a:ext>
          </a:extLst>
        </a:blip>
        <a:stretch>
          <a:fillRect/>
        </a:stretch>
      </xdr:blipFill>
      <xdr:spPr>
        <a:xfrm>
          <a:off x="12718125" y="2231100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19</xdr:col>
      <xdr:colOff>428475</xdr:colOff>
      <xdr:row>11</xdr:row>
      <xdr:rowOff>142725</xdr:rowOff>
    </xdr:from>
    <xdr:to>
      <xdr:col>20</xdr:col>
      <xdr:colOff>580875</xdr:colOff>
      <xdr:row>16</xdr:row>
      <xdr:rowOff>104625</xdr:rowOff>
    </xdr:to>
    <xdr:pic>
      <xdr:nvPicPr>
        <xdr:cNvPr id="10" name="Graphique 9" descr="Carte de crédit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8"/>
            </a:ext>
          </a:extLst>
        </a:blip>
        <a:stretch>
          <a:fillRect/>
        </a:stretch>
      </xdr:blipFill>
      <xdr:spPr>
        <a:xfrm>
          <a:off x="15154125" y="2238225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15</xdr:col>
      <xdr:colOff>130800</xdr:colOff>
      <xdr:row>18</xdr:row>
      <xdr:rowOff>121275</xdr:rowOff>
    </xdr:from>
    <xdr:to>
      <xdr:col>16</xdr:col>
      <xdr:colOff>283200</xdr:colOff>
      <xdr:row>23</xdr:row>
      <xdr:rowOff>83175</xdr:rowOff>
    </xdr:to>
    <xdr:pic>
      <xdr:nvPicPr>
        <xdr:cNvPr id="11" name="Graphique 10" descr="Argent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0"/>
            </a:ext>
          </a:extLst>
        </a:blip>
        <a:stretch>
          <a:fillRect/>
        </a:stretch>
      </xdr:blipFill>
      <xdr:spPr>
        <a:xfrm>
          <a:off x="11808450" y="3550275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16</xdr:col>
      <xdr:colOff>604650</xdr:colOff>
      <xdr:row>18</xdr:row>
      <xdr:rowOff>185550</xdr:rowOff>
    </xdr:from>
    <xdr:to>
      <xdr:col>17</xdr:col>
      <xdr:colOff>757050</xdr:colOff>
      <xdr:row>23</xdr:row>
      <xdr:rowOff>147450</xdr:rowOff>
    </xdr:to>
    <xdr:pic>
      <xdr:nvPicPr>
        <xdr:cNvPr id="12" name="Graphique 11" descr="Pièces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2"/>
            </a:ext>
          </a:extLst>
        </a:blip>
        <a:stretch>
          <a:fillRect/>
        </a:stretch>
      </xdr:blipFill>
      <xdr:spPr>
        <a:xfrm>
          <a:off x="13044300" y="3614550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18</xdr:col>
      <xdr:colOff>554625</xdr:colOff>
      <xdr:row>18</xdr:row>
      <xdr:rowOff>164100</xdr:rowOff>
    </xdr:from>
    <xdr:to>
      <xdr:col>19</xdr:col>
      <xdr:colOff>707025</xdr:colOff>
      <xdr:row>23</xdr:row>
      <xdr:rowOff>126000</xdr:rowOff>
    </xdr:to>
    <xdr:pic>
      <xdr:nvPicPr>
        <xdr:cNvPr id="13" name="Graphique 12" descr="Tirelire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4"/>
            </a:ext>
          </a:extLst>
        </a:blip>
        <a:stretch>
          <a:fillRect/>
        </a:stretch>
      </xdr:blipFill>
      <xdr:spPr>
        <a:xfrm>
          <a:off x="14518275" y="3593100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17</xdr:col>
      <xdr:colOff>28350</xdr:colOff>
      <xdr:row>2</xdr:row>
      <xdr:rowOff>18825</xdr:rowOff>
    </xdr:from>
    <xdr:to>
      <xdr:col>18</xdr:col>
      <xdr:colOff>180750</xdr:colOff>
      <xdr:row>6</xdr:row>
      <xdr:rowOff>171225</xdr:rowOff>
    </xdr:to>
    <xdr:pic>
      <xdr:nvPicPr>
        <xdr:cNvPr id="14" name="Graphique 13" descr="Coche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6"/>
            </a:ext>
          </a:extLst>
        </a:blip>
        <a:stretch>
          <a:fillRect/>
        </a:stretch>
      </xdr:blipFill>
      <xdr:spPr>
        <a:xfrm>
          <a:off x="12220350" y="399825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18</xdr:col>
      <xdr:colOff>426000</xdr:colOff>
      <xdr:row>2</xdr:row>
      <xdr:rowOff>45000</xdr:rowOff>
    </xdr:from>
    <xdr:to>
      <xdr:col>19</xdr:col>
      <xdr:colOff>578400</xdr:colOff>
      <xdr:row>7</xdr:row>
      <xdr:rowOff>6900</xdr:rowOff>
    </xdr:to>
    <xdr:pic>
      <xdr:nvPicPr>
        <xdr:cNvPr id="15" name="Graphique 14" descr="Fermer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8"/>
            </a:ext>
          </a:extLst>
        </a:blip>
        <a:stretch>
          <a:fillRect/>
        </a:stretch>
      </xdr:blipFill>
      <xdr:spPr>
        <a:xfrm>
          <a:off x="13380000" y="426000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20</xdr:col>
      <xdr:colOff>252150</xdr:colOff>
      <xdr:row>2</xdr:row>
      <xdr:rowOff>99750</xdr:rowOff>
    </xdr:from>
    <xdr:to>
      <xdr:col>21</xdr:col>
      <xdr:colOff>404550</xdr:colOff>
      <xdr:row>7</xdr:row>
      <xdr:rowOff>61650</xdr:rowOff>
    </xdr:to>
    <xdr:pic>
      <xdr:nvPicPr>
        <xdr:cNvPr id="16" name="Graphique 15" descr="Marche/Arrêt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0"/>
            </a:ext>
          </a:extLst>
        </a:blip>
        <a:stretch>
          <a:fillRect/>
        </a:stretch>
      </xdr:blipFill>
      <xdr:spPr>
        <a:xfrm>
          <a:off x="14730150" y="480750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15</xdr:col>
      <xdr:colOff>192600</xdr:colOff>
      <xdr:row>6</xdr:row>
      <xdr:rowOff>183075</xdr:rowOff>
    </xdr:from>
    <xdr:to>
      <xdr:col>16</xdr:col>
      <xdr:colOff>345000</xdr:colOff>
      <xdr:row>11</xdr:row>
      <xdr:rowOff>144975</xdr:rowOff>
    </xdr:to>
    <xdr:pic>
      <xdr:nvPicPr>
        <xdr:cNvPr id="17" name="Graphique 16" descr="Employé(e) de bureau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2"/>
            </a:ext>
          </a:extLst>
        </a:blip>
        <a:stretch>
          <a:fillRect/>
        </a:stretch>
      </xdr:blipFill>
      <xdr:spPr>
        <a:xfrm>
          <a:off x="11870250" y="1326075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16</xdr:col>
      <xdr:colOff>609600</xdr:colOff>
      <xdr:row>29</xdr:row>
      <xdr:rowOff>57150</xdr:rowOff>
    </xdr:from>
    <xdr:to>
      <xdr:col>18</xdr:col>
      <xdr:colOff>0</xdr:colOff>
      <xdr:row>34</xdr:row>
      <xdr:rowOff>19050</xdr:rowOff>
    </xdr:to>
    <xdr:pic>
      <xdr:nvPicPr>
        <xdr:cNvPr id="19" name="Graphique 18" descr="Repère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4"/>
            </a:ext>
          </a:extLst>
        </a:blip>
        <a:stretch>
          <a:fillRect/>
        </a:stretch>
      </xdr:blipFill>
      <xdr:spPr>
        <a:xfrm>
          <a:off x="13049250" y="5581650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16</xdr:col>
      <xdr:colOff>597675</xdr:colOff>
      <xdr:row>24</xdr:row>
      <xdr:rowOff>54750</xdr:rowOff>
    </xdr:from>
    <xdr:to>
      <xdr:col>17</xdr:col>
      <xdr:colOff>750075</xdr:colOff>
      <xdr:row>29</xdr:row>
      <xdr:rowOff>16650</xdr:rowOff>
    </xdr:to>
    <xdr:pic>
      <xdr:nvPicPr>
        <xdr:cNvPr id="21" name="Graphique 20" descr="Astronaute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6"/>
            </a:ext>
          </a:extLst>
        </a:blip>
        <a:stretch>
          <a:fillRect/>
        </a:stretch>
      </xdr:blipFill>
      <xdr:spPr>
        <a:xfrm>
          <a:off x="13037325" y="4626750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18</xdr:col>
      <xdr:colOff>361950</xdr:colOff>
      <xdr:row>31</xdr:row>
      <xdr:rowOff>85725</xdr:rowOff>
    </xdr:from>
    <xdr:to>
      <xdr:col>19</xdr:col>
      <xdr:colOff>514350</xdr:colOff>
      <xdr:row>36</xdr:row>
      <xdr:rowOff>47625</xdr:rowOff>
    </xdr:to>
    <xdr:pic>
      <xdr:nvPicPr>
        <xdr:cNvPr id="23" name="Graphique 22" descr="Combiné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8"/>
            </a:ext>
          </a:extLst>
        </a:blip>
        <a:stretch>
          <a:fillRect/>
        </a:stretch>
      </xdr:blipFill>
      <xdr:spPr>
        <a:xfrm>
          <a:off x="14325600" y="5991225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20</xdr:col>
      <xdr:colOff>302400</xdr:colOff>
      <xdr:row>26</xdr:row>
      <xdr:rowOff>121425</xdr:rowOff>
    </xdr:from>
    <xdr:to>
      <xdr:col>21</xdr:col>
      <xdr:colOff>454800</xdr:colOff>
      <xdr:row>31</xdr:row>
      <xdr:rowOff>83325</xdr:rowOff>
    </xdr:to>
    <xdr:pic>
      <xdr:nvPicPr>
        <xdr:cNvPr id="25" name="Graphique 24" descr="Centre d’appels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0"/>
            </a:ext>
          </a:extLst>
        </a:blip>
        <a:stretch>
          <a:fillRect/>
        </a:stretch>
      </xdr:blipFill>
      <xdr:spPr>
        <a:xfrm>
          <a:off x="15790050" y="5074425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20</xdr:col>
      <xdr:colOff>338100</xdr:colOff>
      <xdr:row>31</xdr:row>
      <xdr:rowOff>80925</xdr:rowOff>
    </xdr:from>
    <xdr:to>
      <xdr:col>21</xdr:col>
      <xdr:colOff>490500</xdr:colOff>
      <xdr:row>36</xdr:row>
      <xdr:rowOff>42825</xdr:rowOff>
    </xdr:to>
    <xdr:pic>
      <xdr:nvPicPr>
        <xdr:cNvPr id="27" name="Graphique 26" descr="E-mail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2"/>
            </a:ext>
          </a:extLst>
        </a:blip>
        <a:stretch>
          <a:fillRect/>
        </a:stretch>
      </xdr:blipFill>
      <xdr:spPr>
        <a:xfrm>
          <a:off x="15825750" y="5986425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37</xdr:row>
      <xdr:rowOff>0</xdr:rowOff>
    </xdr:from>
    <xdr:to>
      <xdr:col>21</xdr:col>
      <xdr:colOff>220014</xdr:colOff>
      <xdr:row>49</xdr:row>
      <xdr:rowOff>70431</xdr:rowOff>
    </xdr:to>
    <xdr:pic>
      <xdr:nvPicPr>
        <xdr:cNvPr id="24" name="Image 23" descr="Image associée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05900" y="7048500"/>
          <a:ext cx="8602014" cy="23564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647700</xdr:colOff>
      <xdr:row>14</xdr:row>
      <xdr:rowOff>171450</xdr:rowOff>
    </xdr:from>
    <xdr:to>
      <xdr:col>9</xdr:col>
      <xdr:colOff>371475</xdr:colOff>
      <xdr:row>24</xdr:row>
      <xdr:rowOff>119429</xdr:rowOff>
    </xdr:to>
    <xdr:pic>
      <xdr:nvPicPr>
        <xdr:cNvPr id="26" name="Image 25" descr="Résultat de recherche d'images pour &quot;crédit agricole logo&quot;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38850" y="2838450"/>
          <a:ext cx="2676525" cy="185297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37</xdr:row>
      <xdr:rowOff>16352</xdr:rowOff>
    </xdr:from>
    <xdr:to>
      <xdr:col>13</xdr:col>
      <xdr:colOff>152400</xdr:colOff>
      <xdr:row>41</xdr:row>
      <xdr:rowOff>168752</xdr:rowOff>
    </xdr:to>
    <xdr:pic>
      <xdr:nvPicPr>
        <xdr:cNvPr id="28" name="Graphique 27" descr="Graphique en secteurs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8"/>
            </a:ext>
          </a:extLst>
        </a:blip>
        <a:stretch>
          <a:fillRect/>
        </a:stretch>
      </xdr:blipFill>
      <xdr:spPr>
        <a:xfrm>
          <a:off x="10629900" y="7064852"/>
          <a:ext cx="914400" cy="914400"/>
        </a:xfrm>
        <a:prstGeom prst="rect">
          <a:avLst/>
        </a:prstGeom>
      </xdr:spPr>
    </xdr:pic>
    <xdr:clientData/>
  </xdr:twoCellAnchor>
  <xdr:twoCellAnchor editAs="oneCell">
    <xdr:from>
      <xdr:col>14</xdr:col>
      <xdr:colOff>235859</xdr:colOff>
      <xdr:row>34</xdr:row>
      <xdr:rowOff>0</xdr:rowOff>
    </xdr:from>
    <xdr:to>
      <xdr:col>15</xdr:col>
      <xdr:colOff>388259</xdr:colOff>
      <xdr:row>38</xdr:row>
      <xdr:rowOff>152400</xdr:rowOff>
    </xdr:to>
    <xdr:pic>
      <xdr:nvPicPr>
        <xdr:cNvPr id="29" name="Graphique 28" descr="Recherche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6"/>
            </a:ext>
          </a:extLst>
        </a:blip>
        <a:stretch>
          <a:fillRect/>
        </a:stretch>
      </xdr:blipFill>
      <xdr:spPr>
        <a:xfrm>
          <a:off x="12389759" y="6477000"/>
          <a:ext cx="914400" cy="9144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34F15CE-DA14-47C3-888D-70CDE5219CA4}" name="BASE" displayName="BASE" ref="A1:J300" totalsRowShown="0" headerRowDxfId="62" dataDxfId="61">
  <autoFilter ref="A1:J300" xr:uid="{9C121D71-2CD5-4E37-ABF4-929304469D5F}"/>
  <tableColumns count="10">
    <tableColumn id="11" xr3:uid="{2FD3FD1C-4FA0-4AA3-9F78-254866C973EA}" name="INDEX" dataDxfId="60">
      <calculatedColumnFormula>ROW()-ROW(BASE[[#Headers],[INDEX]])</calculatedColumnFormula>
    </tableColumn>
    <tableColumn id="7" xr3:uid="{4EB6D554-A000-44FA-8DF1-A72B2EC32F52}" name="TITULAIRE" dataDxfId="59"/>
    <tableColumn id="6" xr3:uid="{08D24024-5AFC-4EAF-BA06-494E74E5D80E}" name="COMPTE" dataDxfId="58"/>
    <tableColumn id="9" xr3:uid="{C0F8E47F-47D4-48EB-A7C0-98D930EDFBEF}" name="ANNEE" dataDxfId="57">
      <calculatedColumnFormula>YEAR(BASE[[#This Row],[DATE]])</calculatedColumnFormula>
    </tableColumn>
    <tableColumn id="10" xr3:uid="{BE16DAA8-73AA-4B16-AD42-0B656AC8848E}" name="MOIS" dataDxfId="56">
      <calculatedColumnFormula>MONTH(BASE[[#This Row],[DATE]])</calculatedColumnFormula>
    </tableColumn>
    <tableColumn id="3" xr3:uid="{E9EB43FB-6F1C-45B5-A8D8-DE8B3ED5848C}" name="CATEGORIE" dataDxfId="55">
      <calculatedColumnFormula>VLOOKUP(BASE[[#This Row],[DESCRIPTION]],LISTEDESCRIPTION[],2,FALSE)</calculatedColumnFormula>
    </tableColumn>
    <tableColumn id="2" xr3:uid="{B9B15A50-AB57-4298-A385-2C953A313D15}" name="DESCRIPTION" dataDxfId="54"/>
    <tableColumn id="1" xr3:uid="{BEE5226D-58B8-4C60-A9C1-9EF9E7002F30}" name="DATE" dataDxfId="53"/>
    <tableColumn id="12" xr3:uid="{B705F2E2-30DA-4989-88FC-68ECA05D63CC}" name="MONTANT" dataDxfId="52"/>
    <tableColumn id="13" xr3:uid="{A5F02E2C-3F6B-4937-B4FB-65766E62BFE8}" name="N°LIGNE" dataDxfId="51">
      <calculatedColumnFormula>IF(J1="N°LIGNE",1,J1+1)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4CFCE16-A1EF-45BA-B38A-6C0653568CB5}" name="LISTECOMPTE" displayName="LISTECOMPTE" ref="Y1:Z4" totalsRowShown="0" dataDxfId="50">
  <autoFilter ref="Y1:Z4" xr:uid="{76C3325A-87DF-4679-8D4C-59FBEA327ABB}"/>
  <tableColumns count="2">
    <tableColumn id="2" xr3:uid="{1CD00987-B774-4DDB-8247-6039928FD843}" name="COMPTE" dataDxfId="49"/>
    <tableColumn id="3" xr3:uid="{45E393E6-03B7-4D95-8CEE-0F3E325A6298}" name="N°COMPTE" dataDxfId="4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8192933-632E-4341-B57A-DEE665101408}" name="LISTECATEGORIE" displayName="LISTECATEGORIE" ref="L1:L17" totalsRowShown="0" headerRowDxfId="47" dataDxfId="45" headerRowBorderDxfId="46" tableBorderDxfId="44">
  <autoFilter ref="L1:L17" xr:uid="{E728EDFA-12B6-41F8-925B-ED7A93515CA6}"/>
  <tableColumns count="1">
    <tableColumn id="1" xr3:uid="{DCD83D78-0004-4C22-A05F-404C6B8EFE3C}" name="CATEGORIE" dataDxfId="4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D0EA0E3-E2FC-463D-8228-A1AE96629C2C}" name="LISTEDESCRIPTION" displayName="LISTEDESCRIPTION" ref="N1:P132" totalsRowShown="0" headerRowDxfId="42" dataDxfId="40" headerRowBorderDxfId="41">
  <autoFilter ref="N1:P132" xr:uid="{52122C40-98D3-46D2-94D4-F989423A571B}"/>
  <sortState xmlns:xlrd2="http://schemas.microsoft.com/office/spreadsheetml/2017/richdata2" ref="N2:P132">
    <sortCondition ref="N1:N132"/>
  </sortState>
  <tableColumns count="3">
    <tableColumn id="1" xr3:uid="{4A8809E8-0403-4AF1-B3CF-15B4BEAAA23F}" name="DESCRIPTION" dataDxfId="39"/>
    <tableColumn id="2" xr3:uid="{828AB561-EE81-4605-9867-E46F865902A0}" name="CATEGORIE" dataDxfId="38"/>
    <tableColumn id="3" xr3:uid="{67722C6E-11AC-46A8-9E3C-8FFC9F79AEC4}" name="ANTICIPATION MONTANT" dataDxfId="37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C7CE73A-A2D8-43EC-9030-B68D30B8200E}" name="LISTEANNEE" displayName="LISTEANNEE" ref="R1:R2" totalsRowShown="0" headerRowDxfId="36" dataDxfId="35">
  <autoFilter ref="R1:R2" xr:uid="{575E9A55-5DA9-49E7-AC45-C26E8C54F355}"/>
  <tableColumns count="1">
    <tableColumn id="1" xr3:uid="{329EDA7A-43C5-478E-8454-B76866423777}" name="ANNEE" dataDxfId="34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75497254-7288-48B5-976F-9E9DC2F10405}" name="LISTEMOIS" displayName="LISTEMOIS" ref="T1:U13" totalsRowShown="0" headerRowDxfId="33" dataDxfId="32">
  <autoFilter ref="T1:U13" xr:uid="{C6BF29D7-B377-4B67-B3C9-B766D7EAD0F4}"/>
  <tableColumns count="2">
    <tableColumn id="2" xr3:uid="{50BA8BB8-86F1-4E14-996D-813E77D368FC}" name="MOIS LETTRE" dataDxfId="31"/>
    <tableColumn id="1" xr3:uid="{9777F7B7-900B-4948-87FD-FD0367EFD091}" name="MOIS CHIFFRE" dataDxfId="30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BCE9FB7C-6808-43F6-872F-BC2228BF1745}" name="LISTETITULAIRE" displayName="LISTETITULAIRE" ref="W1:W2" totalsRowShown="0" headerRowDxfId="29" headerRowBorderDxfId="28" tableBorderDxfId="27" totalsRowBorderDxfId="26">
  <autoFilter ref="W1:W2" xr:uid="{F0F36FFA-512E-44CC-8EB8-291BDE16BE65}"/>
  <tableColumns count="1">
    <tableColumn id="1" xr3:uid="{D693EECC-7D19-4DB9-AEF8-D28D3A0EC65A}" name="TITULAIRE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1509BD17-0408-4C24-9252-3E39F34CB0A3}" name="BASELJMO" displayName="BASELJMO" ref="A1:J14" totalsRowShown="0" headerRowDxfId="25" dataDxfId="23" headerRowBorderDxfId="24" tableBorderDxfId="22">
  <autoFilter ref="A1:J14" xr:uid="{F29F1717-C59E-4C49-835A-DF92A8385394}"/>
  <tableColumns count="10">
    <tableColumn id="1" xr3:uid="{032A6597-B490-4EA2-938D-888241576A53}" name="INDEX" dataDxfId="21">
      <calculatedColumnFormula>ROW()-ROW(BASELJMO[[#Headers],[INDEX]])</calculatedColumnFormula>
    </tableColumn>
    <tableColumn id="2" xr3:uid="{817F784D-AE50-464E-9EDA-849B8F010672}" name="TITULAIRE" dataDxfId="20">
      <calculatedColumnFormula>BASE!$W$2</calculatedColumnFormula>
    </tableColumn>
    <tableColumn id="3" xr3:uid="{B7D14BCF-F84D-4B27-A58D-37819ED4C07E}" name="COMPTE" dataDxfId="19">
      <calculatedColumnFormula>IF(OR(BASELJMO[[#This Row],[CATEGORIE]]="PLACEMENT EPARGNE",BASELJMO[[#This Row],[CATEGORIE]]="RETRAIT EPARGNE"),BASE!$Y$3,IF(OR(BASELJMO[[#This Row],[CATEGORIE]]="PLACEMENT CPS",BASELJMO[[#This Row],[CATEGORIE]]="RETRAIT CPS"),BASE!$Y$4,""))</calculatedColumnFormula>
    </tableColumn>
    <tableColumn id="6" xr3:uid="{E5BA2E39-220A-47D6-A6D8-7D916C19DC21}" name="ANNEE" dataDxfId="18">
      <calculatedColumnFormula>YEAR(BASELJMO[[#This Row],[DATE]])</calculatedColumnFormula>
    </tableColumn>
    <tableColumn id="7" xr3:uid="{A11B8C88-BFC5-4490-94C9-CE42655E0AF6}" name="MOIS" dataDxfId="17">
      <calculatedColumnFormula>MONTH(BASELJMO[[#This Row],[DATE]])</calculatedColumnFormula>
    </tableColumn>
    <tableColumn id="8" xr3:uid="{63D626D0-1C12-4D50-9A39-70EE19FA9C2A}" name="CATEGORIE" dataDxfId="16"/>
    <tableColumn id="9" xr3:uid="{A6181C11-CF12-480F-9374-3CBBC434A16E}" name="DESCRIPTION" dataDxfId="15"/>
    <tableColumn id="4" xr3:uid="{F508C896-C3FF-4180-91E8-D572AC96EC10}" name="DATE" dataDxfId="14"/>
    <tableColumn id="5" xr3:uid="{11BB450A-7753-4F7F-BB91-83AE11A5062C}" name="MONTANT" dataDxfId="13"/>
    <tableColumn id="10" xr3:uid="{B60CF399-A611-40A1-B93E-B9A9C8CAFE76}" name="N°LIGNE" dataDxfId="12">
      <calculatedColumnFormula>IF(J1="N°LIGNE",1,J1+1)</calculatedColumnFormula>
    </tableColumn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362AF99-8AA7-42FA-B560-819CA5019323}" name="LISTING" displayName="LISTING" ref="A22:J75" totalsRowShown="0" headerRowDxfId="11" dataDxfId="10">
  <autoFilter ref="A22:J75" xr:uid="{28AC7199-DA61-4D73-8571-E2F8C420035D}"/>
  <tableColumns count="10">
    <tableColumn id="6" xr3:uid="{848CC6C9-41BC-446A-B4B9-B6709C620633}" name="INDEX" dataDxfId="9">
      <calculatedColumnFormula>IF(OR(numeroligne=0,numeroligne="",TEST!$S$12=0,TEST!$T$12=0),"",IF(A22="INDEX",TEST!S12,A22+1))</calculatedColumnFormula>
    </tableColumn>
    <tableColumn id="1" xr3:uid="{9CE78D01-4048-4CA6-9E27-564A95558A3B}" name="TITULAIRE" dataDxfId="8">
      <calculatedColumnFormula>IF(LISTING[[#This Row],[INDEX]]="","",IF(compte="CCHQ",INDEX(BASE[],LISTING[[#This Row],[INDEX]],COLUMN(B21)),INDEX(BASELJMO[],LISTING[[#This Row],[INDEX]],COLUMN(B21))))</calculatedColumnFormula>
    </tableColumn>
    <tableColumn id="3" xr3:uid="{19F4C2BA-21AA-4003-8FA4-E3FA679476D0}" name="COMPTE" dataDxfId="7">
      <calculatedColumnFormula>IF(LISTING[[#This Row],[INDEX]]="","",IF(compte="CCHQ",INDEX(BASE[],LISTING[[#This Row],[INDEX]],COLUMN(C21)),INDEX(BASELJMO[],LISTING[[#This Row],[INDEX]],COLUMN(C21))))</calculatedColumnFormula>
    </tableColumn>
    <tableColumn id="2" xr3:uid="{3A57A0A9-72A9-4B18-90D8-279E65822F5F}" name="ANNEE" dataDxfId="6">
      <calculatedColumnFormula>IF(LISTING[[#This Row],[INDEX]]="","",IF(compte="CCHQ",INDEX(BASE[],LISTING[[#This Row],[INDEX]],COLUMN(D21)),INDEX(BASELJMO[],LISTING[[#This Row],[INDEX]],COLUMN(D21))))</calculatedColumnFormula>
    </tableColumn>
    <tableColumn id="4" xr3:uid="{F8946046-3249-4993-9BA1-28295D7067D1}" name="MOIS" dataDxfId="5">
      <calculatedColumnFormula>IF(LISTING[[#This Row],[INDEX]]="","",IF(compte="CCHQ",INDEX(BASE[],LISTING[[#This Row],[INDEX]],COLUMN(E21)),INDEX(BASELJMO[],LISTING[[#This Row],[INDEX]],COLUMN(E21))))</calculatedColumnFormula>
    </tableColumn>
    <tableColumn id="5" xr3:uid="{75AE00A3-6AC0-43BB-B9D2-6B0CCABAC291}" name="CATEGORIE" dataDxfId="4">
      <calculatedColumnFormula>IF(LISTING[[#This Row],[INDEX]]="","",IF(compte="CCHQ",INDEX(BASE[],LISTING[[#This Row],[INDEX]],COLUMN(F21)),INDEX(BASELJMO[],LISTING[[#This Row],[INDEX]],COLUMN(F21))))</calculatedColumnFormula>
    </tableColumn>
    <tableColumn id="7" xr3:uid="{1D5AB02B-F43B-4281-818C-175B233E6EE4}" name="DESCRIPTION" dataDxfId="3">
      <calculatedColumnFormula>IF(LISTING[[#This Row],[INDEX]]="","",IF(compte="CCHQ",INDEX(BASE[],LISTING[[#This Row],[INDEX]],COLUMN(G21)),INDEX(BASELJMO[],LISTING[[#This Row],[INDEX]],COLUMN(G21))))</calculatedColumnFormula>
    </tableColumn>
    <tableColumn id="8" xr3:uid="{F6BD533F-E459-4C5F-A3B7-80DFA8708B6E}" name="DATE" dataDxfId="2">
      <calculatedColumnFormula>IF(LISTING[[#This Row],[INDEX]]="","",IF(compte="CCHQ",INDEX(BASE[],LISTING[[#This Row],[INDEX]],COLUMN(H21)),INDEX(BASELJMO[],LISTING[[#This Row],[INDEX]],COLUMN(H21))))</calculatedColumnFormula>
    </tableColumn>
    <tableColumn id="9" xr3:uid="{187A2B7B-A614-4E9F-B5BC-36E762E9D24E}" name="MONTANT" dataDxfId="1">
      <calculatedColumnFormula>IF(LISTING[[#This Row],[INDEX]]="","",IF(compte="CCHQ",INDEX(BASE[],LISTING[[#This Row],[INDEX]],COLUMN(I21)),INDEX(BASELJMO[],LISTING[[#This Row],[INDEX]],COLUMN(I21))))</calculatedColumnFormula>
    </tableColumn>
    <tableColumn id="10" xr3:uid="{2C10FDBB-3AC2-4A61-940C-FF387E65AE1C}" name="N°LIGNE" dataDxfId="0">
      <calculatedColumnFormula>IF(LISTING[[#This Row],[INDEX]]="","",IF(compte="CCHQ",INDEX(BASE[],LISTING[[#This Row],[INDEX]],COLUMN(J21)),INDEX(BASELJMO[],LISTING[[#This Row],[INDEX]],COLUMN(J21))))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24C57A-5950-4313-BD9F-8248F94571CC}">
  <sheetPr codeName="Feuil1"/>
  <dimension ref="A1:Z300"/>
  <sheetViews>
    <sheetView workbookViewId="0">
      <selection activeCell="AB25" sqref="AB25"/>
    </sheetView>
  </sheetViews>
  <sheetFormatPr baseColWidth="10" defaultRowHeight="15" x14ac:dyDescent="0.25"/>
  <cols>
    <col min="1" max="1" width="11" style="1" bestFit="1" customWidth="1"/>
    <col min="2" max="2" width="20.85546875" style="1" bestFit="1" customWidth="1"/>
    <col min="3" max="3" width="13.140625" style="1" bestFit="1" customWidth="1"/>
    <col min="4" max="4" width="11.7109375" style="1" bestFit="1" customWidth="1"/>
    <col min="5" max="5" width="10.42578125" style="1" bestFit="1" customWidth="1"/>
    <col min="6" max="6" width="20.42578125" style="1" bestFit="1" customWidth="1"/>
    <col min="7" max="7" width="24.28515625" style="1" bestFit="1" customWidth="1"/>
    <col min="8" max="8" width="10.7109375" style="1" bestFit="1" customWidth="1"/>
    <col min="9" max="9" width="15" style="1" bestFit="1" customWidth="1"/>
    <col min="10" max="10" width="13" style="1" bestFit="1" customWidth="1"/>
    <col min="11" max="11" width="7.85546875" style="1" hidden="1" customWidth="1"/>
    <col min="12" max="12" width="20.42578125" style="1" hidden="1" customWidth="1"/>
    <col min="13" max="13" width="6.140625" style="1" hidden="1" customWidth="1"/>
    <col min="14" max="14" width="24.5703125" style="1" hidden="1" customWidth="1"/>
    <col min="15" max="15" width="20.42578125" style="1" hidden="1" customWidth="1"/>
    <col min="16" max="16" width="28.5703125" style="1" hidden="1" customWidth="1"/>
    <col min="17" max="17" width="5.28515625" style="1" hidden="1" customWidth="1"/>
    <col min="18" max="18" width="11.7109375" style="1" hidden="1" customWidth="1"/>
    <col min="19" max="19" width="5.5703125" style="1" hidden="1" customWidth="1"/>
    <col min="20" max="20" width="16.85546875" style="1" hidden="1" customWidth="1"/>
    <col min="21" max="21" width="18" style="1" hidden="1" customWidth="1"/>
    <col min="22" max="22" width="5.85546875" style="1" hidden="1" customWidth="1"/>
    <col min="23" max="23" width="20.85546875" style="1" hidden="1" customWidth="1"/>
    <col min="24" max="24" width="5.5703125" style="1" hidden="1" customWidth="1"/>
    <col min="25" max="25" width="20.85546875" style="1" hidden="1" customWidth="1"/>
    <col min="26" max="26" width="15.28515625" style="1" hidden="1" customWidth="1"/>
    <col min="27" max="27" width="15.28515625" style="1" bestFit="1" customWidth="1"/>
    <col min="28" max="28" width="20.85546875" style="1" bestFit="1" customWidth="1"/>
    <col min="29" max="29" width="13.140625" style="1" bestFit="1" customWidth="1"/>
    <col min="30" max="30" width="15.5703125" style="1" bestFit="1" customWidth="1"/>
    <col min="31" max="31" width="17.28515625" style="1" bestFit="1" customWidth="1"/>
    <col min="32" max="32" width="10.140625" style="1" bestFit="1" customWidth="1"/>
    <col min="33" max="33" width="15" style="1" bestFit="1" customWidth="1"/>
    <col min="34" max="16384" width="11.42578125" style="1"/>
  </cols>
  <sheetData>
    <row r="1" spans="1:26" x14ac:dyDescent="0.25">
      <c r="A1" s="1" t="s">
        <v>19</v>
      </c>
      <c r="B1" s="1" t="s">
        <v>6</v>
      </c>
      <c r="C1" s="1" t="s">
        <v>5</v>
      </c>
      <c r="D1" s="1" t="s">
        <v>3</v>
      </c>
      <c r="E1" s="1" t="s">
        <v>4</v>
      </c>
      <c r="F1" s="1" t="s">
        <v>2</v>
      </c>
      <c r="G1" s="1" t="s">
        <v>1</v>
      </c>
      <c r="H1" s="1" t="s">
        <v>0</v>
      </c>
      <c r="I1" s="1" t="s">
        <v>111</v>
      </c>
      <c r="J1" s="1" t="s">
        <v>20</v>
      </c>
      <c r="L1" s="5" t="s">
        <v>2</v>
      </c>
      <c r="N1" s="5" t="s">
        <v>1</v>
      </c>
      <c r="O1" s="5" t="s">
        <v>2</v>
      </c>
      <c r="P1" s="5" t="s">
        <v>187</v>
      </c>
      <c r="R1" s="1" t="s">
        <v>3</v>
      </c>
      <c r="T1" s="1" t="s">
        <v>96</v>
      </c>
      <c r="U1" s="1" t="s">
        <v>95</v>
      </c>
      <c r="W1" s="5" t="s">
        <v>6</v>
      </c>
      <c r="Y1" s="4" t="s">
        <v>5</v>
      </c>
      <c r="Z1" s="1" t="s">
        <v>94</v>
      </c>
    </row>
    <row r="2" spans="1:26" x14ac:dyDescent="0.25">
      <c r="A2" s="1">
        <f>ROW()-ROW(BASE[[#Headers],[INDEX]])</f>
        <v>1</v>
      </c>
      <c r="B2" s="1" t="s">
        <v>92</v>
      </c>
      <c r="C2" s="1" t="s">
        <v>91</v>
      </c>
      <c r="D2" s="7">
        <f>YEAR(BASE[[#This Row],[DATE]])</f>
        <v>2019</v>
      </c>
      <c r="E2" s="7">
        <f>MONTH(BASE[[#This Row],[DATE]])</f>
        <v>6</v>
      </c>
      <c r="F2" s="1" t="str">
        <f>VLOOKUP(BASE[[#This Row],[DESCRIPTION]],LISTEDESCRIPTION[],2,FALSE)</f>
        <v>RESTAURATION</v>
      </c>
      <c r="G2" s="1" t="s">
        <v>126</v>
      </c>
      <c r="H2" s="3">
        <v>43630</v>
      </c>
      <c r="I2" s="2">
        <v>11.6</v>
      </c>
      <c r="J2" s="7">
        <f t="shared" ref="J2:J65" si="0">IF(J1="N°LIGNE",1,J1+1)</f>
        <v>1</v>
      </c>
      <c r="L2" s="1" t="s">
        <v>83</v>
      </c>
      <c r="N2" s="1" t="s">
        <v>119</v>
      </c>
      <c r="O2" s="1" t="s">
        <v>88</v>
      </c>
      <c r="P2" s="2"/>
      <c r="R2" s="1">
        <v>2019</v>
      </c>
      <c r="T2" s="1" t="s">
        <v>97</v>
      </c>
      <c r="U2" s="1">
        <v>1</v>
      </c>
      <c r="W2" s="6" t="s">
        <v>92</v>
      </c>
      <c r="Y2" s="1" t="s">
        <v>91</v>
      </c>
    </row>
    <row r="3" spans="1:26" x14ac:dyDescent="0.25">
      <c r="A3" s="1">
        <f>ROW()-ROW(BASE[[#Headers],[INDEX]])</f>
        <v>2</v>
      </c>
      <c r="B3" s="1" t="s">
        <v>92</v>
      </c>
      <c r="C3" s="1" t="s">
        <v>91</v>
      </c>
      <c r="D3" s="7">
        <f>YEAR(BASE[[#This Row],[DATE]])</f>
        <v>2019</v>
      </c>
      <c r="E3" s="7">
        <f>MONTH(BASE[[#This Row],[DATE]])</f>
        <v>6</v>
      </c>
      <c r="F3" s="1" t="str">
        <f>VLOOKUP(BASE[[#This Row],[DESCRIPTION]],LISTEDESCRIPTION[],2,FALSE)</f>
        <v>LOISIRS</v>
      </c>
      <c r="G3" s="1" t="s">
        <v>201</v>
      </c>
      <c r="H3" s="3">
        <v>43630</v>
      </c>
      <c r="I3" s="2">
        <v>10</v>
      </c>
      <c r="J3" s="7">
        <f t="shared" si="0"/>
        <v>2</v>
      </c>
      <c r="L3" s="1" t="s">
        <v>77</v>
      </c>
      <c r="N3" s="1" t="s">
        <v>120</v>
      </c>
      <c r="O3" s="1" t="s">
        <v>88</v>
      </c>
      <c r="P3" s="2"/>
      <c r="T3" s="1" t="s">
        <v>98</v>
      </c>
      <c r="U3" s="1">
        <v>2</v>
      </c>
      <c r="Y3" s="1" t="s">
        <v>93</v>
      </c>
    </row>
    <row r="4" spans="1:26" x14ac:dyDescent="0.25">
      <c r="A4" s="1">
        <f>ROW()-ROW(BASE[[#Headers],[INDEX]])</f>
        <v>3</v>
      </c>
      <c r="B4" s="1" t="s">
        <v>92</v>
      </c>
      <c r="C4" s="1" t="s">
        <v>91</v>
      </c>
      <c r="D4" s="7">
        <f>YEAR(BASE[[#This Row],[DATE]])</f>
        <v>2019</v>
      </c>
      <c r="E4" s="7">
        <f>MONTH(BASE[[#This Row],[DATE]])</f>
        <v>6</v>
      </c>
      <c r="F4" s="1" t="str">
        <f>VLOOKUP(BASE[[#This Row],[DESCRIPTION]],LISTEDESCRIPTION[],2,FALSE)</f>
        <v>RESTAURATION</v>
      </c>
      <c r="G4" s="1" t="s">
        <v>70</v>
      </c>
      <c r="H4" s="3">
        <v>43628</v>
      </c>
      <c r="I4" s="2">
        <v>21.8</v>
      </c>
      <c r="J4" s="7">
        <f t="shared" si="0"/>
        <v>3</v>
      </c>
      <c r="L4" s="1" t="s">
        <v>113</v>
      </c>
      <c r="N4" s="1" t="s">
        <v>66</v>
      </c>
      <c r="O4" s="1" t="s">
        <v>88</v>
      </c>
      <c r="P4" s="2"/>
      <c r="T4" s="1" t="s">
        <v>99</v>
      </c>
      <c r="U4" s="1">
        <v>3</v>
      </c>
      <c r="Y4" s="1" t="s">
        <v>202</v>
      </c>
    </row>
    <row r="5" spans="1:26" x14ac:dyDescent="0.25">
      <c r="A5" s="1">
        <f>ROW()-ROW(BASE[[#Headers],[INDEX]])</f>
        <v>4</v>
      </c>
      <c r="B5" s="1" t="s">
        <v>92</v>
      </c>
      <c r="C5" s="1" t="s">
        <v>91</v>
      </c>
      <c r="D5" s="7">
        <f>YEAR(BASE[[#This Row],[DATE]])</f>
        <v>2019</v>
      </c>
      <c r="E5" s="7">
        <f>MONTH(BASE[[#This Row],[DATE]])</f>
        <v>6</v>
      </c>
      <c r="F5" s="1" t="str">
        <f>VLOOKUP(BASE[[#This Row],[DESCRIPTION]],LISTEDESCRIPTION[],2,FALSE)</f>
        <v>RECU</v>
      </c>
      <c r="G5" s="1" t="s">
        <v>43</v>
      </c>
      <c r="H5" s="3">
        <v>43628</v>
      </c>
      <c r="I5" s="2">
        <v>33.799999999999997</v>
      </c>
      <c r="J5" s="7">
        <f t="shared" si="0"/>
        <v>4</v>
      </c>
      <c r="L5" s="1" t="s">
        <v>78</v>
      </c>
      <c r="N5" s="1" t="s">
        <v>60</v>
      </c>
      <c r="O5" s="1" t="s">
        <v>86</v>
      </c>
      <c r="P5" s="2"/>
      <c r="T5" s="1" t="s">
        <v>100</v>
      </c>
      <c r="U5" s="1">
        <v>4</v>
      </c>
    </row>
    <row r="6" spans="1:26" x14ac:dyDescent="0.25">
      <c r="A6" s="1">
        <f>ROW()-ROW(BASE[[#Headers],[INDEX]])</f>
        <v>5</v>
      </c>
      <c r="B6" s="1" t="s">
        <v>92</v>
      </c>
      <c r="C6" s="1" t="s">
        <v>91</v>
      </c>
      <c r="D6" s="7">
        <f>YEAR(BASE[[#This Row],[DATE]])</f>
        <v>2019</v>
      </c>
      <c r="E6" s="7">
        <f>MONTH(BASE[[#This Row],[DATE]])</f>
        <v>6</v>
      </c>
      <c r="F6" s="1" t="str">
        <f>VLOOKUP(BASE[[#This Row],[DESCRIPTION]],LISTEDESCRIPTION[],2,FALSE)</f>
        <v>FACTURE</v>
      </c>
      <c r="G6" s="1" t="s">
        <v>32</v>
      </c>
      <c r="H6" s="3">
        <v>43627</v>
      </c>
      <c r="I6" s="2">
        <v>280</v>
      </c>
      <c r="J6" s="7">
        <f t="shared" si="0"/>
        <v>5</v>
      </c>
      <c r="L6" s="1" t="s">
        <v>79</v>
      </c>
      <c r="N6" s="1" t="s">
        <v>52</v>
      </c>
      <c r="O6" s="1" t="s">
        <v>79</v>
      </c>
      <c r="P6" s="2">
        <v>6.99</v>
      </c>
      <c r="T6" s="1" t="s">
        <v>101</v>
      </c>
      <c r="U6" s="1">
        <v>5</v>
      </c>
    </row>
    <row r="7" spans="1:26" x14ac:dyDescent="0.25">
      <c r="A7" s="1">
        <f>ROW()-ROW(BASE[[#Headers],[INDEX]])</f>
        <v>6</v>
      </c>
      <c r="B7" s="1" t="s">
        <v>92</v>
      </c>
      <c r="C7" s="1" t="s">
        <v>91</v>
      </c>
      <c r="D7" s="7">
        <f>YEAR(BASE[[#This Row],[DATE]])</f>
        <v>2019</v>
      </c>
      <c r="E7" s="7">
        <f>MONTH(BASE[[#This Row],[DATE]])</f>
        <v>6</v>
      </c>
      <c r="F7" s="1" t="str">
        <f>VLOOKUP(BASE[[#This Row],[DESCRIPTION]],LISTEDESCRIPTION[],2,FALSE)</f>
        <v>CREDIT</v>
      </c>
      <c r="G7" s="1" t="s">
        <v>33</v>
      </c>
      <c r="H7" s="3">
        <v>43627</v>
      </c>
      <c r="I7" s="2">
        <v>44.34</v>
      </c>
      <c r="J7" s="7">
        <f t="shared" si="0"/>
        <v>6</v>
      </c>
      <c r="L7" s="1" t="s">
        <v>80</v>
      </c>
      <c r="N7" s="1" t="s">
        <v>48</v>
      </c>
      <c r="O7" s="1" t="s">
        <v>84</v>
      </c>
      <c r="P7" s="2"/>
      <c r="T7" s="1" t="s">
        <v>102</v>
      </c>
      <c r="U7" s="1">
        <v>6</v>
      </c>
    </row>
    <row r="8" spans="1:26" x14ac:dyDescent="0.25">
      <c r="A8" s="1">
        <f>ROW()-ROW(BASE[[#Headers],[INDEX]])</f>
        <v>7</v>
      </c>
      <c r="B8" s="1" t="s">
        <v>92</v>
      </c>
      <c r="C8" s="1" t="s">
        <v>91</v>
      </c>
      <c r="D8" s="7">
        <f>YEAR(BASE[[#This Row],[DATE]])</f>
        <v>2019</v>
      </c>
      <c r="E8" s="7">
        <f>MONTH(BASE[[#This Row],[DATE]])</f>
        <v>6</v>
      </c>
      <c r="F8" s="1" t="str">
        <f>VLOOKUP(BASE[[#This Row],[DESCRIPTION]],LISTEDESCRIPTION[],2,FALSE)</f>
        <v>RETRAIT</v>
      </c>
      <c r="G8" s="1" t="s">
        <v>172</v>
      </c>
      <c r="H8" s="3">
        <v>43627</v>
      </c>
      <c r="I8" s="2">
        <v>200</v>
      </c>
      <c r="J8" s="7">
        <f t="shared" si="0"/>
        <v>7</v>
      </c>
      <c r="L8" s="1" t="s">
        <v>82</v>
      </c>
      <c r="N8" s="1" t="s">
        <v>25</v>
      </c>
      <c r="O8" s="1" t="s">
        <v>79</v>
      </c>
      <c r="P8" s="2">
        <v>0.6</v>
      </c>
      <c r="T8" s="1" t="s">
        <v>103</v>
      </c>
      <c r="U8" s="1">
        <v>7</v>
      </c>
    </row>
    <row r="9" spans="1:26" x14ac:dyDescent="0.25">
      <c r="A9" s="1">
        <f>ROW()-ROW(BASE[[#Headers],[INDEX]])</f>
        <v>8</v>
      </c>
      <c r="B9" s="1" t="s">
        <v>92</v>
      </c>
      <c r="C9" s="1" t="s">
        <v>91</v>
      </c>
      <c r="D9" s="7">
        <f>YEAR(BASE[[#This Row],[DATE]])</f>
        <v>2019</v>
      </c>
      <c r="E9" s="7">
        <f>MONTH(BASE[[#This Row],[DATE]])</f>
        <v>6</v>
      </c>
      <c r="F9" s="1" t="str">
        <f>VLOOKUP(BASE[[#This Row],[DESCRIPTION]],LISTEDESCRIPTION[],2,FALSE)</f>
        <v>RESTAURATION</v>
      </c>
      <c r="G9" s="1" t="s">
        <v>57</v>
      </c>
      <c r="H9" s="3">
        <v>43627</v>
      </c>
      <c r="I9" s="2">
        <v>20.100000000000001</v>
      </c>
      <c r="J9" s="7">
        <f t="shared" si="0"/>
        <v>8</v>
      </c>
      <c r="L9" s="1" t="s">
        <v>81</v>
      </c>
      <c r="N9" s="1" t="s">
        <v>45</v>
      </c>
      <c r="O9" s="1" t="s">
        <v>79</v>
      </c>
      <c r="P9" s="2">
        <v>9.9</v>
      </c>
      <c r="T9" s="1" t="s">
        <v>104</v>
      </c>
      <c r="U9" s="1">
        <v>8</v>
      </c>
    </row>
    <row r="10" spans="1:26" x14ac:dyDescent="0.25">
      <c r="A10" s="1">
        <f>ROW()-ROW(BASE[[#Headers],[INDEX]])</f>
        <v>9</v>
      </c>
      <c r="B10" s="1" t="s">
        <v>92</v>
      </c>
      <c r="C10" s="1" t="s">
        <v>91</v>
      </c>
      <c r="D10" s="7">
        <f>YEAR(BASE[[#This Row],[DATE]])</f>
        <v>2019</v>
      </c>
      <c r="E10" s="7">
        <f>MONTH(BASE[[#This Row],[DATE]])</f>
        <v>6</v>
      </c>
      <c r="F10" s="1" t="str">
        <f>VLOOKUP(BASE[[#This Row],[DESCRIPTION]],LISTEDESCRIPTION[],2,FALSE)</f>
        <v>RESTAURATION</v>
      </c>
      <c r="G10" s="1" t="s">
        <v>23</v>
      </c>
      <c r="H10" s="3">
        <v>43627</v>
      </c>
      <c r="I10" s="2">
        <v>17</v>
      </c>
      <c r="J10" s="7">
        <f t="shared" si="0"/>
        <v>9</v>
      </c>
      <c r="L10" s="1" t="s">
        <v>84</v>
      </c>
      <c r="N10" s="1" t="s">
        <v>53</v>
      </c>
      <c r="O10" s="1" t="s">
        <v>84</v>
      </c>
      <c r="P10" s="2"/>
      <c r="T10" s="1" t="s">
        <v>105</v>
      </c>
      <c r="U10" s="1">
        <v>9</v>
      </c>
    </row>
    <row r="11" spans="1:26" x14ac:dyDescent="0.25">
      <c r="A11" s="1">
        <f>ROW()-ROW(BASE[[#Headers],[INDEX]])</f>
        <v>10</v>
      </c>
      <c r="B11" s="1" t="s">
        <v>92</v>
      </c>
      <c r="C11" s="1" t="s">
        <v>91</v>
      </c>
      <c r="D11" s="7">
        <f>YEAR(BASE[[#This Row],[DATE]])</f>
        <v>2019</v>
      </c>
      <c r="E11" s="7">
        <f>MONTH(BASE[[#This Row],[DATE]])</f>
        <v>6</v>
      </c>
      <c r="F11" s="1" t="str">
        <f>VLOOKUP(BASE[[#This Row],[DESCRIPTION]],LISTEDESCRIPTION[],2,FALSE)</f>
        <v>RESTAURATION</v>
      </c>
      <c r="G11" s="1" t="s">
        <v>23</v>
      </c>
      <c r="H11" s="3">
        <v>43627</v>
      </c>
      <c r="I11" s="2">
        <v>3</v>
      </c>
      <c r="J11" s="7">
        <f t="shared" si="0"/>
        <v>10</v>
      </c>
      <c r="L11" s="1" t="s">
        <v>85</v>
      </c>
      <c r="N11" s="1" t="s">
        <v>121</v>
      </c>
      <c r="O11" s="1" t="s">
        <v>90</v>
      </c>
      <c r="P11" s="2"/>
      <c r="T11" s="1" t="s">
        <v>106</v>
      </c>
      <c r="U11" s="1">
        <v>10</v>
      </c>
    </row>
    <row r="12" spans="1:26" x14ac:dyDescent="0.25">
      <c r="A12" s="1">
        <f>ROW()-ROW(BASE[[#Headers],[INDEX]])</f>
        <v>11</v>
      </c>
      <c r="B12" s="1" t="s">
        <v>92</v>
      </c>
      <c r="C12" s="1" t="s">
        <v>91</v>
      </c>
      <c r="D12" s="7">
        <f>YEAR(BASE[[#This Row],[DATE]])</f>
        <v>2019</v>
      </c>
      <c r="E12" s="7">
        <f>MONTH(BASE[[#This Row],[DATE]])</f>
        <v>6</v>
      </c>
      <c r="F12" s="1" t="str">
        <f>VLOOKUP(BASE[[#This Row],[DESCRIPTION]],LISTEDESCRIPTION[],2,FALSE)</f>
        <v>TRANSPORT</v>
      </c>
      <c r="G12" s="1" t="s">
        <v>26</v>
      </c>
      <c r="H12" s="3">
        <v>43627</v>
      </c>
      <c r="I12" s="2">
        <v>3.9</v>
      </c>
      <c r="J12" s="7">
        <f t="shared" si="0"/>
        <v>11</v>
      </c>
      <c r="L12" s="1" t="s">
        <v>112</v>
      </c>
      <c r="N12" s="1" t="s">
        <v>122</v>
      </c>
      <c r="O12" s="1" t="s">
        <v>90</v>
      </c>
      <c r="P12" s="2"/>
      <c r="T12" s="1" t="s">
        <v>107</v>
      </c>
      <c r="U12" s="1">
        <v>11</v>
      </c>
    </row>
    <row r="13" spans="1:26" x14ac:dyDescent="0.25">
      <c r="A13" s="1">
        <f>ROW()-ROW(BASE[[#Headers],[INDEX]])</f>
        <v>12</v>
      </c>
      <c r="B13" s="1" t="s">
        <v>92</v>
      </c>
      <c r="C13" s="1" t="s">
        <v>91</v>
      </c>
      <c r="D13" s="7">
        <f>YEAR(BASE[[#This Row],[DATE]])</f>
        <v>2019</v>
      </c>
      <c r="E13" s="7">
        <f>MONTH(BASE[[#This Row],[DATE]])</f>
        <v>6</v>
      </c>
      <c r="F13" s="1" t="str">
        <f>VLOOKUP(BASE[[#This Row],[DESCRIPTION]],LISTEDESCRIPTION[],2,FALSE)</f>
        <v>CREDIT</v>
      </c>
      <c r="G13" s="1" t="s">
        <v>37</v>
      </c>
      <c r="H13" s="3">
        <v>43626</v>
      </c>
      <c r="I13" s="2">
        <v>30</v>
      </c>
      <c r="J13" s="7">
        <f t="shared" si="0"/>
        <v>12</v>
      </c>
      <c r="L13" s="1" t="s">
        <v>86</v>
      </c>
      <c r="N13" s="1" t="s">
        <v>123</v>
      </c>
      <c r="O13" s="1" t="s">
        <v>84</v>
      </c>
      <c r="P13" s="2"/>
      <c r="T13" s="1" t="s">
        <v>108</v>
      </c>
      <c r="U13" s="1">
        <v>12</v>
      </c>
    </row>
    <row r="14" spans="1:26" x14ac:dyDescent="0.25">
      <c r="A14" s="1">
        <f>ROW()-ROW(BASE[[#Headers],[INDEX]])</f>
        <v>13</v>
      </c>
      <c r="B14" s="1" t="s">
        <v>92</v>
      </c>
      <c r="C14" s="1" t="s">
        <v>91</v>
      </c>
      <c r="D14" s="7">
        <f>YEAR(BASE[[#This Row],[DATE]])</f>
        <v>2019</v>
      </c>
      <c r="E14" s="7">
        <f>MONTH(BASE[[#This Row],[DATE]])</f>
        <v>6</v>
      </c>
      <c r="F14" s="1" t="str">
        <f>VLOOKUP(BASE[[#This Row],[DESCRIPTION]],LISTEDESCRIPTION[],2,FALSE)</f>
        <v>RECU</v>
      </c>
      <c r="G14" s="1" t="s">
        <v>75</v>
      </c>
      <c r="H14" s="3">
        <v>43624</v>
      </c>
      <c r="I14" s="2">
        <v>40</v>
      </c>
      <c r="J14" s="7">
        <f t="shared" si="0"/>
        <v>13</v>
      </c>
      <c r="K14" s="7"/>
      <c r="L14" s="1" t="s">
        <v>87</v>
      </c>
      <c r="N14" s="1" t="s">
        <v>124</v>
      </c>
      <c r="O14" s="1" t="s">
        <v>78</v>
      </c>
      <c r="P14" s="2"/>
    </row>
    <row r="15" spans="1:26" x14ac:dyDescent="0.25">
      <c r="A15" s="1">
        <f>ROW()-ROW(BASE[[#Headers],[INDEX]])</f>
        <v>14</v>
      </c>
      <c r="B15" s="1" t="s">
        <v>92</v>
      </c>
      <c r="C15" s="1" t="s">
        <v>91</v>
      </c>
      <c r="D15" s="7">
        <f>YEAR(BASE[[#This Row],[DATE]])</f>
        <v>2019</v>
      </c>
      <c r="E15" s="7">
        <f>MONTH(BASE[[#This Row],[DATE]])</f>
        <v>6</v>
      </c>
      <c r="F15" s="1" t="str">
        <f>VLOOKUP(BASE[[#This Row],[DESCRIPTION]],LISTEDESCRIPTION[],2,FALSE)</f>
        <v>SALAIRE</v>
      </c>
      <c r="G15" s="1" t="s">
        <v>200</v>
      </c>
      <c r="H15" s="3">
        <v>43622</v>
      </c>
      <c r="I15" s="2">
        <v>904.67</v>
      </c>
      <c r="J15" s="7">
        <f t="shared" si="0"/>
        <v>14</v>
      </c>
      <c r="K15" s="7"/>
      <c r="L15" s="1" t="s">
        <v>88</v>
      </c>
      <c r="N15" s="1" t="s">
        <v>39</v>
      </c>
      <c r="O15" s="1" t="s">
        <v>80</v>
      </c>
      <c r="P15" s="2"/>
    </row>
    <row r="16" spans="1:26" x14ac:dyDescent="0.25">
      <c r="A16" s="1">
        <f>ROW()-ROW(BASE[[#Headers],[INDEX]])</f>
        <v>15</v>
      </c>
      <c r="B16" s="1" t="s">
        <v>92</v>
      </c>
      <c r="C16" s="1" t="s">
        <v>91</v>
      </c>
      <c r="D16" s="7">
        <f>YEAR(BASE[[#This Row],[DATE]])</f>
        <v>2019</v>
      </c>
      <c r="E16" s="7">
        <f>MONTH(BASE[[#This Row],[DATE]])</f>
        <v>6</v>
      </c>
      <c r="F16" s="1" t="str">
        <f>VLOOKUP(BASE[[#This Row],[DESCRIPTION]],LISTEDESCRIPTION[],2,FALSE)</f>
        <v>RETRAIT</v>
      </c>
      <c r="G16" s="1" t="s">
        <v>174</v>
      </c>
      <c r="H16" s="3">
        <v>43622</v>
      </c>
      <c r="I16" s="2">
        <v>10</v>
      </c>
      <c r="J16" s="7">
        <f t="shared" si="0"/>
        <v>15</v>
      </c>
      <c r="K16" s="7"/>
      <c r="L16" s="1" t="s">
        <v>89</v>
      </c>
      <c r="N16" s="1" t="s">
        <v>125</v>
      </c>
      <c r="O16" s="1" t="s">
        <v>83</v>
      </c>
      <c r="P16" s="2"/>
    </row>
    <row r="17" spans="1:16" x14ac:dyDescent="0.25">
      <c r="A17" s="1">
        <f>ROW()-ROW(BASE[[#Headers],[INDEX]])</f>
        <v>16</v>
      </c>
      <c r="B17" s="1" t="s">
        <v>92</v>
      </c>
      <c r="C17" s="1" t="s">
        <v>91</v>
      </c>
      <c r="D17" s="7">
        <f>YEAR(BASE[[#This Row],[DATE]])</f>
        <v>2019</v>
      </c>
      <c r="E17" s="7">
        <f>MONTH(BASE[[#This Row],[DATE]])</f>
        <v>6</v>
      </c>
      <c r="F17" s="1" t="str">
        <f>VLOOKUP(BASE[[#This Row],[DESCRIPTION]],LISTEDESCRIPTION[],2,FALSE)</f>
        <v>FACTURE</v>
      </c>
      <c r="G17" s="1" t="s">
        <v>25</v>
      </c>
      <c r="H17" s="3">
        <v>43620</v>
      </c>
      <c r="I17" s="2">
        <v>0.6</v>
      </c>
      <c r="J17" s="7">
        <f t="shared" si="0"/>
        <v>16</v>
      </c>
      <c r="K17" s="7"/>
      <c r="L17" s="1" t="s">
        <v>90</v>
      </c>
      <c r="N17" s="1" t="s">
        <v>59</v>
      </c>
      <c r="O17" s="1" t="s">
        <v>78</v>
      </c>
      <c r="P17" s="2"/>
    </row>
    <row r="18" spans="1:16" x14ac:dyDescent="0.25">
      <c r="A18" s="1">
        <f>ROW()-ROW(BASE[[#Headers],[INDEX]])</f>
        <v>17</v>
      </c>
      <c r="B18" s="1" t="s">
        <v>92</v>
      </c>
      <c r="C18" s="1" t="s">
        <v>91</v>
      </c>
      <c r="D18" s="7">
        <f>YEAR(BASE[[#This Row],[DATE]])</f>
        <v>2019</v>
      </c>
      <c r="E18" s="7">
        <f>MONTH(BASE[[#This Row],[DATE]])</f>
        <v>6</v>
      </c>
      <c r="F18" s="1" t="str">
        <f>VLOOKUP(BASE[[#This Row],[DESCRIPTION]],LISTEDESCRIPTION[],2,FALSE)</f>
        <v>RESTAURATION</v>
      </c>
      <c r="G18" s="1" t="s">
        <v>28</v>
      </c>
      <c r="H18" s="3">
        <v>43619</v>
      </c>
      <c r="I18" s="2">
        <v>4.8</v>
      </c>
      <c r="J18" s="7">
        <f t="shared" si="0"/>
        <v>17</v>
      </c>
      <c r="K18" s="7"/>
      <c r="L18"/>
      <c r="N18" s="1" t="s">
        <v>126</v>
      </c>
      <c r="O18" s="1" t="s">
        <v>78</v>
      </c>
      <c r="P18" s="2"/>
    </row>
    <row r="19" spans="1:16" x14ac:dyDescent="0.25">
      <c r="A19" s="1">
        <f>ROW()-ROW(BASE[[#Headers],[INDEX]])</f>
        <v>18</v>
      </c>
      <c r="B19" s="1" t="s">
        <v>92</v>
      </c>
      <c r="C19" s="1" t="s">
        <v>91</v>
      </c>
      <c r="D19" s="7">
        <f>YEAR(BASE[[#This Row],[DATE]])</f>
        <v>2019</v>
      </c>
      <c r="E19" s="7">
        <f>MONTH(BASE[[#This Row],[DATE]])</f>
        <v>6</v>
      </c>
      <c r="F19" s="1" t="str">
        <f>VLOOKUP(BASE[[#This Row],[DESCRIPTION]],LISTEDESCRIPTION[],2,FALSE)</f>
        <v>RESTAURATION</v>
      </c>
      <c r="G19" s="1" t="s">
        <v>28</v>
      </c>
      <c r="H19" s="3">
        <v>43619</v>
      </c>
      <c r="I19" s="2">
        <v>2.75</v>
      </c>
      <c r="J19" s="7">
        <f t="shared" si="0"/>
        <v>18</v>
      </c>
      <c r="K19" s="7"/>
      <c r="L19"/>
      <c r="N19" s="1" t="s">
        <v>127</v>
      </c>
      <c r="O19" s="1" t="s">
        <v>89</v>
      </c>
      <c r="P19" s="2"/>
    </row>
    <row r="20" spans="1:16" x14ac:dyDescent="0.25">
      <c r="A20" s="1">
        <f>ROW()-ROW(BASE[[#Headers],[INDEX]])</f>
        <v>19</v>
      </c>
      <c r="B20" s="1" t="s">
        <v>92</v>
      </c>
      <c r="C20" s="1" t="s">
        <v>91</v>
      </c>
      <c r="D20" s="7">
        <f>YEAR(BASE[[#This Row],[DATE]])</f>
        <v>2019</v>
      </c>
      <c r="E20" s="7">
        <f>MONTH(BASE[[#This Row],[DATE]])</f>
        <v>6</v>
      </c>
      <c r="F20" s="1" t="str">
        <f>VLOOKUP(BASE[[#This Row],[DESCRIPTION]],LISTEDESCRIPTION[],2,FALSE)</f>
        <v>DIVERS</v>
      </c>
      <c r="G20" s="1" t="s">
        <v>68</v>
      </c>
      <c r="H20" s="3">
        <v>43619</v>
      </c>
      <c r="I20" s="2">
        <v>3.99</v>
      </c>
      <c r="J20" s="7">
        <f t="shared" si="0"/>
        <v>19</v>
      </c>
      <c r="K20" s="7"/>
      <c r="L20"/>
      <c r="N20" s="1" t="s">
        <v>128</v>
      </c>
      <c r="O20" s="1" t="s">
        <v>184</v>
      </c>
      <c r="P20" s="2"/>
    </row>
    <row r="21" spans="1:16" x14ac:dyDescent="0.25">
      <c r="A21" s="1">
        <f>ROW()-ROW(BASE[[#Headers],[INDEX]])</f>
        <v>20</v>
      </c>
      <c r="B21" s="1" t="s">
        <v>92</v>
      </c>
      <c r="C21" s="1" t="s">
        <v>91</v>
      </c>
      <c r="D21" s="7">
        <f>YEAR(BASE[[#This Row],[DATE]])</f>
        <v>2019</v>
      </c>
      <c r="E21" s="7">
        <f>MONTH(BASE[[#This Row],[DATE]])</f>
        <v>6</v>
      </c>
      <c r="F21" s="1" t="str">
        <f>VLOOKUP(BASE[[#This Row],[DESCRIPTION]],LISTEDESCRIPTION[],2,FALSE)</f>
        <v>COURSE</v>
      </c>
      <c r="G21" s="1" t="s">
        <v>34</v>
      </c>
      <c r="H21" s="3">
        <v>43619</v>
      </c>
      <c r="I21" s="2">
        <v>8.16</v>
      </c>
      <c r="J21" s="7">
        <f t="shared" si="0"/>
        <v>20</v>
      </c>
      <c r="K21" s="7"/>
      <c r="L21"/>
      <c r="N21" s="1" t="s">
        <v>44</v>
      </c>
      <c r="O21" s="1" t="s">
        <v>78</v>
      </c>
      <c r="P21" s="2"/>
    </row>
    <row r="22" spans="1:16" x14ac:dyDescent="0.25">
      <c r="A22" s="1">
        <f>ROW()-ROW(BASE[[#Headers],[INDEX]])</f>
        <v>21</v>
      </c>
      <c r="B22" s="1" t="s">
        <v>92</v>
      </c>
      <c r="C22" s="1" t="s">
        <v>91</v>
      </c>
      <c r="D22" s="7">
        <f>YEAR(BASE[[#This Row],[DATE]])</f>
        <v>2019</v>
      </c>
      <c r="E22" s="7">
        <f>MONTH(BASE[[#This Row],[DATE]])</f>
        <v>6</v>
      </c>
      <c r="F22" s="1" t="str">
        <f>VLOOKUP(BASE[[#This Row],[DESCRIPTION]],LISTEDESCRIPTION[],2,FALSE)</f>
        <v>COURSE</v>
      </c>
      <c r="G22" s="1" t="s">
        <v>34</v>
      </c>
      <c r="H22" s="3">
        <v>43619</v>
      </c>
      <c r="I22" s="2">
        <v>15.93</v>
      </c>
      <c r="J22" s="7">
        <f t="shared" si="0"/>
        <v>21</v>
      </c>
      <c r="K22" s="7"/>
      <c r="L22"/>
      <c r="N22" s="1" t="s">
        <v>47</v>
      </c>
      <c r="O22" s="1" t="s">
        <v>81</v>
      </c>
      <c r="P22" s="2"/>
    </row>
    <row r="23" spans="1:16" x14ac:dyDescent="0.25">
      <c r="A23" s="1">
        <f>ROW()-ROW(BASE[[#Headers],[INDEX]])</f>
        <v>22</v>
      </c>
      <c r="B23" s="1" t="s">
        <v>92</v>
      </c>
      <c r="C23" s="1" t="s">
        <v>91</v>
      </c>
      <c r="D23" s="7">
        <f>YEAR(BASE[[#This Row],[DATE]])</f>
        <v>2019</v>
      </c>
      <c r="E23" s="7">
        <f>MONTH(BASE[[#This Row],[DATE]])</f>
        <v>6</v>
      </c>
      <c r="F23" s="1" t="str">
        <f>VLOOKUP(BASE[[#This Row],[DESCRIPTION]],LISTEDESCRIPTION[],2,FALSE)</f>
        <v>FACTURE</v>
      </c>
      <c r="G23" s="1" t="s">
        <v>24</v>
      </c>
      <c r="H23" s="3">
        <v>43619</v>
      </c>
      <c r="I23" s="2">
        <v>3.09</v>
      </c>
      <c r="J23" s="7">
        <f t="shared" si="0"/>
        <v>22</v>
      </c>
      <c r="K23" s="7"/>
      <c r="L23"/>
      <c r="N23" s="1" t="s">
        <v>129</v>
      </c>
      <c r="O23" s="1" t="s">
        <v>79</v>
      </c>
      <c r="P23" s="2"/>
    </row>
    <row r="24" spans="1:16" x14ac:dyDescent="0.25">
      <c r="A24" s="1">
        <f>ROW()-ROW(BASE[[#Headers],[INDEX]])</f>
        <v>23</v>
      </c>
      <c r="B24" s="1" t="s">
        <v>92</v>
      </c>
      <c r="C24" s="1" t="s">
        <v>91</v>
      </c>
      <c r="D24" s="7">
        <f>YEAR(BASE[[#This Row],[DATE]])</f>
        <v>2019</v>
      </c>
      <c r="E24" s="7">
        <f>MONTH(BASE[[#This Row],[DATE]])</f>
        <v>5</v>
      </c>
      <c r="F24" s="1" t="str">
        <f>VLOOKUP(BASE[[#This Row],[DESCRIPTION]],LISTEDESCRIPTION[],2,FALSE)</f>
        <v>RETRAIT EPARGNE</v>
      </c>
      <c r="G24" s="1" t="s">
        <v>190</v>
      </c>
      <c r="H24" s="3">
        <v>43616</v>
      </c>
      <c r="I24" s="2">
        <v>100</v>
      </c>
      <c r="J24" s="7">
        <f t="shared" si="0"/>
        <v>23</v>
      </c>
      <c r="K24" s="7"/>
      <c r="L24"/>
      <c r="N24" s="1" t="s">
        <v>130</v>
      </c>
      <c r="O24" s="1" t="s">
        <v>90</v>
      </c>
      <c r="P24" s="2"/>
    </row>
    <row r="25" spans="1:16" x14ac:dyDescent="0.25">
      <c r="A25" s="1">
        <f>ROW()-ROW(BASE[[#Headers],[INDEX]])</f>
        <v>24</v>
      </c>
      <c r="B25" s="1" t="s">
        <v>92</v>
      </c>
      <c r="C25" s="1" t="s">
        <v>91</v>
      </c>
      <c r="D25" s="7">
        <f>YEAR(BASE[[#This Row],[DATE]])</f>
        <v>2019</v>
      </c>
      <c r="E25" s="7">
        <f>MONTH(BASE[[#This Row],[DATE]])</f>
        <v>5</v>
      </c>
      <c r="F25" s="1" t="str">
        <f>VLOOKUP(BASE[[#This Row],[DESCRIPTION]],LISTEDESCRIPTION[],2,FALSE)</f>
        <v>LOISIRS</v>
      </c>
      <c r="G25" s="1" t="s">
        <v>53</v>
      </c>
      <c r="H25" s="3">
        <v>43616</v>
      </c>
      <c r="I25" s="2">
        <v>11.8</v>
      </c>
      <c r="J25" s="7">
        <f t="shared" si="0"/>
        <v>24</v>
      </c>
      <c r="K25" s="7"/>
      <c r="L25"/>
      <c r="N25" s="1" t="s">
        <v>68</v>
      </c>
      <c r="O25" s="1" t="s">
        <v>86</v>
      </c>
      <c r="P25" s="2"/>
    </row>
    <row r="26" spans="1:16" x14ac:dyDescent="0.25">
      <c r="A26" s="1">
        <f>ROW()-ROW(BASE[[#Headers],[INDEX]])</f>
        <v>25</v>
      </c>
      <c r="B26" s="1" t="s">
        <v>92</v>
      </c>
      <c r="C26" s="1" t="s">
        <v>91</v>
      </c>
      <c r="D26" s="7">
        <f>YEAR(BASE[[#This Row],[DATE]])</f>
        <v>2019</v>
      </c>
      <c r="E26" s="7">
        <f>MONTH(BASE[[#This Row],[DATE]])</f>
        <v>5</v>
      </c>
      <c r="F26" s="1" t="str">
        <f>VLOOKUP(BASE[[#This Row],[DESCRIPTION]],LISTEDESCRIPTION[],2,FALSE)</f>
        <v>VESTIMENTAIRE</v>
      </c>
      <c r="G26" s="1" t="s">
        <v>195</v>
      </c>
      <c r="H26" s="3">
        <v>43614</v>
      </c>
      <c r="I26" s="2">
        <v>7</v>
      </c>
      <c r="J26" s="7">
        <f t="shared" si="0"/>
        <v>25</v>
      </c>
      <c r="K26" s="7"/>
      <c r="L26"/>
      <c r="N26" s="1" t="s">
        <v>63</v>
      </c>
      <c r="O26" s="1" t="s">
        <v>78</v>
      </c>
      <c r="P26" s="2"/>
    </row>
    <row r="27" spans="1:16" x14ac:dyDescent="0.25">
      <c r="A27" s="1">
        <f>ROW()-ROW(BASE[[#Headers],[INDEX]])</f>
        <v>26</v>
      </c>
      <c r="B27" s="1" t="s">
        <v>92</v>
      </c>
      <c r="C27" s="1" t="s">
        <v>91</v>
      </c>
      <c r="D27" s="7">
        <f>YEAR(BASE[[#This Row],[DATE]])</f>
        <v>2019</v>
      </c>
      <c r="E27" s="7">
        <f>MONTH(BASE[[#This Row],[DATE]])</f>
        <v>5</v>
      </c>
      <c r="F27" s="1" t="str">
        <f>VLOOKUP(BASE[[#This Row],[DESCRIPTION]],LISTEDESCRIPTION[],2,FALSE)</f>
        <v>RESTAURATION</v>
      </c>
      <c r="G27" s="1" t="s">
        <v>59</v>
      </c>
      <c r="H27" s="3">
        <v>43614</v>
      </c>
      <c r="I27" s="2">
        <v>9.5</v>
      </c>
      <c r="J27" s="7">
        <f t="shared" si="0"/>
        <v>26</v>
      </c>
      <c r="K27" s="7"/>
      <c r="L27"/>
      <c r="N27" s="1" t="s">
        <v>76</v>
      </c>
      <c r="O27" s="1" t="s">
        <v>84</v>
      </c>
      <c r="P27" s="2"/>
    </row>
    <row r="28" spans="1:16" x14ac:dyDescent="0.25">
      <c r="A28" s="1">
        <f>ROW()-ROW(BASE[[#Headers],[INDEX]])</f>
        <v>27</v>
      </c>
      <c r="B28" s="1" t="s">
        <v>92</v>
      </c>
      <c r="C28" s="1" t="s">
        <v>91</v>
      </c>
      <c r="D28" s="7">
        <f>YEAR(BASE[[#This Row],[DATE]])</f>
        <v>2019</v>
      </c>
      <c r="E28" s="7">
        <f>MONTH(BASE[[#This Row],[DATE]])</f>
        <v>5</v>
      </c>
      <c r="F28" s="1" t="str">
        <f>VLOOKUP(BASE[[#This Row],[DESCRIPTION]],LISTEDESCRIPTION[],2,FALSE)</f>
        <v>DIVERS</v>
      </c>
      <c r="G28" s="1" t="s">
        <v>199</v>
      </c>
      <c r="H28" s="3">
        <v>43613</v>
      </c>
      <c r="I28" s="2">
        <v>16.82</v>
      </c>
      <c r="J28" s="7">
        <f t="shared" si="0"/>
        <v>27</v>
      </c>
      <c r="K28" s="7"/>
      <c r="L28"/>
      <c r="N28" s="1" t="s">
        <v>51</v>
      </c>
      <c r="O28" s="1" t="s">
        <v>85</v>
      </c>
      <c r="P28" s="2"/>
    </row>
    <row r="29" spans="1:16" x14ac:dyDescent="0.25">
      <c r="A29" s="1">
        <f>ROW()-ROW(BASE[[#Headers],[INDEX]])</f>
        <v>28</v>
      </c>
      <c r="B29" s="1" t="s">
        <v>92</v>
      </c>
      <c r="C29" s="1" t="s">
        <v>91</v>
      </c>
      <c r="D29" s="7">
        <f>YEAR(BASE[[#This Row],[DATE]])</f>
        <v>2019</v>
      </c>
      <c r="E29" s="7">
        <f>MONTH(BASE[[#This Row],[DATE]])</f>
        <v>5</v>
      </c>
      <c r="F29" s="1" t="str">
        <f>VLOOKUP(BASE[[#This Row],[DESCRIPTION]],LISTEDESCRIPTION[],2,FALSE)</f>
        <v>DIVERS</v>
      </c>
      <c r="G29" s="1" t="s">
        <v>199</v>
      </c>
      <c r="H29" s="3">
        <v>43613</v>
      </c>
      <c r="I29" s="2">
        <v>0.54</v>
      </c>
      <c r="J29" s="7">
        <f t="shared" si="0"/>
        <v>28</v>
      </c>
      <c r="K29" s="7"/>
      <c r="L29"/>
      <c r="N29" s="1" t="s">
        <v>69</v>
      </c>
      <c r="O29" s="1" t="s">
        <v>89</v>
      </c>
      <c r="P29" s="2"/>
    </row>
    <row r="30" spans="1:16" x14ac:dyDescent="0.25">
      <c r="A30" s="1">
        <f>ROW()-ROW(BASE[[#Headers],[INDEX]])</f>
        <v>29</v>
      </c>
      <c r="B30" s="1" t="s">
        <v>92</v>
      </c>
      <c r="C30" s="1" t="s">
        <v>91</v>
      </c>
      <c r="D30" s="7">
        <f>YEAR(BASE[[#This Row],[DATE]])</f>
        <v>2019</v>
      </c>
      <c r="E30" s="7">
        <f>MONTH(BASE[[#This Row],[DATE]])</f>
        <v>5</v>
      </c>
      <c r="F30" s="1" t="str">
        <f>VLOOKUP(BASE[[#This Row],[DESCRIPTION]],LISTEDESCRIPTION[],2,FALSE)</f>
        <v>DIVERS</v>
      </c>
      <c r="G30" s="1" t="s">
        <v>197</v>
      </c>
      <c r="H30" s="3">
        <v>43612</v>
      </c>
      <c r="I30" s="2">
        <v>3</v>
      </c>
      <c r="J30" s="7">
        <f t="shared" si="0"/>
        <v>29</v>
      </c>
      <c r="K30" s="7"/>
      <c r="L30"/>
      <c r="N30" s="1" t="s">
        <v>24</v>
      </c>
      <c r="O30" s="1" t="s">
        <v>79</v>
      </c>
      <c r="P30" s="2">
        <v>3.09</v>
      </c>
    </row>
    <row r="31" spans="1:16" x14ac:dyDescent="0.25">
      <c r="A31" s="1">
        <f>ROW()-ROW(BASE[[#Headers],[INDEX]])</f>
        <v>30</v>
      </c>
      <c r="B31" s="1" t="s">
        <v>92</v>
      </c>
      <c r="C31" s="1" t="s">
        <v>91</v>
      </c>
      <c r="D31" s="7">
        <f>YEAR(BASE[[#This Row],[DATE]])</f>
        <v>2019</v>
      </c>
      <c r="E31" s="7">
        <f>MONTH(BASE[[#This Row],[DATE]])</f>
        <v>5</v>
      </c>
      <c r="F31" s="1" t="str">
        <f>VLOOKUP(BASE[[#This Row],[DESCRIPTION]],LISTEDESCRIPTION[],2,FALSE)</f>
        <v>TRANSPORT</v>
      </c>
      <c r="G31" s="1" t="s">
        <v>41</v>
      </c>
      <c r="H31" s="3">
        <v>43612</v>
      </c>
      <c r="I31" s="2">
        <v>3.1</v>
      </c>
      <c r="J31" s="7">
        <f t="shared" si="0"/>
        <v>30</v>
      </c>
      <c r="K31" s="7"/>
      <c r="L31"/>
      <c r="N31" s="1" t="s">
        <v>131</v>
      </c>
      <c r="O31" s="1" t="s">
        <v>79</v>
      </c>
      <c r="P31" s="2"/>
    </row>
    <row r="32" spans="1:16" x14ac:dyDescent="0.25">
      <c r="A32" s="1">
        <f>ROW()-ROW(BASE[[#Headers],[INDEX]])</f>
        <v>31</v>
      </c>
      <c r="B32" s="1" t="s">
        <v>92</v>
      </c>
      <c r="C32" s="1" t="s">
        <v>91</v>
      </c>
      <c r="D32" s="7">
        <f>YEAR(BASE[[#This Row],[DATE]])</f>
        <v>2019</v>
      </c>
      <c r="E32" s="7">
        <f>MONTH(BASE[[#This Row],[DATE]])</f>
        <v>5</v>
      </c>
      <c r="F32" s="1" t="str">
        <f>VLOOKUP(BASE[[#This Row],[DESCRIPTION]],LISTEDESCRIPTION[],2,FALSE)</f>
        <v>TRANSPORT</v>
      </c>
      <c r="G32" s="1" t="s">
        <v>56</v>
      </c>
      <c r="H32" s="3">
        <v>43612</v>
      </c>
      <c r="I32" s="2">
        <v>7</v>
      </c>
      <c r="J32" s="7">
        <f t="shared" si="0"/>
        <v>31</v>
      </c>
      <c r="K32" s="7"/>
      <c r="L32"/>
      <c r="N32" s="1" t="s">
        <v>132</v>
      </c>
      <c r="O32" s="1" t="s">
        <v>79</v>
      </c>
      <c r="P32" s="2"/>
    </row>
    <row r="33" spans="1:16" x14ac:dyDescent="0.25">
      <c r="A33" s="1">
        <f>ROW()-ROW(BASE[[#Headers],[INDEX]])</f>
        <v>32</v>
      </c>
      <c r="B33" s="1" t="s">
        <v>92</v>
      </c>
      <c r="C33" s="1" t="s">
        <v>91</v>
      </c>
      <c r="D33" s="7">
        <f>YEAR(BASE[[#This Row],[DATE]])</f>
        <v>2019</v>
      </c>
      <c r="E33" s="7">
        <f>MONTH(BASE[[#This Row],[DATE]])</f>
        <v>5</v>
      </c>
      <c r="F33" s="1" t="str">
        <f>VLOOKUP(BASE[[#This Row],[DESCRIPTION]],LISTEDESCRIPTION[],2,FALSE)</f>
        <v>COURSE</v>
      </c>
      <c r="G33" s="1" t="s">
        <v>29</v>
      </c>
      <c r="H33" s="3">
        <v>43612</v>
      </c>
      <c r="I33" s="2">
        <v>14.9</v>
      </c>
      <c r="J33" s="7">
        <f t="shared" si="0"/>
        <v>32</v>
      </c>
      <c r="K33" s="7"/>
      <c r="L33"/>
      <c r="N33" s="1" t="s">
        <v>133</v>
      </c>
      <c r="O33" s="1" t="s">
        <v>78</v>
      </c>
      <c r="P33" s="2"/>
    </row>
    <row r="34" spans="1:16" x14ac:dyDescent="0.25">
      <c r="A34" s="1">
        <f>ROW()-ROW(BASE[[#Headers],[INDEX]])</f>
        <v>33</v>
      </c>
      <c r="B34" s="1" t="s">
        <v>92</v>
      </c>
      <c r="C34" s="1" t="s">
        <v>91</v>
      </c>
      <c r="D34" s="7">
        <f>YEAR(BASE[[#This Row],[DATE]])</f>
        <v>2019</v>
      </c>
      <c r="E34" s="7">
        <f>MONTH(BASE[[#This Row],[DATE]])</f>
        <v>5</v>
      </c>
      <c r="F34" s="1" t="str">
        <f>VLOOKUP(BASE[[#This Row],[DESCRIPTION]],LISTEDESCRIPTION[],2,FALSE)</f>
        <v>DIVERS</v>
      </c>
      <c r="G34" s="1" t="s">
        <v>152</v>
      </c>
      <c r="H34" s="3">
        <v>43609</v>
      </c>
      <c r="I34" s="2">
        <v>98.5</v>
      </c>
      <c r="J34" s="7">
        <f t="shared" si="0"/>
        <v>33</v>
      </c>
      <c r="K34" s="7"/>
      <c r="L34"/>
      <c r="N34" s="1" t="s">
        <v>134</v>
      </c>
      <c r="O34" s="1" t="s">
        <v>185</v>
      </c>
      <c r="P34" s="2"/>
    </row>
    <row r="35" spans="1:16" x14ac:dyDescent="0.25">
      <c r="A35" s="1">
        <f>ROW()-ROW(BASE[[#Headers],[INDEX]])</f>
        <v>34</v>
      </c>
      <c r="B35" s="1" t="s">
        <v>92</v>
      </c>
      <c r="C35" s="1" t="s">
        <v>91</v>
      </c>
      <c r="D35" s="7">
        <f>YEAR(BASE[[#This Row],[DATE]])</f>
        <v>2019</v>
      </c>
      <c r="E35" s="7">
        <f>MONTH(BASE[[#This Row],[DATE]])</f>
        <v>5</v>
      </c>
      <c r="F35" s="1" t="str">
        <f>VLOOKUP(BASE[[#This Row],[DESCRIPTION]],LISTEDESCRIPTION[],2,FALSE)</f>
        <v>TRANSPORT</v>
      </c>
      <c r="G35" s="1" t="s">
        <v>56</v>
      </c>
      <c r="H35" s="3">
        <v>43609</v>
      </c>
      <c r="I35" s="2">
        <v>8.5</v>
      </c>
      <c r="J35" s="7">
        <f t="shared" si="0"/>
        <v>34</v>
      </c>
      <c r="K35" s="7"/>
      <c r="L35"/>
      <c r="N35" s="1" t="s">
        <v>135</v>
      </c>
      <c r="O35" s="1" t="s">
        <v>90</v>
      </c>
      <c r="P35" s="2"/>
    </row>
    <row r="36" spans="1:16" x14ac:dyDescent="0.25">
      <c r="A36" s="1">
        <f>ROW()-ROW(BASE[[#Headers],[INDEX]])</f>
        <v>35</v>
      </c>
      <c r="B36" s="1" t="s">
        <v>92</v>
      </c>
      <c r="C36" s="1" t="s">
        <v>91</v>
      </c>
      <c r="D36" s="7">
        <f>YEAR(BASE[[#This Row],[DATE]])</f>
        <v>2019</v>
      </c>
      <c r="E36" s="7">
        <f>MONTH(BASE[[#This Row],[DATE]])</f>
        <v>5</v>
      </c>
      <c r="F36" s="1" t="str">
        <f>VLOOKUP(BASE[[#This Row],[DESCRIPTION]],LISTEDESCRIPTION[],2,FALSE)</f>
        <v>PERSONNEL</v>
      </c>
      <c r="G36" s="1" t="s">
        <v>51</v>
      </c>
      <c r="H36" s="3">
        <v>43609</v>
      </c>
      <c r="I36" s="2">
        <v>10</v>
      </c>
      <c r="J36" s="7">
        <f t="shared" si="0"/>
        <v>35</v>
      </c>
      <c r="K36" s="7"/>
      <c r="L36"/>
      <c r="N36" s="1" t="s">
        <v>136</v>
      </c>
      <c r="O36" s="1" t="s">
        <v>86</v>
      </c>
      <c r="P36" s="2"/>
    </row>
    <row r="37" spans="1:16" x14ac:dyDescent="0.25">
      <c r="A37" s="1">
        <f>ROW()-ROW(BASE[[#Headers],[INDEX]])</f>
        <v>36</v>
      </c>
      <c r="B37" s="1" t="s">
        <v>92</v>
      </c>
      <c r="C37" s="1" t="s">
        <v>91</v>
      </c>
      <c r="D37" s="7">
        <f>YEAR(BASE[[#This Row],[DATE]])</f>
        <v>2019</v>
      </c>
      <c r="E37" s="7">
        <f>MONTH(BASE[[#This Row],[DATE]])</f>
        <v>5</v>
      </c>
      <c r="F37" s="1" t="str">
        <f>VLOOKUP(BASE[[#This Row],[DESCRIPTION]],LISTEDESCRIPTION[],2,FALSE)</f>
        <v>FACTURE</v>
      </c>
      <c r="G37" s="1" t="s">
        <v>55</v>
      </c>
      <c r="H37" s="3">
        <v>43609</v>
      </c>
      <c r="I37" s="2">
        <v>7</v>
      </c>
      <c r="J37" s="7">
        <f t="shared" si="0"/>
        <v>36</v>
      </c>
      <c r="K37" s="7"/>
      <c r="L37"/>
      <c r="N37" s="1" t="s">
        <v>137</v>
      </c>
      <c r="O37" s="1" t="s">
        <v>185</v>
      </c>
      <c r="P37" s="2"/>
    </row>
    <row r="38" spans="1:16" x14ac:dyDescent="0.25">
      <c r="A38" s="1">
        <f>ROW()-ROW(BASE[[#Headers],[INDEX]])</f>
        <v>37</v>
      </c>
      <c r="B38" s="1" t="s">
        <v>92</v>
      </c>
      <c r="C38" s="1" t="s">
        <v>91</v>
      </c>
      <c r="D38" s="7">
        <f>YEAR(BASE[[#This Row],[DATE]])</f>
        <v>2019</v>
      </c>
      <c r="E38" s="7">
        <f>MONTH(BASE[[#This Row],[DATE]])</f>
        <v>5</v>
      </c>
      <c r="F38" s="1" t="str">
        <f>VLOOKUP(BASE[[#This Row],[DESCRIPTION]],LISTEDESCRIPTION[],2,FALSE)</f>
        <v>RETRAIT EPARGNE</v>
      </c>
      <c r="G38" s="1" t="s">
        <v>190</v>
      </c>
      <c r="H38" s="3">
        <v>43608</v>
      </c>
      <c r="I38" s="2">
        <v>150</v>
      </c>
      <c r="J38" s="7">
        <f t="shared" si="0"/>
        <v>37</v>
      </c>
      <c r="K38" s="7"/>
      <c r="L38"/>
      <c r="N38" s="1" t="s">
        <v>58</v>
      </c>
      <c r="O38" s="1" t="s">
        <v>86</v>
      </c>
      <c r="P38" s="2"/>
    </row>
    <row r="39" spans="1:16" x14ac:dyDescent="0.25">
      <c r="A39" s="1">
        <f>ROW()-ROW(BASE[[#Headers],[INDEX]])</f>
        <v>38</v>
      </c>
      <c r="B39" s="1" t="s">
        <v>92</v>
      </c>
      <c r="C39" s="1" t="s">
        <v>91</v>
      </c>
      <c r="D39" s="7">
        <f>YEAR(BASE[[#This Row],[DATE]])</f>
        <v>2019</v>
      </c>
      <c r="E39" s="7">
        <f>MONTH(BASE[[#This Row],[DATE]])</f>
        <v>5</v>
      </c>
      <c r="F39" s="1" t="str">
        <f>VLOOKUP(BASE[[#This Row],[DESCRIPTION]],LISTEDESCRIPTION[],2,FALSE)</f>
        <v>COURSE</v>
      </c>
      <c r="G39" s="1" t="s">
        <v>31</v>
      </c>
      <c r="H39" s="3">
        <v>43608</v>
      </c>
      <c r="I39" s="2">
        <v>2.42</v>
      </c>
      <c r="J39" s="7">
        <f t="shared" si="0"/>
        <v>38</v>
      </c>
      <c r="K39" s="7"/>
      <c r="L39"/>
      <c r="N39" s="1" t="s">
        <v>138</v>
      </c>
      <c r="O39" s="1" t="s">
        <v>86</v>
      </c>
      <c r="P39" s="2"/>
    </row>
    <row r="40" spans="1:16" x14ac:dyDescent="0.25">
      <c r="A40" s="1">
        <f>ROW()-ROW(BASE[[#Headers],[INDEX]])</f>
        <v>39</v>
      </c>
      <c r="B40" s="1" t="s">
        <v>92</v>
      </c>
      <c r="C40" s="1" t="s">
        <v>91</v>
      </c>
      <c r="D40" s="7">
        <f>YEAR(BASE[[#This Row],[DATE]])</f>
        <v>2019</v>
      </c>
      <c r="E40" s="7">
        <f>MONTH(BASE[[#This Row],[DATE]])</f>
        <v>5</v>
      </c>
      <c r="F40" s="1" t="str">
        <f>VLOOKUP(BASE[[#This Row],[DESCRIPTION]],LISTEDESCRIPTION[],2,FALSE)</f>
        <v>COURSE</v>
      </c>
      <c r="G40" s="1" t="s">
        <v>34</v>
      </c>
      <c r="H40" s="3">
        <v>43608</v>
      </c>
      <c r="I40" s="2">
        <v>30</v>
      </c>
      <c r="J40" s="7">
        <f t="shared" si="0"/>
        <v>39</v>
      </c>
      <c r="K40" s="7"/>
      <c r="L40"/>
      <c r="N40" s="1" t="s">
        <v>139</v>
      </c>
      <c r="O40" s="1" t="s">
        <v>84</v>
      </c>
      <c r="P40" s="2"/>
    </row>
    <row r="41" spans="1:16" x14ac:dyDescent="0.25">
      <c r="A41" s="1">
        <f>ROW()-ROW(BASE[[#Headers],[INDEX]])</f>
        <v>40</v>
      </c>
      <c r="B41" s="1" t="s">
        <v>92</v>
      </c>
      <c r="C41" s="1" t="s">
        <v>91</v>
      </c>
      <c r="D41" s="7">
        <f>YEAR(BASE[[#This Row],[DATE]])</f>
        <v>2019</v>
      </c>
      <c r="E41" s="7">
        <f>MONTH(BASE[[#This Row],[DATE]])</f>
        <v>5</v>
      </c>
      <c r="F41" s="1" t="str">
        <f>VLOOKUP(BASE[[#This Row],[DESCRIPTION]],LISTEDESCRIPTION[],2,FALSE)</f>
        <v>RESTAURATION</v>
      </c>
      <c r="G41" s="1" t="s">
        <v>57</v>
      </c>
      <c r="H41" s="3">
        <v>43608</v>
      </c>
      <c r="I41" s="2">
        <v>23</v>
      </c>
      <c r="J41" s="7">
        <f t="shared" si="0"/>
        <v>40</v>
      </c>
      <c r="K41" s="7"/>
      <c r="L41"/>
      <c r="N41" s="1" t="s">
        <v>140</v>
      </c>
      <c r="O41" s="1" t="s">
        <v>86</v>
      </c>
      <c r="P41" s="2"/>
    </row>
    <row r="42" spans="1:16" x14ac:dyDescent="0.25">
      <c r="A42" s="1">
        <f>ROW()-ROW(BASE[[#Headers],[INDEX]])</f>
        <v>41</v>
      </c>
      <c r="B42" s="1" t="s">
        <v>92</v>
      </c>
      <c r="C42" s="1" t="s">
        <v>91</v>
      </c>
      <c r="D42" s="7">
        <f>YEAR(BASE[[#This Row],[DATE]])</f>
        <v>2019</v>
      </c>
      <c r="E42" s="7">
        <f>MONTH(BASE[[#This Row],[DATE]])</f>
        <v>5</v>
      </c>
      <c r="F42" s="1" t="str">
        <f>VLOOKUP(BASE[[#This Row],[DESCRIPTION]],LISTEDESCRIPTION[],2,FALSE)</f>
        <v>TRANSPORT</v>
      </c>
      <c r="G42" s="1" t="s">
        <v>41</v>
      </c>
      <c r="H42" s="3">
        <v>43608</v>
      </c>
      <c r="I42" s="2">
        <v>3.1</v>
      </c>
      <c r="J42" s="7">
        <f t="shared" si="0"/>
        <v>41</v>
      </c>
      <c r="K42" s="7"/>
      <c r="L42"/>
      <c r="N42" s="1" t="s">
        <v>141</v>
      </c>
      <c r="O42" s="1" t="s">
        <v>84</v>
      </c>
      <c r="P42" s="2"/>
    </row>
    <row r="43" spans="1:16" x14ac:dyDescent="0.25">
      <c r="A43" s="1">
        <f>ROW()-ROW(BASE[[#Headers],[INDEX]])</f>
        <v>42</v>
      </c>
      <c r="B43" s="1" t="s">
        <v>92</v>
      </c>
      <c r="C43" s="1" t="s">
        <v>91</v>
      </c>
      <c r="D43" s="7">
        <f>YEAR(BASE[[#This Row],[DATE]])</f>
        <v>2019</v>
      </c>
      <c r="E43" s="7">
        <f>MONTH(BASE[[#This Row],[DATE]])</f>
        <v>5</v>
      </c>
      <c r="F43" s="1" t="str">
        <f>VLOOKUP(BASE[[#This Row],[DESCRIPTION]],LISTEDESCRIPTION[],2,FALSE)</f>
        <v>TRANSPORT</v>
      </c>
      <c r="G43" s="1" t="s">
        <v>56</v>
      </c>
      <c r="H43" s="3">
        <v>43608</v>
      </c>
      <c r="I43" s="2">
        <v>7</v>
      </c>
      <c r="J43" s="7">
        <f t="shared" si="0"/>
        <v>42</v>
      </c>
      <c r="K43" s="7"/>
      <c r="L43"/>
      <c r="N43" s="1" t="s">
        <v>30</v>
      </c>
      <c r="O43" s="1" t="s">
        <v>80</v>
      </c>
      <c r="P43" s="2"/>
    </row>
    <row r="44" spans="1:16" x14ac:dyDescent="0.25">
      <c r="A44" s="1">
        <f>ROW()-ROW(BASE[[#Headers],[INDEX]])</f>
        <v>43</v>
      </c>
      <c r="B44" s="1" t="s">
        <v>92</v>
      </c>
      <c r="C44" s="1" t="s">
        <v>91</v>
      </c>
      <c r="D44" s="7">
        <f>YEAR(BASE[[#This Row],[DATE]])</f>
        <v>2019</v>
      </c>
      <c r="E44" s="7">
        <f>MONTH(BASE[[#This Row],[DATE]])</f>
        <v>5</v>
      </c>
      <c r="F44" s="1" t="str">
        <f>VLOOKUP(BASE[[#This Row],[DESCRIPTION]],LISTEDESCRIPTION[],2,FALSE)</f>
        <v>LOISIRS</v>
      </c>
      <c r="G44" s="1" t="s">
        <v>192</v>
      </c>
      <c r="H44" s="3">
        <v>43607</v>
      </c>
      <c r="I44" s="2">
        <v>11.99</v>
      </c>
      <c r="J44" s="7">
        <f t="shared" si="0"/>
        <v>43</v>
      </c>
      <c r="K44" s="7"/>
      <c r="L44"/>
      <c r="N44" s="1" t="s">
        <v>142</v>
      </c>
      <c r="O44" s="1" t="s">
        <v>78</v>
      </c>
      <c r="P44" s="2"/>
    </row>
    <row r="45" spans="1:16" x14ac:dyDescent="0.25">
      <c r="A45" s="1">
        <f>ROW()-ROW(BASE[[#Headers],[INDEX]])</f>
        <v>44</v>
      </c>
      <c r="B45" s="1" t="s">
        <v>92</v>
      </c>
      <c r="C45" s="1" t="s">
        <v>91</v>
      </c>
      <c r="D45" s="7">
        <f>YEAR(BASE[[#This Row],[DATE]])</f>
        <v>2019</v>
      </c>
      <c r="E45" s="7">
        <f>MONTH(BASE[[#This Row],[DATE]])</f>
        <v>5</v>
      </c>
      <c r="F45" s="1" t="str">
        <f>VLOOKUP(BASE[[#This Row],[DESCRIPTION]],LISTEDESCRIPTION[],2,FALSE)</f>
        <v>TRANSPORT</v>
      </c>
      <c r="G45" s="1" t="s">
        <v>56</v>
      </c>
      <c r="H45" s="3">
        <v>43607</v>
      </c>
      <c r="I45" s="2">
        <v>7</v>
      </c>
      <c r="J45" s="7">
        <f t="shared" si="0"/>
        <v>44</v>
      </c>
      <c r="K45" s="7"/>
      <c r="L45"/>
      <c r="N45" s="1" t="s">
        <v>143</v>
      </c>
      <c r="O45" s="1" t="s">
        <v>78</v>
      </c>
      <c r="P45" s="2"/>
    </row>
    <row r="46" spans="1:16" x14ac:dyDescent="0.25">
      <c r="A46" s="1">
        <f>ROW()-ROW(BASE[[#Headers],[INDEX]])</f>
        <v>45</v>
      </c>
      <c r="B46" s="1" t="s">
        <v>92</v>
      </c>
      <c r="C46" s="1" t="s">
        <v>91</v>
      </c>
      <c r="D46" s="7">
        <f>YEAR(BASE[[#This Row],[DATE]])</f>
        <v>2019</v>
      </c>
      <c r="E46" s="7">
        <f>MONTH(BASE[[#This Row],[DATE]])</f>
        <v>5</v>
      </c>
      <c r="F46" s="1" t="str">
        <f>VLOOKUP(BASE[[#This Row],[DESCRIPTION]],LISTEDESCRIPTION[],2,FALSE)</f>
        <v>RESTAURATION</v>
      </c>
      <c r="G46" s="1" t="s">
        <v>57</v>
      </c>
      <c r="H46" s="3">
        <v>43606</v>
      </c>
      <c r="I46" s="2">
        <v>12.9</v>
      </c>
      <c r="J46" s="7">
        <f t="shared" si="0"/>
        <v>45</v>
      </c>
      <c r="K46" s="7"/>
      <c r="L46"/>
      <c r="N46" s="1" t="s">
        <v>144</v>
      </c>
      <c r="O46" s="1" t="s">
        <v>84</v>
      </c>
      <c r="P46" s="2"/>
    </row>
    <row r="47" spans="1:16" x14ac:dyDescent="0.25">
      <c r="A47" s="1">
        <f>ROW()-ROW(BASE[[#Headers],[INDEX]])</f>
        <v>46</v>
      </c>
      <c r="B47" s="1" t="s">
        <v>92</v>
      </c>
      <c r="C47" s="1" t="s">
        <v>91</v>
      </c>
      <c r="D47" s="7">
        <f>YEAR(BASE[[#This Row],[DATE]])</f>
        <v>2019</v>
      </c>
      <c r="E47" s="7">
        <f>MONTH(BASE[[#This Row],[DATE]])</f>
        <v>5</v>
      </c>
      <c r="F47" s="1" t="str">
        <f>VLOOKUP(BASE[[#This Row],[DESCRIPTION]],LISTEDESCRIPTION[],2,FALSE)</f>
        <v>RESTAURATION</v>
      </c>
      <c r="G47" s="1" t="s">
        <v>28</v>
      </c>
      <c r="H47" s="3">
        <v>43605</v>
      </c>
      <c r="I47" s="2">
        <v>36.799999999999997</v>
      </c>
      <c r="J47" s="7">
        <f t="shared" si="0"/>
        <v>46</v>
      </c>
      <c r="K47" s="7"/>
      <c r="L47"/>
      <c r="N47" s="1" t="s">
        <v>145</v>
      </c>
      <c r="O47" s="1" t="s">
        <v>78</v>
      </c>
      <c r="P47" s="2"/>
    </row>
    <row r="48" spans="1:16" x14ac:dyDescent="0.25">
      <c r="A48" s="1">
        <f>ROW()-ROW(BASE[[#Headers],[INDEX]])</f>
        <v>47</v>
      </c>
      <c r="B48" s="1" t="s">
        <v>92</v>
      </c>
      <c r="C48" s="1" t="s">
        <v>91</v>
      </c>
      <c r="D48" s="7">
        <f>YEAR(BASE[[#This Row],[DATE]])</f>
        <v>2019</v>
      </c>
      <c r="E48" s="7">
        <f>MONTH(BASE[[#This Row],[DATE]])</f>
        <v>5</v>
      </c>
      <c r="F48" s="1" t="str">
        <f>VLOOKUP(BASE[[#This Row],[DESCRIPTION]],LISTEDESCRIPTION[],2,FALSE)</f>
        <v>COURSE</v>
      </c>
      <c r="G48" s="1" t="s">
        <v>47</v>
      </c>
      <c r="H48" s="3">
        <v>43605</v>
      </c>
      <c r="I48" s="2">
        <v>7.35</v>
      </c>
      <c r="J48" s="7">
        <f t="shared" si="0"/>
        <v>47</v>
      </c>
      <c r="K48" s="7"/>
      <c r="L48"/>
      <c r="N48" s="1" t="s">
        <v>146</v>
      </c>
      <c r="O48" s="1" t="s">
        <v>78</v>
      </c>
      <c r="P48" s="2"/>
    </row>
    <row r="49" spans="1:16" x14ac:dyDescent="0.25">
      <c r="A49" s="1">
        <f>ROW()-ROW(BASE[[#Headers],[INDEX]])</f>
        <v>48</v>
      </c>
      <c r="B49" s="1" t="s">
        <v>92</v>
      </c>
      <c r="C49" s="1" t="s">
        <v>91</v>
      </c>
      <c r="D49" s="7">
        <f>YEAR(BASE[[#This Row],[DATE]])</f>
        <v>2019</v>
      </c>
      <c r="E49" s="7">
        <f>MONTH(BASE[[#This Row],[DATE]])</f>
        <v>5</v>
      </c>
      <c r="F49" s="1" t="str">
        <f>VLOOKUP(BASE[[#This Row],[DESCRIPTION]],LISTEDESCRIPTION[],2,FALSE)</f>
        <v>FACTURE</v>
      </c>
      <c r="G49" s="1" t="s">
        <v>52</v>
      </c>
      <c r="H49" s="3">
        <v>43605</v>
      </c>
      <c r="I49" s="2">
        <v>6.99</v>
      </c>
      <c r="J49" s="7">
        <f t="shared" si="0"/>
        <v>48</v>
      </c>
      <c r="K49" s="7"/>
      <c r="L49"/>
      <c r="N49" s="1" t="s">
        <v>147</v>
      </c>
      <c r="O49" s="1" t="s">
        <v>78</v>
      </c>
      <c r="P49" s="2"/>
    </row>
    <row r="50" spans="1:16" x14ac:dyDescent="0.25">
      <c r="A50" s="1">
        <f>ROW()-ROW(BASE[[#Headers],[INDEX]])</f>
        <v>49</v>
      </c>
      <c r="B50" s="1" t="s">
        <v>92</v>
      </c>
      <c r="C50" s="1" t="s">
        <v>91</v>
      </c>
      <c r="D50" s="7">
        <f>YEAR(BASE[[#This Row],[DATE]])</f>
        <v>2019</v>
      </c>
      <c r="E50" s="7">
        <f>MONTH(BASE[[#This Row],[DATE]])</f>
        <v>5</v>
      </c>
      <c r="F50" s="1" t="str">
        <f>VLOOKUP(BASE[[#This Row],[DESCRIPTION]],LISTEDESCRIPTION[],2,FALSE)</f>
        <v>LOISIRS</v>
      </c>
      <c r="G50" s="1" t="s">
        <v>198</v>
      </c>
      <c r="H50" s="3">
        <v>43605</v>
      </c>
      <c r="I50" s="2">
        <v>9.99</v>
      </c>
      <c r="J50" s="7">
        <f t="shared" si="0"/>
        <v>49</v>
      </c>
      <c r="K50" s="7"/>
      <c r="L50"/>
      <c r="N50" s="1" t="s">
        <v>27</v>
      </c>
      <c r="O50" s="1" t="s">
        <v>79</v>
      </c>
      <c r="P50" s="2"/>
    </row>
    <row r="51" spans="1:16" x14ac:dyDescent="0.25">
      <c r="A51" s="1">
        <f>ROW()-ROW(BASE[[#Headers],[INDEX]])</f>
        <v>50</v>
      </c>
      <c r="B51" s="1" t="s">
        <v>92</v>
      </c>
      <c r="C51" s="1" t="s">
        <v>91</v>
      </c>
      <c r="D51" s="7">
        <f>YEAR(BASE[[#This Row],[DATE]])</f>
        <v>2019</v>
      </c>
      <c r="E51" s="7">
        <f>MONTH(BASE[[#This Row],[DATE]])</f>
        <v>5</v>
      </c>
      <c r="F51" s="1" t="str">
        <f>VLOOKUP(BASE[[#This Row],[DESCRIPTION]],LISTEDESCRIPTION[],2,FALSE)</f>
        <v>TRANSPORT</v>
      </c>
      <c r="G51" s="1" t="s">
        <v>56</v>
      </c>
      <c r="H51" s="3">
        <v>43605</v>
      </c>
      <c r="I51" s="2">
        <v>8.5</v>
      </c>
      <c r="J51" s="7">
        <f t="shared" si="0"/>
        <v>50</v>
      </c>
      <c r="K51" s="7"/>
      <c r="L51"/>
      <c r="N51" s="1" t="s">
        <v>40</v>
      </c>
      <c r="O51" s="1" t="s">
        <v>81</v>
      </c>
      <c r="P51" s="2"/>
    </row>
    <row r="52" spans="1:16" x14ac:dyDescent="0.25">
      <c r="A52" s="1">
        <f>ROW()-ROW(BASE[[#Headers],[INDEX]])</f>
        <v>51</v>
      </c>
      <c r="B52" s="1" t="s">
        <v>92</v>
      </c>
      <c r="C52" s="1" t="s">
        <v>91</v>
      </c>
      <c r="D52" s="7">
        <f>YEAR(BASE[[#This Row],[DATE]])</f>
        <v>2019</v>
      </c>
      <c r="E52" s="7">
        <f>MONTH(BASE[[#This Row],[DATE]])</f>
        <v>5</v>
      </c>
      <c r="F52" s="1" t="str">
        <f>VLOOKUP(BASE[[#This Row],[DESCRIPTION]],LISTEDESCRIPTION[],2,FALSE)</f>
        <v>TRANSPORT</v>
      </c>
      <c r="G52" s="1" t="s">
        <v>41</v>
      </c>
      <c r="H52" s="3">
        <v>43605</v>
      </c>
      <c r="I52" s="2">
        <v>1.7</v>
      </c>
      <c r="J52" s="7">
        <f t="shared" si="0"/>
        <v>51</v>
      </c>
      <c r="K52" s="7"/>
      <c r="L52"/>
      <c r="N52" s="1" t="s">
        <v>148</v>
      </c>
      <c r="O52" s="1" t="s">
        <v>86</v>
      </c>
      <c r="P52" s="2"/>
    </row>
    <row r="53" spans="1:16" x14ac:dyDescent="0.25">
      <c r="A53" s="1">
        <f>ROW()-ROW(BASE[[#Headers],[INDEX]])</f>
        <v>52</v>
      </c>
      <c r="B53" s="1" t="s">
        <v>92</v>
      </c>
      <c r="C53" s="1" t="s">
        <v>91</v>
      </c>
      <c r="D53" s="7">
        <f>YEAR(BASE[[#This Row],[DATE]])</f>
        <v>2019</v>
      </c>
      <c r="E53" s="7">
        <f>MONTH(BASE[[#This Row],[DATE]])</f>
        <v>5</v>
      </c>
      <c r="F53" s="1" t="str">
        <f>VLOOKUP(BASE[[#This Row],[DESCRIPTION]],LISTEDESCRIPTION[],2,FALSE)</f>
        <v>TRANSPORT</v>
      </c>
      <c r="G53" s="1" t="s">
        <v>56</v>
      </c>
      <c r="H53" s="3">
        <v>43605</v>
      </c>
      <c r="I53" s="2">
        <v>7</v>
      </c>
      <c r="J53" s="7">
        <f t="shared" si="0"/>
        <v>52</v>
      </c>
      <c r="K53" s="7"/>
      <c r="L53"/>
      <c r="N53" s="1" t="s">
        <v>149</v>
      </c>
      <c r="O53" s="1" t="s">
        <v>90</v>
      </c>
      <c r="P53" s="2"/>
    </row>
    <row r="54" spans="1:16" x14ac:dyDescent="0.25">
      <c r="A54" s="1">
        <f>ROW()-ROW(BASE[[#Headers],[INDEX]])</f>
        <v>53</v>
      </c>
      <c r="B54" s="1" t="s">
        <v>92</v>
      </c>
      <c r="C54" s="1" t="s">
        <v>91</v>
      </c>
      <c r="D54" s="7">
        <f>YEAR(BASE[[#This Row],[DATE]])</f>
        <v>2019</v>
      </c>
      <c r="E54" s="7">
        <f>MONTH(BASE[[#This Row],[DATE]])</f>
        <v>5</v>
      </c>
      <c r="F54" s="1" t="str">
        <f>VLOOKUP(BASE[[#This Row],[DESCRIPTION]],LISTEDESCRIPTION[],2,FALSE)</f>
        <v>RESTAURATION</v>
      </c>
      <c r="G54" s="1" t="s">
        <v>70</v>
      </c>
      <c r="H54" s="3">
        <v>43605</v>
      </c>
      <c r="I54" s="2">
        <v>19.899999999999999</v>
      </c>
      <c r="J54" s="7">
        <f t="shared" si="0"/>
        <v>53</v>
      </c>
      <c r="K54" s="7"/>
      <c r="L54"/>
      <c r="N54" s="1" t="s">
        <v>150</v>
      </c>
      <c r="O54" s="1" t="s">
        <v>84</v>
      </c>
      <c r="P54" s="2"/>
    </row>
    <row r="55" spans="1:16" x14ac:dyDescent="0.25">
      <c r="A55" s="1">
        <f>ROW()-ROW(BASE[[#Headers],[INDEX]])</f>
        <v>54</v>
      </c>
      <c r="B55" s="1" t="s">
        <v>92</v>
      </c>
      <c r="C55" s="1" t="s">
        <v>91</v>
      </c>
      <c r="D55" s="7">
        <f>YEAR(BASE[[#This Row],[DATE]])</f>
        <v>2019</v>
      </c>
      <c r="E55" s="7">
        <f>MONTH(BASE[[#This Row],[DATE]])</f>
        <v>5</v>
      </c>
      <c r="F55" s="1" t="str">
        <f>VLOOKUP(BASE[[#This Row],[DESCRIPTION]],LISTEDESCRIPTION[],2,FALSE)</f>
        <v>FACTURE</v>
      </c>
      <c r="G55" s="1" t="s">
        <v>45</v>
      </c>
      <c r="H55" s="3">
        <v>43602</v>
      </c>
      <c r="I55" s="2">
        <v>9.9</v>
      </c>
      <c r="J55" s="7">
        <f t="shared" si="0"/>
        <v>54</v>
      </c>
      <c r="K55" s="7"/>
      <c r="L55"/>
      <c r="N55" s="1" t="s">
        <v>72</v>
      </c>
      <c r="O55" s="1" t="s">
        <v>90</v>
      </c>
      <c r="P55" s="2"/>
    </row>
    <row r="56" spans="1:16" x14ac:dyDescent="0.25">
      <c r="A56" s="1">
        <f>ROW()-ROW(BASE[[#Headers],[INDEX]])</f>
        <v>55</v>
      </c>
      <c r="B56" s="1" t="s">
        <v>92</v>
      </c>
      <c r="C56" s="1" t="s">
        <v>91</v>
      </c>
      <c r="D56" s="7">
        <f>YEAR(BASE[[#This Row],[DATE]])</f>
        <v>2019</v>
      </c>
      <c r="E56" s="7">
        <f>MONTH(BASE[[#This Row],[DATE]])</f>
        <v>5</v>
      </c>
      <c r="F56" s="1" t="str">
        <f>VLOOKUP(BASE[[#This Row],[DESCRIPTION]],LISTEDESCRIPTION[],2,FALSE)</f>
        <v>FACTURE</v>
      </c>
      <c r="G56" s="1" t="s">
        <v>49</v>
      </c>
      <c r="H56" s="3">
        <v>43602</v>
      </c>
      <c r="I56" s="2">
        <v>10.99</v>
      </c>
      <c r="J56" s="7">
        <f t="shared" si="0"/>
        <v>55</v>
      </c>
      <c r="K56" s="7"/>
      <c r="L56"/>
      <c r="N56" s="1" t="s">
        <v>74</v>
      </c>
      <c r="O56" s="1" t="s">
        <v>78</v>
      </c>
      <c r="P56" s="2"/>
    </row>
    <row r="57" spans="1:16" x14ac:dyDescent="0.25">
      <c r="A57" s="1">
        <f>ROW()-ROW(BASE[[#Headers],[INDEX]])</f>
        <v>56</v>
      </c>
      <c r="B57" s="1" t="s">
        <v>92</v>
      </c>
      <c r="C57" s="1" t="s">
        <v>91</v>
      </c>
      <c r="D57" s="7">
        <f>YEAR(BASE[[#This Row],[DATE]])</f>
        <v>2019</v>
      </c>
      <c r="E57" s="7">
        <f>MONTH(BASE[[#This Row],[DATE]])</f>
        <v>5</v>
      </c>
      <c r="F57" s="1" t="str">
        <f>VLOOKUP(BASE[[#This Row],[DESCRIPTION]],LISTEDESCRIPTION[],2,FALSE)</f>
        <v>DIVERS</v>
      </c>
      <c r="G57" s="1" t="s">
        <v>196</v>
      </c>
      <c r="H57" s="3">
        <v>43600</v>
      </c>
      <c r="I57" s="2">
        <v>10.91</v>
      </c>
      <c r="J57" s="7">
        <f t="shared" si="0"/>
        <v>56</v>
      </c>
      <c r="K57" s="7"/>
      <c r="L57"/>
      <c r="N57" s="1" t="s">
        <v>33</v>
      </c>
      <c r="O57" s="1" t="s">
        <v>82</v>
      </c>
      <c r="P57" s="2">
        <v>44.34</v>
      </c>
    </row>
    <row r="58" spans="1:16" x14ac:dyDescent="0.25">
      <c r="A58" s="1">
        <f>ROW()-ROW(BASE[[#Headers],[INDEX]])</f>
        <v>57</v>
      </c>
      <c r="B58" s="1" t="s">
        <v>92</v>
      </c>
      <c r="C58" s="1" t="s">
        <v>91</v>
      </c>
      <c r="D58" s="7">
        <f>YEAR(BASE[[#This Row],[DATE]])</f>
        <v>2019</v>
      </c>
      <c r="E58" s="7">
        <f>MONTH(BASE[[#This Row],[DATE]])</f>
        <v>5</v>
      </c>
      <c r="F58" s="1" t="str">
        <f>VLOOKUP(BASE[[#This Row],[DESCRIPTION]],LISTEDESCRIPTION[],2,FALSE)</f>
        <v>LOISIRS</v>
      </c>
      <c r="G58" s="1" t="s">
        <v>53</v>
      </c>
      <c r="H58" s="3">
        <v>43598</v>
      </c>
      <c r="I58" s="2">
        <v>5.2</v>
      </c>
      <c r="J58" s="7">
        <f t="shared" si="0"/>
        <v>57</v>
      </c>
      <c r="K58" s="7"/>
      <c r="L58"/>
      <c r="N58" s="1" t="s">
        <v>151</v>
      </c>
      <c r="O58" s="1" t="s">
        <v>79</v>
      </c>
      <c r="P58" s="2"/>
    </row>
    <row r="59" spans="1:16" x14ac:dyDescent="0.25">
      <c r="A59" s="1">
        <f>ROW()-ROW(BASE[[#Headers],[INDEX]])</f>
        <v>58</v>
      </c>
      <c r="B59" s="1" t="s">
        <v>92</v>
      </c>
      <c r="C59" s="1" t="s">
        <v>91</v>
      </c>
      <c r="D59" s="7">
        <f>YEAR(BASE[[#This Row],[DATE]])</f>
        <v>2019</v>
      </c>
      <c r="E59" s="7">
        <f>MONTH(BASE[[#This Row],[DATE]])</f>
        <v>5</v>
      </c>
      <c r="F59" s="1" t="str">
        <f>VLOOKUP(BASE[[#This Row],[DESCRIPTION]],LISTEDESCRIPTION[],2,FALSE)</f>
        <v>RESTAURATION</v>
      </c>
      <c r="G59" s="1" t="s">
        <v>28</v>
      </c>
      <c r="H59" s="3">
        <v>43598</v>
      </c>
      <c r="I59" s="2">
        <v>21.5</v>
      </c>
      <c r="J59" s="7">
        <f t="shared" si="0"/>
        <v>58</v>
      </c>
      <c r="K59" s="7"/>
      <c r="L59"/>
      <c r="N59" s="1" t="s">
        <v>152</v>
      </c>
      <c r="O59" s="1" t="s">
        <v>86</v>
      </c>
      <c r="P59" s="2"/>
    </row>
    <row r="60" spans="1:16" x14ac:dyDescent="0.25">
      <c r="A60" s="1">
        <f>ROW()-ROW(BASE[[#Headers],[INDEX]])</f>
        <v>59</v>
      </c>
      <c r="B60" s="1" t="s">
        <v>92</v>
      </c>
      <c r="C60" s="1" t="s">
        <v>91</v>
      </c>
      <c r="D60" s="7">
        <f>YEAR(BASE[[#This Row],[DATE]])</f>
        <v>2019</v>
      </c>
      <c r="E60" s="7">
        <f>MONTH(BASE[[#This Row],[DATE]])</f>
        <v>5</v>
      </c>
      <c r="F60" s="1" t="str">
        <f>VLOOKUP(BASE[[#This Row],[DESCRIPTION]],LISTEDESCRIPTION[],2,FALSE)</f>
        <v>CREDIT</v>
      </c>
      <c r="G60" s="1" t="s">
        <v>37</v>
      </c>
      <c r="H60" s="3">
        <v>43595</v>
      </c>
      <c r="I60" s="2">
        <v>30</v>
      </c>
      <c r="J60" s="7">
        <f t="shared" si="0"/>
        <v>59</v>
      </c>
      <c r="K60" s="7"/>
      <c r="L60"/>
      <c r="N60" s="1" t="s">
        <v>153</v>
      </c>
      <c r="O60" s="1" t="s">
        <v>80</v>
      </c>
      <c r="P60" s="2"/>
    </row>
    <row r="61" spans="1:16" x14ac:dyDescent="0.25">
      <c r="A61" s="1">
        <f>ROW()-ROW(BASE[[#Headers],[INDEX]])</f>
        <v>60</v>
      </c>
      <c r="B61" s="1" t="s">
        <v>92</v>
      </c>
      <c r="C61" s="1" t="s">
        <v>91</v>
      </c>
      <c r="D61" s="7">
        <f>YEAR(BASE[[#This Row],[DATE]])</f>
        <v>2019</v>
      </c>
      <c r="E61" s="7">
        <f>MONTH(BASE[[#This Row],[DATE]])</f>
        <v>5</v>
      </c>
      <c r="F61" s="1" t="str">
        <f>VLOOKUP(BASE[[#This Row],[DESCRIPTION]],LISTEDESCRIPTION[],2,FALSE)</f>
        <v>DIVERS</v>
      </c>
      <c r="G61" s="1" t="s">
        <v>60</v>
      </c>
      <c r="H61" s="3">
        <v>43595</v>
      </c>
      <c r="I61" s="2">
        <v>26.68</v>
      </c>
      <c r="J61" s="7">
        <f t="shared" si="0"/>
        <v>60</v>
      </c>
      <c r="K61" s="7"/>
      <c r="L61"/>
      <c r="N61" s="1" t="s">
        <v>154</v>
      </c>
      <c r="O61" s="1" t="s">
        <v>84</v>
      </c>
      <c r="P61" s="2"/>
    </row>
    <row r="62" spans="1:16" x14ac:dyDescent="0.25">
      <c r="A62" s="1">
        <f>ROW()-ROW(BASE[[#Headers],[INDEX]])</f>
        <v>61</v>
      </c>
      <c r="B62" s="1" t="s">
        <v>92</v>
      </c>
      <c r="C62" s="1" t="s">
        <v>91</v>
      </c>
      <c r="D62" s="7">
        <f>YEAR(BASE[[#This Row],[DATE]])</f>
        <v>2019</v>
      </c>
      <c r="E62" s="7">
        <f>MONTH(BASE[[#This Row],[DATE]])</f>
        <v>5</v>
      </c>
      <c r="F62" s="1" t="str">
        <f>VLOOKUP(BASE[[#This Row],[DESCRIPTION]],LISTEDESCRIPTION[],2,FALSE)</f>
        <v>COURSE</v>
      </c>
      <c r="G62" s="1" t="s">
        <v>159</v>
      </c>
      <c r="H62" s="3">
        <v>43595</v>
      </c>
      <c r="I62" s="2">
        <v>5.42</v>
      </c>
      <c r="J62" s="7">
        <f t="shared" si="0"/>
        <v>61</v>
      </c>
      <c r="K62" s="7"/>
      <c r="L62"/>
      <c r="N62" s="1" t="s">
        <v>31</v>
      </c>
      <c r="O62" s="1" t="s">
        <v>81</v>
      </c>
      <c r="P62" s="2"/>
    </row>
    <row r="63" spans="1:16" x14ac:dyDescent="0.25">
      <c r="A63" s="1">
        <f>ROW()-ROW(BASE[[#Headers],[INDEX]])</f>
        <v>62</v>
      </c>
      <c r="B63" s="1" t="s">
        <v>92</v>
      </c>
      <c r="C63" s="1" t="s">
        <v>91</v>
      </c>
      <c r="D63" s="7">
        <f>YEAR(BASE[[#This Row],[DATE]])</f>
        <v>2019</v>
      </c>
      <c r="E63" s="7">
        <f>MONTH(BASE[[#This Row],[DATE]])</f>
        <v>5</v>
      </c>
      <c r="F63" s="1" t="str">
        <f>VLOOKUP(BASE[[#This Row],[DESCRIPTION]],LISTEDESCRIPTION[],2,FALSE)</f>
        <v>FACTURE</v>
      </c>
      <c r="G63" s="1" t="s">
        <v>32</v>
      </c>
      <c r="H63" s="3">
        <v>43594</v>
      </c>
      <c r="I63" s="2">
        <v>280</v>
      </c>
      <c r="J63" s="7">
        <f t="shared" si="0"/>
        <v>62</v>
      </c>
      <c r="K63" s="7"/>
      <c r="L63"/>
      <c r="N63" s="1" t="s">
        <v>155</v>
      </c>
      <c r="O63" s="1" t="s">
        <v>90</v>
      </c>
      <c r="P63" s="2"/>
    </row>
    <row r="64" spans="1:16" x14ac:dyDescent="0.25">
      <c r="A64" s="1">
        <f>ROW()-ROW(BASE[[#Headers],[INDEX]])</f>
        <v>63</v>
      </c>
      <c r="B64" s="1" t="s">
        <v>92</v>
      </c>
      <c r="C64" s="1" t="s">
        <v>91</v>
      </c>
      <c r="D64" s="7">
        <f>YEAR(BASE[[#This Row],[DATE]])</f>
        <v>2019</v>
      </c>
      <c r="E64" s="7">
        <f>MONTH(BASE[[#This Row],[DATE]])</f>
        <v>5</v>
      </c>
      <c r="F64" s="1" t="str">
        <f>VLOOKUP(BASE[[#This Row],[DESCRIPTION]],LISTEDESCRIPTION[],2,FALSE)</f>
        <v>CREDIT</v>
      </c>
      <c r="G64" s="1" t="s">
        <v>33</v>
      </c>
      <c r="H64" s="3">
        <v>43594</v>
      </c>
      <c r="I64" s="2">
        <v>44.34</v>
      </c>
      <c r="J64" s="7">
        <f t="shared" si="0"/>
        <v>63</v>
      </c>
      <c r="K64" s="7"/>
      <c r="L64"/>
      <c r="N64" s="1" t="s">
        <v>73</v>
      </c>
      <c r="O64" s="1" t="s">
        <v>86</v>
      </c>
      <c r="P64" s="2"/>
    </row>
    <row r="65" spans="1:16" x14ac:dyDescent="0.25">
      <c r="A65" s="1">
        <f>ROW()-ROW(BASE[[#Headers],[INDEX]])</f>
        <v>64</v>
      </c>
      <c r="B65" s="1" t="s">
        <v>92</v>
      </c>
      <c r="C65" s="1" t="s">
        <v>91</v>
      </c>
      <c r="D65" s="7">
        <f>YEAR(BASE[[#This Row],[DATE]])</f>
        <v>2019</v>
      </c>
      <c r="E65" s="7">
        <f>MONTH(BASE[[#This Row],[DATE]])</f>
        <v>5</v>
      </c>
      <c r="F65" s="1" t="str">
        <f>VLOOKUP(BASE[[#This Row],[DESCRIPTION]],LISTEDESCRIPTION[],2,FALSE)</f>
        <v>RESTAURATION</v>
      </c>
      <c r="G65" s="1" t="s">
        <v>57</v>
      </c>
      <c r="H65" s="3">
        <v>43594</v>
      </c>
      <c r="I65" s="2">
        <v>17</v>
      </c>
      <c r="J65" s="7">
        <f t="shared" si="0"/>
        <v>64</v>
      </c>
      <c r="K65" s="7"/>
      <c r="L65"/>
      <c r="N65" s="1" t="s">
        <v>156</v>
      </c>
      <c r="O65" s="1" t="s">
        <v>84</v>
      </c>
      <c r="P65" s="2"/>
    </row>
    <row r="66" spans="1:16" x14ac:dyDescent="0.25">
      <c r="A66" s="1">
        <f>ROW()-ROW(BASE[[#Headers],[INDEX]])</f>
        <v>65</v>
      </c>
      <c r="B66" s="1" t="s">
        <v>92</v>
      </c>
      <c r="C66" s="1" t="s">
        <v>91</v>
      </c>
      <c r="D66" s="7">
        <f>YEAR(BASE[[#This Row],[DATE]])</f>
        <v>2019</v>
      </c>
      <c r="E66" s="7">
        <f>MONTH(BASE[[#This Row],[DATE]])</f>
        <v>5</v>
      </c>
      <c r="F66" s="1" t="str">
        <f>VLOOKUP(BASE[[#This Row],[DESCRIPTION]],LISTEDESCRIPTION[],2,FALSE)</f>
        <v>LOISIRS</v>
      </c>
      <c r="G66" s="1" t="s">
        <v>76</v>
      </c>
      <c r="H66" s="3">
        <v>43594</v>
      </c>
      <c r="I66" s="2">
        <v>26.5</v>
      </c>
      <c r="J66" s="7">
        <f t="shared" ref="J66:J129" si="1">IF(J65="N°LIGNE",1,J65+1)</f>
        <v>65</v>
      </c>
      <c r="K66" s="7"/>
      <c r="L66"/>
      <c r="N66" s="1" t="s">
        <v>157</v>
      </c>
      <c r="O66" s="1" t="s">
        <v>78</v>
      </c>
      <c r="P66" s="2"/>
    </row>
    <row r="67" spans="1:16" x14ac:dyDescent="0.25">
      <c r="A67" s="1">
        <f>ROW()-ROW(BASE[[#Headers],[INDEX]])</f>
        <v>66</v>
      </c>
      <c r="B67" s="1" t="s">
        <v>92</v>
      </c>
      <c r="C67" s="1" t="s">
        <v>91</v>
      </c>
      <c r="D67" s="7">
        <f>YEAR(BASE[[#This Row],[DATE]])</f>
        <v>2019</v>
      </c>
      <c r="E67" s="7">
        <f>MONTH(BASE[[#This Row],[DATE]])</f>
        <v>5</v>
      </c>
      <c r="F67" s="1" t="str">
        <f>VLOOKUP(BASE[[#This Row],[DESCRIPTION]],LISTEDESCRIPTION[],2,FALSE)</f>
        <v>COURSE</v>
      </c>
      <c r="G67" s="1" t="s">
        <v>159</v>
      </c>
      <c r="H67" s="3">
        <v>43594</v>
      </c>
      <c r="I67" s="2">
        <v>4.08</v>
      </c>
      <c r="J67" s="7">
        <f t="shared" si="1"/>
        <v>66</v>
      </c>
      <c r="K67" s="7"/>
      <c r="L67"/>
      <c r="N67" s="1" t="s">
        <v>61</v>
      </c>
      <c r="O67" s="1" t="s">
        <v>78</v>
      </c>
      <c r="P67" s="2"/>
    </row>
    <row r="68" spans="1:16" x14ac:dyDescent="0.25">
      <c r="A68" s="1">
        <f>ROW()-ROW(BASE[[#Headers],[INDEX]])</f>
        <v>67</v>
      </c>
      <c r="B68" s="1" t="s">
        <v>92</v>
      </c>
      <c r="C68" s="1" t="s">
        <v>91</v>
      </c>
      <c r="D68" s="7">
        <f>YEAR(BASE[[#This Row],[DATE]])</f>
        <v>2019</v>
      </c>
      <c r="E68" s="7">
        <f>MONTH(BASE[[#This Row],[DATE]])</f>
        <v>5</v>
      </c>
      <c r="F68" s="1" t="str">
        <f>VLOOKUP(BASE[[#This Row],[DESCRIPTION]],LISTEDESCRIPTION[],2,FALSE)</f>
        <v>VESTIMENTAIRE</v>
      </c>
      <c r="G68" s="1" t="s">
        <v>195</v>
      </c>
      <c r="H68" s="3">
        <v>43594</v>
      </c>
      <c r="I68" s="2">
        <v>18</v>
      </c>
      <c r="J68" s="7">
        <f t="shared" si="1"/>
        <v>67</v>
      </c>
      <c r="K68" s="7"/>
      <c r="L68"/>
      <c r="N68" s="1" t="s">
        <v>38</v>
      </c>
      <c r="O68" s="1" t="s">
        <v>78</v>
      </c>
      <c r="P68" s="2"/>
    </row>
    <row r="69" spans="1:16" x14ac:dyDescent="0.25">
      <c r="A69" s="1">
        <f>ROW()-ROW(BASE[[#Headers],[INDEX]])</f>
        <v>68</v>
      </c>
      <c r="B69" s="1" t="s">
        <v>92</v>
      </c>
      <c r="C69" s="1" t="s">
        <v>91</v>
      </c>
      <c r="D69" s="7">
        <f>YEAR(BASE[[#This Row],[DATE]])</f>
        <v>2019</v>
      </c>
      <c r="E69" s="7">
        <f>MONTH(BASE[[#This Row],[DATE]])</f>
        <v>5</v>
      </c>
      <c r="F69" s="1" t="str">
        <f>VLOOKUP(BASE[[#This Row],[DESCRIPTION]],LISTEDESCRIPTION[],2,FALSE)</f>
        <v>DIVERS</v>
      </c>
      <c r="G69" s="1" t="s">
        <v>60</v>
      </c>
      <c r="H69" s="3">
        <v>43592</v>
      </c>
      <c r="I69" s="2">
        <v>7.99</v>
      </c>
      <c r="J69" s="7">
        <f t="shared" si="1"/>
        <v>68</v>
      </c>
      <c r="K69" s="7"/>
      <c r="L69"/>
      <c r="N69" s="7" t="s">
        <v>195</v>
      </c>
      <c r="O69" s="1" t="s">
        <v>90</v>
      </c>
      <c r="P69" s="2"/>
    </row>
    <row r="70" spans="1:16" x14ac:dyDescent="0.25">
      <c r="A70" s="1">
        <f>ROW()-ROW(BASE[[#Headers],[INDEX]])</f>
        <v>69</v>
      </c>
      <c r="B70" s="1" t="s">
        <v>92</v>
      </c>
      <c r="C70" s="1" t="s">
        <v>91</v>
      </c>
      <c r="D70" s="7">
        <f>YEAR(BASE[[#This Row],[DATE]])</f>
        <v>2019</v>
      </c>
      <c r="E70" s="7">
        <f>MONTH(BASE[[#This Row],[DATE]])</f>
        <v>5</v>
      </c>
      <c r="F70" s="1" t="str">
        <f>VLOOKUP(BASE[[#This Row],[DESCRIPTION]],LISTEDESCRIPTION[],2,FALSE)</f>
        <v>RESTAURATION</v>
      </c>
      <c r="G70" s="1" t="s">
        <v>59</v>
      </c>
      <c r="H70" s="3">
        <v>43592</v>
      </c>
      <c r="I70" s="2">
        <v>5.3</v>
      </c>
      <c r="J70" s="7">
        <f t="shared" si="1"/>
        <v>69</v>
      </c>
      <c r="K70" s="7"/>
      <c r="L70"/>
      <c r="N70" s="1" t="s">
        <v>64</v>
      </c>
      <c r="O70" s="1" t="s">
        <v>78</v>
      </c>
      <c r="P70" s="2"/>
    </row>
    <row r="71" spans="1:16" x14ac:dyDescent="0.25">
      <c r="A71" s="1">
        <f>ROW()-ROW(BASE[[#Headers],[INDEX]])</f>
        <v>70</v>
      </c>
      <c r="B71" s="1" t="s">
        <v>92</v>
      </c>
      <c r="C71" s="1" t="s">
        <v>91</v>
      </c>
      <c r="D71" s="7">
        <f>YEAR(BASE[[#This Row],[DATE]])</f>
        <v>2019</v>
      </c>
      <c r="E71" s="7">
        <f>MONTH(BASE[[#This Row],[DATE]])</f>
        <v>5</v>
      </c>
      <c r="F71" s="1" t="str">
        <f>VLOOKUP(BASE[[#This Row],[DESCRIPTION]],LISTEDESCRIPTION[],2,FALSE)</f>
        <v>FACTURE</v>
      </c>
      <c r="G71" s="1" t="s">
        <v>27</v>
      </c>
      <c r="H71" s="3">
        <v>43592</v>
      </c>
      <c r="I71" s="2">
        <v>30</v>
      </c>
      <c r="J71" s="7">
        <f t="shared" si="1"/>
        <v>70</v>
      </c>
      <c r="K71" s="7"/>
      <c r="L71"/>
      <c r="N71" s="1" t="s">
        <v>158</v>
      </c>
      <c r="O71" s="1" t="s">
        <v>86</v>
      </c>
      <c r="P71" s="2"/>
    </row>
    <row r="72" spans="1:16" x14ac:dyDescent="0.25">
      <c r="A72" s="1">
        <f>ROW()-ROW(BASE[[#Headers],[INDEX]])</f>
        <v>71</v>
      </c>
      <c r="B72" s="1" t="s">
        <v>92</v>
      </c>
      <c r="C72" s="1" t="s">
        <v>91</v>
      </c>
      <c r="D72" s="7">
        <f>YEAR(BASE[[#This Row],[DATE]])</f>
        <v>2019</v>
      </c>
      <c r="E72" s="7">
        <f>MONTH(BASE[[#This Row],[DATE]])</f>
        <v>5</v>
      </c>
      <c r="F72" s="1" t="str">
        <f>VLOOKUP(BASE[[#This Row],[DESCRIPTION]],LISTEDESCRIPTION[],2,FALSE)</f>
        <v>SALAIRE</v>
      </c>
      <c r="G72" s="1" t="s">
        <v>21</v>
      </c>
      <c r="H72" s="3">
        <v>43591</v>
      </c>
      <c r="I72" s="2">
        <v>740.44</v>
      </c>
      <c r="J72" s="7">
        <f t="shared" si="1"/>
        <v>71</v>
      </c>
      <c r="K72" s="7"/>
      <c r="L72"/>
      <c r="N72" s="1" t="s">
        <v>34</v>
      </c>
      <c r="O72" s="1" t="s">
        <v>81</v>
      </c>
      <c r="P72" s="2"/>
    </row>
    <row r="73" spans="1:16" x14ac:dyDescent="0.25">
      <c r="A73" s="1">
        <f>ROW()-ROW(BASE[[#Headers],[INDEX]])</f>
        <v>72</v>
      </c>
      <c r="B73" s="1" t="s">
        <v>92</v>
      </c>
      <c r="C73" s="1" t="s">
        <v>91</v>
      </c>
      <c r="D73" s="7">
        <f>YEAR(BASE[[#This Row],[DATE]])</f>
        <v>2019</v>
      </c>
      <c r="E73" s="7">
        <f>MONTH(BASE[[#This Row],[DATE]])</f>
        <v>5</v>
      </c>
      <c r="F73" s="1" t="str">
        <f>VLOOKUP(BASE[[#This Row],[DESCRIPTION]],LISTEDESCRIPTION[],2,FALSE)</f>
        <v>COURSE</v>
      </c>
      <c r="G73" s="1" t="s">
        <v>47</v>
      </c>
      <c r="H73" s="3">
        <v>43591</v>
      </c>
      <c r="I73" s="2">
        <v>6.45</v>
      </c>
      <c r="J73" s="7">
        <f t="shared" si="1"/>
        <v>72</v>
      </c>
      <c r="K73" s="7"/>
      <c r="L73"/>
      <c r="N73" s="1" t="s">
        <v>191</v>
      </c>
      <c r="O73" s="1" t="s">
        <v>86</v>
      </c>
      <c r="P73" s="2"/>
    </row>
    <row r="74" spans="1:16" x14ac:dyDescent="0.25">
      <c r="A74" s="1">
        <f>ROW()-ROW(BASE[[#Headers],[INDEX]])</f>
        <v>73</v>
      </c>
      <c r="B74" s="1" t="s">
        <v>92</v>
      </c>
      <c r="C74" s="1" t="s">
        <v>91</v>
      </c>
      <c r="D74" s="7">
        <f>YEAR(BASE[[#This Row],[DATE]])</f>
        <v>2019</v>
      </c>
      <c r="E74" s="7">
        <f>MONTH(BASE[[#This Row],[DATE]])</f>
        <v>5</v>
      </c>
      <c r="F74" s="1" t="str">
        <f>VLOOKUP(BASE[[#This Row],[DESCRIPTION]],LISTEDESCRIPTION[],2,FALSE)</f>
        <v>TRANSPORT</v>
      </c>
      <c r="G74" s="1" t="s">
        <v>56</v>
      </c>
      <c r="H74" s="3">
        <v>43591</v>
      </c>
      <c r="I74" s="2">
        <v>7</v>
      </c>
      <c r="J74" s="7">
        <f t="shared" si="1"/>
        <v>73</v>
      </c>
      <c r="K74" s="7"/>
      <c r="L74"/>
      <c r="N74" s="1" t="s">
        <v>159</v>
      </c>
      <c r="O74" s="1" t="s">
        <v>81</v>
      </c>
      <c r="P74" s="2"/>
    </row>
    <row r="75" spans="1:16" x14ac:dyDescent="0.25">
      <c r="A75" s="1">
        <f>ROW()-ROW(BASE[[#Headers],[INDEX]])</f>
        <v>74</v>
      </c>
      <c r="B75" s="1" t="s">
        <v>92</v>
      </c>
      <c r="C75" s="1" t="s">
        <v>91</v>
      </c>
      <c r="D75" s="7">
        <f>YEAR(BASE[[#This Row],[DATE]])</f>
        <v>2019</v>
      </c>
      <c r="E75" s="7">
        <f>MONTH(BASE[[#This Row],[DATE]])</f>
        <v>5</v>
      </c>
      <c r="F75" s="1" t="str">
        <f>VLOOKUP(BASE[[#This Row],[DESCRIPTION]],LISTEDESCRIPTION[],2,FALSE)</f>
        <v>LOISIRS</v>
      </c>
      <c r="G75" s="1" t="s">
        <v>53</v>
      </c>
      <c r="H75" s="3">
        <v>43591</v>
      </c>
      <c r="I75" s="2">
        <v>7</v>
      </c>
      <c r="J75" s="7">
        <f t="shared" si="1"/>
        <v>74</v>
      </c>
      <c r="K75" s="7"/>
      <c r="L75"/>
      <c r="N75" s="1" t="s">
        <v>160</v>
      </c>
      <c r="O75" s="1" t="s">
        <v>84</v>
      </c>
      <c r="P75" s="2"/>
    </row>
    <row r="76" spans="1:16" x14ac:dyDescent="0.25">
      <c r="A76" s="1">
        <f>ROW()-ROW(BASE[[#Headers],[INDEX]])</f>
        <v>75</v>
      </c>
      <c r="B76" s="1" t="s">
        <v>92</v>
      </c>
      <c r="C76" s="1" t="s">
        <v>91</v>
      </c>
      <c r="D76" s="7">
        <f>YEAR(BASE[[#This Row],[DATE]])</f>
        <v>2019</v>
      </c>
      <c r="E76" s="7">
        <f>MONTH(BASE[[#This Row],[DATE]])</f>
        <v>5</v>
      </c>
      <c r="F76" s="1" t="str">
        <f>VLOOKUP(BASE[[#This Row],[DESCRIPTION]],LISTEDESCRIPTION[],2,FALSE)</f>
        <v>COURSE</v>
      </c>
      <c r="G76" s="1" t="s">
        <v>47</v>
      </c>
      <c r="H76" s="3">
        <v>43588</v>
      </c>
      <c r="I76" s="2">
        <v>17.34</v>
      </c>
      <c r="J76" s="7">
        <f t="shared" si="1"/>
        <v>75</v>
      </c>
      <c r="K76" s="7"/>
      <c r="L76"/>
      <c r="N76" s="1" t="s">
        <v>32</v>
      </c>
      <c r="O76" s="1" t="s">
        <v>79</v>
      </c>
      <c r="P76" s="2">
        <v>280</v>
      </c>
    </row>
    <row r="77" spans="1:16" x14ac:dyDescent="0.25">
      <c r="A77" s="1">
        <f>ROW()-ROW(BASE[[#Headers],[INDEX]])</f>
        <v>76</v>
      </c>
      <c r="B77" s="1" t="s">
        <v>92</v>
      </c>
      <c r="C77" s="1" t="s">
        <v>91</v>
      </c>
      <c r="D77" s="7">
        <f>YEAR(BASE[[#This Row],[DATE]])</f>
        <v>2019</v>
      </c>
      <c r="E77" s="7">
        <f>MONTH(BASE[[#This Row],[DATE]])</f>
        <v>5</v>
      </c>
      <c r="F77" s="1" t="str">
        <f>VLOOKUP(BASE[[#This Row],[DESCRIPTION]],LISTEDESCRIPTION[],2,FALSE)</f>
        <v>LOISIRS</v>
      </c>
      <c r="G77" s="1" t="s">
        <v>192</v>
      </c>
      <c r="H77" s="3">
        <v>43588</v>
      </c>
      <c r="I77" s="2">
        <v>5.49</v>
      </c>
      <c r="J77" s="7">
        <f t="shared" si="1"/>
        <v>76</v>
      </c>
      <c r="K77" s="7"/>
      <c r="L77"/>
      <c r="N77" s="1" t="s">
        <v>57</v>
      </c>
      <c r="O77" s="1" t="s">
        <v>78</v>
      </c>
      <c r="P77" s="2"/>
    </row>
    <row r="78" spans="1:16" x14ac:dyDescent="0.25">
      <c r="A78" s="1">
        <f>ROW()-ROW(BASE[[#Headers],[INDEX]])</f>
        <v>77</v>
      </c>
      <c r="B78" s="1" t="s">
        <v>92</v>
      </c>
      <c r="C78" s="1" t="s">
        <v>91</v>
      </c>
      <c r="D78" s="7">
        <f>YEAR(BASE[[#This Row],[DATE]])</f>
        <v>2019</v>
      </c>
      <c r="E78" s="7">
        <f>MONTH(BASE[[#This Row],[DATE]])</f>
        <v>5</v>
      </c>
      <c r="F78" s="1" t="str">
        <f>VLOOKUP(BASE[[#This Row],[DESCRIPTION]],LISTEDESCRIPTION[],2,FALSE)</f>
        <v>FACTURE</v>
      </c>
      <c r="G78" s="1" t="s">
        <v>24</v>
      </c>
      <c r="H78" s="3">
        <v>43588</v>
      </c>
      <c r="I78" s="2">
        <v>3.09</v>
      </c>
      <c r="J78" s="7">
        <f t="shared" si="1"/>
        <v>77</v>
      </c>
      <c r="K78" s="7"/>
      <c r="L78"/>
      <c r="N78" s="1" t="s">
        <v>49</v>
      </c>
      <c r="O78" s="1" t="s">
        <v>79</v>
      </c>
      <c r="P78" s="2">
        <v>10.99</v>
      </c>
    </row>
    <row r="79" spans="1:16" x14ac:dyDescent="0.25">
      <c r="A79" s="1">
        <f>ROW()-ROW(BASE[[#Headers],[INDEX]])</f>
        <v>78</v>
      </c>
      <c r="B79" s="1" t="s">
        <v>92</v>
      </c>
      <c r="C79" s="1" t="s">
        <v>91</v>
      </c>
      <c r="D79" s="7">
        <f>YEAR(BASE[[#This Row],[DATE]])</f>
        <v>2019</v>
      </c>
      <c r="E79" s="7">
        <f>MONTH(BASE[[#This Row],[DATE]])</f>
        <v>5</v>
      </c>
      <c r="F79" s="1" t="str">
        <f>VLOOKUP(BASE[[#This Row],[DESCRIPTION]],LISTEDESCRIPTION[],2,FALSE)</f>
        <v>FACTURE</v>
      </c>
      <c r="G79" s="1" t="s">
        <v>25</v>
      </c>
      <c r="H79" s="3">
        <v>43588</v>
      </c>
      <c r="I79" s="2">
        <v>0.6</v>
      </c>
      <c r="J79" s="7">
        <f t="shared" si="1"/>
        <v>78</v>
      </c>
      <c r="K79" s="7"/>
      <c r="L79"/>
      <c r="N79" s="1" t="s">
        <v>161</v>
      </c>
      <c r="O79" s="1" t="s">
        <v>184</v>
      </c>
      <c r="P79" s="2"/>
    </row>
    <row r="80" spans="1:16" x14ac:dyDescent="0.25">
      <c r="A80" s="1">
        <f>ROW()-ROW(BASE[[#Headers],[INDEX]])</f>
        <v>79</v>
      </c>
      <c r="B80" s="1" t="s">
        <v>92</v>
      </c>
      <c r="C80" s="1" t="s">
        <v>91</v>
      </c>
      <c r="D80" s="7">
        <f>YEAR(BASE[[#This Row],[DATE]])</f>
        <v>2019</v>
      </c>
      <c r="E80" s="7">
        <f>MONTH(BASE[[#This Row],[DATE]])</f>
        <v>5</v>
      </c>
      <c r="F80" s="1" t="str">
        <f>VLOOKUP(BASE[[#This Row],[DESCRIPTION]],LISTEDESCRIPTION[],2,FALSE)</f>
        <v>COURSE</v>
      </c>
      <c r="G80" s="1" t="s">
        <v>34</v>
      </c>
      <c r="H80" s="3">
        <v>43587</v>
      </c>
      <c r="I80" s="2">
        <v>40</v>
      </c>
      <c r="J80" s="7">
        <f t="shared" si="1"/>
        <v>79</v>
      </c>
      <c r="K80" s="7"/>
      <c r="L80"/>
      <c r="N80" s="7" t="s">
        <v>198</v>
      </c>
      <c r="O80" s="1" t="s">
        <v>84</v>
      </c>
      <c r="P80" s="2"/>
    </row>
    <row r="81" spans="1:16" x14ac:dyDescent="0.25">
      <c r="A81" s="1">
        <f>ROW()-ROW(BASE[[#Headers],[INDEX]])</f>
        <v>80</v>
      </c>
      <c r="B81" s="1" t="s">
        <v>92</v>
      </c>
      <c r="C81" s="1" t="s">
        <v>91</v>
      </c>
      <c r="D81" s="7">
        <f>YEAR(BASE[[#This Row],[DATE]])</f>
        <v>2019</v>
      </c>
      <c r="E81" s="7">
        <f>MONTH(BASE[[#This Row],[DATE]])</f>
        <v>4</v>
      </c>
      <c r="F81" s="1" t="str">
        <f>VLOOKUP(BASE[[#This Row],[DESCRIPTION]],LISTEDESCRIPTION[],2,FALSE)</f>
        <v>LOISIRS</v>
      </c>
      <c r="G81" s="1" t="s">
        <v>192</v>
      </c>
      <c r="H81" s="3">
        <v>43584</v>
      </c>
      <c r="I81" s="2">
        <v>5.49</v>
      </c>
      <c r="J81" s="7">
        <f t="shared" si="1"/>
        <v>80</v>
      </c>
      <c r="K81" s="7"/>
      <c r="L81"/>
      <c r="N81" s="1" t="s">
        <v>55</v>
      </c>
      <c r="O81" s="1" t="s">
        <v>79</v>
      </c>
      <c r="P81" s="2">
        <v>7</v>
      </c>
    </row>
    <row r="82" spans="1:16" x14ac:dyDescent="0.25">
      <c r="A82" s="1">
        <f>ROW()-ROW(BASE[[#Headers],[INDEX]])</f>
        <v>81</v>
      </c>
      <c r="B82" s="1" t="s">
        <v>92</v>
      </c>
      <c r="C82" s="1" t="s">
        <v>91</v>
      </c>
      <c r="D82" s="7">
        <f>YEAR(BASE[[#This Row],[DATE]])</f>
        <v>2019</v>
      </c>
      <c r="E82" s="7">
        <f>MONTH(BASE[[#This Row],[DATE]])</f>
        <v>4</v>
      </c>
      <c r="F82" s="1" t="str">
        <f>VLOOKUP(BASE[[#This Row],[DESCRIPTION]],LISTEDESCRIPTION[],2,FALSE)</f>
        <v>RESTAURATION</v>
      </c>
      <c r="G82" s="1" t="s">
        <v>57</v>
      </c>
      <c r="H82" s="3">
        <v>43584</v>
      </c>
      <c r="I82" s="2">
        <v>14.4</v>
      </c>
      <c r="J82" s="7">
        <f t="shared" si="1"/>
        <v>81</v>
      </c>
      <c r="K82" s="7"/>
      <c r="L82"/>
      <c r="N82" s="1" t="s">
        <v>162</v>
      </c>
      <c r="O82" s="1" t="s">
        <v>185</v>
      </c>
      <c r="P82" s="2"/>
    </row>
    <row r="83" spans="1:16" x14ac:dyDescent="0.25">
      <c r="A83" s="1">
        <f>ROW()-ROW(BASE[[#Headers],[INDEX]])</f>
        <v>82</v>
      </c>
      <c r="B83" s="1" t="s">
        <v>92</v>
      </c>
      <c r="C83" s="1" t="s">
        <v>91</v>
      </c>
      <c r="D83" s="7">
        <f>YEAR(BASE[[#This Row],[DATE]])</f>
        <v>2019</v>
      </c>
      <c r="E83" s="7">
        <f>MONTH(BASE[[#This Row],[DATE]])</f>
        <v>4</v>
      </c>
      <c r="F83" s="1" t="str">
        <f>VLOOKUP(BASE[[#This Row],[DESCRIPTION]],LISTEDESCRIPTION[],2,FALSE)</f>
        <v>TRANSPORT</v>
      </c>
      <c r="G83" s="1" t="s">
        <v>26</v>
      </c>
      <c r="H83" s="3">
        <v>43584</v>
      </c>
      <c r="I83" s="2">
        <v>3.9</v>
      </c>
      <c r="J83" s="7">
        <f t="shared" si="1"/>
        <v>82</v>
      </c>
      <c r="K83" s="7"/>
      <c r="L83"/>
      <c r="N83" s="1" t="s">
        <v>163</v>
      </c>
      <c r="O83" s="1" t="s">
        <v>185</v>
      </c>
      <c r="P83" s="2"/>
    </row>
    <row r="84" spans="1:16" x14ac:dyDescent="0.25">
      <c r="A84" s="1">
        <f>ROW()-ROW(BASE[[#Headers],[INDEX]])</f>
        <v>83</v>
      </c>
      <c r="B84" s="1" t="s">
        <v>92</v>
      </c>
      <c r="C84" s="1" t="s">
        <v>91</v>
      </c>
      <c r="D84" s="7">
        <f>YEAR(BASE[[#This Row],[DATE]])</f>
        <v>2019</v>
      </c>
      <c r="E84" s="7">
        <f>MONTH(BASE[[#This Row],[DATE]])</f>
        <v>4</v>
      </c>
      <c r="F84" s="1" t="str">
        <f>VLOOKUP(BASE[[#This Row],[DESCRIPTION]],LISTEDESCRIPTION[],2,FALSE)</f>
        <v>COURSE</v>
      </c>
      <c r="G84" s="1" t="s">
        <v>47</v>
      </c>
      <c r="H84" s="3">
        <v>43584</v>
      </c>
      <c r="I84" s="2">
        <v>7.52</v>
      </c>
      <c r="J84" s="7">
        <f t="shared" si="1"/>
        <v>83</v>
      </c>
      <c r="K84" s="7"/>
      <c r="L84"/>
      <c r="N84" s="1" t="s">
        <v>164</v>
      </c>
      <c r="O84" s="1" t="s">
        <v>79</v>
      </c>
      <c r="P84" s="2"/>
    </row>
    <row r="85" spans="1:16" x14ac:dyDescent="0.25">
      <c r="A85" s="1">
        <f>ROW()-ROW(BASE[[#Headers],[INDEX]])</f>
        <v>84</v>
      </c>
      <c r="B85" s="1" t="s">
        <v>92</v>
      </c>
      <c r="C85" s="1" t="s">
        <v>91</v>
      </c>
      <c r="D85" s="7">
        <f>YEAR(BASE[[#This Row],[DATE]])</f>
        <v>2019</v>
      </c>
      <c r="E85" s="7">
        <f>MONTH(BASE[[#This Row],[DATE]])</f>
        <v>4</v>
      </c>
      <c r="F85" s="1" t="str">
        <f>VLOOKUP(BASE[[#This Row],[DESCRIPTION]],LISTEDESCRIPTION[],2,FALSE)</f>
        <v>RECU</v>
      </c>
      <c r="G85" s="1" t="s">
        <v>194</v>
      </c>
      <c r="H85" s="3">
        <v>43580</v>
      </c>
      <c r="I85" s="2">
        <v>10.5</v>
      </c>
      <c r="J85" s="7">
        <f t="shared" si="1"/>
        <v>84</v>
      </c>
      <c r="K85" s="7"/>
      <c r="L85"/>
      <c r="N85" s="1" t="s">
        <v>23</v>
      </c>
      <c r="O85" s="1" t="s">
        <v>78</v>
      </c>
      <c r="P85" s="2"/>
    </row>
    <row r="86" spans="1:16" x14ac:dyDescent="0.25">
      <c r="A86" s="1">
        <f>ROW()-ROW(BASE[[#Headers],[INDEX]])</f>
        <v>85</v>
      </c>
      <c r="B86" s="1" t="s">
        <v>92</v>
      </c>
      <c r="C86" s="1" t="s">
        <v>91</v>
      </c>
      <c r="D86" s="7">
        <f>YEAR(BASE[[#This Row],[DATE]])</f>
        <v>2019</v>
      </c>
      <c r="E86" s="7">
        <f>MONTH(BASE[[#This Row],[DATE]])</f>
        <v>4</v>
      </c>
      <c r="F86" s="1" t="str">
        <f>VLOOKUP(BASE[[#This Row],[DESCRIPTION]],LISTEDESCRIPTION[],2,FALSE)</f>
        <v>RECU</v>
      </c>
      <c r="G86" s="1" t="s">
        <v>193</v>
      </c>
      <c r="H86" s="3">
        <v>43579</v>
      </c>
      <c r="I86" s="2">
        <v>8.5</v>
      </c>
      <c r="J86" s="7">
        <f t="shared" si="1"/>
        <v>85</v>
      </c>
      <c r="K86" s="7"/>
      <c r="L86"/>
      <c r="N86" s="7" t="s">
        <v>201</v>
      </c>
      <c r="O86" s="1" t="s">
        <v>84</v>
      </c>
      <c r="P86" s="2"/>
    </row>
    <row r="87" spans="1:16" x14ac:dyDescent="0.25">
      <c r="A87" s="1">
        <f>ROW()-ROW(BASE[[#Headers],[INDEX]])</f>
        <v>86</v>
      </c>
      <c r="B87" s="1" t="s">
        <v>92</v>
      </c>
      <c r="C87" s="1" t="s">
        <v>91</v>
      </c>
      <c r="D87" s="7">
        <f>YEAR(BASE[[#This Row],[DATE]])</f>
        <v>2019</v>
      </c>
      <c r="E87" s="7">
        <f>MONTH(BASE[[#This Row],[DATE]])</f>
        <v>4</v>
      </c>
      <c r="F87" s="1" t="str">
        <f>VLOOKUP(BASE[[#This Row],[DESCRIPTION]],LISTEDESCRIPTION[],2,FALSE)</f>
        <v>RECU</v>
      </c>
      <c r="G87" s="1" t="s">
        <v>75</v>
      </c>
      <c r="H87" s="3">
        <v>43579</v>
      </c>
      <c r="I87" s="2">
        <v>80</v>
      </c>
      <c r="J87" s="7">
        <f t="shared" si="1"/>
        <v>86</v>
      </c>
      <c r="K87" s="7"/>
      <c r="L87"/>
      <c r="N87" s="1" t="s">
        <v>42</v>
      </c>
      <c r="O87" s="1" t="s">
        <v>79</v>
      </c>
      <c r="P87" s="2">
        <v>15</v>
      </c>
    </row>
    <row r="88" spans="1:16" x14ac:dyDescent="0.25">
      <c r="A88" s="1">
        <f>ROW()-ROW(BASE[[#Headers],[INDEX]])</f>
        <v>87</v>
      </c>
      <c r="B88" s="1" t="s">
        <v>92</v>
      </c>
      <c r="C88" s="1" t="s">
        <v>91</v>
      </c>
      <c r="D88" s="7">
        <f>YEAR(BASE[[#This Row],[DATE]])</f>
        <v>2019</v>
      </c>
      <c r="E88" s="7">
        <f>MONTH(BASE[[#This Row],[DATE]])</f>
        <v>4</v>
      </c>
      <c r="F88" s="1" t="str">
        <f>VLOOKUP(BASE[[#This Row],[DESCRIPTION]],LISTEDESCRIPTION[],2,FALSE)</f>
        <v>FACTURE</v>
      </c>
      <c r="G88" s="1" t="s">
        <v>55</v>
      </c>
      <c r="H88" s="3">
        <v>43579</v>
      </c>
      <c r="I88" s="2">
        <v>7</v>
      </c>
      <c r="J88" s="7">
        <f t="shared" si="1"/>
        <v>87</v>
      </c>
      <c r="K88" s="7"/>
      <c r="L88"/>
      <c r="N88" s="1" t="s">
        <v>50</v>
      </c>
      <c r="O88" s="1" t="s">
        <v>84</v>
      </c>
      <c r="P88" s="2"/>
    </row>
    <row r="89" spans="1:16" x14ac:dyDescent="0.25">
      <c r="A89" s="1">
        <f>ROW()-ROW(BASE[[#Headers],[INDEX]])</f>
        <v>88</v>
      </c>
      <c r="B89" s="1" t="s">
        <v>92</v>
      </c>
      <c r="C89" s="1" t="s">
        <v>91</v>
      </c>
      <c r="D89" s="7">
        <f>YEAR(BASE[[#This Row],[DATE]])</f>
        <v>2019</v>
      </c>
      <c r="E89" s="7">
        <f>MONTH(BASE[[#This Row],[DATE]])</f>
        <v>4</v>
      </c>
      <c r="F89" s="1" t="str">
        <f>VLOOKUP(BASE[[#This Row],[DESCRIPTION]],LISTEDESCRIPTION[],2,FALSE)</f>
        <v>RESTAURATION</v>
      </c>
      <c r="G89" s="1" t="s">
        <v>70</v>
      </c>
      <c r="H89" s="3">
        <v>43579</v>
      </c>
      <c r="I89" s="2">
        <v>47.9</v>
      </c>
      <c r="J89" s="7">
        <f t="shared" si="1"/>
        <v>88</v>
      </c>
      <c r="K89" s="7"/>
      <c r="L89"/>
      <c r="N89" s="1" t="s">
        <v>26</v>
      </c>
      <c r="O89" s="1" t="s">
        <v>80</v>
      </c>
      <c r="P89" s="2"/>
    </row>
    <row r="90" spans="1:16" x14ac:dyDescent="0.25">
      <c r="A90" s="1">
        <f>ROW()-ROW(BASE[[#Headers],[INDEX]])</f>
        <v>89</v>
      </c>
      <c r="B90" s="1" t="s">
        <v>92</v>
      </c>
      <c r="C90" s="1" t="s">
        <v>91</v>
      </c>
      <c r="D90" s="7">
        <f>YEAR(BASE[[#This Row],[DATE]])</f>
        <v>2019</v>
      </c>
      <c r="E90" s="7">
        <f>MONTH(BASE[[#This Row],[DATE]])</f>
        <v>4</v>
      </c>
      <c r="F90" s="1" t="str">
        <f>VLOOKUP(BASE[[#This Row],[DESCRIPTION]],LISTEDESCRIPTION[],2,FALSE)</f>
        <v>RESTAURATION</v>
      </c>
      <c r="G90" s="1" t="s">
        <v>70</v>
      </c>
      <c r="H90" s="3">
        <v>43579</v>
      </c>
      <c r="I90" s="2">
        <v>14.4</v>
      </c>
      <c r="J90" s="7">
        <f t="shared" si="1"/>
        <v>89</v>
      </c>
      <c r="K90" s="7"/>
      <c r="L90"/>
      <c r="N90" s="1" t="s">
        <v>37</v>
      </c>
      <c r="O90" s="1" t="s">
        <v>82</v>
      </c>
      <c r="P90" s="2">
        <v>30</v>
      </c>
    </row>
    <row r="91" spans="1:16" x14ac:dyDescent="0.25">
      <c r="A91" s="1">
        <f>ROW()-ROW(BASE[[#Headers],[INDEX]])</f>
        <v>90</v>
      </c>
      <c r="B91" s="1" t="s">
        <v>92</v>
      </c>
      <c r="C91" s="1" t="s">
        <v>91</v>
      </c>
      <c r="D91" s="7">
        <f>YEAR(BASE[[#This Row],[DATE]])</f>
        <v>2019</v>
      </c>
      <c r="E91" s="7">
        <f>MONTH(BASE[[#This Row],[DATE]])</f>
        <v>4</v>
      </c>
      <c r="F91" s="1" t="str">
        <f>VLOOKUP(BASE[[#This Row],[DESCRIPTION]],LISTEDESCRIPTION[],2,FALSE)</f>
        <v>RETRAIT EPARGNE</v>
      </c>
      <c r="G91" s="1" t="s">
        <v>190</v>
      </c>
      <c r="H91" s="3">
        <v>43579</v>
      </c>
      <c r="I91" s="2">
        <v>100</v>
      </c>
      <c r="J91" s="7">
        <f t="shared" si="1"/>
        <v>90</v>
      </c>
      <c r="K91" s="7"/>
      <c r="L91"/>
      <c r="N91" s="1" t="s">
        <v>165</v>
      </c>
      <c r="O91" s="1" t="s">
        <v>185</v>
      </c>
      <c r="P91" s="2"/>
    </row>
    <row r="92" spans="1:16" x14ac:dyDescent="0.25">
      <c r="A92" s="1">
        <f>ROW()-ROW(BASE[[#Headers],[INDEX]])</f>
        <v>91</v>
      </c>
      <c r="B92" s="1" t="s">
        <v>92</v>
      </c>
      <c r="C92" s="1" t="s">
        <v>91</v>
      </c>
      <c r="D92" s="7">
        <f>YEAR(BASE[[#This Row],[DATE]])</f>
        <v>2019</v>
      </c>
      <c r="E92" s="7">
        <f>MONTH(BASE[[#This Row],[DATE]])</f>
        <v>4</v>
      </c>
      <c r="F92" s="1" t="str">
        <f>VLOOKUP(BASE[[#This Row],[DESCRIPTION]],LISTEDESCRIPTION[],2,FALSE)</f>
        <v>FACTURE</v>
      </c>
      <c r="G92" s="1" t="s">
        <v>54</v>
      </c>
      <c r="H92" s="3">
        <v>43578</v>
      </c>
      <c r="I92" s="2">
        <v>11.99</v>
      </c>
      <c r="J92" s="7">
        <f t="shared" si="1"/>
        <v>91</v>
      </c>
      <c r="K92" s="7"/>
      <c r="L92"/>
      <c r="N92" s="1" t="s">
        <v>166</v>
      </c>
      <c r="O92" s="1" t="s">
        <v>86</v>
      </c>
      <c r="P92" s="2"/>
    </row>
    <row r="93" spans="1:16" x14ac:dyDescent="0.25">
      <c r="A93" s="1">
        <f>ROW()-ROW(BASE[[#Headers],[INDEX]])</f>
        <v>92</v>
      </c>
      <c r="B93" s="1" t="s">
        <v>92</v>
      </c>
      <c r="C93" s="1" t="s">
        <v>91</v>
      </c>
      <c r="D93" s="7">
        <f>YEAR(BASE[[#This Row],[DATE]])</f>
        <v>2019</v>
      </c>
      <c r="E93" s="7">
        <f>MONTH(BASE[[#This Row],[DATE]])</f>
        <v>4</v>
      </c>
      <c r="F93" s="1" t="str">
        <f>VLOOKUP(BASE[[#This Row],[DESCRIPTION]],LISTEDESCRIPTION[],2,FALSE)</f>
        <v>LOISIRS</v>
      </c>
      <c r="G93" s="1" t="s">
        <v>192</v>
      </c>
      <c r="H93" s="3">
        <v>43578</v>
      </c>
      <c r="I93" s="2">
        <v>4.49</v>
      </c>
      <c r="J93" s="7">
        <f t="shared" si="1"/>
        <v>92</v>
      </c>
      <c r="K93" s="7"/>
      <c r="L93"/>
      <c r="N93" s="1" t="s">
        <v>46</v>
      </c>
      <c r="O93" s="1" t="s">
        <v>82</v>
      </c>
      <c r="P93" s="2">
        <v>50.66</v>
      </c>
    </row>
    <row r="94" spans="1:16" x14ac:dyDescent="0.25">
      <c r="A94" s="1">
        <f>ROW()-ROW(BASE[[#Headers],[INDEX]])</f>
        <v>93</v>
      </c>
      <c r="B94" s="1" t="s">
        <v>92</v>
      </c>
      <c r="C94" s="1" t="s">
        <v>91</v>
      </c>
      <c r="D94" s="7">
        <f>YEAR(BASE[[#This Row],[DATE]])</f>
        <v>2019</v>
      </c>
      <c r="E94" s="7">
        <f>MONTH(BASE[[#This Row],[DATE]])</f>
        <v>4</v>
      </c>
      <c r="F94" s="1" t="str">
        <f>VLOOKUP(BASE[[#This Row],[DESCRIPTION]],LISTEDESCRIPTION[],2,FALSE)</f>
        <v>RESTAURATION</v>
      </c>
      <c r="G94" s="1" t="s">
        <v>70</v>
      </c>
      <c r="H94" s="3">
        <v>43578</v>
      </c>
      <c r="I94" s="2">
        <v>28.9</v>
      </c>
      <c r="J94" s="7">
        <f t="shared" si="1"/>
        <v>93</v>
      </c>
      <c r="K94" s="7"/>
      <c r="L94"/>
      <c r="N94" s="1" t="s">
        <v>167</v>
      </c>
      <c r="O94" s="1" t="s">
        <v>89</v>
      </c>
      <c r="P94" s="2"/>
    </row>
    <row r="95" spans="1:16" x14ac:dyDescent="0.25">
      <c r="A95" s="1">
        <f>ROW()-ROW(BASE[[#Headers],[INDEX]])</f>
        <v>94</v>
      </c>
      <c r="B95" s="1" t="s">
        <v>92</v>
      </c>
      <c r="C95" s="1" t="s">
        <v>91</v>
      </c>
      <c r="D95" s="7">
        <f>YEAR(BASE[[#This Row],[DATE]])</f>
        <v>2019</v>
      </c>
      <c r="E95" s="7">
        <f>MONTH(BASE[[#This Row],[DATE]])</f>
        <v>4</v>
      </c>
      <c r="F95" s="1" t="str">
        <f>VLOOKUP(BASE[[#This Row],[DESCRIPTION]],LISTEDESCRIPTION[],2,FALSE)</f>
        <v>FACTURE</v>
      </c>
      <c r="G95" s="1" t="s">
        <v>52</v>
      </c>
      <c r="H95" s="3">
        <v>43578</v>
      </c>
      <c r="I95" s="2">
        <v>6.99</v>
      </c>
      <c r="J95" s="7">
        <f t="shared" si="1"/>
        <v>94</v>
      </c>
      <c r="K95" s="7"/>
      <c r="L95"/>
      <c r="N95" s="1" t="s">
        <v>168</v>
      </c>
      <c r="O95" s="1" t="s">
        <v>86</v>
      </c>
      <c r="P95" s="2"/>
    </row>
    <row r="96" spans="1:16" x14ac:dyDescent="0.25">
      <c r="A96" s="1">
        <f>ROW()-ROW(BASE[[#Headers],[INDEX]])</f>
        <v>95</v>
      </c>
      <c r="B96" s="1" t="s">
        <v>92</v>
      </c>
      <c r="C96" s="1" t="s">
        <v>91</v>
      </c>
      <c r="D96" s="7">
        <f>YEAR(BASE[[#This Row],[DATE]])</f>
        <v>2019</v>
      </c>
      <c r="E96" s="7">
        <f>MONTH(BASE[[#This Row],[DATE]])</f>
        <v>4</v>
      </c>
      <c r="F96" s="1" t="str">
        <f>VLOOKUP(BASE[[#This Row],[DESCRIPTION]],LISTEDESCRIPTION[],2,FALSE)</f>
        <v>RESTAURATION</v>
      </c>
      <c r="G96" s="1" t="s">
        <v>23</v>
      </c>
      <c r="H96" s="3">
        <v>43578</v>
      </c>
      <c r="I96" s="2">
        <v>19</v>
      </c>
      <c r="J96" s="7">
        <f t="shared" si="1"/>
        <v>95</v>
      </c>
      <c r="K96" s="7"/>
      <c r="L96"/>
      <c r="N96" s="1" t="s">
        <v>189</v>
      </c>
      <c r="O96" s="1" t="s">
        <v>113</v>
      </c>
      <c r="P96" s="2"/>
    </row>
    <row r="97" spans="1:16" x14ac:dyDescent="0.25">
      <c r="A97" s="1">
        <f>ROW()-ROW(BASE[[#Headers],[INDEX]])</f>
        <v>96</v>
      </c>
      <c r="B97" s="1" t="s">
        <v>92</v>
      </c>
      <c r="C97" s="1" t="s">
        <v>91</v>
      </c>
      <c r="D97" s="7">
        <f>YEAR(BASE[[#This Row],[DATE]])</f>
        <v>2019</v>
      </c>
      <c r="E97" s="7">
        <f>MONTH(BASE[[#This Row],[DATE]])</f>
        <v>4</v>
      </c>
      <c r="F97" s="1" t="str">
        <f>VLOOKUP(BASE[[#This Row],[DESCRIPTION]],LISTEDESCRIPTION[],2,FALSE)</f>
        <v>COURSE</v>
      </c>
      <c r="G97" s="1" t="s">
        <v>40</v>
      </c>
      <c r="H97" s="3">
        <v>43578</v>
      </c>
      <c r="I97" s="2">
        <v>89.48</v>
      </c>
      <c r="J97" s="7">
        <f t="shared" si="1"/>
        <v>96</v>
      </c>
      <c r="K97" s="7"/>
      <c r="L97"/>
      <c r="N97" s="1" t="s">
        <v>62</v>
      </c>
      <c r="O97" s="1" t="s">
        <v>83</v>
      </c>
      <c r="P97" s="2"/>
    </row>
    <row r="98" spans="1:16" x14ac:dyDescent="0.25">
      <c r="A98" s="1">
        <f>ROW()-ROW(BASE[[#Headers],[INDEX]])</f>
        <v>97</v>
      </c>
      <c r="B98" s="1" t="s">
        <v>92</v>
      </c>
      <c r="C98" s="1" t="s">
        <v>91</v>
      </c>
      <c r="D98" s="7">
        <f>YEAR(BASE[[#This Row],[DATE]])</f>
        <v>2019</v>
      </c>
      <c r="E98" s="7">
        <f>MONTH(BASE[[#This Row],[DATE]])</f>
        <v>4</v>
      </c>
      <c r="F98" s="1" t="str">
        <f>VLOOKUP(BASE[[#This Row],[DESCRIPTION]],LISTEDESCRIPTION[],2,FALSE)</f>
        <v>TRANSPORT</v>
      </c>
      <c r="G98" s="1" t="s">
        <v>41</v>
      </c>
      <c r="H98" s="3">
        <v>43578</v>
      </c>
      <c r="I98" s="2">
        <v>3.1</v>
      </c>
      <c r="J98" s="7">
        <f t="shared" si="1"/>
        <v>97</v>
      </c>
      <c r="K98" s="7"/>
      <c r="L98"/>
      <c r="N98" s="7" t="s">
        <v>194</v>
      </c>
      <c r="O98" s="1" t="s">
        <v>83</v>
      </c>
      <c r="P98" s="2"/>
    </row>
    <row r="99" spans="1:16" x14ac:dyDescent="0.25">
      <c r="A99" s="1">
        <f>ROW()-ROW(BASE[[#Headers],[INDEX]])</f>
        <v>98</v>
      </c>
      <c r="B99" s="1" t="s">
        <v>92</v>
      </c>
      <c r="C99" s="1" t="s">
        <v>91</v>
      </c>
      <c r="D99" s="7">
        <f>YEAR(BASE[[#This Row],[DATE]])</f>
        <v>2019</v>
      </c>
      <c r="E99" s="7">
        <f>MONTH(BASE[[#This Row],[DATE]])</f>
        <v>4</v>
      </c>
      <c r="F99" s="1" t="str">
        <f>VLOOKUP(BASE[[#This Row],[DESCRIPTION]],LISTEDESCRIPTION[],2,FALSE)</f>
        <v>RESTAURATION</v>
      </c>
      <c r="G99" s="1" t="s">
        <v>61</v>
      </c>
      <c r="H99" s="3">
        <v>43578</v>
      </c>
      <c r="I99" s="2">
        <v>16</v>
      </c>
      <c r="J99" s="7">
        <f t="shared" si="1"/>
        <v>98</v>
      </c>
      <c r="K99" s="7"/>
      <c r="L99"/>
      <c r="N99" s="1" t="s">
        <v>169</v>
      </c>
      <c r="O99" s="1" t="s">
        <v>83</v>
      </c>
      <c r="P99" s="2"/>
    </row>
    <row r="100" spans="1:16" x14ac:dyDescent="0.25">
      <c r="A100" s="1">
        <f>ROW()-ROW(BASE[[#Headers],[INDEX]])</f>
        <v>99</v>
      </c>
      <c r="B100" s="1" t="s">
        <v>92</v>
      </c>
      <c r="C100" s="1" t="s">
        <v>91</v>
      </c>
      <c r="D100" s="7">
        <f>YEAR(BASE[[#This Row],[DATE]])</f>
        <v>2019</v>
      </c>
      <c r="E100" s="7">
        <f>MONTH(BASE[[#This Row],[DATE]])</f>
        <v>4</v>
      </c>
      <c r="F100" s="1" t="str">
        <f>VLOOKUP(BASE[[#This Row],[DESCRIPTION]],LISTEDESCRIPTION[],2,FALSE)</f>
        <v>RESTAURATION</v>
      </c>
      <c r="G100" s="1" t="s">
        <v>61</v>
      </c>
      <c r="H100" s="3">
        <v>43578</v>
      </c>
      <c r="I100" s="2">
        <v>9.99</v>
      </c>
      <c r="J100" s="7">
        <f t="shared" si="1"/>
        <v>99</v>
      </c>
      <c r="K100" s="7"/>
      <c r="L100"/>
      <c r="N100" s="1" t="s">
        <v>170</v>
      </c>
      <c r="O100" s="1" t="s">
        <v>86</v>
      </c>
      <c r="P100" s="2"/>
    </row>
    <row r="101" spans="1:16" x14ac:dyDescent="0.25">
      <c r="A101" s="1">
        <f>ROW()-ROW(BASE[[#Headers],[INDEX]])</f>
        <v>100</v>
      </c>
      <c r="B101" s="1" t="s">
        <v>92</v>
      </c>
      <c r="C101" s="1" t="s">
        <v>91</v>
      </c>
      <c r="D101" s="7">
        <f>YEAR(BASE[[#This Row],[DATE]])</f>
        <v>2019</v>
      </c>
      <c r="E101" s="7">
        <f>MONTH(BASE[[#This Row],[DATE]])</f>
        <v>4</v>
      </c>
      <c r="F101" s="1" t="str">
        <f>VLOOKUP(BASE[[#This Row],[DESCRIPTION]],LISTEDESCRIPTION[],2,FALSE)</f>
        <v>RETRAIT</v>
      </c>
      <c r="G101" s="1" t="s">
        <v>172</v>
      </c>
      <c r="H101" s="3">
        <v>43573</v>
      </c>
      <c r="I101" s="2">
        <v>40</v>
      </c>
      <c r="J101" s="7">
        <f t="shared" si="1"/>
        <v>100</v>
      </c>
      <c r="K101" s="7"/>
      <c r="L101"/>
      <c r="N101" s="1" t="s">
        <v>171</v>
      </c>
      <c r="O101" s="1" t="s">
        <v>184</v>
      </c>
      <c r="P101" s="2"/>
    </row>
    <row r="102" spans="1:16" x14ac:dyDescent="0.25">
      <c r="A102" s="1">
        <f>ROW()-ROW(BASE[[#Headers],[INDEX]])</f>
        <v>101</v>
      </c>
      <c r="B102" s="1" t="s">
        <v>92</v>
      </c>
      <c r="C102" s="1" t="s">
        <v>91</v>
      </c>
      <c r="D102" s="7">
        <f>YEAR(BASE[[#This Row],[DATE]])</f>
        <v>2019</v>
      </c>
      <c r="E102" s="7">
        <f>MONTH(BASE[[#This Row],[DATE]])</f>
        <v>4</v>
      </c>
      <c r="F102" s="1" t="str">
        <f>VLOOKUP(BASE[[#This Row],[DESCRIPTION]],LISTEDESCRIPTION[],2,FALSE)</f>
        <v>COURSE</v>
      </c>
      <c r="G102" s="1" t="s">
        <v>31</v>
      </c>
      <c r="H102" s="3">
        <v>43573</v>
      </c>
      <c r="I102" s="2">
        <v>3.78</v>
      </c>
      <c r="J102" s="7">
        <f t="shared" si="1"/>
        <v>101</v>
      </c>
      <c r="K102" s="7"/>
      <c r="L102"/>
      <c r="N102" s="1" t="s">
        <v>28</v>
      </c>
      <c r="O102" s="1" t="s">
        <v>78</v>
      </c>
      <c r="P102" s="2"/>
    </row>
    <row r="103" spans="1:16" x14ac:dyDescent="0.25">
      <c r="A103" s="1">
        <f>ROW()-ROW(BASE[[#Headers],[INDEX]])</f>
        <v>102</v>
      </c>
      <c r="B103" s="1" t="s">
        <v>92</v>
      </c>
      <c r="C103" s="1" t="s">
        <v>91</v>
      </c>
      <c r="D103" s="7">
        <f>YEAR(BASE[[#This Row],[DATE]])</f>
        <v>2019</v>
      </c>
      <c r="E103" s="7">
        <f>MONTH(BASE[[#This Row],[DATE]])</f>
        <v>4</v>
      </c>
      <c r="F103" s="1" t="str">
        <f>VLOOKUP(BASE[[#This Row],[DESCRIPTION]],LISTEDESCRIPTION[],2,FALSE)</f>
        <v>FACTURE</v>
      </c>
      <c r="G103" s="1" t="s">
        <v>45</v>
      </c>
      <c r="H103" s="3">
        <v>43572</v>
      </c>
      <c r="I103" s="2">
        <v>9.9</v>
      </c>
      <c r="J103" s="7">
        <f t="shared" si="1"/>
        <v>102</v>
      </c>
      <c r="K103" s="7"/>
      <c r="L103"/>
      <c r="N103" s="1" t="s">
        <v>188</v>
      </c>
      <c r="O103" s="1" t="s">
        <v>83</v>
      </c>
      <c r="P103" s="2"/>
    </row>
    <row r="104" spans="1:16" x14ac:dyDescent="0.25">
      <c r="A104" s="1">
        <f>ROW()-ROW(BASE[[#Headers],[INDEX]])</f>
        <v>103</v>
      </c>
      <c r="B104" s="1" t="s">
        <v>92</v>
      </c>
      <c r="C104" s="1" t="s">
        <v>91</v>
      </c>
      <c r="D104" s="7">
        <f>YEAR(BASE[[#This Row],[DATE]])</f>
        <v>2019</v>
      </c>
      <c r="E104" s="7">
        <f>MONTH(BASE[[#This Row],[DATE]])</f>
        <v>4</v>
      </c>
      <c r="F104" s="1" t="str">
        <f>VLOOKUP(BASE[[#This Row],[DESCRIPTION]],LISTEDESCRIPTION[],2,FALSE)</f>
        <v>FACTURE</v>
      </c>
      <c r="G104" s="1" t="s">
        <v>49</v>
      </c>
      <c r="H104" s="3">
        <v>43572</v>
      </c>
      <c r="I104" s="2">
        <v>10.99</v>
      </c>
      <c r="J104" s="7">
        <f t="shared" si="1"/>
        <v>103</v>
      </c>
      <c r="K104" s="7"/>
      <c r="L104"/>
      <c r="N104" s="1" t="s">
        <v>35</v>
      </c>
      <c r="O104" s="1" t="s">
        <v>83</v>
      </c>
      <c r="P104" s="2"/>
    </row>
    <row r="105" spans="1:16" x14ac:dyDescent="0.25">
      <c r="A105" s="1">
        <f>ROW()-ROW(BASE[[#Headers],[INDEX]])</f>
        <v>104</v>
      </c>
      <c r="B105" s="1" t="s">
        <v>92</v>
      </c>
      <c r="C105" s="1" t="s">
        <v>91</v>
      </c>
      <c r="D105" s="7">
        <f>YEAR(BASE[[#This Row],[DATE]])</f>
        <v>2019</v>
      </c>
      <c r="E105" s="7">
        <f>MONTH(BASE[[#This Row],[DATE]])</f>
        <v>4</v>
      </c>
      <c r="F105" s="1" t="str">
        <f>VLOOKUP(BASE[[#This Row],[DESCRIPTION]],LISTEDESCRIPTION[],2,FALSE)</f>
        <v>RESTAURATION</v>
      </c>
      <c r="G105" s="1" t="s">
        <v>59</v>
      </c>
      <c r="H105" s="3">
        <v>43572</v>
      </c>
      <c r="I105" s="2">
        <v>8.3000000000000007</v>
      </c>
      <c r="J105" s="7">
        <f t="shared" si="1"/>
        <v>104</v>
      </c>
      <c r="K105" s="7"/>
      <c r="L105"/>
      <c r="N105" s="1" t="s">
        <v>172</v>
      </c>
      <c r="O105" s="1" t="s">
        <v>87</v>
      </c>
      <c r="P105" s="2"/>
    </row>
    <row r="106" spans="1:16" x14ac:dyDescent="0.25">
      <c r="A106" s="1">
        <f>ROW()-ROW(BASE[[#Headers],[INDEX]])</f>
        <v>105</v>
      </c>
      <c r="B106" s="1" t="s">
        <v>92</v>
      </c>
      <c r="C106" s="1" t="s">
        <v>91</v>
      </c>
      <c r="D106" s="7">
        <f>YEAR(BASE[[#This Row],[DATE]])</f>
        <v>2019</v>
      </c>
      <c r="E106" s="7">
        <f>MONTH(BASE[[#This Row],[DATE]])</f>
        <v>4</v>
      </c>
      <c r="F106" s="1" t="str">
        <f>VLOOKUP(BASE[[#This Row],[DESCRIPTION]],LISTEDESCRIPTION[],2,FALSE)</f>
        <v>COURSE</v>
      </c>
      <c r="G106" s="1" t="s">
        <v>31</v>
      </c>
      <c r="H106" s="3">
        <v>43571</v>
      </c>
      <c r="I106" s="2">
        <v>7.59</v>
      </c>
      <c r="J106" s="7">
        <f t="shared" si="1"/>
        <v>105</v>
      </c>
      <c r="K106" s="7"/>
      <c r="L106"/>
      <c r="N106" s="1" t="s">
        <v>173</v>
      </c>
      <c r="O106" s="1" t="s">
        <v>87</v>
      </c>
      <c r="P106" s="2"/>
    </row>
    <row r="107" spans="1:16" x14ac:dyDescent="0.25">
      <c r="A107" s="1">
        <f>ROW()-ROW(BASE[[#Headers],[INDEX]])</f>
        <v>106</v>
      </c>
      <c r="B107" s="1" t="s">
        <v>92</v>
      </c>
      <c r="C107" s="1" t="s">
        <v>91</v>
      </c>
      <c r="D107" s="7">
        <f>YEAR(BASE[[#This Row],[DATE]])</f>
        <v>2019</v>
      </c>
      <c r="E107" s="7">
        <f>MONTH(BASE[[#This Row],[DATE]])</f>
        <v>4</v>
      </c>
      <c r="F107" s="1" t="str">
        <f>VLOOKUP(BASE[[#This Row],[DESCRIPTION]],LISTEDESCRIPTION[],2,FALSE)</f>
        <v>CREDIT</v>
      </c>
      <c r="G107" s="1" t="s">
        <v>46</v>
      </c>
      <c r="H107" s="3">
        <v>43571</v>
      </c>
      <c r="I107" s="2">
        <v>50.66</v>
      </c>
      <c r="J107" s="7">
        <f t="shared" si="1"/>
        <v>106</v>
      </c>
      <c r="K107" s="7"/>
      <c r="L107"/>
      <c r="N107" s="1" t="s">
        <v>174</v>
      </c>
      <c r="O107" s="1" t="s">
        <v>87</v>
      </c>
      <c r="P107" s="2"/>
    </row>
    <row r="108" spans="1:16" x14ac:dyDescent="0.25">
      <c r="A108" s="1">
        <f>ROW()-ROW(BASE[[#Headers],[INDEX]])</f>
        <v>107</v>
      </c>
      <c r="B108" s="1" t="s">
        <v>92</v>
      </c>
      <c r="C108" s="1" t="s">
        <v>91</v>
      </c>
      <c r="D108" s="7">
        <f>YEAR(BASE[[#This Row],[DATE]])</f>
        <v>2019</v>
      </c>
      <c r="E108" s="7">
        <f>MONTH(BASE[[#This Row],[DATE]])</f>
        <v>4</v>
      </c>
      <c r="F108" s="1" t="str">
        <f>VLOOKUP(BASE[[#This Row],[DESCRIPTION]],LISTEDESCRIPTION[],2,FALSE)</f>
        <v>DIVERS</v>
      </c>
      <c r="G108" s="1" t="s">
        <v>68</v>
      </c>
      <c r="H108" s="3">
        <v>43570</v>
      </c>
      <c r="I108" s="2">
        <v>45.95</v>
      </c>
      <c r="J108" s="7">
        <f t="shared" si="1"/>
        <v>107</v>
      </c>
      <c r="K108" s="7"/>
      <c r="L108"/>
      <c r="N108" s="1" t="s">
        <v>190</v>
      </c>
      <c r="O108" s="1" t="s">
        <v>112</v>
      </c>
      <c r="P108" s="2"/>
    </row>
    <row r="109" spans="1:16" x14ac:dyDescent="0.25">
      <c r="A109" s="1">
        <f>ROW()-ROW(BASE[[#Headers],[INDEX]])</f>
        <v>108</v>
      </c>
      <c r="B109" s="1" t="s">
        <v>92</v>
      </c>
      <c r="C109" s="1" t="s">
        <v>91</v>
      </c>
      <c r="D109" s="7">
        <f>YEAR(BASE[[#This Row],[DATE]])</f>
        <v>2019</v>
      </c>
      <c r="E109" s="7">
        <f>MONTH(BASE[[#This Row],[DATE]])</f>
        <v>4</v>
      </c>
      <c r="F109" s="1" t="str">
        <f>VLOOKUP(BASE[[#This Row],[DESCRIPTION]],LISTEDESCRIPTION[],2,FALSE)</f>
        <v>LOISIRS</v>
      </c>
      <c r="G109" s="1" t="s">
        <v>141</v>
      </c>
      <c r="H109" s="3">
        <v>43570</v>
      </c>
      <c r="I109" s="2">
        <v>26.99</v>
      </c>
      <c r="J109" s="7">
        <f t="shared" si="1"/>
        <v>108</v>
      </c>
      <c r="K109" s="7"/>
      <c r="L109"/>
      <c r="N109" s="1" t="s">
        <v>175</v>
      </c>
      <c r="O109" s="1" t="s">
        <v>87</v>
      </c>
      <c r="P109" s="2"/>
    </row>
    <row r="110" spans="1:16" x14ac:dyDescent="0.25">
      <c r="A110" s="1">
        <f>ROW()-ROW(BASE[[#Headers],[INDEX]])</f>
        <v>109</v>
      </c>
      <c r="B110" s="1" t="s">
        <v>92</v>
      </c>
      <c r="C110" s="1" t="s">
        <v>91</v>
      </c>
      <c r="D110" s="7">
        <f>YEAR(BASE[[#This Row],[DATE]])</f>
        <v>2019</v>
      </c>
      <c r="E110" s="7">
        <f>MONTH(BASE[[#This Row],[DATE]])</f>
        <v>4</v>
      </c>
      <c r="F110" s="1" t="str">
        <f>VLOOKUP(BASE[[#This Row],[DESCRIPTION]],LISTEDESCRIPTION[],2,FALSE)</f>
        <v>TRANSPORT</v>
      </c>
      <c r="G110" s="1" t="s">
        <v>26</v>
      </c>
      <c r="H110" s="3">
        <v>43570</v>
      </c>
      <c r="I110" s="2">
        <v>7.8</v>
      </c>
      <c r="J110" s="7">
        <f t="shared" si="1"/>
        <v>109</v>
      </c>
      <c r="K110" s="7"/>
      <c r="L110"/>
      <c r="N110" s="1" t="s">
        <v>65</v>
      </c>
      <c r="O110" s="1" t="s">
        <v>87</v>
      </c>
      <c r="P110" s="2"/>
    </row>
    <row r="111" spans="1:16" x14ac:dyDescent="0.25">
      <c r="A111" s="1">
        <f>ROW()-ROW(BASE[[#Headers],[INDEX]])</f>
        <v>110</v>
      </c>
      <c r="B111" s="1" t="s">
        <v>92</v>
      </c>
      <c r="C111" s="1" t="s">
        <v>91</v>
      </c>
      <c r="D111" s="7">
        <f>YEAR(BASE[[#This Row],[DATE]])</f>
        <v>2019</v>
      </c>
      <c r="E111" s="7">
        <f>MONTH(BASE[[#This Row],[DATE]])</f>
        <v>4</v>
      </c>
      <c r="F111" s="1" t="str">
        <f>VLOOKUP(BASE[[#This Row],[DESCRIPTION]],LISTEDESCRIPTION[],2,FALSE)</f>
        <v>COURSE</v>
      </c>
      <c r="G111" s="1" t="s">
        <v>47</v>
      </c>
      <c r="H111" s="3">
        <v>43570</v>
      </c>
      <c r="I111" s="2">
        <v>5.8</v>
      </c>
      <c r="J111" s="7">
        <f t="shared" si="1"/>
        <v>110</v>
      </c>
      <c r="K111" s="7"/>
      <c r="L111"/>
      <c r="N111" s="1" t="s">
        <v>21</v>
      </c>
      <c r="O111" s="1" t="s">
        <v>77</v>
      </c>
      <c r="P111" s="2"/>
    </row>
    <row r="112" spans="1:16" x14ac:dyDescent="0.25">
      <c r="A112" s="1">
        <f>ROW()-ROW(BASE[[#Headers],[INDEX]])</f>
        <v>111</v>
      </c>
      <c r="B112" s="1" t="s">
        <v>92</v>
      </c>
      <c r="C112" s="1" t="s">
        <v>91</v>
      </c>
      <c r="D112" s="7">
        <f>YEAR(BASE[[#This Row],[DATE]])</f>
        <v>2019</v>
      </c>
      <c r="E112" s="7">
        <f>MONTH(BASE[[#This Row],[DATE]])</f>
        <v>4</v>
      </c>
      <c r="F112" s="1" t="str">
        <f>VLOOKUP(BASE[[#This Row],[DESCRIPTION]],LISTEDESCRIPTION[],2,FALSE)</f>
        <v>COURSE</v>
      </c>
      <c r="G112" s="1" t="s">
        <v>47</v>
      </c>
      <c r="H112" s="3">
        <v>43567</v>
      </c>
      <c r="I112" s="2">
        <v>5.55</v>
      </c>
      <c r="J112" s="7">
        <f t="shared" si="1"/>
        <v>111</v>
      </c>
      <c r="K112" s="7"/>
      <c r="L112"/>
      <c r="N112" s="1" t="s">
        <v>176</v>
      </c>
      <c r="O112" s="1" t="s">
        <v>79</v>
      </c>
      <c r="P112" s="2"/>
    </row>
    <row r="113" spans="1:16" x14ac:dyDescent="0.25">
      <c r="A113" s="1">
        <f>ROW()-ROW(BASE[[#Headers],[INDEX]])</f>
        <v>112</v>
      </c>
      <c r="B113" s="1" t="s">
        <v>92</v>
      </c>
      <c r="C113" s="1" t="s">
        <v>91</v>
      </c>
      <c r="D113" s="7">
        <f>YEAR(BASE[[#This Row],[DATE]])</f>
        <v>2019</v>
      </c>
      <c r="E113" s="7">
        <f>MONTH(BASE[[#This Row],[DATE]])</f>
        <v>4</v>
      </c>
      <c r="F113" s="1" t="str">
        <f>VLOOKUP(BASE[[#This Row],[DESCRIPTION]],LISTEDESCRIPTION[],2,FALSE)</f>
        <v>RESTAURATION</v>
      </c>
      <c r="G113" s="1" t="s">
        <v>70</v>
      </c>
      <c r="H113" s="3">
        <v>43567</v>
      </c>
      <c r="I113" s="2">
        <v>26.9</v>
      </c>
      <c r="J113" s="7">
        <f t="shared" si="1"/>
        <v>112</v>
      </c>
      <c r="K113" s="7"/>
      <c r="L113"/>
      <c r="N113" s="1" t="s">
        <v>36</v>
      </c>
      <c r="O113" s="1" t="s">
        <v>84</v>
      </c>
      <c r="P113" s="2"/>
    </row>
    <row r="114" spans="1:16" x14ac:dyDescent="0.25">
      <c r="A114" s="1">
        <f>ROW()-ROW(BASE[[#Headers],[INDEX]])</f>
        <v>113</v>
      </c>
      <c r="B114" s="1" t="s">
        <v>92</v>
      </c>
      <c r="C114" s="1" t="s">
        <v>91</v>
      </c>
      <c r="D114" s="7">
        <f>YEAR(BASE[[#This Row],[DATE]])</f>
        <v>2019</v>
      </c>
      <c r="E114" s="7">
        <f>MONTH(BASE[[#This Row],[DATE]])</f>
        <v>4</v>
      </c>
      <c r="F114" s="1" t="str">
        <f>VLOOKUP(BASE[[#This Row],[DESCRIPTION]],LISTEDESCRIPTION[],2,FALSE)</f>
        <v>RETRAIT EPARGNE</v>
      </c>
      <c r="G114" s="1" t="s">
        <v>190</v>
      </c>
      <c r="H114" s="3">
        <v>43566</v>
      </c>
      <c r="I114" s="2">
        <v>20</v>
      </c>
      <c r="J114" s="7">
        <f t="shared" si="1"/>
        <v>113</v>
      </c>
      <c r="K114" s="7"/>
      <c r="L114"/>
      <c r="N114" s="1" t="s">
        <v>29</v>
      </c>
      <c r="O114" s="1" t="s">
        <v>81</v>
      </c>
      <c r="P114" s="2"/>
    </row>
    <row r="115" spans="1:16" x14ac:dyDescent="0.25">
      <c r="A115" s="1">
        <f>ROW()-ROW(BASE[[#Headers],[INDEX]])</f>
        <v>114</v>
      </c>
      <c r="B115" s="1" t="s">
        <v>92</v>
      </c>
      <c r="C115" s="1" t="s">
        <v>91</v>
      </c>
      <c r="D115" s="7">
        <f>YEAR(BASE[[#This Row],[DATE]])</f>
        <v>2019</v>
      </c>
      <c r="E115" s="7">
        <f>MONTH(BASE[[#This Row],[DATE]])</f>
        <v>4</v>
      </c>
      <c r="F115" s="1" t="str">
        <f>VLOOKUP(BASE[[#This Row],[DESCRIPTION]],LISTEDESCRIPTION[],2,FALSE)</f>
        <v>CREDIT</v>
      </c>
      <c r="G115" s="1" t="s">
        <v>37</v>
      </c>
      <c r="H115" s="3">
        <v>43565</v>
      </c>
      <c r="I115" s="2">
        <v>30</v>
      </c>
      <c r="J115" s="7">
        <f t="shared" si="1"/>
        <v>114</v>
      </c>
      <c r="K115" s="7"/>
      <c r="L115"/>
      <c r="N115" s="1" t="s">
        <v>177</v>
      </c>
      <c r="O115" s="1" t="s">
        <v>79</v>
      </c>
      <c r="P115" s="2"/>
    </row>
    <row r="116" spans="1:16" x14ac:dyDescent="0.25">
      <c r="A116" s="1">
        <f>ROW()-ROW(BASE[[#Headers],[INDEX]])</f>
        <v>115</v>
      </c>
      <c r="B116" s="1" t="s">
        <v>92</v>
      </c>
      <c r="C116" s="1" t="s">
        <v>91</v>
      </c>
      <c r="D116" s="7">
        <f>YEAR(BASE[[#This Row],[DATE]])</f>
        <v>2019</v>
      </c>
      <c r="E116" s="7">
        <f>MONTH(BASE[[#This Row],[DATE]])</f>
        <v>4</v>
      </c>
      <c r="F116" s="1" t="str">
        <f>VLOOKUP(BASE[[#This Row],[DESCRIPTION]],LISTEDESCRIPTION[],2,FALSE)</f>
        <v>FACTURE</v>
      </c>
      <c r="G116" s="1" t="s">
        <v>32</v>
      </c>
      <c r="H116" s="3">
        <v>43563</v>
      </c>
      <c r="I116" s="2">
        <v>280</v>
      </c>
      <c r="J116" s="7">
        <f t="shared" si="1"/>
        <v>115</v>
      </c>
      <c r="K116" s="7"/>
      <c r="L116"/>
      <c r="N116" s="1" t="s">
        <v>56</v>
      </c>
      <c r="O116" s="1" t="s">
        <v>80</v>
      </c>
      <c r="P116" s="2"/>
    </row>
    <row r="117" spans="1:16" x14ac:dyDescent="0.25">
      <c r="A117" s="1">
        <f>ROW()-ROW(BASE[[#Headers],[INDEX]])</f>
        <v>116</v>
      </c>
      <c r="B117" s="1" t="s">
        <v>92</v>
      </c>
      <c r="C117" s="1" t="s">
        <v>91</v>
      </c>
      <c r="D117" s="7">
        <f>YEAR(BASE[[#This Row],[DATE]])</f>
        <v>2019</v>
      </c>
      <c r="E117" s="7">
        <f>MONTH(BASE[[#This Row],[DATE]])</f>
        <v>4</v>
      </c>
      <c r="F117" s="1" t="str">
        <f>VLOOKUP(BASE[[#This Row],[DESCRIPTION]],LISTEDESCRIPTION[],2,FALSE)</f>
        <v>CREDIT</v>
      </c>
      <c r="G117" s="1" t="s">
        <v>33</v>
      </c>
      <c r="H117" s="3">
        <v>43563</v>
      </c>
      <c r="I117" s="2">
        <v>44.34</v>
      </c>
      <c r="J117" s="7">
        <f t="shared" si="1"/>
        <v>116</v>
      </c>
      <c r="K117" s="7"/>
      <c r="L117"/>
      <c r="N117" s="1" t="s">
        <v>41</v>
      </c>
      <c r="O117" s="1" t="s">
        <v>80</v>
      </c>
      <c r="P117" s="2"/>
    </row>
    <row r="118" spans="1:16" x14ac:dyDescent="0.25">
      <c r="A118" s="1">
        <f>ROW()-ROW(BASE[[#Headers],[INDEX]])</f>
        <v>117</v>
      </c>
      <c r="B118" s="1" t="s">
        <v>92</v>
      </c>
      <c r="C118" s="1" t="s">
        <v>91</v>
      </c>
      <c r="D118" s="7">
        <f>YEAR(BASE[[#This Row],[DATE]])</f>
        <v>2019</v>
      </c>
      <c r="E118" s="7">
        <f>MONTH(BASE[[#This Row],[DATE]])</f>
        <v>4</v>
      </c>
      <c r="F118" s="1" t="str">
        <f>VLOOKUP(BASE[[#This Row],[DESCRIPTION]],LISTEDESCRIPTION[],2,FALSE)</f>
        <v>DIVERS</v>
      </c>
      <c r="G118" s="1" t="s">
        <v>191</v>
      </c>
      <c r="H118" s="3">
        <v>43563</v>
      </c>
      <c r="I118" s="2">
        <v>121.95</v>
      </c>
      <c r="J118" s="7">
        <f t="shared" si="1"/>
        <v>117</v>
      </c>
      <c r="K118" s="7"/>
      <c r="L118"/>
      <c r="N118" s="1" t="s">
        <v>70</v>
      </c>
      <c r="O118" s="1" t="s">
        <v>78</v>
      </c>
      <c r="P118" s="2"/>
    </row>
    <row r="119" spans="1:16" x14ac:dyDescent="0.25">
      <c r="A119" s="1">
        <f>ROW()-ROW(BASE[[#Headers],[INDEX]])</f>
        <v>118</v>
      </c>
      <c r="B119" s="1" t="s">
        <v>92</v>
      </c>
      <c r="C119" s="1" t="s">
        <v>91</v>
      </c>
      <c r="D119" s="7">
        <f>YEAR(BASE[[#This Row],[DATE]])</f>
        <v>2019</v>
      </c>
      <c r="E119" s="7">
        <f>MONTH(BASE[[#This Row],[DATE]])</f>
        <v>4</v>
      </c>
      <c r="F119" s="1" t="str">
        <f>VLOOKUP(BASE[[#This Row],[DESCRIPTION]],LISTEDESCRIPTION[],2,FALSE)</f>
        <v>RESTAURATION</v>
      </c>
      <c r="G119" s="1" t="s">
        <v>61</v>
      </c>
      <c r="H119" s="3">
        <v>43563</v>
      </c>
      <c r="I119" s="2">
        <v>7.95</v>
      </c>
      <c r="J119" s="7">
        <f t="shared" si="1"/>
        <v>118</v>
      </c>
      <c r="K119" s="7"/>
      <c r="L119"/>
      <c r="N119" s="1" t="s">
        <v>67</v>
      </c>
      <c r="O119" s="1" t="s">
        <v>83</v>
      </c>
      <c r="P119" s="2"/>
    </row>
    <row r="120" spans="1:16" x14ac:dyDescent="0.25">
      <c r="A120" s="1">
        <f>ROW()-ROW(BASE[[#Headers],[INDEX]])</f>
        <v>119</v>
      </c>
      <c r="B120" s="1" t="s">
        <v>92</v>
      </c>
      <c r="C120" s="1" t="s">
        <v>91</v>
      </c>
      <c r="D120" s="7">
        <f>YEAR(BASE[[#This Row],[DATE]])</f>
        <v>2019</v>
      </c>
      <c r="E120" s="7">
        <f>MONTH(BASE[[#This Row],[DATE]])</f>
        <v>4</v>
      </c>
      <c r="F120" s="1" t="str">
        <f>VLOOKUP(BASE[[#This Row],[DESCRIPTION]],LISTEDESCRIPTION[],2,FALSE)</f>
        <v>LOISIRS</v>
      </c>
      <c r="G120" s="1" t="s">
        <v>76</v>
      </c>
      <c r="H120" s="3">
        <v>43563</v>
      </c>
      <c r="I120" s="2">
        <v>6.9</v>
      </c>
      <c r="J120" s="7">
        <f t="shared" si="1"/>
        <v>119</v>
      </c>
      <c r="K120" s="7"/>
      <c r="L120"/>
      <c r="N120" s="7" t="s">
        <v>193</v>
      </c>
      <c r="O120" s="1" t="s">
        <v>83</v>
      </c>
      <c r="P120" s="2"/>
    </row>
    <row r="121" spans="1:16" x14ac:dyDescent="0.25">
      <c r="A121" s="1">
        <f>ROW()-ROW(BASE[[#Headers],[INDEX]])</f>
        <v>120</v>
      </c>
      <c r="B121" s="1" t="s">
        <v>92</v>
      </c>
      <c r="C121" s="1" t="s">
        <v>91</v>
      </c>
      <c r="D121" s="7">
        <f>YEAR(BASE[[#This Row],[DATE]])</f>
        <v>2019</v>
      </c>
      <c r="E121" s="7">
        <f>MONTH(BASE[[#This Row],[DATE]])</f>
        <v>4</v>
      </c>
      <c r="F121" s="1" t="str">
        <f>VLOOKUP(BASE[[#This Row],[DESCRIPTION]],LISTEDESCRIPTION[],2,FALSE)</f>
        <v>LOISIRS</v>
      </c>
      <c r="G121" s="1" t="s">
        <v>76</v>
      </c>
      <c r="H121" s="3">
        <v>43563</v>
      </c>
      <c r="I121" s="2">
        <v>15.8</v>
      </c>
      <c r="J121" s="7">
        <f t="shared" si="1"/>
        <v>120</v>
      </c>
      <c r="K121" s="7"/>
      <c r="L121"/>
      <c r="N121" s="1" t="s">
        <v>178</v>
      </c>
      <c r="O121" s="1" t="s">
        <v>186</v>
      </c>
      <c r="P121" s="2"/>
    </row>
    <row r="122" spans="1:16" x14ac:dyDescent="0.25">
      <c r="A122" s="1">
        <f>ROW()-ROW(BASE[[#Headers],[INDEX]])</f>
        <v>121</v>
      </c>
      <c r="B122" s="1" t="s">
        <v>92</v>
      </c>
      <c r="C122" s="1" t="s">
        <v>91</v>
      </c>
      <c r="D122" s="7">
        <f>YEAR(BASE[[#This Row],[DATE]])</f>
        <v>2019</v>
      </c>
      <c r="E122" s="7">
        <f>MONTH(BASE[[#This Row],[DATE]])</f>
        <v>4</v>
      </c>
      <c r="F122" s="1" t="str">
        <f>VLOOKUP(BASE[[#This Row],[DESCRIPTION]],LISTEDESCRIPTION[],2,FALSE)</f>
        <v>COURSE</v>
      </c>
      <c r="G122" s="1" t="s">
        <v>40</v>
      </c>
      <c r="H122" s="3">
        <v>43563</v>
      </c>
      <c r="I122" s="2">
        <v>72.819999999999993</v>
      </c>
      <c r="J122" s="7">
        <f t="shared" si="1"/>
        <v>121</v>
      </c>
      <c r="K122" s="7"/>
      <c r="L122"/>
      <c r="N122" s="1" t="s">
        <v>43</v>
      </c>
      <c r="O122" s="1" t="s">
        <v>83</v>
      </c>
      <c r="P122" s="2"/>
    </row>
    <row r="123" spans="1:16" x14ac:dyDescent="0.25">
      <c r="A123" s="1">
        <f>ROW()-ROW(BASE[[#Headers],[INDEX]])</f>
        <v>122</v>
      </c>
      <c r="B123" s="1" t="s">
        <v>92</v>
      </c>
      <c r="C123" s="1" t="s">
        <v>91</v>
      </c>
      <c r="D123" s="7">
        <f>YEAR(BASE[[#This Row],[DATE]])</f>
        <v>2019</v>
      </c>
      <c r="E123" s="7">
        <f>MONTH(BASE[[#This Row],[DATE]])</f>
        <v>4</v>
      </c>
      <c r="F123" s="1" t="str">
        <f>VLOOKUP(BASE[[#This Row],[DESCRIPTION]],LISTEDESCRIPTION[],2,FALSE)</f>
        <v>RESTAURATION</v>
      </c>
      <c r="G123" s="1" t="s">
        <v>70</v>
      </c>
      <c r="H123" s="3">
        <v>43563</v>
      </c>
      <c r="I123" s="2">
        <v>26.9</v>
      </c>
      <c r="J123" s="7">
        <f t="shared" si="1"/>
        <v>122</v>
      </c>
      <c r="K123" s="7"/>
      <c r="L123"/>
      <c r="N123" s="1" t="s">
        <v>179</v>
      </c>
      <c r="O123" s="1" t="s">
        <v>83</v>
      </c>
      <c r="P123" s="2"/>
    </row>
    <row r="124" spans="1:16" x14ac:dyDescent="0.25">
      <c r="A124" s="1">
        <f>ROW()-ROW(BASE[[#Headers],[INDEX]])</f>
        <v>123</v>
      </c>
      <c r="B124" s="1" t="s">
        <v>92</v>
      </c>
      <c r="C124" s="1" t="s">
        <v>91</v>
      </c>
      <c r="D124" s="7">
        <f>YEAR(BASE[[#This Row],[DATE]])</f>
        <v>2019</v>
      </c>
      <c r="E124" s="7">
        <f>MONTH(BASE[[#This Row],[DATE]])</f>
        <v>4</v>
      </c>
      <c r="F124" s="1" t="str">
        <f>VLOOKUP(BASE[[#This Row],[DESCRIPTION]],LISTEDESCRIPTION[],2,FALSE)</f>
        <v>RETRAIT EPARGNE</v>
      </c>
      <c r="G124" s="1" t="s">
        <v>190</v>
      </c>
      <c r="H124" s="3">
        <v>43561</v>
      </c>
      <c r="I124" s="2">
        <v>50</v>
      </c>
      <c r="J124" s="7">
        <f t="shared" si="1"/>
        <v>123</v>
      </c>
      <c r="K124" s="7"/>
      <c r="L124"/>
      <c r="N124" s="1" t="s">
        <v>180</v>
      </c>
      <c r="O124" s="1" t="s">
        <v>186</v>
      </c>
      <c r="P124" s="2"/>
    </row>
    <row r="125" spans="1:16" x14ac:dyDescent="0.25">
      <c r="A125" s="1">
        <f>ROW()-ROW(BASE[[#Headers],[INDEX]])</f>
        <v>124</v>
      </c>
      <c r="B125" s="1" t="s">
        <v>92</v>
      </c>
      <c r="C125" s="1" t="s">
        <v>91</v>
      </c>
      <c r="D125" s="7">
        <f>YEAR(BASE[[#This Row],[DATE]])</f>
        <v>2019</v>
      </c>
      <c r="E125" s="7">
        <f>MONTH(BASE[[#This Row],[DATE]])</f>
        <v>4</v>
      </c>
      <c r="F125" s="1" t="str">
        <f>VLOOKUP(BASE[[#This Row],[DESCRIPTION]],LISTEDESCRIPTION[],2,FALSE)</f>
        <v>RESTAURATION</v>
      </c>
      <c r="G125" s="1" t="s">
        <v>23</v>
      </c>
      <c r="H125" s="3">
        <v>43560</v>
      </c>
      <c r="I125" s="2">
        <v>11.5</v>
      </c>
      <c r="J125" s="7">
        <f t="shared" si="1"/>
        <v>124</v>
      </c>
      <c r="K125" s="7"/>
      <c r="L125"/>
      <c r="N125" s="1" t="s">
        <v>75</v>
      </c>
      <c r="O125" s="1" t="s">
        <v>83</v>
      </c>
      <c r="P125" s="2"/>
    </row>
    <row r="126" spans="1:16" x14ac:dyDescent="0.25">
      <c r="A126" s="1">
        <f>ROW()-ROW(BASE[[#Headers],[INDEX]])</f>
        <v>125</v>
      </c>
      <c r="B126" s="1" t="s">
        <v>92</v>
      </c>
      <c r="C126" s="1" t="s">
        <v>91</v>
      </c>
      <c r="D126" s="7">
        <f>YEAR(BASE[[#This Row],[DATE]])</f>
        <v>2019</v>
      </c>
      <c r="E126" s="7">
        <f>MONTH(BASE[[#This Row],[DATE]])</f>
        <v>4</v>
      </c>
      <c r="F126" s="1" t="str">
        <f>VLOOKUP(BASE[[#This Row],[DESCRIPTION]],LISTEDESCRIPTION[],2,FALSE)</f>
        <v>SALAIRE</v>
      </c>
      <c r="G126" s="1" t="s">
        <v>21</v>
      </c>
      <c r="H126" s="3">
        <v>43559</v>
      </c>
      <c r="I126" s="2">
        <v>962.14</v>
      </c>
      <c r="J126" s="7">
        <f t="shared" si="1"/>
        <v>125</v>
      </c>
      <c r="K126" s="7"/>
      <c r="L126"/>
      <c r="N126" s="7" t="s">
        <v>197</v>
      </c>
      <c r="O126" s="1" t="s">
        <v>86</v>
      </c>
      <c r="P126" s="2"/>
    </row>
    <row r="127" spans="1:16" x14ac:dyDescent="0.25">
      <c r="A127" s="1">
        <f>ROW()-ROW(BASE[[#Headers],[INDEX]])</f>
        <v>126</v>
      </c>
      <c r="B127" s="1" t="s">
        <v>92</v>
      </c>
      <c r="C127" s="1" t="s">
        <v>91</v>
      </c>
      <c r="D127" s="7">
        <f>YEAR(BASE[[#This Row],[DATE]])</f>
        <v>2019</v>
      </c>
      <c r="E127" s="7">
        <f>MONTH(BASE[[#This Row],[DATE]])</f>
        <v>4</v>
      </c>
      <c r="F127" s="1" t="str">
        <f>VLOOKUP(BASE[[#This Row],[DESCRIPTION]],LISTEDESCRIPTION[],2,FALSE)</f>
        <v>COURSE</v>
      </c>
      <c r="G127" s="1" t="s">
        <v>31</v>
      </c>
      <c r="H127" s="3">
        <v>43559</v>
      </c>
      <c r="I127" s="2">
        <v>3.28</v>
      </c>
      <c r="J127" s="7">
        <f t="shared" si="1"/>
        <v>126</v>
      </c>
      <c r="K127" s="7"/>
      <c r="L127"/>
      <c r="N127" s="1" t="s">
        <v>181</v>
      </c>
      <c r="O127" s="1" t="s">
        <v>79</v>
      </c>
      <c r="P127" s="2"/>
    </row>
    <row r="128" spans="1:16" x14ac:dyDescent="0.25">
      <c r="A128" s="1">
        <f>ROW()-ROW(BASE[[#Headers],[INDEX]])</f>
        <v>127</v>
      </c>
      <c r="B128" s="1" t="s">
        <v>92</v>
      </c>
      <c r="C128" s="1" t="s">
        <v>91</v>
      </c>
      <c r="D128" s="7">
        <f>YEAR(BASE[[#This Row],[DATE]])</f>
        <v>2019</v>
      </c>
      <c r="E128" s="7">
        <f>MONTH(BASE[[#This Row],[DATE]])</f>
        <v>4</v>
      </c>
      <c r="F128" s="1" t="str">
        <f>VLOOKUP(BASE[[#This Row],[DESCRIPTION]],LISTEDESCRIPTION[],2,FALSE)</f>
        <v>COURSE</v>
      </c>
      <c r="G128" s="1" t="s">
        <v>47</v>
      </c>
      <c r="H128" s="3">
        <v>43559</v>
      </c>
      <c r="I128" s="2">
        <v>4.8499999999999996</v>
      </c>
      <c r="J128" s="7">
        <f t="shared" si="1"/>
        <v>127</v>
      </c>
      <c r="K128" s="7"/>
      <c r="L128"/>
      <c r="N128" s="1" t="s">
        <v>182</v>
      </c>
      <c r="O128" s="1" t="s">
        <v>86</v>
      </c>
      <c r="P128" s="2"/>
    </row>
    <row r="129" spans="1:16" x14ac:dyDescent="0.25">
      <c r="A129" s="1">
        <f>ROW()-ROW(BASE[[#Headers],[INDEX]])</f>
        <v>128</v>
      </c>
      <c r="B129" s="1" t="s">
        <v>92</v>
      </c>
      <c r="C129" s="1" t="s">
        <v>91</v>
      </c>
      <c r="D129" s="7">
        <f>YEAR(BASE[[#This Row],[DATE]])</f>
        <v>2019</v>
      </c>
      <c r="E129" s="7">
        <f>MONTH(BASE[[#This Row],[DATE]])</f>
        <v>4</v>
      </c>
      <c r="F129" s="1" t="str">
        <f>VLOOKUP(BASE[[#This Row],[DESCRIPTION]],LISTEDESCRIPTION[],2,FALSE)</f>
        <v>RESTAURATION</v>
      </c>
      <c r="G129" s="1" t="s">
        <v>70</v>
      </c>
      <c r="H129" s="3">
        <v>43559</v>
      </c>
      <c r="I129" s="2">
        <v>30.3</v>
      </c>
      <c r="J129" s="7">
        <f t="shared" si="1"/>
        <v>128</v>
      </c>
      <c r="K129" s="7"/>
      <c r="L129"/>
      <c r="N129" s="1" t="s">
        <v>183</v>
      </c>
      <c r="O129" s="1" t="s">
        <v>83</v>
      </c>
      <c r="P129" s="2"/>
    </row>
    <row r="130" spans="1:16" x14ac:dyDescent="0.25">
      <c r="A130" s="1">
        <f>ROW()-ROW(BASE[[#Headers],[INDEX]])</f>
        <v>129</v>
      </c>
      <c r="B130" s="1" t="s">
        <v>92</v>
      </c>
      <c r="C130" s="1" t="s">
        <v>91</v>
      </c>
      <c r="D130" s="7">
        <f>YEAR(BASE[[#This Row],[DATE]])</f>
        <v>2019</v>
      </c>
      <c r="E130" s="7">
        <f>MONTH(BASE[[#This Row],[DATE]])</f>
        <v>4</v>
      </c>
      <c r="F130" s="1" t="str">
        <f>VLOOKUP(BASE[[#This Row],[DESCRIPTION]],LISTEDESCRIPTION[],2,FALSE)</f>
        <v>COURSE</v>
      </c>
      <c r="G130" s="1" t="s">
        <v>31</v>
      </c>
      <c r="H130" s="3">
        <v>43558</v>
      </c>
      <c r="I130" s="2">
        <v>3.28</v>
      </c>
      <c r="J130" s="7">
        <f t="shared" ref="J130:J193" si="2">IF(J129="N°LIGNE",1,J129+1)</f>
        <v>129</v>
      </c>
      <c r="K130" s="7"/>
      <c r="L130"/>
      <c r="N130" s="7" t="s">
        <v>199</v>
      </c>
      <c r="O130" s="1" t="s">
        <v>86</v>
      </c>
      <c r="P130" s="2"/>
    </row>
    <row r="131" spans="1:16" x14ac:dyDescent="0.25">
      <c r="A131" s="1">
        <f>ROW()-ROW(BASE[[#Headers],[INDEX]])</f>
        <v>130</v>
      </c>
      <c r="B131" s="1" t="s">
        <v>92</v>
      </c>
      <c r="C131" s="1" t="s">
        <v>91</v>
      </c>
      <c r="D131" s="7">
        <f>YEAR(BASE[[#This Row],[DATE]])</f>
        <v>2019</v>
      </c>
      <c r="E131" s="7">
        <f>MONTH(BASE[[#This Row],[DATE]])</f>
        <v>4</v>
      </c>
      <c r="F131" s="1" t="str">
        <f>VLOOKUP(BASE[[#This Row],[DESCRIPTION]],LISTEDESCRIPTION[],2,FALSE)</f>
        <v>FACTURE</v>
      </c>
      <c r="G131" s="1" t="s">
        <v>24</v>
      </c>
      <c r="H131" s="3">
        <v>43558</v>
      </c>
      <c r="I131" s="2">
        <v>3.09</v>
      </c>
      <c r="J131" s="7">
        <f t="shared" si="2"/>
        <v>130</v>
      </c>
      <c r="K131" s="7"/>
      <c r="L131"/>
      <c r="N131" s="1" t="s">
        <v>54</v>
      </c>
      <c r="O131" s="1" t="s">
        <v>79</v>
      </c>
      <c r="P131" s="2">
        <v>11.99</v>
      </c>
    </row>
    <row r="132" spans="1:16" x14ac:dyDescent="0.25">
      <c r="A132" s="1">
        <f>ROW()-ROW(BASE[[#Headers],[INDEX]])</f>
        <v>131</v>
      </c>
      <c r="B132" s="1" t="s">
        <v>92</v>
      </c>
      <c r="C132" s="1" t="s">
        <v>91</v>
      </c>
      <c r="D132" s="7">
        <f>YEAR(BASE[[#This Row],[DATE]])</f>
        <v>2019</v>
      </c>
      <c r="E132" s="7">
        <f>MONTH(BASE[[#This Row],[DATE]])</f>
        <v>4</v>
      </c>
      <c r="F132" s="1" t="str">
        <f>VLOOKUP(BASE[[#This Row],[DESCRIPTION]],LISTEDESCRIPTION[],2,FALSE)</f>
        <v>COURSE</v>
      </c>
      <c r="G132" s="1" t="s">
        <v>31</v>
      </c>
      <c r="H132" s="3">
        <v>43557</v>
      </c>
      <c r="I132" s="2">
        <v>2.44</v>
      </c>
      <c r="J132" s="7">
        <f t="shared" si="2"/>
        <v>131</v>
      </c>
      <c r="K132" s="7"/>
      <c r="L132"/>
      <c r="N132" s="1" t="s">
        <v>71</v>
      </c>
      <c r="O132" s="1" t="s">
        <v>90</v>
      </c>
      <c r="P132" s="2"/>
    </row>
    <row r="133" spans="1:16" x14ac:dyDescent="0.25">
      <c r="A133" s="1">
        <f>ROW()-ROW(BASE[[#Headers],[INDEX]])</f>
        <v>132</v>
      </c>
      <c r="B133" s="1" t="s">
        <v>92</v>
      </c>
      <c r="C133" s="1" t="s">
        <v>91</v>
      </c>
      <c r="D133" s="7">
        <f>YEAR(BASE[[#This Row],[DATE]])</f>
        <v>2019</v>
      </c>
      <c r="E133" s="7">
        <f>MONTH(BASE[[#This Row],[DATE]])</f>
        <v>4</v>
      </c>
      <c r="F133" s="1" t="str">
        <f>VLOOKUP(BASE[[#This Row],[DESCRIPTION]],LISTEDESCRIPTION[],2,FALSE)</f>
        <v>FACTURE</v>
      </c>
      <c r="G133" s="1" t="s">
        <v>25</v>
      </c>
      <c r="H133" s="3">
        <v>43557</v>
      </c>
      <c r="I133" s="2">
        <v>0.6</v>
      </c>
      <c r="J133" s="7">
        <f t="shared" si="2"/>
        <v>132</v>
      </c>
      <c r="K133" s="7"/>
      <c r="L133"/>
      <c r="N133"/>
      <c r="O133"/>
      <c r="P133"/>
    </row>
    <row r="134" spans="1:16" x14ac:dyDescent="0.25">
      <c r="A134" s="1">
        <f>ROW()-ROW(BASE[[#Headers],[INDEX]])</f>
        <v>133</v>
      </c>
      <c r="B134" s="1" t="s">
        <v>92</v>
      </c>
      <c r="C134" s="1" t="s">
        <v>91</v>
      </c>
      <c r="D134" s="7">
        <f>YEAR(BASE[[#This Row],[DATE]])</f>
        <v>2019</v>
      </c>
      <c r="E134" s="7">
        <f>MONTH(BASE[[#This Row],[DATE]])</f>
        <v>4</v>
      </c>
      <c r="F134" s="1" t="str">
        <f>VLOOKUP(BASE[[#This Row],[DESCRIPTION]],LISTEDESCRIPTION[],2,FALSE)</f>
        <v>RESTAURATION</v>
      </c>
      <c r="G134" s="1" t="s">
        <v>28</v>
      </c>
      <c r="H134" s="3">
        <v>43556</v>
      </c>
      <c r="I134" s="2">
        <v>22</v>
      </c>
      <c r="J134" s="7">
        <f t="shared" si="2"/>
        <v>133</v>
      </c>
      <c r="K134" s="7"/>
      <c r="L134"/>
      <c r="N134"/>
      <c r="O134"/>
      <c r="P134"/>
    </row>
    <row r="135" spans="1:16" x14ac:dyDescent="0.25">
      <c r="A135" s="1">
        <f>ROW()-ROW(BASE[[#Headers],[INDEX]])</f>
        <v>134</v>
      </c>
      <c r="B135" s="1" t="s">
        <v>92</v>
      </c>
      <c r="C135" s="1" t="s">
        <v>91</v>
      </c>
      <c r="D135" s="7">
        <f>YEAR(BASE[[#This Row],[DATE]])</f>
        <v>2019</v>
      </c>
      <c r="E135" s="7">
        <f>MONTH(BASE[[#This Row],[DATE]])</f>
        <v>4</v>
      </c>
      <c r="F135" s="1" t="str">
        <f>VLOOKUP(BASE[[#This Row],[DESCRIPTION]],LISTEDESCRIPTION[],2,FALSE)</f>
        <v>TRANSPORT</v>
      </c>
      <c r="G135" s="1" t="s">
        <v>26</v>
      </c>
      <c r="H135" s="3">
        <v>43556</v>
      </c>
      <c r="I135" s="2">
        <v>3.9</v>
      </c>
      <c r="J135" s="7">
        <f t="shared" si="2"/>
        <v>134</v>
      </c>
      <c r="K135" s="7"/>
      <c r="L135"/>
      <c r="N135"/>
      <c r="O135"/>
      <c r="P135"/>
    </row>
    <row r="136" spans="1:16" x14ac:dyDescent="0.25">
      <c r="A136" s="1">
        <f>ROW()-ROW(BASE[[#Headers],[INDEX]])</f>
        <v>135</v>
      </c>
      <c r="B136" s="1" t="s">
        <v>92</v>
      </c>
      <c r="C136" s="1" t="s">
        <v>91</v>
      </c>
      <c r="D136" s="7">
        <f>YEAR(BASE[[#This Row],[DATE]])</f>
        <v>2019</v>
      </c>
      <c r="E136" s="7">
        <f>MONTH(BASE[[#This Row],[DATE]])</f>
        <v>4</v>
      </c>
      <c r="F136" s="1" t="str">
        <f>VLOOKUP(BASE[[#This Row],[DESCRIPTION]],LISTEDESCRIPTION[],2,FALSE)</f>
        <v>COURSE</v>
      </c>
      <c r="G136" s="1" t="s">
        <v>29</v>
      </c>
      <c r="H136" s="3">
        <v>43556</v>
      </c>
      <c r="I136" s="2">
        <v>28.94</v>
      </c>
      <c r="J136" s="7">
        <f t="shared" si="2"/>
        <v>135</v>
      </c>
      <c r="K136" s="7"/>
      <c r="L136"/>
      <c r="N136"/>
      <c r="O136"/>
      <c r="P136"/>
    </row>
    <row r="137" spans="1:16" x14ac:dyDescent="0.25">
      <c r="A137" s="1">
        <f>ROW()-ROW(BASE[[#Headers],[INDEX]])</f>
        <v>136</v>
      </c>
      <c r="B137" s="1" t="s">
        <v>92</v>
      </c>
      <c r="C137" s="1" t="s">
        <v>91</v>
      </c>
      <c r="D137" s="7">
        <f>YEAR(BASE[[#This Row],[DATE]])</f>
        <v>2019</v>
      </c>
      <c r="E137" s="7">
        <f>MONTH(BASE[[#This Row],[DATE]])</f>
        <v>4</v>
      </c>
      <c r="F137" s="1" t="str">
        <f>VLOOKUP(BASE[[#This Row],[DESCRIPTION]],LISTEDESCRIPTION[],2,FALSE)</f>
        <v>TRANSPORT</v>
      </c>
      <c r="G137" s="1" t="s">
        <v>30</v>
      </c>
      <c r="H137" s="3">
        <v>43556</v>
      </c>
      <c r="I137" s="2">
        <v>20.010000000000002</v>
      </c>
      <c r="J137" s="7">
        <f t="shared" si="2"/>
        <v>136</v>
      </c>
      <c r="K137" s="7"/>
      <c r="L137"/>
      <c r="N137"/>
      <c r="O137"/>
      <c r="P137"/>
    </row>
    <row r="138" spans="1:16" x14ac:dyDescent="0.25">
      <c r="A138" s="1">
        <f>ROW()-ROW(BASE[[#Headers],[INDEX]])</f>
        <v>137</v>
      </c>
      <c r="B138" s="1" t="s">
        <v>92</v>
      </c>
      <c r="C138" s="1" t="s">
        <v>91</v>
      </c>
      <c r="D138" s="7">
        <f>YEAR(BASE[[#This Row],[DATE]])</f>
        <v>2019</v>
      </c>
      <c r="E138" s="7">
        <f>MONTH(BASE[[#This Row],[DATE]])</f>
        <v>3</v>
      </c>
      <c r="F138" s="1" t="str">
        <f>VLOOKUP(BASE[[#This Row],[DESCRIPTION]],LISTEDESCRIPTION[],2,FALSE)</f>
        <v>RETRAIT EPARGNE</v>
      </c>
      <c r="G138" s="1" t="s">
        <v>190</v>
      </c>
      <c r="H138" s="3">
        <v>43555</v>
      </c>
      <c r="I138" s="2">
        <v>14.47</v>
      </c>
      <c r="J138" s="7">
        <f t="shared" si="2"/>
        <v>137</v>
      </c>
      <c r="K138" s="7"/>
      <c r="L138"/>
      <c r="N138"/>
      <c r="O138"/>
      <c r="P138"/>
    </row>
    <row r="139" spans="1:16" x14ac:dyDescent="0.25">
      <c r="A139" s="1">
        <f>ROW()-ROW(BASE[[#Headers],[INDEX]])</f>
        <v>138</v>
      </c>
      <c r="B139" s="1" t="s">
        <v>92</v>
      </c>
      <c r="C139" s="1" t="s">
        <v>91</v>
      </c>
      <c r="D139" s="7">
        <f>YEAR(BASE[[#This Row],[DATE]])</f>
        <v>2019</v>
      </c>
      <c r="E139" s="7">
        <f>MONTH(BASE[[#This Row],[DATE]])</f>
        <v>3</v>
      </c>
      <c r="F139" s="1" t="str">
        <f>VLOOKUP(BASE[[#This Row],[DESCRIPTION]],LISTEDESCRIPTION[],2,FALSE)</f>
        <v>RETRAIT EPARGNE</v>
      </c>
      <c r="G139" s="1" t="s">
        <v>190</v>
      </c>
      <c r="H139" s="3">
        <v>43554</v>
      </c>
      <c r="I139" s="2">
        <v>100</v>
      </c>
      <c r="J139" s="7">
        <f t="shared" si="2"/>
        <v>138</v>
      </c>
      <c r="K139" s="7"/>
      <c r="L139"/>
      <c r="N139"/>
      <c r="O139"/>
      <c r="P139"/>
    </row>
    <row r="140" spans="1:16" x14ac:dyDescent="0.25">
      <c r="A140" s="1">
        <f>ROW()-ROW(BASE[[#Headers],[INDEX]])</f>
        <v>139</v>
      </c>
      <c r="B140" s="1" t="s">
        <v>92</v>
      </c>
      <c r="C140" s="1" t="s">
        <v>91</v>
      </c>
      <c r="D140" s="7">
        <f>YEAR(BASE[[#This Row],[DATE]])</f>
        <v>2019</v>
      </c>
      <c r="E140" s="7">
        <f>MONTH(BASE[[#This Row],[DATE]])</f>
        <v>3</v>
      </c>
      <c r="F140" s="1" t="str">
        <f>VLOOKUP(BASE[[#This Row],[DESCRIPTION]],LISTEDESCRIPTION[],2,FALSE)</f>
        <v>COURSE</v>
      </c>
      <c r="G140" s="1" t="s">
        <v>31</v>
      </c>
      <c r="H140" s="3">
        <v>43553</v>
      </c>
      <c r="I140" s="2">
        <v>4.32</v>
      </c>
      <c r="J140" s="7">
        <f t="shared" si="2"/>
        <v>139</v>
      </c>
      <c r="K140" s="7"/>
      <c r="L140"/>
      <c r="N140"/>
      <c r="O140"/>
      <c r="P140"/>
    </row>
    <row r="141" spans="1:16" x14ac:dyDescent="0.25">
      <c r="A141" s="1">
        <f>ROW()-ROW(BASE[[#Headers],[INDEX]])</f>
        <v>140</v>
      </c>
      <c r="B141" s="1" t="s">
        <v>92</v>
      </c>
      <c r="C141" s="1" t="s">
        <v>91</v>
      </c>
      <c r="D141" s="7">
        <f>YEAR(BASE[[#This Row],[DATE]])</f>
        <v>2019</v>
      </c>
      <c r="E141" s="7">
        <f>MONTH(BASE[[#This Row],[DATE]])</f>
        <v>3</v>
      </c>
      <c r="F141" s="1" t="str">
        <f>VLOOKUP(BASE[[#This Row],[DESCRIPTION]],LISTEDESCRIPTION[],2,FALSE)</f>
        <v>RESTAURATION</v>
      </c>
      <c r="G141" s="1" t="s">
        <v>61</v>
      </c>
      <c r="H141" s="3">
        <v>43552</v>
      </c>
      <c r="I141" s="2">
        <v>8.5</v>
      </c>
      <c r="J141" s="7">
        <f t="shared" si="2"/>
        <v>140</v>
      </c>
      <c r="K141" s="7"/>
      <c r="L141"/>
      <c r="N141"/>
      <c r="O141"/>
      <c r="P141"/>
    </row>
    <row r="142" spans="1:16" x14ac:dyDescent="0.25">
      <c r="A142" s="1">
        <f>ROW()-ROW(BASE[[#Headers],[INDEX]])</f>
        <v>141</v>
      </c>
      <c r="B142" s="1" t="s">
        <v>92</v>
      </c>
      <c r="C142" s="1" t="s">
        <v>91</v>
      </c>
      <c r="D142" s="7">
        <f>YEAR(BASE[[#This Row],[DATE]])</f>
        <v>2019</v>
      </c>
      <c r="E142" s="7">
        <f>MONTH(BASE[[#This Row],[DATE]])</f>
        <v>3</v>
      </c>
      <c r="F142" s="1" t="str">
        <f>VLOOKUP(BASE[[#This Row],[DESCRIPTION]],LISTEDESCRIPTION[],2,FALSE)</f>
        <v>COURSE</v>
      </c>
      <c r="G142" s="1" t="s">
        <v>31</v>
      </c>
      <c r="H142" s="3">
        <v>43551</v>
      </c>
      <c r="I142" s="2">
        <v>2.88</v>
      </c>
      <c r="J142" s="7">
        <f t="shared" si="2"/>
        <v>141</v>
      </c>
      <c r="K142" s="7"/>
      <c r="L142"/>
      <c r="N142"/>
      <c r="O142"/>
      <c r="P142"/>
    </row>
    <row r="143" spans="1:16" x14ac:dyDescent="0.25">
      <c r="A143" s="1">
        <f>ROW()-ROW(BASE[[#Headers],[INDEX]])</f>
        <v>142</v>
      </c>
      <c r="B143" s="1" t="s">
        <v>92</v>
      </c>
      <c r="C143" s="1" t="s">
        <v>91</v>
      </c>
      <c r="D143" s="7">
        <f>YEAR(BASE[[#This Row],[DATE]])</f>
        <v>2019</v>
      </c>
      <c r="E143" s="7">
        <f>MONTH(BASE[[#This Row],[DATE]])</f>
        <v>3</v>
      </c>
      <c r="F143" s="1" t="str">
        <f>VLOOKUP(BASE[[#This Row],[DESCRIPTION]],LISTEDESCRIPTION[],2,FALSE)</f>
        <v>COURSE</v>
      </c>
      <c r="G143" s="1" t="s">
        <v>31</v>
      </c>
      <c r="H143" s="3">
        <v>43550</v>
      </c>
      <c r="I143" s="2">
        <v>6.26</v>
      </c>
      <c r="J143" s="7">
        <f t="shared" si="2"/>
        <v>142</v>
      </c>
      <c r="K143" s="7"/>
      <c r="L143"/>
      <c r="N143"/>
      <c r="O143"/>
      <c r="P143"/>
    </row>
    <row r="144" spans="1:16" x14ac:dyDescent="0.25">
      <c r="A144" s="1">
        <f>ROW()-ROW(BASE[[#Headers],[INDEX]])</f>
        <v>143</v>
      </c>
      <c r="B144" s="1" t="s">
        <v>92</v>
      </c>
      <c r="C144" s="1" t="s">
        <v>91</v>
      </c>
      <c r="D144" s="7">
        <f>YEAR(BASE[[#This Row],[DATE]])</f>
        <v>2019</v>
      </c>
      <c r="E144" s="7">
        <f>MONTH(BASE[[#This Row],[DATE]])</f>
        <v>3</v>
      </c>
      <c r="F144" s="1" t="str">
        <f>VLOOKUP(BASE[[#This Row],[DESCRIPTION]],LISTEDESCRIPTION[],2,FALSE)</f>
        <v>COURSE</v>
      </c>
      <c r="G144" s="1" t="s">
        <v>47</v>
      </c>
      <c r="H144" s="3">
        <v>43550</v>
      </c>
      <c r="I144" s="2">
        <v>6.86</v>
      </c>
      <c r="J144" s="7">
        <f t="shared" si="2"/>
        <v>143</v>
      </c>
      <c r="K144" s="7"/>
      <c r="L144"/>
      <c r="N144"/>
      <c r="O144"/>
      <c r="P144"/>
    </row>
    <row r="145" spans="1:16" x14ac:dyDescent="0.25">
      <c r="A145" s="1">
        <f>ROW()-ROW(BASE[[#Headers],[INDEX]])</f>
        <v>144</v>
      </c>
      <c r="B145" s="1" t="s">
        <v>92</v>
      </c>
      <c r="C145" s="1" t="s">
        <v>91</v>
      </c>
      <c r="D145" s="7">
        <f>YEAR(BASE[[#This Row],[DATE]])</f>
        <v>2019</v>
      </c>
      <c r="E145" s="7">
        <f>MONTH(BASE[[#This Row],[DATE]])</f>
        <v>3</v>
      </c>
      <c r="F145" s="1" t="str">
        <f>VLOOKUP(BASE[[#This Row],[DESCRIPTION]],LISTEDESCRIPTION[],2,FALSE)</f>
        <v>FACTURE</v>
      </c>
      <c r="G145" s="1" t="s">
        <v>55</v>
      </c>
      <c r="H145" s="3">
        <v>43549</v>
      </c>
      <c r="I145" s="2">
        <v>7</v>
      </c>
      <c r="J145" s="7">
        <f t="shared" si="2"/>
        <v>144</v>
      </c>
      <c r="K145" s="7"/>
      <c r="L145"/>
      <c r="N145"/>
      <c r="O145"/>
      <c r="P145"/>
    </row>
    <row r="146" spans="1:16" x14ac:dyDescent="0.25">
      <c r="A146" s="1">
        <f>ROW()-ROW(BASE[[#Headers],[INDEX]])</f>
        <v>145</v>
      </c>
      <c r="B146" s="1" t="s">
        <v>92</v>
      </c>
      <c r="C146" s="1" t="s">
        <v>91</v>
      </c>
      <c r="D146" s="7">
        <f>YEAR(BASE[[#This Row],[DATE]])</f>
        <v>2019</v>
      </c>
      <c r="E146" s="7">
        <f>MONTH(BASE[[#This Row],[DATE]])</f>
        <v>3</v>
      </c>
      <c r="F146" s="1" t="str">
        <f>VLOOKUP(BASE[[#This Row],[DESCRIPTION]],LISTEDESCRIPTION[],2,FALSE)</f>
        <v>RESTAURATION</v>
      </c>
      <c r="G146" s="1" t="s">
        <v>57</v>
      </c>
      <c r="H146" s="3">
        <v>43549</v>
      </c>
      <c r="I146" s="2">
        <v>11.5</v>
      </c>
      <c r="J146" s="7">
        <f t="shared" si="2"/>
        <v>145</v>
      </c>
      <c r="K146" s="7"/>
      <c r="L146"/>
      <c r="N146"/>
      <c r="O146"/>
      <c r="P146"/>
    </row>
    <row r="147" spans="1:16" x14ac:dyDescent="0.25">
      <c r="A147" s="1">
        <f>ROW()-ROW(BASE[[#Headers],[INDEX]])</f>
        <v>146</v>
      </c>
      <c r="B147" s="1" t="s">
        <v>92</v>
      </c>
      <c r="C147" s="1" t="s">
        <v>91</v>
      </c>
      <c r="D147" s="7">
        <f>YEAR(BASE[[#This Row],[DATE]])</f>
        <v>2019</v>
      </c>
      <c r="E147" s="7">
        <f>MONTH(BASE[[#This Row],[DATE]])</f>
        <v>3</v>
      </c>
      <c r="F147" s="1" t="str">
        <f>VLOOKUP(BASE[[#This Row],[DESCRIPTION]],LISTEDESCRIPTION[],2,FALSE)</f>
        <v>LOISIRS</v>
      </c>
      <c r="G147" s="1" t="s">
        <v>76</v>
      </c>
      <c r="H147" s="3">
        <v>43549</v>
      </c>
      <c r="I147" s="2">
        <v>20.8</v>
      </c>
      <c r="J147" s="7">
        <f t="shared" si="2"/>
        <v>146</v>
      </c>
      <c r="K147" s="7"/>
      <c r="L147"/>
      <c r="N147"/>
      <c r="O147"/>
      <c r="P147"/>
    </row>
    <row r="148" spans="1:16" x14ac:dyDescent="0.25">
      <c r="A148" s="1">
        <f>ROW()-ROW(BASE[[#Headers],[INDEX]])</f>
        <v>147</v>
      </c>
      <c r="B148" s="1" t="s">
        <v>92</v>
      </c>
      <c r="C148" s="1" t="s">
        <v>91</v>
      </c>
      <c r="D148" s="7">
        <f>YEAR(BASE[[#This Row],[DATE]])</f>
        <v>2019</v>
      </c>
      <c r="E148" s="7">
        <f>MONTH(BASE[[#This Row],[DATE]])</f>
        <v>3</v>
      </c>
      <c r="F148" s="1" t="str">
        <f>VLOOKUP(BASE[[#This Row],[DESCRIPTION]],LISTEDESCRIPTION[],2,FALSE)</f>
        <v>TRANSPORT</v>
      </c>
      <c r="G148" s="1" t="s">
        <v>26</v>
      </c>
      <c r="H148" s="3">
        <v>43549</v>
      </c>
      <c r="I148" s="2">
        <v>3.9</v>
      </c>
      <c r="J148" s="7">
        <f t="shared" si="2"/>
        <v>147</v>
      </c>
      <c r="K148" s="7"/>
      <c r="L148"/>
      <c r="N148"/>
      <c r="O148"/>
      <c r="P148"/>
    </row>
    <row r="149" spans="1:16" x14ac:dyDescent="0.25">
      <c r="A149" s="1">
        <f>ROW()-ROW(BASE[[#Headers],[INDEX]])</f>
        <v>148</v>
      </c>
      <c r="B149" s="1" t="s">
        <v>92</v>
      </c>
      <c r="C149" s="1" t="s">
        <v>91</v>
      </c>
      <c r="D149" s="7">
        <f>YEAR(BASE[[#This Row],[DATE]])</f>
        <v>2019</v>
      </c>
      <c r="E149" s="7">
        <f>MONTH(BASE[[#This Row],[DATE]])</f>
        <v>3</v>
      </c>
      <c r="F149" s="1" t="str">
        <f>VLOOKUP(BASE[[#This Row],[DESCRIPTION]],LISTEDESCRIPTION[],2,FALSE)</f>
        <v>RESTAURATION</v>
      </c>
      <c r="G149" s="1" t="s">
        <v>59</v>
      </c>
      <c r="H149" s="3">
        <v>43549</v>
      </c>
      <c r="I149" s="2">
        <v>7.65</v>
      </c>
      <c r="J149" s="7">
        <f t="shared" si="2"/>
        <v>148</v>
      </c>
      <c r="K149" s="7"/>
      <c r="L149"/>
      <c r="N149"/>
      <c r="O149"/>
      <c r="P149"/>
    </row>
    <row r="150" spans="1:16" x14ac:dyDescent="0.25">
      <c r="A150" s="1">
        <f>ROW()-ROW(BASE[[#Headers],[INDEX]])</f>
        <v>149</v>
      </c>
      <c r="B150" s="1" t="s">
        <v>92</v>
      </c>
      <c r="C150" s="1" t="s">
        <v>91</v>
      </c>
      <c r="D150" s="7">
        <f>YEAR(BASE[[#This Row],[DATE]])</f>
        <v>2019</v>
      </c>
      <c r="E150" s="7">
        <f>MONTH(BASE[[#This Row],[DATE]])</f>
        <v>3</v>
      </c>
      <c r="F150" s="1" t="str">
        <f>VLOOKUP(BASE[[#This Row],[DESCRIPTION]],LISTEDESCRIPTION[],2,FALSE)</f>
        <v>COURSE</v>
      </c>
      <c r="G150" s="1" t="s">
        <v>29</v>
      </c>
      <c r="H150" s="3">
        <v>43549</v>
      </c>
      <c r="I150" s="2">
        <v>46.07</v>
      </c>
      <c r="J150" s="7">
        <f t="shared" si="2"/>
        <v>149</v>
      </c>
      <c r="K150" s="7"/>
      <c r="L150"/>
      <c r="N150"/>
      <c r="O150"/>
      <c r="P150"/>
    </row>
    <row r="151" spans="1:16" x14ac:dyDescent="0.25">
      <c r="A151" s="1">
        <f>ROW()-ROW(BASE[[#Headers],[INDEX]])</f>
        <v>150</v>
      </c>
      <c r="B151" s="1" t="s">
        <v>92</v>
      </c>
      <c r="C151" s="1" t="s">
        <v>91</v>
      </c>
      <c r="D151" s="7">
        <f>YEAR(BASE[[#This Row],[DATE]])</f>
        <v>2019</v>
      </c>
      <c r="E151" s="7">
        <f>MONTH(BASE[[#This Row],[DATE]])</f>
        <v>3</v>
      </c>
      <c r="F151" s="1" t="str">
        <f>VLOOKUP(BASE[[#This Row],[DESCRIPTION]],LISTEDESCRIPTION[],2,FALSE)</f>
        <v>RECU</v>
      </c>
      <c r="G151" s="1" t="s">
        <v>75</v>
      </c>
      <c r="H151" s="3">
        <v>43548</v>
      </c>
      <c r="I151" s="2">
        <v>51.78</v>
      </c>
      <c r="J151" s="7">
        <f t="shared" si="2"/>
        <v>150</v>
      </c>
      <c r="K151" s="7"/>
      <c r="L151"/>
      <c r="N151"/>
      <c r="O151"/>
      <c r="P151"/>
    </row>
    <row r="152" spans="1:16" x14ac:dyDescent="0.25">
      <c r="A152" s="1">
        <f>ROW()-ROW(BASE[[#Headers],[INDEX]])</f>
        <v>151</v>
      </c>
      <c r="B152" s="1" t="s">
        <v>92</v>
      </c>
      <c r="C152" s="1" t="s">
        <v>91</v>
      </c>
      <c r="D152" s="7">
        <f>YEAR(BASE[[#This Row],[DATE]])</f>
        <v>2019</v>
      </c>
      <c r="E152" s="7">
        <f>MONTH(BASE[[#This Row],[DATE]])</f>
        <v>3</v>
      </c>
      <c r="F152" s="1" t="str">
        <f>VLOOKUP(BASE[[#This Row],[DESCRIPTION]],LISTEDESCRIPTION[],2,FALSE)</f>
        <v>RECU</v>
      </c>
      <c r="G152" s="1" t="s">
        <v>43</v>
      </c>
      <c r="H152" s="3">
        <v>43548</v>
      </c>
      <c r="I152" s="2">
        <v>40</v>
      </c>
      <c r="J152" s="7">
        <f t="shared" si="2"/>
        <v>151</v>
      </c>
      <c r="K152" s="7"/>
      <c r="L152"/>
      <c r="N152"/>
      <c r="O152"/>
      <c r="P152"/>
    </row>
    <row r="153" spans="1:16" x14ac:dyDescent="0.25">
      <c r="A153" s="1">
        <f>ROW()-ROW(BASE[[#Headers],[INDEX]])</f>
        <v>152</v>
      </c>
      <c r="B153" s="1" t="s">
        <v>92</v>
      </c>
      <c r="C153" s="1" t="s">
        <v>91</v>
      </c>
      <c r="D153" s="7">
        <f>YEAR(BASE[[#This Row],[DATE]])</f>
        <v>2019</v>
      </c>
      <c r="E153" s="7">
        <f>MONTH(BASE[[#This Row],[DATE]])</f>
        <v>3</v>
      </c>
      <c r="F153" s="1" t="str">
        <f>VLOOKUP(BASE[[#This Row],[DESCRIPTION]],LISTEDESCRIPTION[],2,FALSE)</f>
        <v>FACTURE</v>
      </c>
      <c r="G153" s="1" t="s">
        <v>54</v>
      </c>
      <c r="H153" s="3">
        <v>43546</v>
      </c>
      <c r="I153" s="2">
        <v>11.99</v>
      </c>
      <c r="J153" s="7">
        <f t="shared" si="2"/>
        <v>152</v>
      </c>
      <c r="K153" s="7"/>
      <c r="L153"/>
      <c r="N153"/>
      <c r="O153"/>
      <c r="P153"/>
    </row>
    <row r="154" spans="1:16" x14ac:dyDescent="0.25">
      <c r="A154" s="1">
        <f>ROW()-ROW(BASE[[#Headers],[INDEX]])</f>
        <v>153</v>
      </c>
      <c r="B154" s="1" t="s">
        <v>92</v>
      </c>
      <c r="C154" s="1" t="s">
        <v>91</v>
      </c>
      <c r="D154" s="7">
        <f>YEAR(BASE[[#This Row],[DATE]])</f>
        <v>2019</v>
      </c>
      <c r="E154" s="7">
        <f>MONTH(BASE[[#This Row],[DATE]])</f>
        <v>3</v>
      </c>
      <c r="F154" s="1" t="str">
        <f>VLOOKUP(BASE[[#This Row],[DESCRIPTION]],LISTEDESCRIPTION[],2,FALSE)</f>
        <v>RESTAURATION</v>
      </c>
      <c r="G154" s="1" t="s">
        <v>59</v>
      </c>
      <c r="H154" s="3">
        <v>43545</v>
      </c>
      <c r="I154" s="2">
        <v>1.7</v>
      </c>
      <c r="J154" s="7">
        <f t="shared" si="2"/>
        <v>153</v>
      </c>
      <c r="K154" s="7"/>
      <c r="L154"/>
      <c r="N154"/>
      <c r="O154"/>
      <c r="P154"/>
    </row>
    <row r="155" spans="1:16" x14ac:dyDescent="0.25">
      <c r="A155" s="1">
        <f>ROW()-ROW(BASE[[#Headers],[INDEX]])</f>
        <v>154</v>
      </c>
      <c r="B155" s="1" t="s">
        <v>92</v>
      </c>
      <c r="C155" s="1" t="s">
        <v>91</v>
      </c>
      <c r="D155" s="7">
        <f>YEAR(BASE[[#This Row],[DATE]])</f>
        <v>2019</v>
      </c>
      <c r="E155" s="7">
        <f>MONTH(BASE[[#This Row],[DATE]])</f>
        <v>3</v>
      </c>
      <c r="F155" s="1" t="str">
        <f>VLOOKUP(BASE[[#This Row],[DESCRIPTION]],LISTEDESCRIPTION[],2,FALSE)</f>
        <v>FACTURE</v>
      </c>
      <c r="G155" s="1" t="s">
        <v>52</v>
      </c>
      <c r="H155" s="3">
        <v>43544</v>
      </c>
      <c r="I155" s="2">
        <v>6.99</v>
      </c>
      <c r="J155" s="7">
        <f t="shared" si="2"/>
        <v>154</v>
      </c>
      <c r="K155" s="7"/>
      <c r="L155"/>
      <c r="N155"/>
      <c r="O155"/>
      <c r="P155"/>
    </row>
    <row r="156" spans="1:16" x14ac:dyDescent="0.25">
      <c r="A156" s="1">
        <f>ROW()-ROW(BASE[[#Headers],[INDEX]])</f>
        <v>155</v>
      </c>
      <c r="B156" s="1" t="s">
        <v>92</v>
      </c>
      <c r="C156" s="1" t="s">
        <v>91</v>
      </c>
      <c r="D156" s="7">
        <f>YEAR(BASE[[#This Row],[DATE]])</f>
        <v>2019</v>
      </c>
      <c r="E156" s="7">
        <f>MONTH(BASE[[#This Row],[DATE]])</f>
        <v>3</v>
      </c>
      <c r="F156" s="1" t="str">
        <f>VLOOKUP(BASE[[#This Row],[DESCRIPTION]],LISTEDESCRIPTION[],2,FALSE)</f>
        <v>CREDIT</v>
      </c>
      <c r="G156" s="1" t="s">
        <v>46</v>
      </c>
      <c r="H156" s="3">
        <v>43544</v>
      </c>
      <c r="I156" s="2">
        <v>50.66</v>
      </c>
      <c r="J156" s="7">
        <f t="shared" si="2"/>
        <v>155</v>
      </c>
      <c r="K156" s="7"/>
      <c r="L156"/>
      <c r="N156"/>
      <c r="O156"/>
      <c r="P156"/>
    </row>
    <row r="157" spans="1:16" x14ac:dyDescent="0.25">
      <c r="A157" s="1">
        <f>ROW()-ROW(BASE[[#Headers],[INDEX]])</f>
        <v>156</v>
      </c>
      <c r="B157" s="1" t="s">
        <v>92</v>
      </c>
      <c r="C157" s="1" t="s">
        <v>91</v>
      </c>
      <c r="D157" s="7">
        <f>YEAR(BASE[[#This Row],[DATE]])</f>
        <v>2019</v>
      </c>
      <c r="E157" s="7">
        <f>MONTH(BASE[[#This Row],[DATE]])</f>
        <v>3</v>
      </c>
      <c r="F157" s="1" t="str">
        <f>VLOOKUP(BASE[[#This Row],[DESCRIPTION]],LISTEDESCRIPTION[],2,FALSE)</f>
        <v>RESTAURATION</v>
      </c>
      <c r="G157" s="1" t="s">
        <v>28</v>
      </c>
      <c r="H157" s="3">
        <v>43544</v>
      </c>
      <c r="I157" s="2">
        <v>15.9</v>
      </c>
      <c r="J157" s="7">
        <f t="shared" si="2"/>
        <v>156</v>
      </c>
      <c r="K157" s="7"/>
      <c r="L157"/>
      <c r="N157"/>
      <c r="O157"/>
      <c r="P157"/>
    </row>
    <row r="158" spans="1:16" x14ac:dyDescent="0.25">
      <c r="A158" s="1">
        <f>ROW()-ROW(BASE[[#Headers],[INDEX]])</f>
        <v>157</v>
      </c>
      <c r="B158" s="1" t="s">
        <v>92</v>
      </c>
      <c r="C158" s="1" t="s">
        <v>91</v>
      </c>
      <c r="D158" s="7">
        <f>YEAR(BASE[[#This Row],[DATE]])</f>
        <v>2019</v>
      </c>
      <c r="E158" s="7">
        <f>MONTH(BASE[[#This Row],[DATE]])</f>
        <v>3</v>
      </c>
      <c r="F158" s="1" t="str">
        <f>VLOOKUP(BASE[[#This Row],[DESCRIPTION]],LISTEDESCRIPTION[],2,FALSE)</f>
        <v>FACTURE</v>
      </c>
      <c r="G158" s="1" t="s">
        <v>45</v>
      </c>
      <c r="H158" s="3">
        <v>43542</v>
      </c>
      <c r="I158" s="2">
        <v>9.9</v>
      </c>
      <c r="J158" s="7">
        <f t="shared" si="2"/>
        <v>157</v>
      </c>
      <c r="K158" s="7"/>
      <c r="L158"/>
      <c r="N158"/>
      <c r="O158"/>
      <c r="P158"/>
    </row>
    <row r="159" spans="1:16" x14ac:dyDescent="0.25">
      <c r="A159" s="1">
        <f>ROW()-ROW(BASE[[#Headers],[INDEX]])</f>
        <v>158</v>
      </c>
      <c r="B159" s="1" t="s">
        <v>92</v>
      </c>
      <c r="C159" s="1" t="s">
        <v>91</v>
      </c>
      <c r="D159" s="7">
        <f>YEAR(BASE[[#This Row],[DATE]])</f>
        <v>2019</v>
      </c>
      <c r="E159" s="7">
        <f>MONTH(BASE[[#This Row],[DATE]])</f>
        <v>3</v>
      </c>
      <c r="F159" s="1" t="str">
        <f>VLOOKUP(BASE[[#This Row],[DESCRIPTION]],LISTEDESCRIPTION[],2,FALSE)</f>
        <v>RESTAURATION</v>
      </c>
      <c r="G159" s="1" t="s">
        <v>28</v>
      </c>
      <c r="H159" s="3">
        <v>43542</v>
      </c>
      <c r="I159" s="2">
        <v>8.8000000000000007</v>
      </c>
      <c r="J159" s="7">
        <f t="shared" si="2"/>
        <v>158</v>
      </c>
      <c r="K159" s="7"/>
      <c r="L159"/>
      <c r="N159"/>
      <c r="O159"/>
      <c r="P159"/>
    </row>
    <row r="160" spans="1:16" x14ac:dyDescent="0.25">
      <c r="A160" s="1">
        <f>ROW()-ROW(BASE[[#Headers],[INDEX]])</f>
        <v>159</v>
      </c>
      <c r="B160" s="1" t="s">
        <v>92</v>
      </c>
      <c r="C160" s="1" t="s">
        <v>91</v>
      </c>
      <c r="D160" s="7">
        <f>YEAR(BASE[[#This Row],[DATE]])</f>
        <v>2019</v>
      </c>
      <c r="E160" s="7">
        <f>MONTH(BASE[[#This Row],[DATE]])</f>
        <v>3</v>
      </c>
      <c r="F160" s="1" t="str">
        <f>VLOOKUP(BASE[[#This Row],[DESCRIPTION]],LISTEDESCRIPTION[],2,FALSE)</f>
        <v>RESTAURATION</v>
      </c>
      <c r="G160" s="1" t="s">
        <v>28</v>
      </c>
      <c r="H160" s="3">
        <v>43542</v>
      </c>
      <c r="I160" s="2">
        <v>13.7</v>
      </c>
      <c r="J160" s="7">
        <f t="shared" si="2"/>
        <v>159</v>
      </c>
      <c r="K160" s="7"/>
      <c r="L160"/>
      <c r="N160"/>
      <c r="O160"/>
      <c r="P160"/>
    </row>
    <row r="161" spans="1:17" x14ac:dyDescent="0.25">
      <c r="A161" s="1">
        <f>ROW()-ROW(BASE[[#Headers],[INDEX]])</f>
        <v>160</v>
      </c>
      <c r="B161" s="1" t="s">
        <v>92</v>
      </c>
      <c r="C161" s="1" t="s">
        <v>91</v>
      </c>
      <c r="D161" s="7">
        <f>YEAR(BASE[[#This Row],[DATE]])</f>
        <v>2019</v>
      </c>
      <c r="E161" s="7">
        <f>MONTH(BASE[[#This Row],[DATE]])</f>
        <v>3</v>
      </c>
      <c r="F161" s="1" t="str">
        <f>VLOOKUP(BASE[[#This Row],[DESCRIPTION]],LISTEDESCRIPTION[],2,FALSE)</f>
        <v>RESTAURATION</v>
      </c>
      <c r="G161" s="1" t="s">
        <v>63</v>
      </c>
      <c r="H161" s="3">
        <v>43542</v>
      </c>
      <c r="I161" s="2">
        <v>15.9</v>
      </c>
      <c r="J161" s="7">
        <f t="shared" si="2"/>
        <v>160</v>
      </c>
      <c r="K161" s="7"/>
      <c r="L161"/>
      <c r="N161"/>
      <c r="O161"/>
      <c r="P161"/>
    </row>
    <row r="162" spans="1:17" x14ac:dyDescent="0.25">
      <c r="A162" s="1">
        <f>ROW()-ROW(BASE[[#Headers],[INDEX]])</f>
        <v>161</v>
      </c>
      <c r="B162" s="1" t="s">
        <v>92</v>
      </c>
      <c r="C162" s="1" t="s">
        <v>91</v>
      </c>
      <c r="D162" s="7">
        <f>YEAR(BASE[[#This Row],[DATE]])</f>
        <v>2019</v>
      </c>
      <c r="E162" s="7">
        <f>MONTH(BASE[[#This Row],[DATE]])</f>
        <v>3</v>
      </c>
      <c r="F162" s="1" t="str">
        <f>VLOOKUP(BASE[[#This Row],[DESCRIPTION]],LISTEDESCRIPTION[],2,FALSE)</f>
        <v>LOISIRS</v>
      </c>
      <c r="G162" s="1" t="s">
        <v>53</v>
      </c>
      <c r="H162" s="3">
        <v>43542</v>
      </c>
      <c r="I162" s="2">
        <v>5.9</v>
      </c>
      <c r="J162" s="7">
        <f t="shared" si="2"/>
        <v>161</v>
      </c>
      <c r="K162" s="7"/>
      <c r="L162"/>
      <c r="N162"/>
      <c r="O162"/>
      <c r="P162"/>
    </row>
    <row r="163" spans="1:17" x14ac:dyDescent="0.25">
      <c r="A163" s="1">
        <f>ROW()-ROW(BASE[[#Headers],[INDEX]])</f>
        <v>162</v>
      </c>
      <c r="B163" s="1" t="s">
        <v>92</v>
      </c>
      <c r="C163" s="1" t="s">
        <v>91</v>
      </c>
      <c r="D163" s="7">
        <f>YEAR(BASE[[#This Row],[DATE]])</f>
        <v>2019</v>
      </c>
      <c r="E163" s="7">
        <f>MONTH(BASE[[#This Row],[DATE]])</f>
        <v>3</v>
      </c>
      <c r="F163" s="1" t="str">
        <f>VLOOKUP(BASE[[#This Row],[DESCRIPTION]],LISTEDESCRIPTION[],2,FALSE)</f>
        <v>FACTURE</v>
      </c>
      <c r="G163" s="1" t="s">
        <v>49</v>
      </c>
      <c r="H163" s="3">
        <v>43542</v>
      </c>
      <c r="I163" s="2">
        <v>10.99</v>
      </c>
      <c r="J163" s="7">
        <f t="shared" si="2"/>
        <v>162</v>
      </c>
      <c r="K163" s="7"/>
      <c r="L163"/>
      <c r="N163"/>
      <c r="O163"/>
      <c r="P163"/>
    </row>
    <row r="164" spans="1:17" x14ac:dyDescent="0.25">
      <c r="A164" s="1">
        <f>ROW()-ROW(BASE[[#Headers],[INDEX]])</f>
        <v>163</v>
      </c>
      <c r="B164" s="1" t="s">
        <v>92</v>
      </c>
      <c r="C164" s="1" t="s">
        <v>91</v>
      </c>
      <c r="D164" s="7">
        <f>YEAR(BASE[[#This Row],[DATE]])</f>
        <v>2019</v>
      </c>
      <c r="E164" s="7">
        <f>MONTH(BASE[[#This Row],[DATE]])</f>
        <v>3</v>
      </c>
      <c r="F164" s="1" t="str">
        <f>VLOOKUP(BASE[[#This Row],[DESCRIPTION]],LISTEDESCRIPTION[],2,FALSE)</f>
        <v>COURSE</v>
      </c>
      <c r="G164" s="1" t="s">
        <v>31</v>
      </c>
      <c r="H164" s="3">
        <v>43539</v>
      </c>
      <c r="I164" s="2">
        <v>3.28</v>
      </c>
      <c r="J164" s="7">
        <f t="shared" si="2"/>
        <v>163</v>
      </c>
      <c r="K164" s="7"/>
      <c r="L164"/>
      <c r="N164"/>
      <c r="O164"/>
      <c r="P164"/>
    </row>
    <row r="165" spans="1:17" x14ac:dyDescent="0.25">
      <c r="A165" s="1">
        <f>ROW()-ROW(BASE[[#Headers],[INDEX]])</f>
        <v>164</v>
      </c>
      <c r="B165" s="1" t="s">
        <v>92</v>
      </c>
      <c r="C165" s="1" t="s">
        <v>91</v>
      </c>
      <c r="D165" s="7">
        <f>YEAR(BASE[[#This Row],[DATE]])</f>
        <v>2019</v>
      </c>
      <c r="E165" s="7">
        <f>MONTH(BASE[[#This Row],[DATE]])</f>
        <v>3</v>
      </c>
      <c r="F165" s="1" t="str">
        <f>VLOOKUP(BASE[[#This Row],[DESCRIPTION]],LISTEDESCRIPTION[],2,FALSE)</f>
        <v>COURSE</v>
      </c>
      <c r="G165" s="1" t="s">
        <v>31</v>
      </c>
      <c r="H165" s="3">
        <v>43538</v>
      </c>
      <c r="I165" s="2">
        <v>3.28</v>
      </c>
      <c r="J165" s="7">
        <f t="shared" si="2"/>
        <v>164</v>
      </c>
      <c r="K165" s="7"/>
      <c r="L165"/>
      <c r="N165"/>
      <c r="O165"/>
      <c r="P165"/>
    </row>
    <row r="166" spans="1:17" x14ac:dyDescent="0.25">
      <c r="A166" s="1">
        <f>ROW()-ROW(BASE[[#Headers],[INDEX]])</f>
        <v>165</v>
      </c>
      <c r="B166" s="1" t="s">
        <v>92</v>
      </c>
      <c r="C166" s="1" t="s">
        <v>91</v>
      </c>
      <c r="D166" s="7">
        <f>YEAR(BASE[[#This Row],[DATE]])</f>
        <v>2019</v>
      </c>
      <c r="E166" s="7">
        <f>MONTH(BASE[[#This Row],[DATE]])</f>
        <v>3</v>
      </c>
      <c r="F166" s="1" t="str">
        <f>VLOOKUP(BASE[[#This Row],[DESCRIPTION]],LISTEDESCRIPTION[],2,FALSE)</f>
        <v>COURSE</v>
      </c>
      <c r="G166" s="1" t="s">
        <v>31</v>
      </c>
      <c r="H166" s="3">
        <v>43537</v>
      </c>
      <c r="I166" s="2">
        <v>6.99</v>
      </c>
      <c r="J166" s="7">
        <f t="shared" si="2"/>
        <v>165</v>
      </c>
      <c r="K166" s="7"/>
      <c r="L166"/>
      <c r="N166"/>
      <c r="O166"/>
      <c r="P166"/>
    </row>
    <row r="167" spans="1:17" x14ac:dyDescent="0.25">
      <c r="A167" s="1">
        <f>ROW()-ROW(BASE[[#Headers],[INDEX]])</f>
        <v>166</v>
      </c>
      <c r="B167" s="1" t="s">
        <v>92</v>
      </c>
      <c r="C167" s="1" t="s">
        <v>91</v>
      </c>
      <c r="D167" s="7">
        <f>YEAR(BASE[[#This Row],[DATE]])</f>
        <v>2019</v>
      </c>
      <c r="E167" s="7">
        <f>MONTH(BASE[[#This Row],[DATE]])</f>
        <v>3</v>
      </c>
      <c r="F167" s="1" t="str">
        <f>VLOOKUP(BASE[[#This Row],[DESCRIPTION]],LISTEDESCRIPTION[],2,FALSE)</f>
        <v>PERSONNEL</v>
      </c>
      <c r="G167" s="1" t="s">
        <v>51</v>
      </c>
      <c r="H167" s="3">
        <v>43537</v>
      </c>
      <c r="I167" s="2">
        <v>20</v>
      </c>
      <c r="J167" s="7">
        <f t="shared" si="2"/>
        <v>166</v>
      </c>
      <c r="K167" s="7"/>
      <c r="L167"/>
      <c r="N167"/>
      <c r="O167"/>
      <c r="P167"/>
    </row>
    <row r="168" spans="1:17" x14ac:dyDescent="0.25">
      <c r="A168" s="1">
        <f>ROW()-ROW(BASE[[#Headers],[INDEX]])</f>
        <v>167</v>
      </c>
      <c r="B168" s="1" t="s">
        <v>92</v>
      </c>
      <c r="C168" s="1" t="s">
        <v>91</v>
      </c>
      <c r="D168" s="7">
        <f>YEAR(BASE[[#This Row],[DATE]])</f>
        <v>2019</v>
      </c>
      <c r="E168" s="7">
        <f>MONTH(BASE[[#This Row],[DATE]])</f>
        <v>3</v>
      </c>
      <c r="F168" s="1" t="str">
        <f>VLOOKUP(BASE[[#This Row],[DESCRIPTION]],LISTEDESCRIPTION[],2,FALSE)</f>
        <v>RESTAURATION</v>
      </c>
      <c r="G168" s="1" t="s">
        <v>74</v>
      </c>
      <c r="H168" s="3">
        <v>43537</v>
      </c>
      <c r="I168" s="2">
        <v>6.5</v>
      </c>
      <c r="J168" s="7">
        <f t="shared" si="2"/>
        <v>167</v>
      </c>
      <c r="K168" s="7"/>
      <c r="L168"/>
      <c r="N168"/>
      <c r="O168"/>
      <c r="P168"/>
    </row>
    <row r="169" spans="1:17" x14ac:dyDescent="0.25">
      <c r="A169" s="1">
        <f>ROW()-ROW(BASE[[#Headers],[INDEX]])</f>
        <v>168</v>
      </c>
      <c r="B169" s="1" t="s">
        <v>92</v>
      </c>
      <c r="C169" s="1" t="s">
        <v>91</v>
      </c>
      <c r="D169" s="7">
        <f>YEAR(BASE[[#This Row],[DATE]])</f>
        <v>2019</v>
      </c>
      <c r="E169" s="7">
        <f>MONTH(BASE[[#This Row],[DATE]])</f>
        <v>3</v>
      </c>
      <c r="F169" s="1" t="str">
        <f>VLOOKUP(BASE[[#This Row],[DESCRIPTION]],LISTEDESCRIPTION[],2,FALSE)</f>
        <v>DIVERS</v>
      </c>
      <c r="G169" s="1" t="s">
        <v>73</v>
      </c>
      <c r="H169" s="3">
        <v>43536</v>
      </c>
      <c r="I169" s="2">
        <v>11.7</v>
      </c>
      <c r="J169" s="7">
        <f t="shared" si="2"/>
        <v>168</v>
      </c>
      <c r="K169" s="7"/>
      <c r="L169"/>
      <c r="N169"/>
      <c r="O169"/>
      <c r="P169"/>
    </row>
    <row r="170" spans="1:17" x14ac:dyDescent="0.25">
      <c r="A170" s="1">
        <f>ROW()-ROW(BASE[[#Headers],[INDEX]])</f>
        <v>169</v>
      </c>
      <c r="B170" s="1" t="s">
        <v>92</v>
      </c>
      <c r="C170" s="1" t="s">
        <v>91</v>
      </c>
      <c r="D170" s="7">
        <f>YEAR(BASE[[#This Row],[DATE]])</f>
        <v>2019</v>
      </c>
      <c r="E170" s="7">
        <f>MONTH(BASE[[#This Row],[DATE]])</f>
        <v>3</v>
      </c>
      <c r="F170" s="1" t="str">
        <f>VLOOKUP(BASE[[#This Row],[DESCRIPTION]],LISTEDESCRIPTION[],2,FALSE)</f>
        <v>COURSE</v>
      </c>
      <c r="G170" s="1" t="s">
        <v>31</v>
      </c>
      <c r="H170" s="3">
        <v>43536</v>
      </c>
      <c r="I170" s="2">
        <v>2.78</v>
      </c>
      <c r="J170" s="7">
        <f t="shared" si="2"/>
        <v>169</v>
      </c>
      <c r="K170" s="7"/>
      <c r="L170"/>
    </row>
    <row r="171" spans="1:17" x14ac:dyDescent="0.25">
      <c r="A171" s="1">
        <f>ROW()-ROW(BASE[[#Headers],[INDEX]])</f>
        <v>170</v>
      </c>
      <c r="B171" s="1" t="s">
        <v>92</v>
      </c>
      <c r="C171" s="1" t="s">
        <v>91</v>
      </c>
      <c r="D171" s="7">
        <f>YEAR(BASE[[#This Row],[DATE]])</f>
        <v>2019</v>
      </c>
      <c r="E171" s="7">
        <f>MONTH(BASE[[#This Row],[DATE]])</f>
        <v>3</v>
      </c>
      <c r="F171" s="1" t="str">
        <f>VLOOKUP(BASE[[#This Row],[DESCRIPTION]],LISTEDESCRIPTION[],2,FALSE)</f>
        <v>COURSE</v>
      </c>
      <c r="G171" s="1" t="s">
        <v>47</v>
      </c>
      <c r="H171" s="3">
        <v>43536</v>
      </c>
      <c r="I171" s="2">
        <v>12.67</v>
      </c>
      <c r="J171" s="7">
        <f t="shared" si="2"/>
        <v>170</v>
      </c>
      <c r="K171" s="7"/>
      <c r="L171"/>
    </row>
    <row r="172" spans="1:17" x14ac:dyDescent="0.25">
      <c r="A172" s="1">
        <f>ROW()-ROW(BASE[[#Headers],[INDEX]])</f>
        <v>171</v>
      </c>
      <c r="B172" s="1" t="s">
        <v>92</v>
      </c>
      <c r="C172" s="1" t="s">
        <v>91</v>
      </c>
      <c r="D172" s="7">
        <f>YEAR(BASE[[#This Row],[DATE]])</f>
        <v>2019</v>
      </c>
      <c r="E172" s="7">
        <f>MONTH(BASE[[#This Row],[DATE]])</f>
        <v>3</v>
      </c>
      <c r="F172" s="1" t="str">
        <f>VLOOKUP(BASE[[#This Row],[DESCRIPTION]],LISTEDESCRIPTION[],2,FALSE)</f>
        <v>RESTAURATION</v>
      </c>
      <c r="G172" s="1" t="s">
        <v>70</v>
      </c>
      <c r="H172" s="3">
        <v>43535</v>
      </c>
      <c r="I172" s="2">
        <v>21.9</v>
      </c>
      <c r="J172" s="7">
        <f t="shared" si="2"/>
        <v>171</v>
      </c>
      <c r="K172" s="7"/>
      <c r="L172"/>
    </row>
    <row r="173" spans="1:17" x14ac:dyDescent="0.25">
      <c r="A173" s="1">
        <f>ROW()-ROW(BASE[[#Headers],[INDEX]])</f>
        <v>172</v>
      </c>
      <c r="B173" s="1" t="s">
        <v>92</v>
      </c>
      <c r="C173" s="1" t="s">
        <v>91</v>
      </c>
      <c r="D173" s="7">
        <f>YEAR(BASE[[#This Row],[DATE]])</f>
        <v>2019</v>
      </c>
      <c r="E173" s="7">
        <f>MONTH(BASE[[#This Row],[DATE]])</f>
        <v>3</v>
      </c>
      <c r="F173" s="1" t="str">
        <f>VLOOKUP(BASE[[#This Row],[DESCRIPTION]],LISTEDESCRIPTION[],2,FALSE)</f>
        <v>COURSE</v>
      </c>
      <c r="G173" s="1" t="s">
        <v>47</v>
      </c>
      <c r="H173" s="3">
        <v>43535</v>
      </c>
      <c r="I173" s="2">
        <v>12.46</v>
      </c>
      <c r="J173" s="7">
        <f t="shared" si="2"/>
        <v>172</v>
      </c>
      <c r="K173" s="7"/>
      <c r="L173"/>
    </row>
    <row r="174" spans="1:17" x14ac:dyDescent="0.25">
      <c r="A174" s="1">
        <f>ROW()-ROW(BASE[[#Headers],[INDEX]])</f>
        <v>173</v>
      </c>
      <c r="B174" s="1" t="s">
        <v>92</v>
      </c>
      <c r="C174" s="1" t="s">
        <v>91</v>
      </c>
      <c r="D174" s="7">
        <f>YEAR(BASE[[#This Row],[DATE]])</f>
        <v>2019</v>
      </c>
      <c r="E174" s="7">
        <f>MONTH(BASE[[#This Row],[DATE]])</f>
        <v>3</v>
      </c>
      <c r="F174" s="1" t="str">
        <f>VLOOKUP(BASE[[#This Row],[DESCRIPTION]],LISTEDESCRIPTION[],2,FALSE)</f>
        <v>COURSE</v>
      </c>
      <c r="G174" s="1" t="s">
        <v>40</v>
      </c>
      <c r="H174" s="3">
        <v>43535</v>
      </c>
      <c r="I174" s="2">
        <v>49.27</v>
      </c>
      <c r="J174" s="7">
        <f t="shared" si="2"/>
        <v>173</v>
      </c>
      <c r="K174" s="7"/>
      <c r="L174"/>
    </row>
    <row r="175" spans="1:17" x14ac:dyDescent="0.25">
      <c r="A175" s="1">
        <f>ROW()-ROW(BASE[[#Headers],[INDEX]])</f>
        <v>174</v>
      </c>
      <c r="B175" s="1" t="s">
        <v>92</v>
      </c>
      <c r="C175" s="1" t="s">
        <v>91</v>
      </c>
      <c r="D175" s="7">
        <f>YEAR(BASE[[#This Row],[DATE]])</f>
        <v>2019</v>
      </c>
      <c r="E175" s="7">
        <f>MONTH(BASE[[#This Row],[DATE]])</f>
        <v>3</v>
      </c>
      <c r="F175" s="1" t="str">
        <f>VLOOKUP(BASE[[#This Row],[DESCRIPTION]],LISTEDESCRIPTION[],2,FALSE)</f>
        <v>TRANSPORT</v>
      </c>
      <c r="G175" s="1" t="s">
        <v>56</v>
      </c>
      <c r="H175" s="3">
        <v>43535</v>
      </c>
      <c r="I175" s="2">
        <v>7</v>
      </c>
      <c r="J175" s="7">
        <f t="shared" si="2"/>
        <v>174</v>
      </c>
      <c r="L175"/>
      <c r="M175"/>
      <c r="Q175"/>
    </row>
    <row r="176" spans="1:17" x14ac:dyDescent="0.25">
      <c r="A176" s="1">
        <f>ROW()-ROW(BASE[[#Headers],[INDEX]])</f>
        <v>175</v>
      </c>
      <c r="B176" s="1" t="s">
        <v>92</v>
      </c>
      <c r="C176" s="1" t="s">
        <v>91</v>
      </c>
      <c r="D176" s="7">
        <f>YEAR(BASE[[#This Row],[DATE]])</f>
        <v>2019</v>
      </c>
      <c r="E176" s="7">
        <f>MONTH(BASE[[#This Row],[DATE]])</f>
        <v>3</v>
      </c>
      <c r="F176" s="1" t="str">
        <f>VLOOKUP(BASE[[#This Row],[DESCRIPTION]],LISTEDESCRIPTION[],2,FALSE)</f>
        <v>TRANSPORT</v>
      </c>
      <c r="G176" s="1" t="s">
        <v>41</v>
      </c>
      <c r="H176" s="3">
        <v>43535</v>
      </c>
      <c r="I176" s="2">
        <v>1.7</v>
      </c>
      <c r="J176" s="7">
        <f t="shared" si="2"/>
        <v>175</v>
      </c>
      <c r="L176"/>
      <c r="M176"/>
      <c r="Q176"/>
    </row>
    <row r="177" spans="1:17" x14ac:dyDescent="0.25">
      <c r="A177" s="1">
        <f>ROW()-ROW(BASE[[#Headers],[INDEX]])</f>
        <v>176</v>
      </c>
      <c r="B177" s="1" t="s">
        <v>92</v>
      </c>
      <c r="C177" s="1" t="s">
        <v>91</v>
      </c>
      <c r="D177" s="7">
        <f>YEAR(BASE[[#This Row],[DATE]])</f>
        <v>2019</v>
      </c>
      <c r="E177" s="7">
        <f>MONTH(BASE[[#This Row],[DATE]])</f>
        <v>3</v>
      </c>
      <c r="F177" s="1" t="str">
        <f>VLOOKUP(BASE[[#This Row],[DESCRIPTION]],LISTEDESCRIPTION[],2,FALSE)</f>
        <v>TRANSPORT</v>
      </c>
      <c r="G177" s="1" t="s">
        <v>41</v>
      </c>
      <c r="H177" s="3">
        <v>43535</v>
      </c>
      <c r="I177" s="2">
        <v>3.1</v>
      </c>
      <c r="J177" s="7">
        <f t="shared" si="2"/>
        <v>176</v>
      </c>
      <c r="L177"/>
      <c r="M177"/>
      <c r="Q177"/>
    </row>
    <row r="178" spans="1:17" x14ac:dyDescent="0.25">
      <c r="A178" s="1">
        <f>ROW()-ROW(BASE[[#Headers],[INDEX]])</f>
        <v>177</v>
      </c>
      <c r="B178" s="1" t="s">
        <v>92</v>
      </c>
      <c r="C178" s="1" t="s">
        <v>91</v>
      </c>
      <c r="D178" s="7">
        <f>YEAR(BASE[[#This Row],[DATE]])</f>
        <v>2019</v>
      </c>
      <c r="E178" s="7">
        <f>MONTH(BASE[[#This Row],[DATE]])</f>
        <v>3</v>
      </c>
      <c r="F178" s="1" t="str">
        <f>VLOOKUP(BASE[[#This Row],[DESCRIPTION]],LISTEDESCRIPTION[],2,FALSE)</f>
        <v>VESTIMENTAIRE</v>
      </c>
      <c r="G178" s="1" t="s">
        <v>71</v>
      </c>
      <c r="H178" s="3">
        <v>43535</v>
      </c>
      <c r="I178" s="2">
        <v>25.95</v>
      </c>
      <c r="J178" s="7">
        <f t="shared" si="2"/>
        <v>177</v>
      </c>
      <c r="L178"/>
      <c r="M178"/>
      <c r="Q178"/>
    </row>
    <row r="179" spans="1:17" x14ac:dyDescent="0.25">
      <c r="A179" s="1">
        <f>ROW()-ROW(BASE[[#Headers],[INDEX]])</f>
        <v>178</v>
      </c>
      <c r="B179" s="1" t="s">
        <v>92</v>
      </c>
      <c r="C179" s="1" t="s">
        <v>91</v>
      </c>
      <c r="D179" s="7">
        <f>YEAR(BASE[[#This Row],[DATE]])</f>
        <v>2019</v>
      </c>
      <c r="E179" s="7">
        <f>MONTH(BASE[[#This Row],[DATE]])</f>
        <v>3</v>
      </c>
      <c r="F179" s="1" t="str">
        <f>VLOOKUP(BASE[[#This Row],[DESCRIPTION]],LISTEDESCRIPTION[],2,FALSE)</f>
        <v>VESTIMENTAIRE</v>
      </c>
      <c r="G179" s="1" t="s">
        <v>71</v>
      </c>
      <c r="H179" s="3">
        <v>43535</v>
      </c>
      <c r="I179" s="2">
        <v>69.95</v>
      </c>
      <c r="J179" s="7">
        <f t="shared" si="2"/>
        <v>178</v>
      </c>
      <c r="L179"/>
      <c r="M179"/>
      <c r="Q179"/>
    </row>
    <row r="180" spans="1:17" x14ac:dyDescent="0.25">
      <c r="A180" s="1">
        <f>ROW()-ROW(BASE[[#Headers],[INDEX]])</f>
        <v>179</v>
      </c>
      <c r="B180" s="1" t="s">
        <v>92</v>
      </c>
      <c r="C180" s="1" t="s">
        <v>91</v>
      </c>
      <c r="D180" s="7">
        <f>YEAR(BASE[[#This Row],[DATE]])</f>
        <v>2019</v>
      </c>
      <c r="E180" s="7">
        <f>MONTH(BASE[[#This Row],[DATE]])</f>
        <v>3</v>
      </c>
      <c r="F180" s="1" t="str">
        <f>VLOOKUP(BASE[[#This Row],[DESCRIPTION]],LISTEDESCRIPTION[],2,FALSE)</f>
        <v>VESTIMENTAIRE</v>
      </c>
      <c r="G180" s="1" t="s">
        <v>72</v>
      </c>
      <c r="H180" s="3">
        <v>43535</v>
      </c>
      <c r="I180" s="2">
        <v>104.93</v>
      </c>
      <c r="J180" s="7">
        <f t="shared" si="2"/>
        <v>179</v>
      </c>
      <c r="L180"/>
    </row>
    <row r="181" spans="1:17" x14ac:dyDescent="0.25">
      <c r="A181" s="1">
        <f>ROW()-ROW(BASE[[#Headers],[INDEX]])</f>
        <v>180</v>
      </c>
      <c r="B181" s="1" t="s">
        <v>92</v>
      </c>
      <c r="C181" s="1" t="s">
        <v>91</v>
      </c>
      <c r="D181" s="7">
        <f>YEAR(BASE[[#This Row],[DATE]])</f>
        <v>2019</v>
      </c>
      <c r="E181" s="7">
        <f>MONTH(BASE[[#This Row],[DATE]])</f>
        <v>3</v>
      </c>
      <c r="F181" s="1" t="str">
        <f>VLOOKUP(BASE[[#This Row],[DESCRIPTION]],LISTEDESCRIPTION[],2,FALSE)</f>
        <v>RETRAIT EPARGNE</v>
      </c>
      <c r="G181" s="1" t="s">
        <v>190</v>
      </c>
      <c r="H181" s="3">
        <v>43534</v>
      </c>
      <c r="I181" s="2">
        <v>188.47</v>
      </c>
      <c r="J181" s="7">
        <f t="shared" si="2"/>
        <v>180</v>
      </c>
      <c r="L181"/>
    </row>
    <row r="182" spans="1:17" x14ac:dyDescent="0.25">
      <c r="A182" s="1">
        <f>ROW()-ROW(BASE[[#Headers],[INDEX]])</f>
        <v>181</v>
      </c>
      <c r="B182" s="1" t="s">
        <v>92</v>
      </c>
      <c r="C182" s="1" t="s">
        <v>91</v>
      </c>
      <c r="D182" s="7">
        <f>YEAR(BASE[[#This Row],[DATE]])</f>
        <v>2019</v>
      </c>
      <c r="E182" s="7">
        <f>MONTH(BASE[[#This Row],[DATE]])</f>
        <v>3</v>
      </c>
      <c r="F182" s="1" t="str">
        <f>VLOOKUP(BASE[[#This Row],[DESCRIPTION]],LISTEDESCRIPTION[],2,FALSE)</f>
        <v>CREDIT</v>
      </c>
      <c r="G182" s="1" t="s">
        <v>37</v>
      </c>
      <c r="H182" s="3">
        <v>43534</v>
      </c>
      <c r="I182" s="2">
        <v>30</v>
      </c>
      <c r="J182" s="7">
        <f t="shared" si="2"/>
        <v>181</v>
      </c>
      <c r="L182"/>
    </row>
    <row r="183" spans="1:17" x14ac:dyDescent="0.25">
      <c r="A183" s="1">
        <f>ROW()-ROW(BASE[[#Headers],[INDEX]])</f>
        <v>182</v>
      </c>
      <c r="B183" s="1" t="s">
        <v>92</v>
      </c>
      <c r="C183" s="1" t="s">
        <v>91</v>
      </c>
      <c r="D183" s="7">
        <f>YEAR(BASE[[#This Row],[DATE]])</f>
        <v>2019</v>
      </c>
      <c r="E183" s="7">
        <f>MONTH(BASE[[#This Row],[DATE]])</f>
        <v>3</v>
      </c>
      <c r="F183" s="1" t="str">
        <f>VLOOKUP(BASE[[#This Row],[DESCRIPTION]],LISTEDESCRIPTION[],2,FALSE)</f>
        <v>RECU</v>
      </c>
      <c r="G183" s="1" t="s">
        <v>43</v>
      </c>
      <c r="H183" s="3">
        <v>43533</v>
      </c>
      <c r="I183" s="2">
        <v>10</v>
      </c>
      <c r="J183" s="7">
        <f t="shared" si="2"/>
        <v>182</v>
      </c>
      <c r="L183"/>
    </row>
    <row r="184" spans="1:17" x14ac:dyDescent="0.25">
      <c r="A184" s="1">
        <f>ROW()-ROW(BASE[[#Headers],[INDEX]])</f>
        <v>183</v>
      </c>
      <c r="B184" s="1" t="s">
        <v>92</v>
      </c>
      <c r="C184" s="1" t="s">
        <v>91</v>
      </c>
      <c r="D184" s="7">
        <f>YEAR(BASE[[#This Row],[DATE]])</f>
        <v>2019</v>
      </c>
      <c r="E184" s="7">
        <f>MONTH(BASE[[#This Row],[DATE]])</f>
        <v>3</v>
      </c>
      <c r="F184" s="1" t="str">
        <f>VLOOKUP(BASE[[#This Row],[DESCRIPTION]],LISTEDESCRIPTION[],2,FALSE)</f>
        <v>FACTURE</v>
      </c>
      <c r="G184" s="1" t="s">
        <v>32</v>
      </c>
      <c r="H184" s="3">
        <v>43532</v>
      </c>
      <c r="I184" s="2">
        <v>280</v>
      </c>
      <c r="J184" s="7">
        <f t="shared" si="2"/>
        <v>183</v>
      </c>
      <c r="L184"/>
    </row>
    <row r="185" spans="1:17" x14ac:dyDescent="0.25">
      <c r="A185" s="1">
        <f>ROW()-ROW(BASE[[#Headers],[INDEX]])</f>
        <v>184</v>
      </c>
      <c r="B185" s="1" t="s">
        <v>92</v>
      </c>
      <c r="C185" s="1" t="s">
        <v>91</v>
      </c>
      <c r="D185" s="7">
        <f>YEAR(BASE[[#This Row],[DATE]])</f>
        <v>2019</v>
      </c>
      <c r="E185" s="7">
        <f>MONTH(BASE[[#This Row],[DATE]])</f>
        <v>3</v>
      </c>
      <c r="F185" s="1" t="str">
        <f>VLOOKUP(BASE[[#This Row],[DESCRIPTION]],LISTEDESCRIPTION[],2,FALSE)</f>
        <v>CREDIT</v>
      </c>
      <c r="G185" s="1" t="s">
        <v>33</v>
      </c>
      <c r="H185" s="3">
        <v>43532</v>
      </c>
      <c r="I185" s="2">
        <v>44.34</v>
      </c>
      <c r="J185" s="7">
        <f t="shared" si="2"/>
        <v>184</v>
      </c>
      <c r="L185"/>
    </row>
    <row r="186" spans="1:17" x14ac:dyDescent="0.25">
      <c r="A186" s="1">
        <f>ROW()-ROW(BASE[[#Headers],[INDEX]])</f>
        <v>185</v>
      </c>
      <c r="B186" s="1" t="s">
        <v>92</v>
      </c>
      <c r="C186" s="1" t="s">
        <v>91</v>
      </c>
      <c r="D186" s="7">
        <f>YEAR(BASE[[#This Row],[DATE]])</f>
        <v>2019</v>
      </c>
      <c r="E186" s="7">
        <f>MONTH(BASE[[#This Row],[DATE]])</f>
        <v>3</v>
      </c>
      <c r="F186" s="1" t="str">
        <f>VLOOKUP(BASE[[#This Row],[DESCRIPTION]],LISTEDESCRIPTION[],2,FALSE)</f>
        <v>RESTAURATION</v>
      </c>
      <c r="G186" s="1" t="s">
        <v>59</v>
      </c>
      <c r="H186" s="3">
        <v>43531</v>
      </c>
      <c r="I186" s="2">
        <v>8</v>
      </c>
      <c r="J186" s="7">
        <f t="shared" si="2"/>
        <v>185</v>
      </c>
      <c r="L186"/>
    </row>
    <row r="187" spans="1:17" x14ac:dyDescent="0.25">
      <c r="A187" s="1">
        <f>ROW()-ROW(BASE[[#Headers],[INDEX]])</f>
        <v>186</v>
      </c>
      <c r="B187" s="1" t="s">
        <v>92</v>
      </c>
      <c r="C187" s="1" t="s">
        <v>91</v>
      </c>
      <c r="D187" s="7">
        <f>YEAR(BASE[[#This Row],[DATE]])</f>
        <v>2019</v>
      </c>
      <c r="E187" s="7">
        <f>MONTH(BASE[[#This Row],[DATE]])</f>
        <v>3</v>
      </c>
      <c r="F187" s="1" t="str">
        <f>VLOOKUP(BASE[[#This Row],[DESCRIPTION]],LISTEDESCRIPTION[],2,FALSE)</f>
        <v>INFORMATIQUE</v>
      </c>
      <c r="G187" s="1" t="s">
        <v>69</v>
      </c>
      <c r="H187" s="3">
        <v>43530</v>
      </c>
      <c r="I187" s="2">
        <v>41.07</v>
      </c>
      <c r="J187" s="7">
        <f t="shared" si="2"/>
        <v>186</v>
      </c>
      <c r="L187"/>
    </row>
    <row r="188" spans="1:17" x14ac:dyDescent="0.25">
      <c r="A188" s="1">
        <f>ROW()-ROW(BASE[[#Headers],[INDEX]])</f>
        <v>187</v>
      </c>
      <c r="B188" s="1" t="s">
        <v>92</v>
      </c>
      <c r="C188" s="1" t="s">
        <v>91</v>
      </c>
      <c r="D188" s="7">
        <f>YEAR(BASE[[#This Row],[DATE]])</f>
        <v>2019</v>
      </c>
      <c r="E188" s="7">
        <f>MONTH(BASE[[#This Row],[DATE]])</f>
        <v>3</v>
      </c>
      <c r="F188" s="1" t="str">
        <f>VLOOKUP(BASE[[#This Row],[DESCRIPTION]],LISTEDESCRIPTION[],2,FALSE)</f>
        <v>SALAIRE</v>
      </c>
      <c r="G188" s="1" t="s">
        <v>21</v>
      </c>
      <c r="H188" s="3">
        <v>43529</v>
      </c>
      <c r="I188" s="2">
        <v>740.44</v>
      </c>
      <c r="J188" s="7">
        <f t="shared" si="2"/>
        <v>187</v>
      </c>
      <c r="L188"/>
    </row>
    <row r="189" spans="1:17" x14ac:dyDescent="0.25">
      <c r="A189" s="1">
        <f>ROW()-ROW(BASE[[#Headers],[INDEX]])</f>
        <v>188</v>
      </c>
      <c r="B189" s="1" t="s">
        <v>92</v>
      </c>
      <c r="C189" s="1" t="s">
        <v>91</v>
      </c>
      <c r="D189" s="7">
        <f>YEAR(BASE[[#This Row],[DATE]])</f>
        <v>2019</v>
      </c>
      <c r="E189" s="7">
        <f>MONTH(BASE[[#This Row],[DATE]])</f>
        <v>3</v>
      </c>
      <c r="F189" s="1" t="str">
        <f>VLOOKUP(BASE[[#This Row],[DESCRIPTION]],LISTEDESCRIPTION[],2,FALSE)</f>
        <v>DIVERS</v>
      </c>
      <c r="G189" s="1" t="s">
        <v>68</v>
      </c>
      <c r="H189" s="3">
        <v>43529</v>
      </c>
      <c r="I189" s="2">
        <v>5.79</v>
      </c>
      <c r="J189" s="7">
        <f t="shared" si="2"/>
        <v>188</v>
      </c>
      <c r="L189"/>
    </row>
    <row r="190" spans="1:17" x14ac:dyDescent="0.25">
      <c r="A190" s="1">
        <f>ROW()-ROW(BASE[[#Headers],[INDEX]])</f>
        <v>189</v>
      </c>
      <c r="B190" s="1" t="s">
        <v>92</v>
      </c>
      <c r="C190" s="1" t="s">
        <v>91</v>
      </c>
      <c r="D190" s="1">
        <f>YEAR(BASE[[#This Row],[DATE]])</f>
        <v>2019</v>
      </c>
      <c r="E190" s="1">
        <f>MONTH(BASE[[#This Row],[DATE]])</f>
        <v>3</v>
      </c>
      <c r="F190" s="1" t="str">
        <f>VLOOKUP(BASE[[#This Row],[DESCRIPTION]],LISTEDESCRIPTION[],2,FALSE)</f>
        <v>RESTAURATION</v>
      </c>
      <c r="G190" s="1" t="s">
        <v>59</v>
      </c>
      <c r="H190" s="3">
        <v>43529</v>
      </c>
      <c r="I190" s="2">
        <v>5.2</v>
      </c>
      <c r="J190" s="7">
        <f t="shared" si="2"/>
        <v>189</v>
      </c>
      <c r="L190"/>
    </row>
    <row r="191" spans="1:17" x14ac:dyDescent="0.25">
      <c r="A191" s="1">
        <f>ROW()-ROW(BASE[[#Headers],[INDEX]])</f>
        <v>190</v>
      </c>
      <c r="B191" s="1" t="s">
        <v>92</v>
      </c>
      <c r="C191" s="1" t="s">
        <v>91</v>
      </c>
      <c r="D191" s="7">
        <f>YEAR(BASE[[#This Row],[DATE]])</f>
        <v>2019</v>
      </c>
      <c r="E191" s="7">
        <f>MONTH(BASE[[#This Row],[DATE]])</f>
        <v>3</v>
      </c>
      <c r="F191" s="1" t="str">
        <f>VLOOKUP(BASE[[#This Row],[DESCRIPTION]],LISTEDESCRIPTION[],2,FALSE)</f>
        <v>PLACEMENT EPARGNE</v>
      </c>
      <c r="G191" s="1" t="s">
        <v>189</v>
      </c>
      <c r="H191" s="3">
        <v>43529</v>
      </c>
      <c r="I191" s="2">
        <v>69.59</v>
      </c>
      <c r="J191" s="7">
        <f t="shared" si="2"/>
        <v>190</v>
      </c>
      <c r="L191"/>
    </row>
    <row r="192" spans="1:17" x14ac:dyDescent="0.25">
      <c r="A192" s="1">
        <f>ROW()-ROW(BASE[[#Headers],[INDEX]])</f>
        <v>191</v>
      </c>
      <c r="B192" s="1" t="s">
        <v>92</v>
      </c>
      <c r="C192" s="1" t="s">
        <v>91</v>
      </c>
      <c r="D192" s="7">
        <f>YEAR(BASE[[#This Row],[DATE]])</f>
        <v>2019</v>
      </c>
      <c r="E192" s="7">
        <f>MONTH(BASE[[#This Row],[DATE]])</f>
        <v>3</v>
      </c>
      <c r="F192" s="1" t="str">
        <f>VLOOKUP(BASE[[#This Row],[DESCRIPTION]],LISTEDESCRIPTION[],2,FALSE)</f>
        <v>COURSE</v>
      </c>
      <c r="G192" s="1" t="s">
        <v>34</v>
      </c>
      <c r="H192" s="3">
        <v>43528</v>
      </c>
      <c r="I192" s="2">
        <v>13</v>
      </c>
      <c r="J192" s="7">
        <f t="shared" si="2"/>
        <v>191</v>
      </c>
      <c r="L192"/>
    </row>
    <row r="193" spans="1:12" x14ac:dyDescent="0.25">
      <c r="A193" s="1">
        <f>ROW()-ROW(BASE[[#Headers],[INDEX]])</f>
        <v>192</v>
      </c>
      <c r="B193" s="1" t="s">
        <v>92</v>
      </c>
      <c r="C193" s="1" t="s">
        <v>91</v>
      </c>
      <c r="D193" s="7">
        <f>YEAR(BASE[[#This Row],[DATE]])</f>
        <v>2019</v>
      </c>
      <c r="E193" s="7">
        <f>MONTH(BASE[[#This Row],[DATE]])</f>
        <v>3</v>
      </c>
      <c r="F193" s="1" t="str">
        <f>VLOOKUP(BASE[[#This Row],[DESCRIPTION]],LISTEDESCRIPTION[],2,FALSE)</f>
        <v>RESTAURATION</v>
      </c>
      <c r="G193" s="1" t="s">
        <v>57</v>
      </c>
      <c r="H193" s="3">
        <v>43528</v>
      </c>
      <c r="I193" s="2">
        <v>23</v>
      </c>
      <c r="J193" s="7">
        <f t="shared" si="2"/>
        <v>192</v>
      </c>
      <c r="L193"/>
    </row>
    <row r="194" spans="1:12" x14ac:dyDescent="0.25">
      <c r="A194" s="1">
        <f>ROW()-ROW(BASE[[#Headers],[INDEX]])</f>
        <v>193</v>
      </c>
      <c r="B194" s="1" t="s">
        <v>92</v>
      </c>
      <c r="C194" s="1" t="s">
        <v>91</v>
      </c>
      <c r="D194" s="7">
        <f>YEAR(BASE[[#This Row],[DATE]])</f>
        <v>2019</v>
      </c>
      <c r="E194" s="7">
        <f>MONTH(BASE[[#This Row],[DATE]])</f>
        <v>3</v>
      </c>
      <c r="F194" s="1" t="str">
        <f>VLOOKUP(BASE[[#This Row],[DESCRIPTION]],LISTEDESCRIPTION[],2,FALSE)</f>
        <v>LOISIRS</v>
      </c>
      <c r="G194" s="1" t="s">
        <v>53</v>
      </c>
      <c r="H194" s="3">
        <v>43528</v>
      </c>
      <c r="I194" s="2">
        <v>6.9</v>
      </c>
      <c r="J194" s="7">
        <f t="shared" ref="J194:J257" si="3">IF(J193="N°LIGNE",1,J193+1)</f>
        <v>193</v>
      </c>
      <c r="L194"/>
    </row>
    <row r="195" spans="1:12" x14ac:dyDescent="0.25">
      <c r="A195" s="1">
        <f>ROW()-ROW(BASE[[#Headers],[INDEX]])</f>
        <v>194</v>
      </c>
      <c r="B195" s="1" t="s">
        <v>92</v>
      </c>
      <c r="C195" s="1" t="s">
        <v>91</v>
      </c>
      <c r="D195" s="7">
        <f>YEAR(BASE[[#This Row],[DATE]])</f>
        <v>2019</v>
      </c>
      <c r="E195" s="7">
        <f>MONTH(BASE[[#This Row],[DATE]])</f>
        <v>3</v>
      </c>
      <c r="F195" s="1" t="str">
        <f>VLOOKUP(BASE[[#This Row],[DESCRIPTION]],LISTEDESCRIPTION[],2,FALSE)</f>
        <v>FACTURE</v>
      </c>
      <c r="G195" s="1" t="s">
        <v>24</v>
      </c>
      <c r="H195" s="3">
        <v>43528</v>
      </c>
      <c r="I195" s="2">
        <v>3.09</v>
      </c>
      <c r="J195" s="7">
        <f t="shared" si="3"/>
        <v>194</v>
      </c>
      <c r="L195"/>
    </row>
    <row r="196" spans="1:12" x14ac:dyDescent="0.25">
      <c r="A196" s="1">
        <f>ROW()-ROW(BASE[[#Headers],[INDEX]])</f>
        <v>195</v>
      </c>
      <c r="B196" s="1" t="s">
        <v>92</v>
      </c>
      <c r="C196" s="1" t="s">
        <v>91</v>
      </c>
      <c r="D196" s="7">
        <f>YEAR(BASE[[#This Row],[DATE]])</f>
        <v>2019</v>
      </c>
      <c r="E196" s="7">
        <f>MONTH(BASE[[#This Row],[DATE]])</f>
        <v>3</v>
      </c>
      <c r="F196" s="1" t="str">
        <f>VLOOKUP(BASE[[#This Row],[DESCRIPTION]],LISTEDESCRIPTION[],2,FALSE)</f>
        <v>FACTURE</v>
      </c>
      <c r="G196" s="1" t="s">
        <v>25</v>
      </c>
      <c r="H196" s="3">
        <v>43528</v>
      </c>
      <c r="I196" s="2">
        <v>0.6</v>
      </c>
      <c r="J196" s="7">
        <f t="shared" si="3"/>
        <v>195</v>
      </c>
      <c r="L196"/>
    </row>
    <row r="197" spans="1:12" x14ac:dyDescent="0.25">
      <c r="A197" s="1">
        <f>ROW()-ROW(BASE[[#Headers],[INDEX]])</f>
        <v>196</v>
      </c>
      <c r="B197" s="1" t="s">
        <v>92</v>
      </c>
      <c r="C197" s="1" t="s">
        <v>91</v>
      </c>
      <c r="D197" s="7">
        <f>YEAR(BASE[[#This Row],[DATE]])</f>
        <v>2019</v>
      </c>
      <c r="E197" s="7">
        <f>MONTH(BASE[[#This Row],[DATE]])</f>
        <v>3</v>
      </c>
      <c r="F197" s="1" t="str">
        <f>VLOOKUP(BASE[[#This Row],[DESCRIPTION]],LISTEDESCRIPTION[],2,FALSE)</f>
        <v>RECU</v>
      </c>
      <c r="G197" s="1" t="s">
        <v>67</v>
      </c>
      <c r="H197" s="3">
        <v>43525</v>
      </c>
      <c r="I197" s="2">
        <v>80</v>
      </c>
      <c r="J197" s="7">
        <f t="shared" si="3"/>
        <v>196</v>
      </c>
      <c r="L197"/>
    </row>
    <row r="198" spans="1:12" x14ac:dyDescent="0.25">
      <c r="A198" s="1">
        <f>ROW()-ROW(BASE[[#Headers],[INDEX]])</f>
        <v>197</v>
      </c>
      <c r="B198" s="1" t="s">
        <v>92</v>
      </c>
      <c r="C198" s="1" t="s">
        <v>91</v>
      </c>
      <c r="D198" s="7">
        <f>YEAR(BASE[[#This Row],[DATE]])</f>
        <v>2019</v>
      </c>
      <c r="E198" s="7">
        <f>MONTH(BASE[[#This Row],[DATE]])</f>
        <v>2</v>
      </c>
      <c r="F198" s="1" t="str">
        <f>VLOOKUP(BASE[[#This Row],[DESCRIPTION]],LISTEDESCRIPTION[],2,FALSE)</f>
        <v>LOISIRS</v>
      </c>
      <c r="G198" s="1" t="s">
        <v>36</v>
      </c>
      <c r="H198" s="3">
        <v>43522</v>
      </c>
      <c r="I198" s="2">
        <v>3</v>
      </c>
      <c r="J198" s="7">
        <f t="shared" si="3"/>
        <v>197</v>
      </c>
      <c r="L198"/>
    </row>
    <row r="199" spans="1:12" x14ac:dyDescent="0.25">
      <c r="A199" s="1">
        <f>ROW()-ROW(BASE[[#Headers],[INDEX]])</f>
        <v>198</v>
      </c>
      <c r="B199" s="1" t="s">
        <v>92</v>
      </c>
      <c r="C199" s="1" t="s">
        <v>91</v>
      </c>
      <c r="D199" s="7">
        <f>YEAR(BASE[[#This Row],[DATE]])</f>
        <v>2019</v>
      </c>
      <c r="E199" s="7">
        <f>MONTH(BASE[[#This Row],[DATE]])</f>
        <v>2</v>
      </c>
      <c r="F199" s="1" t="str">
        <f>VLOOKUP(BASE[[#This Row],[DESCRIPTION]],LISTEDESCRIPTION[],2,FALSE)</f>
        <v>TRANSPORT</v>
      </c>
      <c r="G199" s="1" t="s">
        <v>30</v>
      </c>
      <c r="H199" s="3">
        <v>43522</v>
      </c>
      <c r="I199" s="2">
        <v>30</v>
      </c>
      <c r="J199" s="7">
        <f t="shared" si="3"/>
        <v>198</v>
      </c>
      <c r="L199"/>
    </row>
    <row r="200" spans="1:12" x14ac:dyDescent="0.25">
      <c r="A200" s="1">
        <f>ROW()-ROW(BASE[[#Headers],[INDEX]])</f>
        <v>199</v>
      </c>
      <c r="B200" s="1" t="s">
        <v>92</v>
      </c>
      <c r="C200" s="1" t="s">
        <v>91</v>
      </c>
      <c r="D200" s="7">
        <f>YEAR(BASE[[#This Row],[DATE]])</f>
        <v>2019</v>
      </c>
      <c r="E200" s="7">
        <f>MONTH(BASE[[#This Row],[DATE]])</f>
        <v>2</v>
      </c>
      <c r="F200" s="1" t="str">
        <f>VLOOKUP(BASE[[#This Row],[DESCRIPTION]],LISTEDESCRIPTION[],2,FALSE)</f>
        <v>FACTURE</v>
      </c>
      <c r="G200" s="1" t="s">
        <v>55</v>
      </c>
      <c r="H200" s="3">
        <v>43521</v>
      </c>
      <c r="I200" s="2">
        <v>7</v>
      </c>
      <c r="J200" s="7">
        <f t="shared" si="3"/>
        <v>199</v>
      </c>
      <c r="L200"/>
    </row>
    <row r="201" spans="1:12" x14ac:dyDescent="0.25">
      <c r="A201" s="1">
        <f>ROW()-ROW(BASE[[#Headers],[INDEX]])</f>
        <v>200</v>
      </c>
      <c r="B201" s="1" t="s">
        <v>92</v>
      </c>
      <c r="C201" s="1" t="s">
        <v>91</v>
      </c>
      <c r="D201" s="7">
        <f>YEAR(BASE[[#This Row],[DATE]])</f>
        <v>2019</v>
      </c>
      <c r="E201" s="7">
        <f>MONTH(BASE[[#This Row],[DATE]])</f>
        <v>2</v>
      </c>
      <c r="F201" s="1" t="str">
        <f>VLOOKUP(BASE[[#This Row],[DESCRIPTION]],LISTEDESCRIPTION[],2,FALSE)</f>
        <v>RESTAURATION</v>
      </c>
      <c r="G201" s="1" t="s">
        <v>57</v>
      </c>
      <c r="H201" s="3">
        <v>43521</v>
      </c>
      <c r="I201" s="2">
        <v>23</v>
      </c>
      <c r="J201" s="7">
        <f t="shared" si="3"/>
        <v>200</v>
      </c>
      <c r="L201"/>
    </row>
    <row r="202" spans="1:12" x14ac:dyDescent="0.25">
      <c r="A202" s="1">
        <f>ROW()-ROW(BASE[[#Headers],[INDEX]])</f>
        <v>201</v>
      </c>
      <c r="B202" s="1" t="s">
        <v>92</v>
      </c>
      <c r="C202" s="1" t="s">
        <v>91</v>
      </c>
      <c r="D202" s="7">
        <f>YEAR(BASE[[#This Row],[DATE]])</f>
        <v>2019</v>
      </c>
      <c r="E202" s="7">
        <f>MONTH(BASE[[#This Row],[DATE]])</f>
        <v>2</v>
      </c>
      <c r="F202" s="1" t="str">
        <f>VLOOKUP(BASE[[#This Row],[DESCRIPTION]],LISTEDESCRIPTION[],2,FALSE)</f>
        <v>DIVERS</v>
      </c>
      <c r="G202" s="1" t="s">
        <v>60</v>
      </c>
      <c r="H202" s="3">
        <v>43521</v>
      </c>
      <c r="I202" s="2">
        <v>74.900000000000006</v>
      </c>
      <c r="J202" s="7">
        <f t="shared" si="3"/>
        <v>201</v>
      </c>
      <c r="L202"/>
    </row>
    <row r="203" spans="1:12" x14ac:dyDescent="0.25">
      <c r="A203" s="1">
        <f>ROW()-ROW(BASE[[#Headers],[INDEX]])</f>
        <v>202</v>
      </c>
      <c r="B203" s="1" t="s">
        <v>92</v>
      </c>
      <c r="C203" s="1" t="s">
        <v>91</v>
      </c>
      <c r="D203" s="7">
        <f>YEAR(BASE[[#This Row],[DATE]])</f>
        <v>2019</v>
      </c>
      <c r="E203" s="7">
        <f>MONTH(BASE[[#This Row],[DATE]])</f>
        <v>2</v>
      </c>
      <c r="F203" s="1" t="str">
        <f>VLOOKUP(BASE[[#This Row],[DESCRIPTION]],LISTEDESCRIPTION[],2,FALSE)</f>
        <v>FACTURE</v>
      </c>
      <c r="G203" s="1" t="s">
        <v>54</v>
      </c>
      <c r="H203" s="3">
        <v>43518</v>
      </c>
      <c r="I203" s="2">
        <v>11.99</v>
      </c>
      <c r="J203" s="7">
        <f t="shared" si="3"/>
        <v>202</v>
      </c>
      <c r="L203"/>
    </row>
    <row r="204" spans="1:12" x14ac:dyDescent="0.25">
      <c r="A204" s="1">
        <f>ROW()-ROW(BASE[[#Headers],[INDEX]])</f>
        <v>203</v>
      </c>
      <c r="B204" s="1" t="s">
        <v>92</v>
      </c>
      <c r="C204" s="1" t="s">
        <v>91</v>
      </c>
      <c r="D204" s="7">
        <f>YEAR(BASE[[#This Row],[DATE]])</f>
        <v>2019</v>
      </c>
      <c r="E204" s="7">
        <f>MONTH(BASE[[#This Row],[DATE]])</f>
        <v>2</v>
      </c>
      <c r="F204" s="1" t="str">
        <f>VLOOKUP(BASE[[#This Row],[DESCRIPTION]],LISTEDESCRIPTION[],2,FALSE)</f>
        <v>AIDE</v>
      </c>
      <c r="G204" s="1" t="s">
        <v>66</v>
      </c>
      <c r="H204" s="3">
        <v>43517</v>
      </c>
      <c r="I204" s="2">
        <v>220</v>
      </c>
      <c r="J204" s="7">
        <f t="shared" si="3"/>
        <v>203</v>
      </c>
      <c r="L204"/>
    </row>
    <row r="205" spans="1:12" x14ac:dyDescent="0.25">
      <c r="A205" s="1">
        <f>ROW()-ROW(BASE[[#Headers],[INDEX]])</f>
        <v>204</v>
      </c>
      <c r="B205" s="1" t="s">
        <v>92</v>
      </c>
      <c r="C205" s="1" t="s">
        <v>91</v>
      </c>
      <c r="D205" s="7">
        <f>YEAR(BASE[[#This Row],[DATE]])</f>
        <v>2019</v>
      </c>
      <c r="E205" s="7">
        <f>MONTH(BASE[[#This Row],[DATE]])</f>
        <v>2</v>
      </c>
      <c r="F205" s="1" t="str">
        <f>VLOOKUP(BASE[[#This Row],[DESCRIPTION]],LISTEDESCRIPTION[],2,FALSE)</f>
        <v>FACTURE</v>
      </c>
      <c r="G205" s="1" t="s">
        <v>52</v>
      </c>
      <c r="H205" s="3">
        <v>43516</v>
      </c>
      <c r="I205" s="2">
        <v>6.99</v>
      </c>
      <c r="J205" s="7">
        <f t="shared" si="3"/>
        <v>204</v>
      </c>
      <c r="L205"/>
    </row>
    <row r="206" spans="1:12" x14ac:dyDescent="0.25">
      <c r="A206" s="1">
        <f>ROW()-ROW(BASE[[#Headers],[INDEX]])</f>
        <v>205</v>
      </c>
      <c r="B206" s="1" t="s">
        <v>92</v>
      </c>
      <c r="C206" s="1" t="s">
        <v>91</v>
      </c>
      <c r="D206" s="7">
        <f>YEAR(BASE[[#This Row],[DATE]])</f>
        <v>2019</v>
      </c>
      <c r="E206" s="7">
        <f>MONTH(BASE[[#This Row],[DATE]])</f>
        <v>2</v>
      </c>
      <c r="F206" s="1" t="str">
        <f>VLOOKUP(BASE[[#This Row],[DESCRIPTION]],LISTEDESCRIPTION[],2,FALSE)</f>
        <v>DIVERS</v>
      </c>
      <c r="G206" s="1" t="s">
        <v>60</v>
      </c>
      <c r="H206" s="3">
        <v>43515</v>
      </c>
      <c r="I206" s="2">
        <v>16.989999999999998</v>
      </c>
      <c r="J206" s="7">
        <f t="shared" si="3"/>
        <v>205</v>
      </c>
      <c r="L206"/>
    </row>
    <row r="207" spans="1:12" x14ac:dyDescent="0.25">
      <c r="A207" s="1">
        <f>ROW()-ROW(BASE[[#Headers],[INDEX]])</f>
        <v>206</v>
      </c>
      <c r="B207" s="1" t="s">
        <v>92</v>
      </c>
      <c r="C207" s="1" t="s">
        <v>91</v>
      </c>
      <c r="D207" s="7">
        <f>YEAR(BASE[[#This Row],[DATE]])</f>
        <v>2019</v>
      </c>
      <c r="E207" s="7">
        <f>MONTH(BASE[[#This Row],[DATE]])</f>
        <v>2</v>
      </c>
      <c r="F207" s="1" t="str">
        <f>VLOOKUP(BASE[[#This Row],[DESCRIPTION]],LISTEDESCRIPTION[],2,FALSE)</f>
        <v>RECU</v>
      </c>
      <c r="G207" s="1" t="s">
        <v>43</v>
      </c>
      <c r="H207" s="3">
        <v>43515</v>
      </c>
      <c r="I207" s="2">
        <v>48</v>
      </c>
      <c r="J207" s="7">
        <f t="shared" si="3"/>
        <v>206</v>
      </c>
      <c r="L207"/>
    </row>
    <row r="208" spans="1:12" x14ac:dyDescent="0.25">
      <c r="A208" s="1">
        <f>ROW()-ROW(BASE[[#Headers],[INDEX]])</f>
        <v>207</v>
      </c>
      <c r="B208" s="1" t="s">
        <v>92</v>
      </c>
      <c r="C208" s="1" t="s">
        <v>91</v>
      </c>
      <c r="D208" s="7">
        <f>YEAR(BASE[[#This Row],[DATE]])</f>
        <v>2019</v>
      </c>
      <c r="E208" s="7">
        <f>MONTH(BASE[[#This Row],[DATE]])</f>
        <v>2</v>
      </c>
      <c r="F208" s="1" t="str">
        <f>VLOOKUP(BASE[[#This Row],[DESCRIPTION]],LISTEDESCRIPTION[],2,FALSE)</f>
        <v>FACTURE</v>
      </c>
      <c r="G208" s="1" t="s">
        <v>45</v>
      </c>
      <c r="H208" s="3">
        <v>43514</v>
      </c>
      <c r="I208" s="2">
        <v>9.9</v>
      </c>
      <c r="J208" s="7">
        <f t="shared" si="3"/>
        <v>207</v>
      </c>
      <c r="L208"/>
    </row>
    <row r="209" spans="1:12" x14ac:dyDescent="0.25">
      <c r="A209" s="1">
        <f>ROW()-ROW(BASE[[#Headers],[INDEX]])</f>
        <v>208</v>
      </c>
      <c r="B209" s="1" t="s">
        <v>92</v>
      </c>
      <c r="C209" s="1" t="s">
        <v>91</v>
      </c>
      <c r="D209" s="7">
        <f>YEAR(BASE[[#This Row],[DATE]])</f>
        <v>2019</v>
      </c>
      <c r="E209" s="7">
        <f>MONTH(BASE[[#This Row],[DATE]])</f>
        <v>2</v>
      </c>
      <c r="F209" s="1" t="str">
        <f>VLOOKUP(BASE[[#This Row],[DESCRIPTION]],LISTEDESCRIPTION[],2,FALSE)</f>
        <v>COURSE</v>
      </c>
      <c r="G209" s="1" t="s">
        <v>47</v>
      </c>
      <c r="H209" s="3">
        <v>43514</v>
      </c>
      <c r="I209" s="2">
        <v>12.46</v>
      </c>
      <c r="J209" s="7">
        <f t="shared" si="3"/>
        <v>208</v>
      </c>
      <c r="L209"/>
    </row>
    <row r="210" spans="1:12" x14ac:dyDescent="0.25">
      <c r="A210" s="1">
        <f>ROW()-ROW(BASE[[#Headers],[INDEX]])</f>
        <v>209</v>
      </c>
      <c r="B210" s="1" t="s">
        <v>92</v>
      </c>
      <c r="C210" s="1" t="s">
        <v>91</v>
      </c>
      <c r="D210" s="7">
        <f>YEAR(BASE[[#This Row],[DATE]])</f>
        <v>2019</v>
      </c>
      <c r="E210" s="7">
        <f>MONTH(BASE[[#This Row],[DATE]])</f>
        <v>2</v>
      </c>
      <c r="F210" s="1" t="str">
        <f>VLOOKUP(BASE[[#This Row],[DESCRIPTION]],LISTEDESCRIPTION[],2,FALSE)</f>
        <v>COURSE</v>
      </c>
      <c r="G210" s="1" t="s">
        <v>47</v>
      </c>
      <c r="H210" s="3">
        <v>43514</v>
      </c>
      <c r="I210" s="2">
        <v>7.16</v>
      </c>
      <c r="J210" s="7">
        <f t="shared" si="3"/>
        <v>209</v>
      </c>
      <c r="L210"/>
    </row>
    <row r="211" spans="1:12" x14ac:dyDescent="0.25">
      <c r="A211" s="1">
        <f>ROW()-ROW(BASE[[#Headers],[INDEX]])</f>
        <v>210</v>
      </c>
      <c r="B211" s="1" t="s">
        <v>92</v>
      </c>
      <c r="C211" s="1" t="s">
        <v>91</v>
      </c>
      <c r="D211" s="7">
        <f>YEAR(BASE[[#This Row],[DATE]])</f>
        <v>2019</v>
      </c>
      <c r="E211" s="7">
        <f>MONTH(BASE[[#This Row],[DATE]])</f>
        <v>2</v>
      </c>
      <c r="F211" s="1" t="str">
        <f>VLOOKUP(BASE[[#This Row],[DESCRIPTION]],LISTEDESCRIPTION[],2,FALSE)</f>
        <v>RESTAURATION</v>
      </c>
      <c r="G211" s="1" t="s">
        <v>63</v>
      </c>
      <c r="H211" s="3">
        <v>43514</v>
      </c>
      <c r="I211" s="2">
        <v>15.9</v>
      </c>
      <c r="J211" s="7">
        <f t="shared" si="3"/>
        <v>210</v>
      </c>
      <c r="L211"/>
    </row>
    <row r="212" spans="1:12" x14ac:dyDescent="0.25">
      <c r="A212" s="1">
        <f>ROW()-ROW(BASE[[#Headers],[INDEX]])</f>
        <v>211</v>
      </c>
      <c r="B212" s="1" t="s">
        <v>92</v>
      </c>
      <c r="C212" s="1" t="s">
        <v>91</v>
      </c>
      <c r="D212" s="7">
        <f>YEAR(BASE[[#This Row],[DATE]])</f>
        <v>2019</v>
      </c>
      <c r="E212" s="7">
        <f>MONTH(BASE[[#This Row],[DATE]])</f>
        <v>2</v>
      </c>
      <c r="F212" s="1" t="str">
        <f>VLOOKUP(BASE[[#This Row],[DESCRIPTION]],LISTEDESCRIPTION[],2,FALSE)</f>
        <v>DIVERS</v>
      </c>
      <c r="G212" s="1" t="s">
        <v>60</v>
      </c>
      <c r="H212" s="3">
        <v>43514</v>
      </c>
      <c r="I212" s="2">
        <v>22.78</v>
      </c>
      <c r="J212" s="7">
        <f t="shared" si="3"/>
        <v>211</v>
      </c>
      <c r="L212"/>
    </row>
    <row r="213" spans="1:12" x14ac:dyDescent="0.25">
      <c r="A213" s="1">
        <f>ROW()-ROW(BASE[[#Headers],[INDEX]])</f>
        <v>212</v>
      </c>
      <c r="B213" s="1" t="s">
        <v>92</v>
      </c>
      <c r="C213" s="1" t="s">
        <v>91</v>
      </c>
      <c r="D213" s="7">
        <f>YEAR(BASE[[#This Row],[DATE]])</f>
        <v>2019</v>
      </c>
      <c r="E213" s="7">
        <f>MONTH(BASE[[#This Row],[DATE]])</f>
        <v>2</v>
      </c>
      <c r="F213" s="1" t="str">
        <f>VLOOKUP(BASE[[#This Row],[DESCRIPTION]],LISTEDESCRIPTION[],2,FALSE)</f>
        <v>RESTAURATION</v>
      </c>
      <c r="G213" s="1" t="s">
        <v>59</v>
      </c>
      <c r="H213" s="3">
        <v>43514</v>
      </c>
      <c r="I213" s="2">
        <v>16</v>
      </c>
      <c r="J213" s="7">
        <f t="shared" si="3"/>
        <v>212</v>
      </c>
      <c r="L213"/>
    </row>
    <row r="214" spans="1:12" x14ac:dyDescent="0.25">
      <c r="A214" s="1">
        <f>ROW()-ROW(BASE[[#Headers],[INDEX]])</f>
        <v>213</v>
      </c>
      <c r="B214" s="1" t="s">
        <v>92</v>
      </c>
      <c r="C214" s="1" t="s">
        <v>91</v>
      </c>
      <c r="D214" s="7">
        <f>YEAR(BASE[[#This Row],[DATE]])</f>
        <v>2019</v>
      </c>
      <c r="E214" s="7">
        <f>MONTH(BASE[[#This Row],[DATE]])</f>
        <v>2</v>
      </c>
      <c r="F214" s="1" t="str">
        <f>VLOOKUP(BASE[[#This Row],[DESCRIPTION]],LISTEDESCRIPTION[],2,FALSE)</f>
        <v>RESTAURATION</v>
      </c>
      <c r="G214" s="1" t="s">
        <v>64</v>
      </c>
      <c r="H214" s="3">
        <v>43514</v>
      </c>
      <c r="I214" s="2">
        <v>46.4</v>
      </c>
      <c r="J214" s="7">
        <f t="shared" si="3"/>
        <v>213</v>
      </c>
      <c r="L214"/>
    </row>
    <row r="215" spans="1:12" x14ac:dyDescent="0.25">
      <c r="A215" s="1">
        <f>ROW()-ROW(BASE[[#Headers],[INDEX]])</f>
        <v>214</v>
      </c>
      <c r="B215" s="1" t="s">
        <v>92</v>
      </c>
      <c r="C215" s="1" t="s">
        <v>91</v>
      </c>
      <c r="D215" s="7">
        <f>YEAR(BASE[[#This Row],[DATE]])</f>
        <v>2019</v>
      </c>
      <c r="E215" s="7">
        <f>MONTH(BASE[[#This Row],[DATE]])</f>
        <v>2</v>
      </c>
      <c r="F215" s="1" t="str">
        <f>VLOOKUP(BASE[[#This Row],[DESCRIPTION]],LISTEDESCRIPTION[],2,FALSE)</f>
        <v>RESTAURATION</v>
      </c>
      <c r="G215" s="1" t="s">
        <v>64</v>
      </c>
      <c r="H215" s="3">
        <v>43514</v>
      </c>
      <c r="I215" s="2">
        <v>2</v>
      </c>
      <c r="J215" s="7">
        <f t="shared" si="3"/>
        <v>214</v>
      </c>
      <c r="L215"/>
    </row>
    <row r="216" spans="1:12" x14ac:dyDescent="0.25">
      <c r="A216" s="1">
        <f>ROW()-ROW(BASE[[#Headers],[INDEX]])</f>
        <v>215</v>
      </c>
      <c r="B216" s="1" t="s">
        <v>92</v>
      </c>
      <c r="C216" s="1" t="s">
        <v>91</v>
      </c>
      <c r="D216" s="7">
        <f>YEAR(BASE[[#This Row],[DATE]])</f>
        <v>2019</v>
      </c>
      <c r="E216" s="7">
        <f>MONTH(BASE[[#This Row],[DATE]])</f>
        <v>2</v>
      </c>
      <c r="F216" s="1" t="str">
        <f>VLOOKUP(BASE[[#This Row],[DESCRIPTION]],LISTEDESCRIPTION[],2,FALSE)</f>
        <v>TRANSPORT</v>
      </c>
      <c r="G216" s="1" t="s">
        <v>56</v>
      </c>
      <c r="H216" s="3">
        <v>43514</v>
      </c>
      <c r="I216" s="2">
        <v>7</v>
      </c>
      <c r="J216" s="7">
        <f t="shared" si="3"/>
        <v>215</v>
      </c>
      <c r="L216"/>
    </row>
    <row r="217" spans="1:12" x14ac:dyDescent="0.25">
      <c r="A217" s="1">
        <f>ROW()-ROW(BASE[[#Headers],[INDEX]])</f>
        <v>216</v>
      </c>
      <c r="B217" s="1" t="s">
        <v>92</v>
      </c>
      <c r="C217" s="1" t="s">
        <v>91</v>
      </c>
      <c r="D217" s="7">
        <f>YEAR(BASE[[#This Row],[DATE]])</f>
        <v>2019</v>
      </c>
      <c r="E217" s="7">
        <f>MONTH(BASE[[#This Row],[DATE]])</f>
        <v>2</v>
      </c>
      <c r="F217" s="1" t="str">
        <f>VLOOKUP(BASE[[#This Row],[DESCRIPTION]],LISTEDESCRIPTION[],2,FALSE)</f>
        <v>TRANSPORT</v>
      </c>
      <c r="G217" s="1" t="s">
        <v>41</v>
      </c>
      <c r="H217" s="3">
        <v>43514</v>
      </c>
      <c r="I217" s="2">
        <v>3.1</v>
      </c>
      <c r="J217" s="7">
        <f t="shared" si="3"/>
        <v>216</v>
      </c>
      <c r="L217"/>
    </row>
    <row r="218" spans="1:12" x14ac:dyDescent="0.25">
      <c r="A218" s="1">
        <f>ROW()-ROW(BASE[[#Headers],[INDEX]])</f>
        <v>217</v>
      </c>
      <c r="B218" s="1" t="s">
        <v>92</v>
      </c>
      <c r="C218" s="1" t="s">
        <v>91</v>
      </c>
      <c r="D218" s="7">
        <f>YEAR(BASE[[#This Row],[DATE]])</f>
        <v>2019</v>
      </c>
      <c r="E218" s="7">
        <f>MONTH(BASE[[#This Row],[DATE]])</f>
        <v>2</v>
      </c>
      <c r="F218" s="1" t="str">
        <f>VLOOKUP(BASE[[#This Row],[DESCRIPTION]],LISTEDESCRIPTION[],2,FALSE)</f>
        <v>LOISIRS</v>
      </c>
      <c r="G218" s="1" t="s">
        <v>53</v>
      </c>
      <c r="H218" s="3">
        <v>43514</v>
      </c>
      <c r="I218" s="2">
        <v>11.4</v>
      </c>
      <c r="J218" s="7">
        <f t="shared" si="3"/>
        <v>217</v>
      </c>
      <c r="L218"/>
    </row>
    <row r="219" spans="1:12" x14ac:dyDescent="0.25">
      <c r="A219" s="1">
        <f>ROW()-ROW(BASE[[#Headers],[INDEX]])</f>
        <v>218</v>
      </c>
      <c r="B219" s="1" t="s">
        <v>92</v>
      </c>
      <c r="C219" s="1" t="s">
        <v>91</v>
      </c>
      <c r="D219" s="7">
        <f>YEAR(BASE[[#This Row],[DATE]])</f>
        <v>2019</v>
      </c>
      <c r="E219" s="7">
        <f>MONTH(BASE[[#This Row],[DATE]])</f>
        <v>2</v>
      </c>
      <c r="F219" s="1" t="str">
        <f>VLOOKUP(BASE[[#This Row],[DESCRIPTION]],LISTEDESCRIPTION[],2,FALSE)</f>
        <v>FACTURE</v>
      </c>
      <c r="G219" s="1" t="s">
        <v>49</v>
      </c>
      <c r="H219" s="3">
        <v>43514</v>
      </c>
      <c r="I219" s="2">
        <v>10.99</v>
      </c>
      <c r="J219" s="7">
        <f t="shared" si="3"/>
        <v>218</v>
      </c>
      <c r="L219"/>
    </row>
    <row r="220" spans="1:12" x14ac:dyDescent="0.25">
      <c r="A220" s="1">
        <f>ROW()-ROW(BASE[[#Headers],[INDEX]])</f>
        <v>219</v>
      </c>
      <c r="B220" s="1" t="s">
        <v>92</v>
      </c>
      <c r="C220" s="1" t="s">
        <v>91</v>
      </c>
      <c r="D220" s="7">
        <f>YEAR(BASE[[#This Row],[DATE]])</f>
        <v>2019</v>
      </c>
      <c r="E220" s="7">
        <f>MONTH(BASE[[#This Row],[DATE]])</f>
        <v>2</v>
      </c>
      <c r="F220" s="1" t="str">
        <f>VLOOKUP(BASE[[#This Row],[DESCRIPTION]],LISTEDESCRIPTION[],2,FALSE)</f>
        <v>CREDIT</v>
      </c>
      <c r="G220" s="1" t="s">
        <v>46</v>
      </c>
      <c r="H220" s="3">
        <v>43514</v>
      </c>
      <c r="I220" s="2">
        <v>50.66</v>
      </c>
      <c r="J220" s="7">
        <f t="shared" si="3"/>
        <v>219</v>
      </c>
      <c r="L220"/>
    </row>
    <row r="221" spans="1:12" x14ac:dyDescent="0.25">
      <c r="A221" s="1">
        <f>ROW()-ROW(BASE[[#Headers],[INDEX]])</f>
        <v>220</v>
      </c>
      <c r="B221" s="1" t="s">
        <v>92</v>
      </c>
      <c r="C221" s="1" t="s">
        <v>91</v>
      </c>
      <c r="D221" s="7">
        <f>YEAR(BASE[[#This Row],[DATE]])</f>
        <v>2019</v>
      </c>
      <c r="E221" s="7">
        <f>MONTH(BASE[[#This Row],[DATE]])</f>
        <v>2</v>
      </c>
      <c r="F221" s="1" t="str">
        <f>VLOOKUP(BASE[[#This Row],[DESCRIPTION]],LISTEDESCRIPTION[],2,FALSE)</f>
        <v>RETRAIT</v>
      </c>
      <c r="G221" s="1" t="s">
        <v>65</v>
      </c>
      <c r="H221" s="3">
        <v>43514</v>
      </c>
      <c r="I221" s="2">
        <v>20</v>
      </c>
      <c r="J221" s="7">
        <f t="shared" si="3"/>
        <v>220</v>
      </c>
      <c r="L221"/>
    </row>
    <row r="222" spans="1:12" x14ac:dyDescent="0.25">
      <c r="A222" s="1">
        <f>ROW()-ROW(BASE[[#Headers],[INDEX]])</f>
        <v>221</v>
      </c>
      <c r="B222" s="1" t="s">
        <v>92</v>
      </c>
      <c r="C222" s="1" t="s">
        <v>91</v>
      </c>
      <c r="D222" s="7">
        <f>YEAR(BASE[[#This Row],[DATE]])</f>
        <v>2019</v>
      </c>
      <c r="E222" s="7">
        <f>MONTH(BASE[[#This Row],[DATE]])</f>
        <v>2</v>
      </c>
      <c r="F222" s="1" t="str">
        <f>VLOOKUP(BASE[[#This Row],[DESCRIPTION]],LISTEDESCRIPTION[],2,FALSE)</f>
        <v>RESTAURATION</v>
      </c>
      <c r="G222" s="1" t="s">
        <v>61</v>
      </c>
      <c r="H222" s="3">
        <v>43511</v>
      </c>
      <c r="I222" s="2">
        <v>15</v>
      </c>
      <c r="J222" s="7">
        <f t="shared" si="3"/>
        <v>221</v>
      </c>
      <c r="L222"/>
    </row>
    <row r="223" spans="1:12" x14ac:dyDescent="0.25">
      <c r="A223" s="1">
        <f>ROW()-ROW(BASE[[#Headers],[INDEX]])</f>
        <v>222</v>
      </c>
      <c r="B223" s="1" t="s">
        <v>92</v>
      </c>
      <c r="C223" s="1" t="s">
        <v>91</v>
      </c>
      <c r="D223" s="7">
        <f>YEAR(BASE[[#This Row],[DATE]])</f>
        <v>2019</v>
      </c>
      <c r="E223" s="7">
        <f>MONTH(BASE[[#This Row],[DATE]])</f>
        <v>2</v>
      </c>
      <c r="F223" s="1" t="str">
        <f>VLOOKUP(BASE[[#This Row],[DESCRIPTION]],LISTEDESCRIPTION[],2,FALSE)</f>
        <v>RECU</v>
      </c>
      <c r="G223" s="1" t="s">
        <v>62</v>
      </c>
      <c r="H223" s="3">
        <v>43511</v>
      </c>
      <c r="I223" s="2">
        <v>49.9</v>
      </c>
      <c r="J223" s="7">
        <f t="shared" si="3"/>
        <v>222</v>
      </c>
      <c r="L223"/>
    </row>
    <row r="224" spans="1:12" x14ac:dyDescent="0.25">
      <c r="A224" s="1">
        <f>ROW()-ROW(BASE[[#Headers],[INDEX]])</f>
        <v>223</v>
      </c>
      <c r="B224" s="1" t="s">
        <v>92</v>
      </c>
      <c r="C224" s="1" t="s">
        <v>91</v>
      </c>
      <c r="D224" s="7">
        <f>YEAR(BASE[[#This Row],[DATE]])</f>
        <v>2019</v>
      </c>
      <c r="E224" s="7">
        <f>MONTH(BASE[[#This Row],[DATE]])</f>
        <v>2</v>
      </c>
      <c r="F224" s="1" t="str">
        <f>VLOOKUP(BASE[[#This Row],[DESCRIPTION]],LISTEDESCRIPTION[],2,FALSE)</f>
        <v>COURSE</v>
      </c>
      <c r="G224" s="1" t="s">
        <v>31</v>
      </c>
      <c r="H224" s="3">
        <v>43510</v>
      </c>
      <c r="I224" s="2">
        <v>3.9</v>
      </c>
      <c r="J224" s="7">
        <f t="shared" si="3"/>
        <v>223</v>
      </c>
      <c r="L224"/>
    </row>
    <row r="225" spans="1:12" x14ac:dyDescent="0.25">
      <c r="A225" s="1">
        <f>ROW()-ROW(BASE[[#Headers],[INDEX]])</f>
        <v>224</v>
      </c>
      <c r="B225" s="1" t="s">
        <v>92</v>
      </c>
      <c r="C225" s="1" t="s">
        <v>91</v>
      </c>
      <c r="D225" s="7">
        <f>YEAR(BASE[[#This Row],[DATE]])</f>
        <v>2019</v>
      </c>
      <c r="E225" s="7">
        <f>MONTH(BASE[[#This Row],[DATE]])</f>
        <v>2</v>
      </c>
      <c r="F225" s="1" t="str">
        <f>VLOOKUP(BASE[[#This Row],[DESCRIPTION]],LISTEDESCRIPTION[],2,FALSE)</f>
        <v>COURSE</v>
      </c>
      <c r="G225" s="1" t="s">
        <v>31</v>
      </c>
      <c r="H225" s="3">
        <v>43510</v>
      </c>
      <c r="I225" s="2">
        <v>2.1800000000000002</v>
      </c>
      <c r="J225" s="7">
        <f t="shared" si="3"/>
        <v>224</v>
      </c>
      <c r="L225"/>
    </row>
    <row r="226" spans="1:12" x14ac:dyDescent="0.25">
      <c r="A226" s="1">
        <f>ROW()-ROW(BASE[[#Headers],[INDEX]])</f>
        <v>225</v>
      </c>
      <c r="B226" s="1" t="s">
        <v>92</v>
      </c>
      <c r="C226" s="1" t="s">
        <v>91</v>
      </c>
      <c r="D226" s="7">
        <f>YEAR(BASE[[#This Row],[DATE]])</f>
        <v>2019</v>
      </c>
      <c r="E226" s="7">
        <f>MONTH(BASE[[#This Row],[DATE]])</f>
        <v>2</v>
      </c>
      <c r="F226" s="1" t="str">
        <f>VLOOKUP(BASE[[#This Row],[DESCRIPTION]],LISTEDESCRIPTION[],2,FALSE)</f>
        <v>COURSE</v>
      </c>
      <c r="G226" s="1" t="s">
        <v>40</v>
      </c>
      <c r="H226" s="3">
        <v>43510</v>
      </c>
      <c r="I226" s="2">
        <v>11</v>
      </c>
      <c r="J226" s="7">
        <f t="shared" si="3"/>
        <v>225</v>
      </c>
      <c r="L226"/>
    </row>
    <row r="227" spans="1:12" x14ac:dyDescent="0.25">
      <c r="A227" s="1">
        <f>ROW()-ROW(BASE[[#Headers],[INDEX]])</f>
        <v>226</v>
      </c>
      <c r="B227" s="1" t="s">
        <v>92</v>
      </c>
      <c r="C227" s="1" t="s">
        <v>91</v>
      </c>
      <c r="D227" s="7">
        <f>YEAR(BASE[[#This Row],[DATE]])</f>
        <v>2019</v>
      </c>
      <c r="E227" s="7">
        <f>MONTH(BASE[[#This Row],[DATE]])</f>
        <v>2</v>
      </c>
      <c r="F227" s="1" t="str">
        <f>VLOOKUP(BASE[[#This Row],[DESCRIPTION]],LISTEDESCRIPTION[],2,FALSE)</f>
        <v>RESTAURATION</v>
      </c>
      <c r="G227" s="1" t="s">
        <v>59</v>
      </c>
      <c r="H227" s="3">
        <v>43509</v>
      </c>
      <c r="I227" s="2">
        <v>8.3000000000000007</v>
      </c>
      <c r="J227" s="7">
        <f t="shared" si="3"/>
        <v>226</v>
      </c>
      <c r="L227"/>
    </row>
    <row r="228" spans="1:12" x14ac:dyDescent="0.25">
      <c r="A228" s="1">
        <f>ROW()-ROW(BASE[[#Headers],[INDEX]])</f>
        <v>227</v>
      </c>
      <c r="B228" s="1" t="s">
        <v>92</v>
      </c>
      <c r="C228" s="1" t="s">
        <v>91</v>
      </c>
      <c r="D228" s="7">
        <f>YEAR(BASE[[#This Row],[DATE]])</f>
        <v>2019</v>
      </c>
      <c r="E228" s="7">
        <f>MONTH(BASE[[#This Row],[DATE]])</f>
        <v>2</v>
      </c>
      <c r="F228" s="1" t="str">
        <f>VLOOKUP(BASE[[#This Row],[DESCRIPTION]],LISTEDESCRIPTION[],2,FALSE)</f>
        <v>COURSE</v>
      </c>
      <c r="G228" s="1" t="s">
        <v>31</v>
      </c>
      <c r="H228" s="3">
        <v>43508</v>
      </c>
      <c r="I228" s="2">
        <v>3.29</v>
      </c>
      <c r="J228" s="7">
        <f t="shared" si="3"/>
        <v>227</v>
      </c>
      <c r="L228"/>
    </row>
    <row r="229" spans="1:12" x14ac:dyDescent="0.25">
      <c r="A229" s="1">
        <f>ROW()-ROW(BASE[[#Headers],[INDEX]])</f>
        <v>228</v>
      </c>
      <c r="B229" s="1" t="s">
        <v>92</v>
      </c>
      <c r="C229" s="1" t="s">
        <v>91</v>
      </c>
      <c r="D229" s="7">
        <f>YEAR(BASE[[#This Row],[DATE]])</f>
        <v>2019</v>
      </c>
      <c r="E229" s="7">
        <f>MONTH(BASE[[#This Row],[DATE]])</f>
        <v>2</v>
      </c>
      <c r="F229" s="1" t="str">
        <f>VLOOKUP(BASE[[#This Row],[DESCRIPTION]],LISTEDESCRIPTION[],2,FALSE)</f>
        <v>DIVERS</v>
      </c>
      <c r="G229" s="1" t="s">
        <v>60</v>
      </c>
      <c r="H229" s="3">
        <v>43508</v>
      </c>
      <c r="I229" s="2">
        <v>28.47</v>
      </c>
      <c r="J229" s="7">
        <f t="shared" si="3"/>
        <v>228</v>
      </c>
      <c r="L229"/>
    </row>
    <row r="230" spans="1:12" x14ac:dyDescent="0.25">
      <c r="A230" s="1">
        <f>ROW()-ROW(BASE[[#Headers],[INDEX]])</f>
        <v>229</v>
      </c>
      <c r="B230" s="1" t="s">
        <v>92</v>
      </c>
      <c r="C230" s="1" t="s">
        <v>91</v>
      </c>
      <c r="D230" s="7">
        <f>YEAR(BASE[[#This Row],[DATE]])</f>
        <v>2019</v>
      </c>
      <c r="E230" s="7">
        <f>MONTH(BASE[[#This Row],[DATE]])</f>
        <v>2</v>
      </c>
      <c r="F230" s="1" t="str">
        <f>VLOOKUP(BASE[[#This Row],[DESCRIPTION]],LISTEDESCRIPTION[],2,FALSE)</f>
        <v>TRANSPORT</v>
      </c>
      <c r="G230" s="1" t="s">
        <v>26</v>
      </c>
      <c r="H230" s="3">
        <v>43507</v>
      </c>
      <c r="I230" s="2">
        <v>4.5199999999999996</v>
      </c>
      <c r="J230" s="7">
        <f t="shared" si="3"/>
        <v>229</v>
      </c>
      <c r="L230"/>
    </row>
    <row r="231" spans="1:12" x14ac:dyDescent="0.25">
      <c r="A231" s="1">
        <f>ROW()-ROW(BASE[[#Headers],[INDEX]])</f>
        <v>230</v>
      </c>
      <c r="B231" s="1" t="s">
        <v>92</v>
      </c>
      <c r="C231" s="1" t="s">
        <v>91</v>
      </c>
      <c r="D231" s="7">
        <f>YEAR(BASE[[#This Row],[DATE]])</f>
        <v>2019</v>
      </c>
      <c r="E231" s="7">
        <f>MONTH(BASE[[#This Row],[DATE]])</f>
        <v>2</v>
      </c>
      <c r="F231" s="1" t="str">
        <f>VLOOKUP(BASE[[#This Row],[DESCRIPTION]],LISTEDESCRIPTION[],2,FALSE)</f>
        <v>COURSE</v>
      </c>
      <c r="G231" s="1" t="s">
        <v>29</v>
      </c>
      <c r="H231" s="3">
        <v>43507</v>
      </c>
      <c r="I231" s="2">
        <v>3.9</v>
      </c>
      <c r="J231" s="7">
        <f t="shared" si="3"/>
        <v>230</v>
      </c>
      <c r="L231"/>
    </row>
    <row r="232" spans="1:12" x14ac:dyDescent="0.25">
      <c r="A232" s="1">
        <f>ROW()-ROW(BASE[[#Headers],[INDEX]])</f>
        <v>231</v>
      </c>
      <c r="B232" s="1" t="s">
        <v>92</v>
      </c>
      <c r="C232" s="1" t="s">
        <v>91</v>
      </c>
      <c r="D232" s="7">
        <f>YEAR(BASE[[#This Row],[DATE]])</f>
        <v>2019</v>
      </c>
      <c r="E232" s="7">
        <f>MONTH(BASE[[#This Row],[DATE]])</f>
        <v>2</v>
      </c>
      <c r="F232" s="1" t="str">
        <f>VLOOKUP(BASE[[#This Row],[DESCRIPTION]],LISTEDESCRIPTION[],2,FALSE)</f>
        <v>TRANSPORT</v>
      </c>
      <c r="G232" s="1" t="s">
        <v>30</v>
      </c>
      <c r="H232" s="3">
        <v>43507</v>
      </c>
      <c r="I232" s="2">
        <v>28.08</v>
      </c>
      <c r="J232" s="7">
        <f t="shared" si="3"/>
        <v>231</v>
      </c>
      <c r="L232"/>
    </row>
    <row r="233" spans="1:12" x14ac:dyDescent="0.25">
      <c r="A233" s="1">
        <f>ROW()-ROW(BASE[[#Headers],[INDEX]])</f>
        <v>232</v>
      </c>
      <c r="B233" s="1" t="s">
        <v>92</v>
      </c>
      <c r="C233" s="1" t="s">
        <v>91</v>
      </c>
      <c r="D233" s="7">
        <f>YEAR(BASE[[#This Row],[DATE]])</f>
        <v>2019</v>
      </c>
      <c r="E233" s="7">
        <f>MONTH(BASE[[#This Row],[DATE]])</f>
        <v>2</v>
      </c>
      <c r="F233" s="1" t="str">
        <f>VLOOKUP(BASE[[#This Row],[DESCRIPTION]],LISTEDESCRIPTION[],2,FALSE)</f>
        <v>CREDIT</v>
      </c>
      <c r="G233" s="1" t="s">
        <v>37</v>
      </c>
      <c r="H233" s="3">
        <v>43507</v>
      </c>
      <c r="I233" s="2">
        <v>42</v>
      </c>
      <c r="J233" s="7">
        <f t="shared" si="3"/>
        <v>232</v>
      </c>
      <c r="L233"/>
    </row>
    <row r="234" spans="1:12" x14ac:dyDescent="0.25">
      <c r="A234" s="1">
        <f>ROW()-ROW(BASE[[#Headers],[INDEX]])</f>
        <v>233</v>
      </c>
      <c r="B234" s="1" t="s">
        <v>92</v>
      </c>
      <c r="C234" s="1" t="s">
        <v>91</v>
      </c>
      <c r="D234" s="7">
        <f>YEAR(BASE[[#This Row],[DATE]])</f>
        <v>2019</v>
      </c>
      <c r="E234" s="7">
        <f>MONTH(BASE[[#This Row],[DATE]])</f>
        <v>2</v>
      </c>
      <c r="F234" s="1" t="str">
        <f>VLOOKUP(BASE[[#This Row],[DESCRIPTION]],LISTEDESCRIPTION[],2,FALSE)</f>
        <v>COURSE</v>
      </c>
      <c r="G234" s="1" t="s">
        <v>47</v>
      </c>
      <c r="H234" s="3">
        <v>43506</v>
      </c>
      <c r="I234" s="2">
        <v>30</v>
      </c>
      <c r="J234" s="7">
        <f t="shared" si="3"/>
        <v>233</v>
      </c>
      <c r="L234"/>
    </row>
    <row r="235" spans="1:12" x14ac:dyDescent="0.25">
      <c r="A235" s="1">
        <f>ROW()-ROW(BASE[[#Headers],[INDEX]])</f>
        <v>234</v>
      </c>
      <c r="B235" s="1" t="s">
        <v>92</v>
      </c>
      <c r="C235" s="1" t="s">
        <v>91</v>
      </c>
      <c r="D235" s="7">
        <f>YEAR(BASE[[#This Row],[DATE]])</f>
        <v>2019</v>
      </c>
      <c r="E235" s="7">
        <f>MONTH(BASE[[#This Row],[DATE]])</f>
        <v>2</v>
      </c>
      <c r="F235" s="1" t="str">
        <f>VLOOKUP(BASE[[#This Row],[DESCRIPTION]],LISTEDESCRIPTION[],2,FALSE)</f>
        <v>FACTURE</v>
      </c>
      <c r="G235" s="1" t="s">
        <v>32</v>
      </c>
      <c r="H235" s="3">
        <v>43504</v>
      </c>
      <c r="I235" s="2">
        <v>280</v>
      </c>
      <c r="J235" s="7">
        <f t="shared" si="3"/>
        <v>234</v>
      </c>
      <c r="L235"/>
    </row>
    <row r="236" spans="1:12" x14ac:dyDescent="0.25">
      <c r="A236" s="1">
        <f>ROW()-ROW(BASE[[#Headers],[INDEX]])</f>
        <v>235</v>
      </c>
      <c r="B236" s="1" t="s">
        <v>92</v>
      </c>
      <c r="C236" s="1" t="s">
        <v>91</v>
      </c>
      <c r="D236" s="7">
        <f>YEAR(BASE[[#This Row],[DATE]])</f>
        <v>2019</v>
      </c>
      <c r="E236" s="7">
        <f>MONTH(BASE[[#This Row],[DATE]])</f>
        <v>2</v>
      </c>
      <c r="F236" s="1" t="str">
        <f>VLOOKUP(BASE[[#This Row],[DESCRIPTION]],LISTEDESCRIPTION[],2,FALSE)</f>
        <v>CREDIT</v>
      </c>
      <c r="G236" s="1" t="s">
        <v>33</v>
      </c>
      <c r="H236" s="3">
        <v>43504</v>
      </c>
      <c r="I236" s="2">
        <v>44.34</v>
      </c>
      <c r="J236" s="7">
        <f t="shared" si="3"/>
        <v>235</v>
      </c>
      <c r="L236"/>
    </row>
    <row r="237" spans="1:12" x14ac:dyDescent="0.25">
      <c r="A237" s="1">
        <f>ROW()-ROW(BASE[[#Headers],[INDEX]])</f>
        <v>236</v>
      </c>
      <c r="B237" s="1" t="s">
        <v>92</v>
      </c>
      <c r="C237" s="1" t="s">
        <v>91</v>
      </c>
      <c r="D237" s="7">
        <f>YEAR(BASE[[#This Row],[DATE]])</f>
        <v>2019</v>
      </c>
      <c r="E237" s="7">
        <f>MONTH(BASE[[#This Row],[DATE]])</f>
        <v>2</v>
      </c>
      <c r="F237" s="1" t="str">
        <f>VLOOKUP(BASE[[#This Row],[DESCRIPTION]],LISTEDESCRIPTION[],2,FALSE)</f>
        <v>LOISIRS</v>
      </c>
      <c r="G237" s="1" t="s">
        <v>53</v>
      </c>
      <c r="H237" s="3">
        <v>43503</v>
      </c>
      <c r="I237" s="2">
        <v>6.7</v>
      </c>
      <c r="J237" s="7">
        <f t="shared" si="3"/>
        <v>236</v>
      </c>
      <c r="L237"/>
    </row>
    <row r="238" spans="1:12" x14ac:dyDescent="0.25">
      <c r="A238" s="1">
        <f>ROW()-ROW(BASE[[#Headers],[INDEX]])</f>
        <v>237</v>
      </c>
      <c r="B238" s="1" t="s">
        <v>92</v>
      </c>
      <c r="C238" s="1" t="s">
        <v>91</v>
      </c>
      <c r="D238" s="7">
        <f>YEAR(BASE[[#This Row],[DATE]])</f>
        <v>2019</v>
      </c>
      <c r="E238" s="7">
        <f>MONTH(BASE[[#This Row],[DATE]])</f>
        <v>2</v>
      </c>
      <c r="F238" s="1" t="str">
        <f>VLOOKUP(BASE[[#This Row],[DESCRIPTION]],LISTEDESCRIPTION[],2,FALSE)</f>
        <v>SALAIRE</v>
      </c>
      <c r="G238" s="1" t="s">
        <v>21</v>
      </c>
      <c r="H238" s="3">
        <v>43502</v>
      </c>
      <c r="I238" s="2">
        <v>1740.44</v>
      </c>
      <c r="J238" s="7">
        <f t="shared" si="3"/>
        <v>237</v>
      </c>
      <c r="L238"/>
    </row>
    <row r="239" spans="1:12" x14ac:dyDescent="0.25">
      <c r="A239" s="1">
        <f>ROW()-ROW(BASE[[#Headers],[INDEX]])</f>
        <v>238</v>
      </c>
      <c r="B239" s="1" t="s">
        <v>92</v>
      </c>
      <c r="C239" s="1" t="s">
        <v>91</v>
      </c>
      <c r="D239" s="7">
        <f>YEAR(BASE[[#This Row],[DATE]])</f>
        <v>2019</v>
      </c>
      <c r="E239" s="7">
        <f>MONTH(BASE[[#This Row],[DATE]])</f>
        <v>2</v>
      </c>
      <c r="F239" s="1" t="str">
        <f>VLOOKUP(BASE[[#This Row],[DESCRIPTION]],LISTEDESCRIPTION[],2,FALSE)</f>
        <v>PLACEMENT EPARGNE</v>
      </c>
      <c r="G239" s="1" t="s">
        <v>189</v>
      </c>
      <c r="H239" s="3">
        <v>43502</v>
      </c>
      <c r="I239" s="2">
        <v>1000</v>
      </c>
      <c r="J239" s="7">
        <f t="shared" si="3"/>
        <v>238</v>
      </c>
      <c r="L239"/>
    </row>
    <row r="240" spans="1:12" x14ac:dyDescent="0.25">
      <c r="A240" s="1">
        <f>ROW()-ROW(BASE[[#Headers],[INDEX]])</f>
        <v>239</v>
      </c>
      <c r="B240" s="1" t="s">
        <v>92</v>
      </c>
      <c r="C240" s="1" t="s">
        <v>91</v>
      </c>
      <c r="D240" s="7">
        <f>YEAR(BASE[[#This Row],[DATE]])</f>
        <v>2019</v>
      </c>
      <c r="E240" s="7">
        <f>MONTH(BASE[[#This Row],[DATE]])</f>
        <v>2</v>
      </c>
      <c r="F240" s="1" t="str">
        <f>VLOOKUP(BASE[[#This Row],[DESCRIPTION]],LISTEDESCRIPTION[],2,FALSE)</f>
        <v>DIVERS</v>
      </c>
      <c r="G240" s="1" t="s">
        <v>58</v>
      </c>
      <c r="H240" s="3">
        <v>43502</v>
      </c>
      <c r="I240" s="2">
        <v>49.9</v>
      </c>
      <c r="J240" s="7">
        <f t="shared" si="3"/>
        <v>239</v>
      </c>
      <c r="L240"/>
    </row>
    <row r="241" spans="1:12" x14ac:dyDescent="0.25">
      <c r="A241" s="1">
        <f>ROW()-ROW(BASE[[#Headers],[INDEX]])</f>
        <v>240</v>
      </c>
      <c r="B241" s="1" t="s">
        <v>92</v>
      </c>
      <c r="C241" s="1" t="s">
        <v>91</v>
      </c>
      <c r="D241" s="7">
        <f>YEAR(BASE[[#This Row],[DATE]])</f>
        <v>2019</v>
      </c>
      <c r="E241" s="7">
        <f>MONTH(BASE[[#This Row],[DATE]])</f>
        <v>2</v>
      </c>
      <c r="F241" s="1" t="str">
        <f>VLOOKUP(BASE[[#This Row],[DESCRIPTION]],LISTEDESCRIPTION[],2,FALSE)</f>
        <v>FACTURE</v>
      </c>
      <c r="G241" s="1" t="s">
        <v>27</v>
      </c>
      <c r="H241" s="3">
        <v>43502</v>
      </c>
      <c r="I241" s="2">
        <v>8</v>
      </c>
      <c r="J241" s="7">
        <f t="shared" si="3"/>
        <v>240</v>
      </c>
      <c r="L241"/>
    </row>
    <row r="242" spans="1:12" x14ac:dyDescent="0.25">
      <c r="A242" s="1">
        <f>ROW()-ROW(BASE[[#Headers],[INDEX]])</f>
        <v>241</v>
      </c>
      <c r="B242" s="1" t="s">
        <v>92</v>
      </c>
      <c r="C242" s="1" t="s">
        <v>91</v>
      </c>
      <c r="D242" s="7">
        <f>YEAR(BASE[[#This Row],[DATE]])</f>
        <v>2019</v>
      </c>
      <c r="E242" s="7">
        <f>MONTH(BASE[[#This Row],[DATE]])</f>
        <v>2</v>
      </c>
      <c r="F242" s="1" t="str">
        <f>VLOOKUP(BASE[[#This Row],[DESCRIPTION]],LISTEDESCRIPTION[],2,FALSE)</f>
        <v>RESTAURATION</v>
      </c>
      <c r="G242" s="1" t="s">
        <v>59</v>
      </c>
      <c r="H242" s="3">
        <v>43501</v>
      </c>
      <c r="I242" s="2">
        <v>5.2</v>
      </c>
      <c r="J242" s="7">
        <f t="shared" si="3"/>
        <v>241</v>
      </c>
      <c r="L242"/>
    </row>
    <row r="243" spans="1:12" x14ac:dyDescent="0.25">
      <c r="A243" s="1">
        <f>ROW()-ROW(BASE[[#Headers],[INDEX]])</f>
        <v>242</v>
      </c>
      <c r="B243" s="1" t="s">
        <v>92</v>
      </c>
      <c r="C243" s="1" t="s">
        <v>91</v>
      </c>
      <c r="D243" s="7">
        <f>YEAR(BASE[[#This Row],[DATE]])</f>
        <v>2019</v>
      </c>
      <c r="E243" s="7">
        <f>MONTH(BASE[[#This Row],[DATE]])</f>
        <v>2</v>
      </c>
      <c r="F243" s="1" t="str">
        <f>VLOOKUP(BASE[[#This Row],[DESCRIPTION]],LISTEDESCRIPTION[],2,FALSE)</f>
        <v>RESTAURATION</v>
      </c>
      <c r="G243" s="1" t="s">
        <v>57</v>
      </c>
      <c r="H243" s="3">
        <v>43500</v>
      </c>
      <c r="I243" s="2">
        <v>22.8</v>
      </c>
      <c r="J243" s="7">
        <f t="shared" si="3"/>
        <v>242</v>
      </c>
      <c r="L243"/>
    </row>
    <row r="244" spans="1:12" x14ac:dyDescent="0.25">
      <c r="A244" s="1">
        <f>ROW()-ROW(BASE[[#Headers],[INDEX]])</f>
        <v>243</v>
      </c>
      <c r="B244" s="1" t="s">
        <v>92</v>
      </c>
      <c r="C244" s="1" t="s">
        <v>91</v>
      </c>
      <c r="D244" s="7">
        <f>YEAR(BASE[[#This Row],[DATE]])</f>
        <v>2019</v>
      </c>
      <c r="E244" s="7">
        <f>MONTH(BASE[[#This Row],[DATE]])</f>
        <v>2</v>
      </c>
      <c r="F244" s="1" t="str">
        <f>VLOOKUP(BASE[[#This Row],[DESCRIPTION]],LISTEDESCRIPTION[],2,FALSE)</f>
        <v>LOISIRS</v>
      </c>
      <c r="G244" s="1" t="s">
        <v>53</v>
      </c>
      <c r="H244" s="3">
        <v>43500</v>
      </c>
      <c r="I244" s="2">
        <v>39.9</v>
      </c>
      <c r="J244" s="7">
        <f t="shared" si="3"/>
        <v>243</v>
      </c>
      <c r="L244"/>
    </row>
    <row r="245" spans="1:12" x14ac:dyDescent="0.25">
      <c r="A245" s="1">
        <f>ROW()-ROW(BASE[[#Headers],[INDEX]])</f>
        <v>244</v>
      </c>
      <c r="B245" s="1" t="s">
        <v>92</v>
      </c>
      <c r="C245" s="1" t="s">
        <v>91</v>
      </c>
      <c r="D245" s="7">
        <f>YEAR(BASE[[#This Row],[DATE]])</f>
        <v>2019</v>
      </c>
      <c r="E245" s="7">
        <f>MONTH(BASE[[#This Row],[DATE]])</f>
        <v>2</v>
      </c>
      <c r="F245" s="1" t="str">
        <f>VLOOKUP(BASE[[#This Row],[DESCRIPTION]],LISTEDESCRIPTION[],2,FALSE)</f>
        <v>RESTAURATION</v>
      </c>
      <c r="G245" s="1" t="s">
        <v>28</v>
      </c>
      <c r="H245" s="3">
        <v>43500</v>
      </c>
      <c r="I245" s="2">
        <v>19.8</v>
      </c>
      <c r="J245" s="7">
        <f t="shared" si="3"/>
        <v>244</v>
      </c>
      <c r="L245"/>
    </row>
    <row r="246" spans="1:12" x14ac:dyDescent="0.25">
      <c r="A246" s="1">
        <f>ROW()-ROW(BASE[[#Headers],[INDEX]])</f>
        <v>245</v>
      </c>
      <c r="B246" s="1" t="s">
        <v>92</v>
      </c>
      <c r="C246" s="1" t="s">
        <v>91</v>
      </c>
      <c r="D246" s="7">
        <f>YEAR(BASE[[#This Row],[DATE]])</f>
        <v>2019</v>
      </c>
      <c r="E246" s="7">
        <f>MONTH(BASE[[#This Row],[DATE]])</f>
        <v>2</v>
      </c>
      <c r="F246" s="1" t="str">
        <f>VLOOKUP(BASE[[#This Row],[DESCRIPTION]],LISTEDESCRIPTION[],2,FALSE)</f>
        <v>DIVERS</v>
      </c>
      <c r="G246" s="1" t="s">
        <v>58</v>
      </c>
      <c r="H246" s="3">
        <v>43500</v>
      </c>
      <c r="I246" s="2">
        <v>1</v>
      </c>
      <c r="J246" s="7">
        <f t="shared" si="3"/>
        <v>245</v>
      </c>
      <c r="L246"/>
    </row>
    <row r="247" spans="1:12" x14ac:dyDescent="0.25">
      <c r="A247" s="1">
        <f>ROW()-ROW(BASE[[#Headers],[INDEX]])</f>
        <v>246</v>
      </c>
      <c r="B247" s="1" t="s">
        <v>92</v>
      </c>
      <c r="C247" s="1" t="s">
        <v>91</v>
      </c>
      <c r="D247" s="7">
        <f>YEAR(BASE[[#This Row],[DATE]])</f>
        <v>2019</v>
      </c>
      <c r="E247" s="7">
        <f>MONTH(BASE[[#This Row],[DATE]])</f>
        <v>2</v>
      </c>
      <c r="F247" s="1" t="str">
        <f>VLOOKUP(BASE[[#This Row],[DESCRIPTION]],LISTEDESCRIPTION[],2,FALSE)</f>
        <v>FACTURE</v>
      </c>
      <c r="G247" s="1" t="s">
        <v>24</v>
      </c>
      <c r="H247" s="3">
        <v>43500</v>
      </c>
      <c r="I247" s="2">
        <v>3.09</v>
      </c>
      <c r="J247" s="7">
        <f t="shared" si="3"/>
        <v>246</v>
      </c>
      <c r="L247"/>
    </row>
    <row r="248" spans="1:12" x14ac:dyDescent="0.25">
      <c r="A248" s="1">
        <f>ROW()-ROW(BASE[[#Headers],[INDEX]])</f>
        <v>247</v>
      </c>
      <c r="B248" s="1" t="s">
        <v>92</v>
      </c>
      <c r="C248" s="1" t="s">
        <v>91</v>
      </c>
      <c r="D248" s="7">
        <f>YEAR(BASE[[#This Row],[DATE]])</f>
        <v>2019</v>
      </c>
      <c r="E248" s="7">
        <f>MONTH(BASE[[#This Row],[DATE]])</f>
        <v>2</v>
      </c>
      <c r="F248" s="1" t="str">
        <f>VLOOKUP(BASE[[#This Row],[DESCRIPTION]],LISTEDESCRIPTION[],2,FALSE)</f>
        <v>FACTURE</v>
      </c>
      <c r="G248" s="1" t="s">
        <v>25</v>
      </c>
      <c r="H248" s="3">
        <v>43500</v>
      </c>
      <c r="I248" s="2">
        <v>0.6</v>
      </c>
      <c r="J248" s="7">
        <f t="shared" si="3"/>
        <v>247</v>
      </c>
      <c r="L248"/>
    </row>
    <row r="249" spans="1:12" x14ac:dyDescent="0.25">
      <c r="A249" s="1">
        <f>ROW()-ROW(BASE[[#Headers],[INDEX]])</f>
        <v>248</v>
      </c>
      <c r="B249" s="1" t="s">
        <v>92</v>
      </c>
      <c r="C249" s="1" t="s">
        <v>91</v>
      </c>
      <c r="D249" s="7">
        <f>YEAR(BASE[[#This Row],[DATE]])</f>
        <v>2019</v>
      </c>
      <c r="E249" s="7">
        <f>MONTH(BASE[[#This Row],[DATE]])</f>
        <v>2</v>
      </c>
      <c r="F249" s="1" t="str">
        <f>VLOOKUP(BASE[[#This Row],[DESCRIPTION]],LISTEDESCRIPTION[],2,FALSE)</f>
        <v>RETRAIT EPARGNE</v>
      </c>
      <c r="G249" s="1" t="s">
        <v>190</v>
      </c>
      <c r="H249" s="3">
        <v>43499</v>
      </c>
      <c r="I249" s="2">
        <v>20</v>
      </c>
      <c r="J249" s="7">
        <f t="shared" si="3"/>
        <v>248</v>
      </c>
      <c r="L249"/>
    </row>
    <row r="250" spans="1:12" x14ac:dyDescent="0.25">
      <c r="A250" s="1">
        <f>ROW()-ROW(BASE[[#Headers],[INDEX]])</f>
        <v>249</v>
      </c>
      <c r="B250" s="1" t="s">
        <v>92</v>
      </c>
      <c r="C250" s="1" t="s">
        <v>91</v>
      </c>
      <c r="D250" s="7">
        <f>YEAR(BASE[[#This Row],[DATE]])</f>
        <v>2019</v>
      </c>
      <c r="E250" s="7">
        <f>MONTH(BASE[[#This Row],[DATE]])</f>
        <v>2</v>
      </c>
      <c r="F250" s="1" t="str">
        <f>VLOOKUP(BASE[[#This Row],[DESCRIPTION]],LISTEDESCRIPTION[],2,FALSE)</f>
        <v>RETRAIT EPARGNE</v>
      </c>
      <c r="G250" s="1" t="s">
        <v>190</v>
      </c>
      <c r="H250" s="3">
        <v>43498</v>
      </c>
      <c r="I250" s="2">
        <v>20</v>
      </c>
      <c r="J250" s="7">
        <f t="shared" si="3"/>
        <v>249</v>
      </c>
      <c r="L250"/>
    </row>
    <row r="251" spans="1:12" x14ac:dyDescent="0.25">
      <c r="A251" s="1">
        <f>ROW()-ROW(BASE[[#Headers],[INDEX]])</f>
        <v>250</v>
      </c>
      <c r="B251" s="1" t="s">
        <v>92</v>
      </c>
      <c r="C251" s="1" t="s">
        <v>91</v>
      </c>
      <c r="D251" s="7">
        <f>YEAR(BASE[[#This Row],[DATE]])</f>
        <v>2019</v>
      </c>
      <c r="E251" s="7">
        <f>MONTH(BASE[[#This Row],[DATE]])</f>
        <v>1</v>
      </c>
      <c r="F251" s="1" t="str">
        <f>VLOOKUP(BASE[[#This Row],[DESCRIPTION]],LISTEDESCRIPTION[],2,FALSE)</f>
        <v>COURSE</v>
      </c>
      <c r="G251" s="1" t="s">
        <v>47</v>
      </c>
      <c r="H251" s="3">
        <v>43493</v>
      </c>
      <c r="I251" s="2">
        <v>3.04</v>
      </c>
      <c r="J251" s="7">
        <f t="shared" si="3"/>
        <v>250</v>
      </c>
      <c r="L251"/>
    </row>
    <row r="252" spans="1:12" x14ac:dyDescent="0.25">
      <c r="A252" s="1">
        <f>ROW()-ROW(BASE[[#Headers],[INDEX]])</f>
        <v>251</v>
      </c>
      <c r="B252" s="1" t="s">
        <v>92</v>
      </c>
      <c r="C252" s="1" t="s">
        <v>91</v>
      </c>
      <c r="D252" s="7">
        <f>YEAR(BASE[[#This Row],[DATE]])</f>
        <v>2019</v>
      </c>
      <c r="E252" s="7">
        <f>MONTH(BASE[[#This Row],[DATE]])</f>
        <v>1</v>
      </c>
      <c r="F252" s="1" t="str">
        <f>VLOOKUP(BASE[[#This Row],[DESCRIPTION]],LISTEDESCRIPTION[],2,FALSE)</f>
        <v>TRANSPORT</v>
      </c>
      <c r="G252" s="1" t="s">
        <v>39</v>
      </c>
      <c r="H252" s="3">
        <v>43493</v>
      </c>
      <c r="I252" s="2">
        <v>6</v>
      </c>
      <c r="J252" s="7">
        <f t="shared" si="3"/>
        <v>251</v>
      </c>
      <c r="L252"/>
    </row>
    <row r="253" spans="1:12" x14ac:dyDescent="0.25">
      <c r="A253" s="1">
        <f>ROW()-ROW(BASE[[#Headers],[INDEX]])</f>
        <v>252</v>
      </c>
      <c r="B253" s="1" t="s">
        <v>92</v>
      </c>
      <c r="C253" s="1" t="s">
        <v>91</v>
      </c>
      <c r="D253" s="7">
        <f>YEAR(BASE[[#This Row],[DATE]])</f>
        <v>2019</v>
      </c>
      <c r="E253" s="7">
        <f>MONTH(BASE[[#This Row],[DATE]])</f>
        <v>1</v>
      </c>
      <c r="F253" s="1" t="str">
        <f>VLOOKUP(BASE[[#This Row],[DESCRIPTION]],LISTEDESCRIPTION[],2,FALSE)</f>
        <v>LOISIRS</v>
      </c>
      <c r="G253" s="1" t="s">
        <v>36</v>
      </c>
      <c r="H253" s="3">
        <v>43493</v>
      </c>
      <c r="I253" s="2">
        <v>3</v>
      </c>
      <c r="J253" s="7">
        <f t="shared" si="3"/>
        <v>252</v>
      </c>
      <c r="L253"/>
    </row>
    <row r="254" spans="1:12" x14ac:dyDescent="0.25">
      <c r="A254" s="1">
        <f>ROW()-ROW(BASE[[#Headers],[INDEX]])</f>
        <v>253</v>
      </c>
      <c r="B254" s="1" t="s">
        <v>92</v>
      </c>
      <c r="C254" s="1" t="s">
        <v>91</v>
      </c>
      <c r="D254" s="7">
        <f>YEAR(BASE[[#This Row],[DATE]])</f>
        <v>2019</v>
      </c>
      <c r="E254" s="7">
        <f>MONTH(BASE[[#This Row],[DATE]])</f>
        <v>1</v>
      </c>
      <c r="F254" s="1" t="str">
        <f>VLOOKUP(BASE[[#This Row],[DESCRIPTION]],LISTEDESCRIPTION[],2,FALSE)</f>
        <v>TRANSPORT</v>
      </c>
      <c r="G254" s="1" t="s">
        <v>41</v>
      </c>
      <c r="H254" s="3">
        <v>43493</v>
      </c>
      <c r="I254" s="2">
        <v>1.7</v>
      </c>
      <c r="J254" s="7">
        <f t="shared" si="3"/>
        <v>253</v>
      </c>
      <c r="L254"/>
    </row>
    <row r="255" spans="1:12" x14ac:dyDescent="0.25">
      <c r="A255" s="1">
        <f>ROW()-ROW(BASE[[#Headers],[INDEX]])</f>
        <v>254</v>
      </c>
      <c r="B255" s="1" t="s">
        <v>92</v>
      </c>
      <c r="C255" s="1" t="s">
        <v>91</v>
      </c>
      <c r="D255" s="7">
        <f>YEAR(BASE[[#This Row],[DATE]])</f>
        <v>2019</v>
      </c>
      <c r="E255" s="7">
        <f>MONTH(BASE[[#This Row],[DATE]])</f>
        <v>1</v>
      </c>
      <c r="F255" s="1" t="str">
        <f>VLOOKUP(BASE[[#This Row],[DESCRIPTION]],LISTEDESCRIPTION[],2,FALSE)</f>
        <v>TRANSPORT</v>
      </c>
      <c r="G255" s="1" t="s">
        <v>56</v>
      </c>
      <c r="H255" s="3">
        <v>43493</v>
      </c>
      <c r="I255" s="2">
        <v>7</v>
      </c>
      <c r="J255" s="7">
        <f t="shared" si="3"/>
        <v>254</v>
      </c>
      <c r="L255"/>
    </row>
    <row r="256" spans="1:12" x14ac:dyDescent="0.25">
      <c r="A256" s="1">
        <f>ROW()-ROW(BASE[[#Headers],[INDEX]])</f>
        <v>255</v>
      </c>
      <c r="B256" s="1" t="s">
        <v>92</v>
      </c>
      <c r="C256" s="1" t="s">
        <v>91</v>
      </c>
      <c r="D256" s="7">
        <f>YEAR(BASE[[#This Row],[DATE]])</f>
        <v>2019</v>
      </c>
      <c r="E256" s="7">
        <f>MONTH(BASE[[#This Row],[DATE]])</f>
        <v>1</v>
      </c>
      <c r="F256" s="1" t="str">
        <f>VLOOKUP(BASE[[#This Row],[DESCRIPTION]],LISTEDESCRIPTION[],2,FALSE)</f>
        <v>TRANSPORT</v>
      </c>
      <c r="G256" s="1" t="s">
        <v>41</v>
      </c>
      <c r="H256" s="3">
        <v>43493</v>
      </c>
      <c r="I256" s="2">
        <v>1.7</v>
      </c>
      <c r="J256" s="7">
        <f t="shared" si="3"/>
        <v>255</v>
      </c>
      <c r="L256"/>
    </row>
    <row r="257" spans="1:12" x14ac:dyDescent="0.25">
      <c r="A257" s="1">
        <f>ROW()-ROW(BASE[[#Headers],[INDEX]])</f>
        <v>256</v>
      </c>
      <c r="B257" s="1" t="s">
        <v>92</v>
      </c>
      <c r="C257" s="1" t="s">
        <v>91</v>
      </c>
      <c r="D257" s="7">
        <f>YEAR(BASE[[#This Row],[DATE]])</f>
        <v>2019</v>
      </c>
      <c r="E257" s="7">
        <f>MONTH(BASE[[#This Row],[DATE]])</f>
        <v>1</v>
      </c>
      <c r="F257" s="1" t="str">
        <f>VLOOKUP(BASE[[#This Row],[DESCRIPTION]],LISTEDESCRIPTION[],2,FALSE)</f>
        <v>FACTURE</v>
      </c>
      <c r="G257" s="1" t="s">
        <v>55</v>
      </c>
      <c r="H257" s="3">
        <v>43489</v>
      </c>
      <c r="I257" s="2">
        <v>7</v>
      </c>
      <c r="J257" s="7">
        <f t="shared" si="3"/>
        <v>256</v>
      </c>
      <c r="L257"/>
    </row>
    <row r="258" spans="1:12" x14ac:dyDescent="0.25">
      <c r="A258" s="1">
        <f>ROW()-ROW(BASE[[#Headers],[INDEX]])</f>
        <v>257</v>
      </c>
      <c r="B258" s="1" t="s">
        <v>92</v>
      </c>
      <c r="C258" s="1" t="s">
        <v>91</v>
      </c>
      <c r="D258" s="7">
        <f>YEAR(BASE[[#This Row],[DATE]])</f>
        <v>2019</v>
      </c>
      <c r="E258" s="7">
        <f>MONTH(BASE[[#This Row],[DATE]])</f>
        <v>1</v>
      </c>
      <c r="F258" s="1" t="str">
        <f>VLOOKUP(BASE[[#This Row],[DESCRIPTION]],LISTEDESCRIPTION[],2,FALSE)</f>
        <v>FACTURE</v>
      </c>
      <c r="G258" s="1" t="s">
        <v>54</v>
      </c>
      <c r="H258" s="3">
        <v>43487</v>
      </c>
      <c r="I258" s="2">
        <v>11.99</v>
      </c>
      <c r="J258" s="7">
        <f t="shared" ref="J258:J300" si="4">IF(J257="N°LIGNE",1,J257+1)</f>
        <v>257</v>
      </c>
      <c r="L258"/>
    </row>
    <row r="259" spans="1:12" x14ac:dyDescent="0.25">
      <c r="A259" s="1">
        <f>ROW()-ROW(BASE[[#Headers],[INDEX]])</f>
        <v>258</v>
      </c>
      <c r="B259" s="1" t="s">
        <v>92</v>
      </c>
      <c r="C259" s="1" t="s">
        <v>91</v>
      </c>
      <c r="D259" s="7">
        <f>YEAR(BASE[[#This Row],[DATE]])</f>
        <v>2019</v>
      </c>
      <c r="E259" s="7">
        <f>MONTH(BASE[[#This Row],[DATE]])</f>
        <v>1</v>
      </c>
      <c r="F259" s="1" t="str">
        <f>VLOOKUP(BASE[[#This Row],[DESCRIPTION]],LISTEDESCRIPTION[],2,FALSE)</f>
        <v>LOISIRS</v>
      </c>
      <c r="G259" s="1" t="s">
        <v>36</v>
      </c>
      <c r="H259" s="3">
        <v>43486</v>
      </c>
      <c r="I259" s="2">
        <v>10</v>
      </c>
      <c r="J259" s="7">
        <f t="shared" si="4"/>
        <v>258</v>
      </c>
      <c r="L259"/>
    </row>
    <row r="260" spans="1:12" x14ac:dyDescent="0.25">
      <c r="A260" s="1">
        <f>ROW()-ROW(BASE[[#Headers],[INDEX]])</f>
        <v>259</v>
      </c>
      <c r="B260" s="1" t="s">
        <v>92</v>
      </c>
      <c r="C260" s="1" t="s">
        <v>91</v>
      </c>
      <c r="D260" s="7">
        <f>YEAR(BASE[[#This Row],[DATE]])</f>
        <v>2019</v>
      </c>
      <c r="E260" s="7">
        <f>MONTH(BASE[[#This Row],[DATE]])</f>
        <v>1</v>
      </c>
      <c r="F260" s="1" t="str">
        <f>VLOOKUP(BASE[[#This Row],[DESCRIPTION]],LISTEDESCRIPTION[],2,FALSE)</f>
        <v>COURSE</v>
      </c>
      <c r="G260" s="1" t="s">
        <v>34</v>
      </c>
      <c r="H260" s="3">
        <v>43486</v>
      </c>
      <c r="I260" s="2">
        <v>8.14</v>
      </c>
      <c r="J260" s="7">
        <f t="shared" si="4"/>
        <v>259</v>
      </c>
      <c r="L260"/>
    </row>
    <row r="261" spans="1:12" x14ac:dyDescent="0.25">
      <c r="A261" s="1">
        <f>ROW()-ROW(BASE[[#Headers],[INDEX]])</f>
        <v>260</v>
      </c>
      <c r="B261" s="1" t="s">
        <v>92</v>
      </c>
      <c r="C261" s="1" t="s">
        <v>91</v>
      </c>
      <c r="D261" s="7">
        <f>YEAR(BASE[[#This Row],[DATE]])</f>
        <v>2019</v>
      </c>
      <c r="E261" s="7">
        <f>MONTH(BASE[[#This Row],[DATE]])</f>
        <v>1</v>
      </c>
      <c r="F261" s="1" t="str">
        <f>VLOOKUP(BASE[[#This Row],[DESCRIPTION]],LISTEDESCRIPTION[],2,FALSE)</f>
        <v>COURSE</v>
      </c>
      <c r="G261" s="1" t="s">
        <v>31</v>
      </c>
      <c r="H261" s="3">
        <v>43486</v>
      </c>
      <c r="I261" s="2">
        <v>9.1199999999999992</v>
      </c>
      <c r="J261" s="7">
        <f t="shared" si="4"/>
        <v>260</v>
      </c>
      <c r="L261"/>
    </row>
    <row r="262" spans="1:12" x14ac:dyDescent="0.25">
      <c r="A262" s="1">
        <f>ROW()-ROW(BASE[[#Headers],[INDEX]])</f>
        <v>261</v>
      </c>
      <c r="B262" s="1" t="s">
        <v>92</v>
      </c>
      <c r="C262" s="1" t="s">
        <v>91</v>
      </c>
      <c r="D262" s="7">
        <f>YEAR(BASE[[#This Row],[DATE]])</f>
        <v>2019</v>
      </c>
      <c r="E262" s="7">
        <f>MONTH(BASE[[#This Row],[DATE]])</f>
        <v>1</v>
      </c>
      <c r="F262" s="1" t="str">
        <f>VLOOKUP(BASE[[#This Row],[DESCRIPTION]],LISTEDESCRIPTION[],2,FALSE)</f>
        <v>FACTURE</v>
      </c>
      <c r="G262" s="1" t="s">
        <v>52</v>
      </c>
      <c r="H262" s="3">
        <v>43486</v>
      </c>
      <c r="I262" s="2">
        <v>6.99</v>
      </c>
      <c r="J262" s="7">
        <f t="shared" si="4"/>
        <v>261</v>
      </c>
      <c r="L262"/>
    </row>
    <row r="263" spans="1:12" x14ac:dyDescent="0.25">
      <c r="A263" s="1">
        <f>ROW()-ROW(BASE[[#Headers],[INDEX]])</f>
        <v>262</v>
      </c>
      <c r="B263" s="1" t="s">
        <v>92</v>
      </c>
      <c r="C263" s="1" t="s">
        <v>91</v>
      </c>
      <c r="D263" s="7">
        <f>YEAR(BASE[[#This Row],[DATE]])</f>
        <v>2019</v>
      </c>
      <c r="E263" s="7">
        <f>MONTH(BASE[[#This Row],[DATE]])</f>
        <v>1</v>
      </c>
      <c r="F263" s="1" t="str">
        <f>VLOOKUP(BASE[[#This Row],[DESCRIPTION]],LISTEDESCRIPTION[],2,FALSE)</f>
        <v>TRANSPORT</v>
      </c>
      <c r="G263" s="1" t="s">
        <v>26</v>
      </c>
      <c r="H263" s="3">
        <v>43486</v>
      </c>
      <c r="I263" s="2">
        <v>3.8</v>
      </c>
      <c r="J263" s="7">
        <f t="shared" si="4"/>
        <v>262</v>
      </c>
      <c r="L263"/>
    </row>
    <row r="264" spans="1:12" x14ac:dyDescent="0.25">
      <c r="A264" s="1">
        <f>ROW()-ROW(BASE[[#Headers],[INDEX]])</f>
        <v>263</v>
      </c>
      <c r="B264" s="1" t="s">
        <v>92</v>
      </c>
      <c r="C264" s="1" t="s">
        <v>91</v>
      </c>
      <c r="D264" s="7">
        <f>YEAR(BASE[[#This Row],[DATE]])</f>
        <v>2019</v>
      </c>
      <c r="E264" s="7">
        <f>MONTH(BASE[[#This Row],[DATE]])</f>
        <v>1</v>
      </c>
      <c r="F264" s="1" t="str">
        <f>VLOOKUP(BASE[[#This Row],[DESCRIPTION]],LISTEDESCRIPTION[],2,FALSE)</f>
        <v>LOISIRS</v>
      </c>
      <c r="G264" s="1" t="s">
        <v>53</v>
      </c>
      <c r="H264" s="3">
        <v>43486</v>
      </c>
      <c r="I264" s="2">
        <v>20.8</v>
      </c>
      <c r="J264" s="7">
        <f t="shared" si="4"/>
        <v>263</v>
      </c>
      <c r="L264"/>
    </row>
    <row r="265" spans="1:12" x14ac:dyDescent="0.25">
      <c r="A265" s="1">
        <f>ROW()-ROW(BASE[[#Headers],[INDEX]])</f>
        <v>264</v>
      </c>
      <c r="B265" s="1" t="s">
        <v>92</v>
      </c>
      <c r="C265" s="1" t="s">
        <v>91</v>
      </c>
      <c r="D265" s="7">
        <f>YEAR(BASE[[#This Row],[DATE]])</f>
        <v>2019</v>
      </c>
      <c r="E265" s="7">
        <f>MONTH(BASE[[#This Row],[DATE]])</f>
        <v>1</v>
      </c>
      <c r="F265" s="1" t="str">
        <f>VLOOKUP(BASE[[#This Row],[DESCRIPTION]],LISTEDESCRIPTION[],2,FALSE)</f>
        <v>TRANSPORT</v>
      </c>
      <c r="G265" s="1" t="s">
        <v>41</v>
      </c>
      <c r="H265" s="3">
        <v>43486</v>
      </c>
      <c r="I265" s="2">
        <v>1.7</v>
      </c>
      <c r="J265" s="7">
        <f t="shared" si="4"/>
        <v>264</v>
      </c>
      <c r="L265"/>
    </row>
    <row r="266" spans="1:12" x14ac:dyDescent="0.25">
      <c r="A266" s="1">
        <f>ROW()-ROW(BASE[[#Headers],[INDEX]])</f>
        <v>265</v>
      </c>
      <c r="B266" s="1" t="s">
        <v>92</v>
      </c>
      <c r="C266" s="1" t="s">
        <v>91</v>
      </c>
      <c r="D266" s="7">
        <f>YEAR(BASE[[#This Row],[DATE]])</f>
        <v>2019</v>
      </c>
      <c r="E266" s="7">
        <f>MONTH(BASE[[#This Row],[DATE]])</f>
        <v>1</v>
      </c>
      <c r="F266" s="1" t="str">
        <f>VLOOKUP(BASE[[#This Row],[DESCRIPTION]],LISTEDESCRIPTION[],2,FALSE)</f>
        <v>LOISIRS</v>
      </c>
      <c r="G266" s="1" t="s">
        <v>48</v>
      </c>
      <c r="H266" s="3">
        <v>43486</v>
      </c>
      <c r="I266" s="2">
        <v>50</v>
      </c>
      <c r="J266" s="7">
        <f t="shared" si="4"/>
        <v>265</v>
      </c>
      <c r="L266"/>
    </row>
    <row r="267" spans="1:12" x14ac:dyDescent="0.25">
      <c r="A267" s="1">
        <f>ROW()-ROW(BASE[[#Headers],[INDEX]])</f>
        <v>266</v>
      </c>
      <c r="B267" s="1" t="s">
        <v>92</v>
      </c>
      <c r="C267" s="1" t="s">
        <v>91</v>
      </c>
      <c r="D267" s="7">
        <f>YEAR(BASE[[#This Row],[DATE]])</f>
        <v>2019</v>
      </c>
      <c r="E267" s="7">
        <f>MONTH(BASE[[#This Row],[DATE]])</f>
        <v>1</v>
      </c>
      <c r="F267" s="1" t="str">
        <f>VLOOKUP(BASE[[#This Row],[DESCRIPTION]],LISTEDESCRIPTION[],2,FALSE)</f>
        <v>COURSE</v>
      </c>
      <c r="G267" s="1" t="s">
        <v>47</v>
      </c>
      <c r="H267" s="3">
        <v>43483</v>
      </c>
      <c r="I267" s="2">
        <v>3.1</v>
      </c>
      <c r="J267" s="7">
        <f t="shared" si="4"/>
        <v>266</v>
      </c>
      <c r="L267"/>
    </row>
    <row r="268" spans="1:12" x14ac:dyDescent="0.25">
      <c r="A268" s="1">
        <f>ROW()-ROW(BASE[[#Headers],[INDEX]])</f>
        <v>267</v>
      </c>
      <c r="B268" s="1" t="s">
        <v>92</v>
      </c>
      <c r="C268" s="1" t="s">
        <v>91</v>
      </c>
      <c r="D268" s="7">
        <f>YEAR(BASE[[#This Row],[DATE]])</f>
        <v>2019</v>
      </c>
      <c r="E268" s="7">
        <f>MONTH(BASE[[#This Row],[DATE]])</f>
        <v>1</v>
      </c>
      <c r="F268" s="1" t="str">
        <f>VLOOKUP(BASE[[#This Row],[DESCRIPTION]],LISTEDESCRIPTION[],2,FALSE)</f>
        <v>RESTAURATION</v>
      </c>
      <c r="G268" s="1" t="s">
        <v>23</v>
      </c>
      <c r="H268" s="3">
        <v>43483</v>
      </c>
      <c r="I268" s="2">
        <v>14</v>
      </c>
      <c r="J268" s="7">
        <f t="shared" si="4"/>
        <v>267</v>
      </c>
      <c r="L268"/>
    </row>
    <row r="269" spans="1:12" x14ac:dyDescent="0.25">
      <c r="A269" s="1">
        <f>ROW()-ROW(BASE[[#Headers],[INDEX]])</f>
        <v>268</v>
      </c>
      <c r="B269" s="1" t="s">
        <v>92</v>
      </c>
      <c r="C269" s="1" t="s">
        <v>91</v>
      </c>
      <c r="D269" s="7">
        <f>YEAR(BASE[[#This Row],[DATE]])</f>
        <v>2019</v>
      </c>
      <c r="E269" s="7">
        <f>MONTH(BASE[[#This Row],[DATE]])</f>
        <v>1</v>
      </c>
      <c r="F269" s="1" t="str">
        <f>VLOOKUP(BASE[[#This Row],[DESCRIPTION]],LISTEDESCRIPTION[],2,FALSE)</f>
        <v>LOISIRS</v>
      </c>
      <c r="G269" s="1" t="s">
        <v>50</v>
      </c>
      <c r="H269" s="3">
        <v>43483</v>
      </c>
      <c r="I269" s="2">
        <v>19.2</v>
      </c>
      <c r="J269" s="7">
        <f t="shared" si="4"/>
        <v>268</v>
      </c>
      <c r="L269"/>
    </row>
    <row r="270" spans="1:12" x14ac:dyDescent="0.25">
      <c r="A270" s="1">
        <f>ROW()-ROW(BASE[[#Headers],[INDEX]])</f>
        <v>269</v>
      </c>
      <c r="B270" s="1" t="s">
        <v>92</v>
      </c>
      <c r="C270" s="1" t="s">
        <v>91</v>
      </c>
      <c r="D270" s="7">
        <f>YEAR(BASE[[#This Row],[DATE]])</f>
        <v>2019</v>
      </c>
      <c r="E270" s="7">
        <f>MONTH(BASE[[#This Row],[DATE]])</f>
        <v>1</v>
      </c>
      <c r="F270" s="1" t="str">
        <f>VLOOKUP(BASE[[#This Row],[DESCRIPTION]],LISTEDESCRIPTION[],2,FALSE)</f>
        <v>PERSONNEL</v>
      </c>
      <c r="G270" s="1" t="s">
        <v>51</v>
      </c>
      <c r="H270" s="3">
        <v>43483</v>
      </c>
      <c r="I270" s="2">
        <v>17</v>
      </c>
      <c r="J270" s="7">
        <f t="shared" si="4"/>
        <v>269</v>
      </c>
      <c r="L270"/>
    </row>
    <row r="271" spans="1:12" x14ac:dyDescent="0.25">
      <c r="A271" s="1">
        <f>ROW()-ROW(BASE[[#Headers],[INDEX]])</f>
        <v>270</v>
      </c>
      <c r="B271" s="1" t="s">
        <v>92</v>
      </c>
      <c r="C271" s="1" t="s">
        <v>91</v>
      </c>
      <c r="D271" s="7">
        <f>YEAR(BASE[[#This Row],[DATE]])</f>
        <v>2019</v>
      </c>
      <c r="E271" s="7">
        <f>MONTH(BASE[[#This Row],[DATE]])</f>
        <v>1</v>
      </c>
      <c r="F271" s="1" t="str">
        <f>VLOOKUP(BASE[[#This Row],[DESCRIPTION]],LISTEDESCRIPTION[],2,FALSE)</f>
        <v>FACTURE</v>
      </c>
      <c r="G271" s="1" t="s">
        <v>45</v>
      </c>
      <c r="H271" s="3">
        <v>43482</v>
      </c>
      <c r="I271" s="2">
        <v>9.9</v>
      </c>
      <c r="J271" s="7">
        <f t="shared" si="4"/>
        <v>270</v>
      </c>
      <c r="L271"/>
    </row>
    <row r="272" spans="1:12" x14ac:dyDescent="0.25">
      <c r="A272" s="1">
        <f>ROW()-ROW(BASE[[#Headers],[INDEX]])</f>
        <v>271</v>
      </c>
      <c r="B272" s="1" t="s">
        <v>92</v>
      </c>
      <c r="C272" s="1" t="s">
        <v>91</v>
      </c>
      <c r="D272" s="7">
        <f>YEAR(BASE[[#This Row],[DATE]])</f>
        <v>2019</v>
      </c>
      <c r="E272" s="7">
        <f>MONTH(BASE[[#This Row],[DATE]])</f>
        <v>1</v>
      </c>
      <c r="F272" s="1" t="str">
        <f>VLOOKUP(BASE[[#This Row],[DESCRIPTION]],LISTEDESCRIPTION[],2,FALSE)</f>
        <v>COURSE</v>
      </c>
      <c r="G272" s="1" t="s">
        <v>31</v>
      </c>
      <c r="H272" s="3">
        <v>43482</v>
      </c>
      <c r="I272" s="2">
        <v>3.25</v>
      </c>
      <c r="J272" s="7">
        <f t="shared" si="4"/>
        <v>271</v>
      </c>
      <c r="L272"/>
    </row>
    <row r="273" spans="1:12" x14ac:dyDescent="0.25">
      <c r="A273" s="1">
        <f>ROW()-ROW(BASE[[#Headers],[INDEX]])</f>
        <v>272</v>
      </c>
      <c r="B273" s="1" t="s">
        <v>92</v>
      </c>
      <c r="C273" s="1" t="s">
        <v>91</v>
      </c>
      <c r="D273" s="7">
        <f>YEAR(BASE[[#This Row],[DATE]])</f>
        <v>2019</v>
      </c>
      <c r="E273" s="7">
        <f>MONTH(BASE[[#This Row],[DATE]])</f>
        <v>1</v>
      </c>
      <c r="F273" s="1" t="str">
        <f>VLOOKUP(BASE[[#This Row],[DESCRIPTION]],LISTEDESCRIPTION[],2,FALSE)</f>
        <v>CREDIT</v>
      </c>
      <c r="G273" s="1" t="s">
        <v>46</v>
      </c>
      <c r="H273" s="3">
        <v>43482</v>
      </c>
      <c r="I273" s="2">
        <v>50.66</v>
      </c>
      <c r="J273" s="7">
        <f t="shared" si="4"/>
        <v>272</v>
      </c>
      <c r="L273"/>
    </row>
    <row r="274" spans="1:12" x14ac:dyDescent="0.25">
      <c r="A274" s="1">
        <f>ROW()-ROW(BASE[[#Headers],[INDEX]])</f>
        <v>273</v>
      </c>
      <c r="B274" s="1" t="s">
        <v>92</v>
      </c>
      <c r="C274" s="1" t="s">
        <v>91</v>
      </c>
      <c r="D274" s="7">
        <f>YEAR(BASE[[#This Row],[DATE]])</f>
        <v>2019</v>
      </c>
      <c r="E274" s="7">
        <f>MONTH(BASE[[#This Row],[DATE]])</f>
        <v>1</v>
      </c>
      <c r="F274" s="1" t="str">
        <f>VLOOKUP(BASE[[#This Row],[DESCRIPTION]],LISTEDESCRIPTION[],2,FALSE)</f>
        <v>COURSE</v>
      </c>
      <c r="G274" s="1" t="s">
        <v>47</v>
      </c>
      <c r="H274" s="3">
        <v>43482</v>
      </c>
      <c r="I274" s="2">
        <v>5.65</v>
      </c>
      <c r="J274" s="7">
        <f t="shared" si="4"/>
        <v>273</v>
      </c>
      <c r="L274"/>
    </row>
    <row r="275" spans="1:12" x14ac:dyDescent="0.25">
      <c r="A275" s="1">
        <f>ROW()-ROW(BASE[[#Headers],[INDEX]])</f>
        <v>274</v>
      </c>
      <c r="B275" s="1" t="s">
        <v>92</v>
      </c>
      <c r="C275" s="1" t="s">
        <v>91</v>
      </c>
      <c r="D275" s="7">
        <f>YEAR(BASE[[#This Row],[DATE]])</f>
        <v>2019</v>
      </c>
      <c r="E275" s="7">
        <f>MONTH(BASE[[#This Row],[DATE]])</f>
        <v>1</v>
      </c>
      <c r="F275" s="1" t="str">
        <f>VLOOKUP(BASE[[#This Row],[DESCRIPTION]],LISTEDESCRIPTION[],2,FALSE)</f>
        <v>LOISIRS</v>
      </c>
      <c r="G275" s="1" t="s">
        <v>48</v>
      </c>
      <c r="H275" s="3">
        <v>43482</v>
      </c>
      <c r="I275" s="2">
        <v>20</v>
      </c>
      <c r="J275" s="7">
        <f t="shared" si="4"/>
        <v>274</v>
      </c>
      <c r="L275"/>
    </row>
    <row r="276" spans="1:12" x14ac:dyDescent="0.25">
      <c r="A276" s="1">
        <f>ROW()-ROW(BASE[[#Headers],[INDEX]])</f>
        <v>275</v>
      </c>
      <c r="B276" s="1" t="s">
        <v>92</v>
      </c>
      <c r="C276" s="1" t="s">
        <v>91</v>
      </c>
      <c r="D276" s="7">
        <f>YEAR(BASE[[#This Row],[DATE]])</f>
        <v>2019</v>
      </c>
      <c r="E276" s="7">
        <f>MONTH(BASE[[#This Row],[DATE]])</f>
        <v>1</v>
      </c>
      <c r="F276" s="1" t="str">
        <f>VLOOKUP(BASE[[#This Row],[DESCRIPTION]],LISTEDESCRIPTION[],2,FALSE)</f>
        <v>TRANSPORT</v>
      </c>
      <c r="G276" s="1" t="s">
        <v>41</v>
      </c>
      <c r="H276" s="3">
        <v>43482</v>
      </c>
      <c r="I276" s="2">
        <v>3.1</v>
      </c>
      <c r="J276" s="7">
        <f t="shared" si="4"/>
        <v>275</v>
      </c>
      <c r="L276"/>
    </row>
    <row r="277" spans="1:12" x14ac:dyDescent="0.25">
      <c r="A277" s="1">
        <f>ROW()-ROW(BASE[[#Headers],[INDEX]])</f>
        <v>276</v>
      </c>
      <c r="B277" s="1" t="s">
        <v>92</v>
      </c>
      <c r="C277" s="1" t="s">
        <v>91</v>
      </c>
      <c r="D277" s="7">
        <f>YEAR(BASE[[#This Row],[DATE]])</f>
        <v>2019</v>
      </c>
      <c r="E277" s="7">
        <f>MONTH(BASE[[#This Row],[DATE]])</f>
        <v>1</v>
      </c>
      <c r="F277" s="1" t="str">
        <f>VLOOKUP(BASE[[#This Row],[DESCRIPTION]],LISTEDESCRIPTION[],2,FALSE)</f>
        <v>FACTURE</v>
      </c>
      <c r="G277" s="1" t="s">
        <v>49</v>
      </c>
      <c r="H277" s="3">
        <v>43482</v>
      </c>
      <c r="I277" s="2">
        <v>10.99</v>
      </c>
      <c r="J277" s="7">
        <f t="shared" si="4"/>
        <v>276</v>
      </c>
      <c r="L277"/>
    </row>
    <row r="278" spans="1:12" x14ac:dyDescent="0.25">
      <c r="A278" s="1">
        <f>ROW()-ROW(BASE[[#Headers],[INDEX]])</f>
        <v>277</v>
      </c>
      <c r="B278" s="1" t="s">
        <v>92</v>
      </c>
      <c r="C278" s="1" t="s">
        <v>91</v>
      </c>
      <c r="D278" s="7">
        <f>YEAR(BASE[[#This Row],[DATE]])</f>
        <v>2019</v>
      </c>
      <c r="E278" s="7">
        <f>MONTH(BASE[[#This Row],[DATE]])</f>
        <v>1</v>
      </c>
      <c r="F278" s="1" t="str">
        <f>VLOOKUP(BASE[[#This Row],[DESCRIPTION]],LISTEDESCRIPTION[],2,FALSE)</f>
        <v>RECU</v>
      </c>
      <c r="G278" s="1" t="s">
        <v>43</v>
      </c>
      <c r="H278" s="3">
        <v>43481</v>
      </c>
      <c r="I278" s="2">
        <v>33.01</v>
      </c>
      <c r="J278" s="7">
        <f t="shared" si="4"/>
        <v>277</v>
      </c>
      <c r="L278"/>
    </row>
    <row r="279" spans="1:12" x14ac:dyDescent="0.25">
      <c r="A279" s="1">
        <f>ROW()-ROW(BASE[[#Headers],[INDEX]])</f>
        <v>278</v>
      </c>
      <c r="B279" s="1" t="s">
        <v>92</v>
      </c>
      <c r="C279" s="1" t="s">
        <v>91</v>
      </c>
      <c r="D279" s="7">
        <f>YEAR(BASE[[#This Row],[DATE]])</f>
        <v>2019</v>
      </c>
      <c r="E279" s="7">
        <f>MONTH(BASE[[#This Row],[DATE]])</f>
        <v>1</v>
      </c>
      <c r="F279" s="1" t="str">
        <f>VLOOKUP(BASE[[#This Row],[DESCRIPTION]],LISTEDESCRIPTION[],2,FALSE)</f>
        <v>RESTAURATION</v>
      </c>
      <c r="G279" s="1" t="s">
        <v>44</v>
      </c>
      <c r="H279" s="3">
        <v>43481</v>
      </c>
      <c r="I279" s="2">
        <v>28.25</v>
      </c>
      <c r="J279" s="7">
        <f t="shared" si="4"/>
        <v>278</v>
      </c>
      <c r="L279"/>
    </row>
    <row r="280" spans="1:12" x14ac:dyDescent="0.25">
      <c r="A280" s="1">
        <f>ROW()-ROW(BASE[[#Headers],[INDEX]])</f>
        <v>279</v>
      </c>
      <c r="B280" s="1" t="s">
        <v>92</v>
      </c>
      <c r="C280" s="1" t="s">
        <v>91</v>
      </c>
      <c r="D280" s="7">
        <f>YEAR(BASE[[#This Row],[DATE]])</f>
        <v>2019</v>
      </c>
      <c r="E280" s="7">
        <f>MONTH(BASE[[#This Row],[DATE]])</f>
        <v>1</v>
      </c>
      <c r="F280" s="1" t="str">
        <f>VLOOKUP(BASE[[#This Row],[DESCRIPTION]],LISTEDESCRIPTION[],2,FALSE)</f>
        <v>FACTURE</v>
      </c>
      <c r="G280" s="1" t="s">
        <v>42</v>
      </c>
      <c r="H280" s="3">
        <v>43480</v>
      </c>
      <c r="I280" s="2">
        <v>15</v>
      </c>
      <c r="J280" s="7">
        <f t="shared" si="4"/>
        <v>279</v>
      </c>
      <c r="L280"/>
    </row>
    <row r="281" spans="1:12" x14ac:dyDescent="0.25">
      <c r="A281" s="1">
        <f>ROW()-ROW(BASE[[#Headers],[INDEX]])</f>
        <v>280</v>
      </c>
      <c r="B281" s="1" t="s">
        <v>92</v>
      </c>
      <c r="C281" s="1" t="s">
        <v>91</v>
      </c>
      <c r="D281" s="7">
        <f>YEAR(BASE[[#This Row],[DATE]])</f>
        <v>2019</v>
      </c>
      <c r="E281" s="7">
        <f>MONTH(BASE[[#This Row],[DATE]])</f>
        <v>1</v>
      </c>
      <c r="F281" s="1" t="str">
        <f>VLOOKUP(BASE[[#This Row],[DESCRIPTION]],LISTEDESCRIPTION[],2,FALSE)</f>
        <v>RESTAURATION</v>
      </c>
      <c r="G281" s="1" t="s">
        <v>23</v>
      </c>
      <c r="H281" s="3">
        <v>43479</v>
      </c>
      <c r="I281" s="2">
        <v>17</v>
      </c>
      <c r="J281" s="7">
        <f t="shared" si="4"/>
        <v>280</v>
      </c>
      <c r="L281"/>
    </row>
    <row r="282" spans="1:12" x14ac:dyDescent="0.25">
      <c r="A282" s="1">
        <f>ROW()-ROW(BASE[[#Headers],[INDEX]])</f>
        <v>281</v>
      </c>
      <c r="B282" s="1" t="s">
        <v>92</v>
      </c>
      <c r="C282" s="1" t="s">
        <v>91</v>
      </c>
      <c r="D282" s="7">
        <f>YEAR(BASE[[#This Row],[DATE]])</f>
        <v>2019</v>
      </c>
      <c r="E282" s="7">
        <f>MONTH(BASE[[#This Row],[DATE]])</f>
        <v>1</v>
      </c>
      <c r="F282" s="1" t="str">
        <f>VLOOKUP(BASE[[#This Row],[DESCRIPTION]],LISTEDESCRIPTION[],2,FALSE)</f>
        <v>TRANSPORT</v>
      </c>
      <c r="G282" s="1" t="s">
        <v>39</v>
      </c>
      <c r="H282" s="3">
        <v>43479</v>
      </c>
      <c r="I282" s="2">
        <v>6</v>
      </c>
      <c r="J282" s="7">
        <f t="shared" si="4"/>
        <v>281</v>
      </c>
      <c r="L282"/>
    </row>
    <row r="283" spans="1:12" x14ac:dyDescent="0.25">
      <c r="A283" s="1">
        <f>ROW()-ROW(BASE[[#Headers],[INDEX]])</f>
        <v>282</v>
      </c>
      <c r="B283" s="1" t="s">
        <v>92</v>
      </c>
      <c r="C283" s="1" t="s">
        <v>91</v>
      </c>
      <c r="D283" s="7">
        <f>YEAR(BASE[[#This Row],[DATE]])</f>
        <v>2019</v>
      </c>
      <c r="E283" s="7">
        <f>MONTH(BASE[[#This Row],[DATE]])</f>
        <v>1</v>
      </c>
      <c r="F283" s="1" t="str">
        <f>VLOOKUP(BASE[[#This Row],[DESCRIPTION]],LISTEDESCRIPTION[],2,FALSE)</f>
        <v>COURSE</v>
      </c>
      <c r="G283" s="1" t="s">
        <v>40</v>
      </c>
      <c r="H283" s="3">
        <v>43479</v>
      </c>
      <c r="I283" s="2">
        <v>66.06</v>
      </c>
      <c r="J283" s="7">
        <f t="shared" si="4"/>
        <v>282</v>
      </c>
      <c r="L283"/>
    </row>
    <row r="284" spans="1:12" x14ac:dyDescent="0.25">
      <c r="A284" s="1">
        <f>ROW()-ROW(BASE[[#Headers],[INDEX]])</f>
        <v>283</v>
      </c>
      <c r="B284" s="1" t="s">
        <v>92</v>
      </c>
      <c r="C284" s="1" t="s">
        <v>91</v>
      </c>
      <c r="D284" s="7">
        <f>YEAR(BASE[[#This Row],[DATE]])</f>
        <v>2019</v>
      </c>
      <c r="E284" s="7">
        <f>MONTH(BASE[[#This Row],[DATE]])</f>
        <v>1</v>
      </c>
      <c r="F284" s="1" t="str">
        <f>VLOOKUP(BASE[[#This Row],[DESCRIPTION]],LISTEDESCRIPTION[],2,FALSE)</f>
        <v>TRANSPORT</v>
      </c>
      <c r="G284" s="1" t="s">
        <v>41</v>
      </c>
      <c r="H284" s="3">
        <v>43479</v>
      </c>
      <c r="I284" s="2">
        <v>1.7</v>
      </c>
      <c r="J284" s="7">
        <f t="shared" si="4"/>
        <v>283</v>
      </c>
      <c r="L284"/>
    </row>
    <row r="285" spans="1:12" x14ac:dyDescent="0.25">
      <c r="A285" s="1">
        <f>ROW()-ROW(BASE[[#Headers],[INDEX]])</f>
        <v>284</v>
      </c>
      <c r="B285" s="1" t="s">
        <v>92</v>
      </c>
      <c r="C285" s="1" t="s">
        <v>91</v>
      </c>
      <c r="D285" s="7">
        <f>YEAR(BASE[[#This Row],[DATE]])</f>
        <v>2019</v>
      </c>
      <c r="E285" s="7">
        <f>MONTH(BASE[[#This Row],[DATE]])</f>
        <v>1</v>
      </c>
      <c r="F285" s="1" t="str">
        <f>VLOOKUP(BASE[[#This Row],[DESCRIPTION]],LISTEDESCRIPTION[],2,FALSE)</f>
        <v>CREDIT</v>
      </c>
      <c r="G285" s="1" t="s">
        <v>37</v>
      </c>
      <c r="H285" s="3">
        <v>43475</v>
      </c>
      <c r="I285" s="2">
        <v>30</v>
      </c>
      <c r="J285" s="7">
        <f t="shared" si="4"/>
        <v>284</v>
      </c>
      <c r="L285"/>
    </row>
    <row r="286" spans="1:12" x14ac:dyDescent="0.25">
      <c r="A286" s="1">
        <f>ROW()-ROW(BASE[[#Headers],[INDEX]])</f>
        <v>285</v>
      </c>
      <c r="B286" s="1" t="s">
        <v>92</v>
      </c>
      <c r="C286" s="1" t="s">
        <v>91</v>
      </c>
      <c r="D286" s="7">
        <f>YEAR(BASE[[#This Row],[DATE]])</f>
        <v>2019</v>
      </c>
      <c r="E286" s="7">
        <f>MONTH(BASE[[#This Row],[DATE]])</f>
        <v>1</v>
      </c>
      <c r="F286" s="1" t="str">
        <f>VLOOKUP(BASE[[#This Row],[DESCRIPTION]],LISTEDESCRIPTION[],2,FALSE)</f>
        <v>RESTAURATION</v>
      </c>
      <c r="G286" s="1" t="s">
        <v>38</v>
      </c>
      <c r="H286" s="3">
        <v>43475</v>
      </c>
      <c r="I286" s="2">
        <v>17.5</v>
      </c>
      <c r="J286" s="7">
        <f t="shared" si="4"/>
        <v>285</v>
      </c>
      <c r="L286"/>
    </row>
    <row r="287" spans="1:12" x14ac:dyDescent="0.25">
      <c r="A287" s="1">
        <f>ROW()-ROW(BASE[[#Headers],[INDEX]])</f>
        <v>286</v>
      </c>
      <c r="B287" s="1" t="s">
        <v>92</v>
      </c>
      <c r="C287" s="1" t="s">
        <v>91</v>
      </c>
      <c r="D287" s="7">
        <f>YEAR(BASE[[#This Row],[DATE]])</f>
        <v>2019</v>
      </c>
      <c r="E287" s="7">
        <f>MONTH(BASE[[#This Row],[DATE]])</f>
        <v>1</v>
      </c>
      <c r="F287" s="1" t="str">
        <f>VLOOKUP(BASE[[#This Row],[DESCRIPTION]],LISTEDESCRIPTION[],2,FALSE)</f>
        <v>LOISIRS</v>
      </c>
      <c r="G287" s="1" t="s">
        <v>36</v>
      </c>
      <c r="H287" s="3">
        <v>43474</v>
      </c>
      <c r="I287" s="2">
        <v>3</v>
      </c>
      <c r="J287" s="7">
        <f t="shared" si="4"/>
        <v>286</v>
      </c>
      <c r="L287"/>
    </row>
    <row r="288" spans="1:12" x14ac:dyDescent="0.25">
      <c r="A288" s="1">
        <f>ROW()-ROW(BASE[[#Headers],[INDEX]])</f>
        <v>287</v>
      </c>
      <c r="B288" s="1" t="s">
        <v>92</v>
      </c>
      <c r="C288" s="1" t="s">
        <v>91</v>
      </c>
      <c r="D288" s="7">
        <f>YEAR(BASE[[#This Row],[DATE]])</f>
        <v>2019</v>
      </c>
      <c r="E288" s="7">
        <f>MONTH(BASE[[#This Row],[DATE]])</f>
        <v>1</v>
      </c>
      <c r="F288" s="1" t="str">
        <f>VLOOKUP(BASE[[#This Row],[DESCRIPTION]],LISTEDESCRIPTION[],2,FALSE)</f>
        <v>FACTURE</v>
      </c>
      <c r="G288" s="1" t="s">
        <v>32</v>
      </c>
      <c r="H288" s="3">
        <v>43473</v>
      </c>
      <c r="I288" s="2">
        <v>280</v>
      </c>
      <c r="J288" s="7">
        <f t="shared" si="4"/>
        <v>287</v>
      </c>
      <c r="L288"/>
    </row>
    <row r="289" spans="1:12" x14ac:dyDescent="0.25">
      <c r="A289" s="1">
        <f>ROW()-ROW(BASE[[#Headers],[INDEX]])</f>
        <v>288</v>
      </c>
      <c r="B289" s="1" t="s">
        <v>92</v>
      </c>
      <c r="C289" s="1" t="s">
        <v>91</v>
      </c>
      <c r="D289" s="7">
        <f>YEAR(BASE[[#This Row],[DATE]])</f>
        <v>2019</v>
      </c>
      <c r="E289" s="7">
        <f>MONTH(BASE[[#This Row],[DATE]])</f>
        <v>1</v>
      </c>
      <c r="F289" s="1" t="str">
        <f>VLOOKUP(BASE[[#This Row],[DESCRIPTION]],LISTEDESCRIPTION[],2,FALSE)</f>
        <v>CREDIT</v>
      </c>
      <c r="G289" s="1" t="s">
        <v>33</v>
      </c>
      <c r="H289" s="3">
        <v>43473</v>
      </c>
      <c r="I289" s="2">
        <v>44.34</v>
      </c>
      <c r="J289" s="7">
        <f t="shared" si="4"/>
        <v>288</v>
      </c>
      <c r="L289"/>
    </row>
    <row r="290" spans="1:12" x14ac:dyDescent="0.25">
      <c r="A290" s="1">
        <f>ROW()-ROW(BASE[[#Headers],[INDEX]])</f>
        <v>289</v>
      </c>
      <c r="B290" s="1" t="s">
        <v>92</v>
      </c>
      <c r="C290" s="1" t="s">
        <v>91</v>
      </c>
      <c r="D290" s="7">
        <f>YEAR(BASE[[#This Row],[DATE]])</f>
        <v>2019</v>
      </c>
      <c r="E290" s="7">
        <f>MONTH(BASE[[#This Row],[DATE]])</f>
        <v>1</v>
      </c>
      <c r="F290" s="1" t="str">
        <f>VLOOKUP(BASE[[#This Row],[DESCRIPTION]],LISTEDESCRIPTION[],2,FALSE)</f>
        <v>COURSE</v>
      </c>
      <c r="G290" s="1" t="s">
        <v>34</v>
      </c>
      <c r="H290" s="3">
        <v>43473</v>
      </c>
      <c r="I290" s="2">
        <v>10.36</v>
      </c>
      <c r="J290" s="7">
        <f t="shared" si="4"/>
        <v>289</v>
      </c>
      <c r="L290"/>
    </row>
    <row r="291" spans="1:12" x14ac:dyDescent="0.25">
      <c r="A291" s="1">
        <f>ROW()-ROW(BASE[[#Headers],[INDEX]])</f>
        <v>290</v>
      </c>
      <c r="B291" s="1" t="s">
        <v>92</v>
      </c>
      <c r="C291" s="1" t="s">
        <v>91</v>
      </c>
      <c r="D291" s="7">
        <f>YEAR(BASE[[#This Row],[DATE]])</f>
        <v>2019</v>
      </c>
      <c r="E291" s="7">
        <f>MONTH(BASE[[#This Row],[DATE]])</f>
        <v>1</v>
      </c>
      <c r="F291" s="1" t="str">
        <f>VLOOKUP(BASE[[#This Row],[DESCRIPTION]],LISTEDESCRIPTION[],2,FALSE)</f>
        <v>RECU</v>
      </c>
      <c r="G291" s="1" t="s">
        <v>35</v>
      </c>
      <c r="H291" s="3">
        <v>43473</v>
      </c>
      <c r="I291" s="2">
        <v>24</v>
      </c>
      <c r="J291" s="7">
        <f t="shared" si="4"/>
        <v>290</v>
      </c>
      <c r="L291"/>
    </row>
    <row r="292" spans="1:12" x14ac:dyDescent="0.25">
      <c r="A292" s="1">
        <f>ROW()-ROW(BASE[[#Headers],[INDEX]])</f>
        <v>291</v>
      </c>
      <c r="B292" s="1" t="s">
        <v>92</v>
      </c>
      <c r="C292" s="1" t="s">
        <v>91</v>
      </c>
      <c r="D292" s="7">
        <f>YEAR(BASE[[#This Row],[DATE]])</f>
        <v>2019</v>
      </c>
      <c r="E292" s="7">
        <f>MONTH(BASE[[#This Row],[DATE]])</f>
        <v>1</v>
      </c>
      <c r="F292" s="1" t="str">
        <f>VLOOKUP(BASE[[#This Row],[DESCRIPTION]],LISTEDESCRIPTION[],2,FALSE)</f>
        <v>TRANSPORT</v>
      </c>
      <c r="G292" s="1" t="s">
        <v>30</v>
      </c>
      <c r="H292" s="3">
        <v>43472</v>
      </c>
      <c r="I292" s="2">
        <v>30.01</v>
      </c>
      <c r="J292" s="7">
        <f t="shared" si="4"/>
        <v>291</v>
      </c>
      <c r="L292"/>
    </row>
    <row r="293" spans="1:12" x14ac:dyDescent="0.25">
      <c r="A293" s="1">
        <f>ROW()-ROW(BASE[[#Headers],[INDEX]])</f>
        <v>292</v>
      </c>
      <c r="B293" s="1" t="s">
        <v>92</v>
      </c>
      <c r="C293" s="1" t="s">
        <v>91</v>
      </c>
      <c r="D293" s="7">
        <f>YEAR(BASE[[#This Row],[DATE]])</f>
        <v>2019</v>
      </c>
      <c r="E293" s="7">
        <f>MONTH(BASE[[#This Row],[DATE]])</f>
        <v>1</v>
      </c>
      <c r="F293" s="1" t="str">
        <f>VLOOKUP(BASE[[#This Row],[DESCRIPTION]],LISTEDESCRIPTION[],2,FALSE)</f>
        <v>TRANSPORT</v>
      </c>
      <c r="G293" s="1" t="s">
        <v>26</v>
      </c>
      <c r="H293" s="3">
        <v>43469</v>
      </c>
      <c r="I293" s="2">
        <v>3.8</v>
      </c>
      <c r="J293" s="7">
        <f t="shared" si="4"/>
        <v>292</v>
      </c>
      <c r="L293"/>
    </row>
    <row r="294" spans="1:12" x14ac:dyDescent="0.25">
      <c r="A294" s="1">
        <f>ROW()-ROW(BASE[[#Headers],[INDEX]])</f>
        <v>293</v>
      </c>
      <c r="B294" s="1" t="s">
        <v>92</v>
      </c>
      <c r="C294" s="1" t="s">
        <v>91</v>
      </c>
      <c r="D294" s="7">
        <f>YEAR(BASE[[#This Row],[DATE]])</f>
        <v>2019</v>
      </c>
      <c r="E294" s="7">
        <f>MONTH(BASE[[#This Row],[DATE]])</f>
        <v>1</v>
      </c>
      <c r="F294" s="1" t="str">
        <f>VLOOKUP(BASE[[#This Row],[DESCRIPTION]],LISTEDESCRIPTION[],2,FALSE)</f>
        <v>FACTURE</v>
      </c>
      <c r="G294" s="1" t="s">
        <v>27</v>
      </c>
      <c r="H294" s="3">
        <v>43469</v>
      </c>
      <c r="I294" s="2">
        <v>24</v>
      </c>
      <c r="J294" s="7">
        <f t="shared" si="4"/>
        <v>293</v>
      </c>
      <c r="L294"/>
    </row>
    <row r="295" spans="1:12" x14ac:dyDescent="0.25">
      <c r="A295" s="1">
        <f>ROW()-ROW(BASE[[#Headers],[INDEX]])</f>
        <v>294</v>
      </c>
      <c r="B295" s="1" t="s">
        <v>92</v>
      </c>
      <c r="C295" s="1" t="s">
        <v>91</v>
      </c>
      <c r="D295" s="7">
        <f>YEAR(BASE[[#This Row],[DATE]])</f>
        <v>2019</v>
      </c>
      <c r="E295" s="7">
        <f>MONTH(BASE[[#This Row],[DATE]])</f>
        <v>1</v>
      </c>
      <c r="F295" s="1" t="str">
        <f>VLOOKUP(BASE[[#This Row],[DESCRIPTION]],LISTEDESCRIPTION[],2,FALSE)</f>
        <v>FACTURE</v>
      </c>
      <c r="G295" s="1" t="s">
        <v>24</v>
      </c>
      <c r="H295" s="3">
        <v>43468</v>
      </c>
      <c r="I295" s="2">
        <v>3.09</v>
      </c>
      <c r="J295" s="7">
        <f t="shared" si="4"/>
        <v>294</v>
      </c>
      <c r="L295"/>
    </row>
    <row r="296" spans="1:12" x14ac:dyDescent="0.25">
      <c r="A296" s="1">
        <f>ROW()-ROW(BASE[[#Headers],[INDEX]])</f>
        <v>295</v>
      </c>
      <c r="B296" s="1" t="s">
        <v>92</v>
      </c>
      <c r="C296" s="1" t="s">
        <v>91</v>
      </c>
      <c r="D296" s="7">
        <f>YEAR(BASE[[#This Row],[DATE]])</f>
        <v>2019</v>
      </c>
      <c r="E296" s="7">
        <f>MONTH(BASE[[#This Row],[DATE]])</f>
        <v>1</v>
      </c>
      <c r="F296" s="1" t="str">
        <f>VLOOKUP(BASE[[#This Row],[DESCRIPTION]],LISTEDESCRIPTION[],2,FALSE)</f>
        <v>FACTURE</v>
      </c>
      <c r="G296" s="1" t="s">
        <v>25</v>
      </c>
      <c r="H296" s="3">
        <v>43468</v>
      </c>
      <c r="I296" s="2">
        <v>0.6</v>
      </c>
      <c r="J296" s="7">
        <f t="shared" si="4"/>
        <v>295</v>
      </c>
      <c r="L296"/>
    </row>
    <row r="297" spans="1:12" x14ac:dyDescent="0.25">
      <c r="A297" s="1">
        <f>ROW()-ROW(BASE[[#Headers],[INDEX]])</f>
        <v>296</v>
      </c>
      <c r="B297" s="1" t="s">
        <v>92</v>
      </c>
      <c r="C297" s="1" t="s">
        <v>91</v>
      </c>
      <c r="D297" s="7">
        <f>YEAR(BASE[[#This Row],[DATE]])</f>
        <v>2019</v>
      </c>
      <c r="E297" s="7">
        <f>MONTH(BASE[[#This Row],[DATE]])</f>
        <v>1</v>
      </c>
      <c r="F297" s="1" t="str">
        <f>VLOOKUP(BASE[[#This Row],[DESCRIPTION]],LISTEDESCRIPTION[],2,FALSE)</f>
        <v>PLACEMENT EPARGNE</v>
      </c>
      <c r="G297" s="1" t="s">
        <v>189</v>
      </c>
      <c r="H297" s="3">
        <v>43467</v>
      </c>
      <c r="I297" s="2">
        <v>142.27000000000001</v>
      </c>
      <c r="J297" s="7">
        <f t="shared" si="4"/>
        <v>296</v>
      </c>
      <c r="L297"/>
    </row>
    <row r="298" spans="1:12" x14ac:dyDescent="0.25">
      <c r="A298" s="1">
        <f>ROW()-ROW(BASE[[#Headers],[INDEX]])</f>
        <v>297</v>
      </c>
      <c r="B298" s="1" t="s">
        <v>92</v>
      </c>
      <c r="C298" s="1" t="s">
        <v>91</v>
      </c>
      <c r="D298" s="7">
        <f>YEAR(BASE[[#This Row],[DATE]])</f>
        <v>2019</v>
      </c>
      <c r="E298" s="7">
        <f>MONTH(BASE[[#This Row],[DATE]])</f>
        <v>1</v>
      </c>
      <c r="F298" s="1" t="str">
        <f>VLOOKUP(BASE[[#This Row],[DESCRIPTION]],LISTEDESCRIPTION[],2,FALSE)</f>
        <v>RESTAURATION</v>
      </c>
      <c r="G298" s="1" t="s">
        <v>23</v>
      </c>
      <c r="H298" s="3">
        <v>43467</v>
      </c>
      <c r="I298" s="2">
        <v>20</v>
      </c>
      <c r="J298" s="7">
        <f t="shared" si="4"/>
        <v>297</v>
      </c>
      <c r="L298"/>
    </row>
    <row r="299" spans="1:12" x14ac:dyDescent="0.25">
      <c r="A299" s="1">
        <f>ROW()-ROW(BASE[[#Headers],[INDEX]])</f>
        <v>298</v>
      </c>
      <c r="B299" s="1" t="s">
        <v>92</v>
      </c>
      <c r="C299" s="1" t="s">
        <v>91</v>
      </c>
      <c r="D299" s="7">
        <f>YEAR(BASE[[#This Row],[DATE]])</f>
        <v>2019</v>
      </c>
      <c r="E299" s="7">
        <f>MONTH(BASE[[#This Row],[DATE]])</f>
        <v>1</v>
      </c>
      <c r="F299" s="1" t="str">
        <f>VLOOKUP(BASE[[#This Row],[DESCRIPTION]],LISTEDESCRIPTION[],2,FALSE)</f>
        <v>RECU</v>
      </c>
      <c r="G299" s="1" t="s">
        <v>188</v>
      </c>
      <c r="H299" s="3">
        <v>43466</v>
      </c>
      <c r="I299" s="2">
        <v>142.27000000000001</v>
      </c>
      <c r="J299" s="7">
        <f t="shared" si="4"/>
        <v>298</v>
      </c>
      <c r="L299"/>
    </row>
    <row r="300" spans="1:12" x14ac:dyDescent="0.25">
      <c r="A300" s="1">
        <f>ROW()-ROW(BASE[[#Headers],[INDEX]])</f>
        <v>299</v>
      </c>
      <c r="B300" s="1" t="s">
        <v>92</v>
      </c>
      <c r="C300" s="1" t="s">
        <v>91</v>
      </c>
      <c r="D300" s="7">
        <f>YEAR(BASE[[#This Row],[DATE]])</f>
        <v>2019</v>
      </c>
      <c r="E300" s="7">
        <f>MONTH(BASE[[#This Row],[DATE]])</f>
        <v>1</v>
      </c>
      <c r="F300" s="1" t="str">
        <f>VLOOKUP(BASE[[#This Row],[DESCRIPTION]],LISTEDESCRIPTION[],2,FALSE)</f>
        <v>SALAIRE</v>
      </c>
      <c r="G300" s="1" t="s">
        <v>21</v>
      </c>
      <c r="H300" s="3">
        <v>43466</v>
      </c>
      <c r="I300" s="2">
        <v>895.37</v>
      </c>
      <c r="J300" s="7">
        <f t="shared" si="4"/>
        <v>299</v>
      </c>
    </row>
  </sheetData>
  <pageMargins left="0.7" right="0.7" top="0.75" bottom="0.75" header="0.3" footer="0.3"/>
  <tableParts count="7">
    <tablePart r:id="rId1"/>
    <tablePart r:id="rId2"/>
    <tablePart r:id="rId3"/>
    <tablePart r:id="rId4"/>
    <tablePart r:id="rId5"/>
    <tablePart r:id="rId6"/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E7A651-D1DC-4F3A-97D4-61AA3229C080}">
  <sheetPr codeName="Feuil5"/>
  <dimension ref="A1:J14"/>
  <sheetViews>
    <sheetView workbookViewId="0">
      <selection activeCell="I6" sqref="I6"/>
    </sheetView>
  </sheetViews>
  <sheetFormatPr baseColWidth="10" defaultRowHeight="15" x14ac:dyDescent="0.25"/>
  <cols>
    <col min="1" max="1" width="11" bestFit="1" customWidth="1"/>
    <col min="2" max="2" width="20.85546875" bestFit="1" customWidth="1"/>
    <col min="3" max="3" width="13.140625" bestFit="1" customWidth="1"/>
    <col min="4" max="4" width="11.7109375" bestFit="1" customWidth="1"/>
    <col min="5" max="5" width="10.42578125" bestFit="1" customWidth="1"/>
    <col min="6" max="6" width="20.42578125" bestFit="1" customWidth="1"/>
    <col min="7" max="7" width="18.28515625" bestFit="1" customWidth="1"/>
    <col min="8" max="8" width="10.7109375" bestFit="1" customWidth="1"/>
    <col min="9" max="9" width="15" bestFit="1" customWidth="1"/>
    <col min="10" max="10" width="13" bestFit="1" customWidth="1"/>
  </cols>
  <sheetData>
    <row r="1" spans="1:10" x14ac:dyDescent="0.25">
      <c r="A1" s="1" t="s">
        <v>19</v>
      </c>
      <c r="B1" s="1" t="s">
        <v>6</v>
      </c>
      <c r="C1" s="1" t="s">
        <v>5</v>
      </c>
      <c r="D1" s="1" t="s">
        <v>3</v>
      </c>
      <c r="E1" s="1" t="s">
        <v>4</v>
      </c>
      <c r="F1" s="1" t="s">
        <v>2</v>
      </c>
      <c r="G1" s="1" t="s">
        <v>1</v>
      </c>
      <c r="H1" s="37" t="s">
        <v>0</v>
      </c>
      <c r="I1" s="37" t="s">
        <v>111</v>
      </c>
      <c r="J1" s="37" t="s">
        <v>20</v>
      </c>
    </row>
    <row r="2" spans="1:10" x14ac:dyDescent="0.25">
      <c r="A2" s="1">
        <f>ROW()-ROW(BASELJMO[[#Headers],[INDEX]])</f>
        <v>1</v>
      </c>
      <c r="B2" s="1" t="str">
        <f>BASE!$W$2</f>
        <v>MR MARGOT QUENTIN</v>
      </c>
      <c r="C2" s="1" t="str">
        <f>IF(OR(BASELJMO[[#This Row],[CATEGORIE]]="PLACEMENT EPARGNE",BASELJMO[[#This Row],[CATEGORIE]]="RETRAIT EPARGNE"),BASE!$Y$3,IF(OR(BASELJMO[[#This Row],[CATEGORIE]]="PLACEMENT CPS",BASELJMO[[#This Row],[CATEGORIE]]="RETRAIT CPS"),BASE!$Y$4,""))</f>
        <v>LJMO</v>
      </c>
      <c r="D2" s="1">
        <f>YEAR(BASELJMO[[#This Row],[DATE]])</f>
        <v>2019</v>
      </c>
      <c r="E2" s="1">
        <f>MONTH(BASELJMO[[#This Row],[DATE]])</f>
        <v>5</v>
      </c>
      <c r="F2" s="2" t="s">
        <v>112</v>
      </c>
      <c r="G2" s="2" t="s">
        <v>190</v>
      </c>
      <c r="H2" s="3">
        <v>43616</v>
      </c>
      <c r="I2" s="2">
        <v>100</v>
      </c>
      <c r="J2" s="7">
        <f t="shared" ref="J2:J14" si="0">IF(J1="N°LIGNE",1,J1+1)</f>
        <v>1</v>
      </c>
    </row>
    <row r="3" spans="1:10" x14ac:dyDescent="0.25">
      <c r="A3" s="1">
        <f>ROW()-ROW(BASELJMO[[#Headers],[INDEX]])</f>
        <v>2</v>
      </c>
      <c r="B3" s="1" t="str">
        <f>BASE!$W$2</f>
        <v>MR MARGOT QUENTIN</v>
      </c>
      <c r="C3" s="1" t="str">
        <f>IF(OR(BASELJMO[[#This Row],[CATEGORIE]]="PLACEMENT EPARGNE",BASELJMO[[#This Row],[CATEGORIE]]="RETRAIT EPARGNE"),BASE!$Y$3,IF(OR(BASELJMO[[#This Row],[CATEGORIE]]="PLACEMENT CPS",BASELJMO[[#This Row],[CATEGORIE]]="RETRAIT CPS"),BASE!$Y$4,""))</f>
        <v>LJMO</v>
      </c>
      <c r="D3" s="1">
        <f>YEAR(BASELJMO[[#This Row],[DATE]])</f>
        <v>2019</v>
      </c>
      <c r="E3" s="1">
        <f>MONTH(BASELJMO[[#This Row],[DATE]])</f>
        <v>5</v>
      </c>
      <c r="F3" s="2" t="s">
        <v>112</v>
      </c>
      <c r="G3" s="2" t="s">
        <v>190</v>
      </c>
      <c r="H3" s="3">
        <v>43608</v>
      </c>
      <c r="I3" s="2">
        <v>150</v>
      </c>
      <c r="J3" s="7">
        <f t="shared" si="0"/>
        <v>2</v>
      </c>
    </row>
    <row r="4" spans="1:10" x14ac:dyDescent="0.25">
      <c r="A4" s="1">
        <f>ROW()-ROW(BASELJMO[[#Headers],[INDEX]])</f>
        <v>3</v>
      </c>
      <c r="B4" s="1" t="str">
        <f>BASE!$W$2</f>
        <v>MR MARGOT QUENTIN</v>
      </c>
      <c r="C4" s="1" t="str">
        <f>IF(OR(BASELJMO[[#This Row],[CATEGORIE]]="PLACEMENT EPARGNE",BASELJMO[[#This Row],[CATEGORIE]]="RETRAIT EPARGNE"),BASE!$Y$3,IF(OR(BASELJMO[[#This Row],[CATEGORIE]]="PLACEMENT CPS",BASELJMO[[#This Row],[CATEGORIE]]="RETRAIT CPS"),BASE!$Y$4,""))</f>
        <v>LJMO</v>
      </c>
      <c r="D4" s="1">
        <f>YEAR(BASELJMO[[#This Row],[DATE]])</f>
        <v>2019</v>
      </c>
      <c r="E4" s="1">
        <f>MONTH(BASELJMO[[#This Row],[DATE]])</f>
        <v>4</v>
      </c>
      <c r="F4" s="2" t="s">
        <v>112</v>
      </c>
      <c r="G4" s="2" t="s">
        <v>190</v>
      </c>
      <c r="H4" s="3">
        <v>43579</v>
      </c>
      <c r="I4" s="2">
        <v>100</v>
      </c>
      <c r="J4" s="7">
        <f t="shared" si="0"/>
        <v>3</v>
      </c>
    </row>
    <row r="5" spans="1:10" x14ac:dyDescent="0.25">
      <c r="A5" s="1">
        <f>ROW()-ROW(BASELJMO[[#Headers],[INDEX]])</f>
        <v>4</v>
      </c>
      <c r="B5" s="1" t="str">
        <f>BASE!$W$2</f>
        <v>MR MARGOT QUENTIN</v>
      </c>
      <c r="C5" s="1" t="str">
        <f>IF(OR(BASELJMO[[#This Row],[CATEGORIE]]="PLACEMENT EPARGNE",BASELJMO[[#This Row],[CATEGORIE]]="RETRAIT EPARGNE"),BASE!$Y$3,IF(OR(BASELJMO[[#This Row],[CATEGORIE]]="PLACEMENT CPS",BASELJMO[[#This Row],[CATEGORIE]]="RETRAIT CPS"),BASE!$Y$4,""))</f>
        <v>LJMO</v>
      </c>
      <c r="D5" s="1">
        <f>YEAR(BASELJMO[[#This Row],[DATE]])</f>
        <v>2019</v>
      </c>
      <c r="E5" s="1">
        <f>MONTH(BASELJMO[[#This Row],[DATE]])</f>
        <v>4</v>
      </c>
      <c r="F5" s="2" t="s">
        <v>112</v>
      </c>
      <c r="G5" s="2" t="s">
        <v>190</v>
      </c>
      <c r="H5" s="3">
        <v>43566</v>
      </c>
      <c r="I5" s="2">
        <v>20</v>
      </c>
      <c r="J5" s="7">
        <f t="shared" si="0"/>
        <v>4</v>
      </c>
    </row>
    <row r="6" spans="1:10" x14ac:dyDescent="0.25">
      <c r="A6" s="1">
        <f>ROW()-ROW(BASELJMO[[#Headers],[INDEX]])</f>
        <v>5</v>
      </c>
      <c r="B6" s="1" t="str">
        <f>BASE!$W$2</f>
        <v>MR MARGOT QUENTIN</v>
      </c>
      <c r="C6" s="1" t="str">
        <f>IF(OR(BASELJMO[[#This Row],[CATEGORIE]]="PLACEMENT EPARGNE",BASELJMO[[#This Row],[CATEGORIE]]="RETRAIT EPARGNE"),BASE!$Y$3,IF(OR(BASELJMO[[#This Row],[CATEGORIE]]="PLACEMENT CPS",BASELJMO[[#This Row],[CATEGORIE]]="RETRAIT CPS"),BASE!$Y$4,""))</f>
        <v>LJMO</v>
      </c>
      <c r="D6" s="1">
        <f>YEAR(BASELJMO[[#This Row],[DATE]])</f>
        <v>2019</v>
      </c>
      <c r="E6" s="1">
        <f>MONTH(BASELJMO[[#This Row],[DATE]])</f>
        <v>4</v>
      </c>
      <c r="F6" s="2" t="s">
        <v>112</v>
      </c>
      <c r="G6" s="2" t="s">
        <v>190</v>
      </c>
      <c r="H6" s="3">
        <v>43561</v>
      </c>
      <c r="I6" s="2">
        <v>50</v>
      </c>
      <c r="J6" s="7">
        <f t="shared" si="0"/>
        <v>5</v>
      </c>
    </row>
    <row r="7" spans="1:10" x14ac:dyDescent="0.25">
      <c r="A7" s="1">
        <f>ROW()-ROW(BASELJMO[[#Headers],[INDEX]])</f>
        <v>6</v>
      </c>
      <c r="B7" s="1" t="str">
        <f>BASE!$W$2</f>
        <v>MR MARGOT QUENTIN</v>
      </c>
      <c r="C7" s="1" t="str">
        <f>IF(OR(BASELJMO[[#This Row],[CATEGORIE]]="PLACEMENT EPARGNE",BASELJMO[[#This Row],[CATEGORIE]]="RETRAIT EPARGNE"),BASE!$Y$3,IF(OR(BASELJMO[[#This Row],[CATEGORIE]]="PLACEMENT CPS",BASELJMO[[#This Row],[CATEGORIE]]="RETRAIT CPS"),BASE!$Y$4,""))</f>
        <v>LJMO</v>
      </c>
      <c r="D7" s="1">
        <f>YEAR(BASELJMO[[#This Row],[DATE]])</f>
        <v>2019</v>
      </c>
      <c r="E7" s="1">
        <f>MONTH(BASELJMO[[#This Row],[DATE]])</f>
        <v>3</v>
      </c>
      <c r="F7" s="2" t="s">
        <v>112</v>
      </c>
      <c r="G7" s="2" t="s">
        <v>190</v>
      </c>
      <c r="H7" s="3">
        <v>43555</v>
      </c>
      <c r="I7" s="2">
        <v>14.47</v>
      </c>
      <c r="J7" s="7">
        <f t="shared" si="0"/>
        <v>6</v>
      </c>
    </row>
    <row r="8" spans="1:10" x14ac:dyDescent="0.25">
      <c r="A8" s="1">
        <f>ROW()-ROW(BASELJMO[[#Headers],[INDEX]])</f>
        <v>7</v>
      </c>
      <c r="B8" s="1" t="str">
        <f>BASE!$W$2</f>
        <v>MR MARGOT QUENTIN</v>
      </c>
      <c r="C8" s="1" t="str">
        <f>IF(OR(BASELJMO[[#This Row],[CATEGORIE]]="PLACEMENT EPARGNE",BASELJMO[[#This Row],[CATEGORIE]]="RETRAIT EPARGNE"),BASE!$Y$3,IF(OR(BASELJMO[[#This Row],[CATEGORIE]]="PLACEMENT CPS",BASELJMO[[#This Row],[CATEGORIE]]="RETRAIT CPS"),BASE!$Y$4,""))</f>
        <v>LJMO</v>
      </c>
      <c r="D8" s="1">
        <f>YEAR(BASELJMO[[#This Row],[DATE]])</f>
        <v>2019</v>
      </c>
      <c r="E8" s="1">
        <f>MONTH(BASELJMO[[#This Row],[DATE]])</f>
        <v>3</v>
      </c>
      <c r="F8" s="2" t="s">
        <v>112</v>
      </c>
      <c r="G8" s="2" t="s">
        <v>190</v>
      </c>
      <c r="H8" s="3">
        <v>43554</v>
      </c>
      <c r="I8" s="2">
        <v>100</v>
      </c>
      <c r="J8" s="7">
        <f t="shared" si="0"/>
        <v>7</v>
      </c>
    </row>
    <row r="9" spans="1:10" x14ac:dyDescent="0.25">
      <c r="A9" s="1">
        <f>ROW()-ROW(BASELJMO[[#Headers],[INDEX]])</f>
        <v>8</v>
      </c>
      <c r="B9" s="1" t="str">
        <f>BASE!$W$2</f>
        <v>MR MARGOT QUENTIN</v>
      </c>
      <c r="C9" s="1" t="str">
        <f>IF(OR(BASELJMO[[#This Row],[CATEGORIE]]="PLACEMENT EPARGNE",BASELJMO[[#This Row],[CATEGORIE]]="RETRAIT EPARGNE"),BASE!$Y$3,IF(OR(BASELJMO[[#This Row],[CATEGORIE]]="PLACEMENT CPS",BASELJMO[[#This Row],[CATEGORIE]]="RETRAIT CPS"),BASE!$Y$4,""))</f>
        <v>LJMO</v>
      </c>
      <c r="D9" s="1">
        <f>YEAR(BASELJMO[[#This Row],[DATE]])</f>
        <v>2019</v>
      </c>
      <c r="E9" s="1">
        <f>MONTH(BASELJMO[[#This Row],[DATE]])</f>
        <v>3</v>
      </c>
      <c r="F9" s="2" t="s">
        <v>112</v>
      </c>
      <c r="G9" s="2" t="s">
        <v>190</v>
      </c>
      <c r="H9" s="3">
        <v>43534</v>
      </c>
      <c r="I9" s="2">
        <v>188.47</v>
      </c>
      <c r="J9" s="7">
        <f t="shared" si="0"/>
        <v>8</v>
      </c>
    </row>
    <row r="10" spans="1:10" x14ac:dyDescent="0.25">
      <c r="A10" s="1">
        <f>ROW()-ROW(BASELJMO[[#Headers],[INDEX]])</f>
        <v>9</v>
      </c>
      <c r="B10" s="1" t="str">
        <f>BASE!$W$2</f>
        <v>MR MARGOT QUENTIN</v>
      </c>
      <c r="C10" s="1" t="str">
        <f>IF(OR(BASELJMO[[#This Row],[CATEGORIE]]="PLACEMENT EPARGNE",BASELJMO[[#This Row],[CATEGORIE]]="RETRAIT EPARGNE"),BASE!$Y$3,IF(OR(BASELJMO[[#This Row],[CATEGORIE]]="PLACEMENT CPS",BASELJMO[[#This Row],[CATEGORIE]]="RETRAIT CPS"),BASE!$Y$4,""))</f>
        <v>LJMO</v>
      </c>
      <c r="D10" s="1">
        <f>YEAR(BASELJMO[[#This Row],[DATE]])</f>
        <v>2019</v>
      </c>
      <c r="E10" s="1">
        <f>MONTH(BASELJMO[[#This Row],[DATE]])</f>
        <v>3</v>
      </c>
      <c r="F10" s="2" t="s">
        <v>113</v>
      </c>
      <c r="G10" s="2" t="s">
        <v>189</v>
      </c>
      <c r="H10" s="3">
        <v>43529</v>
      </c>
      <c r="I10" s="2">
        <v>69.59</v>
      </c>
      <c r="J10" s="7">
        <f t="shared" si="0"/>
        <v>9</v>
      </c>
    </row>
    <row r="11" spans="1:10" x14ac:dyDescent="0.25">
      <c r="A11" s="1">
        <f>ROW()-ROW(BASELJMO[[#Headers],[INDEX]])</f>
        <v>10</v>
      </c>
      <c r="B11" s="1" t="str">
        <f>BASE!$W$2</f>
        <v>MR MARGOT QUENTIN</v>
      </c>
      <c r="C11" s="1" t="str">
        <f>IF(OR(BASELJMO[[#This Row],[CATEGORIE]]="PLACEMENT EPARGNE",BASELJMO[[#This Row],[CATEGORIE]]="RETRAIT EPARGNE"),BASE!$Y$3,IF(OR(BASELJMO[[#This Row],[CATEGORIE]]="PLACEMENT CPS",BASELJMO[[#This Row],[CATEGORIE]]="RETRAIT CPS"),BASE!$Y$4,""))</f>
        <v>LJMO</v>
      </c>
      <c r="D11" s="1">
        <f>YEAR(BASELJMO[[#This Row],[DATE]])</f>
        <v>2019</v>
      </c>
      <c r="E11" s="1">
        <f>MONTH(BASELJMO[[#This Row],[DATE]])</f>
        <v>2</v>
      </c>
      <c r="F11" s="2" t="s">
        <v>113</v>
      </c>
      <c r="G11" s="2" t="s">
        <v>189</v>
      </c>
      <c r="H11" s="3">
        <v>43502</v>
      </c>
      <c r="I11" s="2">
        <v>1000</v>
      </c>
      <c r="J11" s="7">
        <f t="shared" si="0"/>
        <v>10</v>
      </c>
    </row>
    <row r="12" spans="1:10" x14ac:dyDescent="0.25">
      <c r="A12" s="1">
        <f>ROW()-ROW(BASELJMO[[#Headers],[INDEX]])</f>
        <v>11</v>
      </c>
      <c r="B12" s="1" t="str">
        <f>BASE!$W$2</f>
        <v>MR MARGOT QUENTIN</v>
      </c>
      <c r="C12" s="1" t="str">
        <f>IF(OR(BASELJMO[[#This Row],[CATEGORIE]]="PLACEMENT EPARGNE",BASELJMO[[#This Row],[CATEGORIE]]="RETRAIT EPARGNE"),BASE!$Y$3,IF(OR(BASELJMO[[#This Row],[CATEGORIE]]="PLACEMENT CPS",BASELJMO[[#This Row],[CATEGORIE]]="RETRAIT CPS"),BASE!$Y$4,""))</f>
        <v>LJMO</v>
      </c>
      <c r="D12" s="1">
        <f>YEAR(BASELJMO[[#This Row],[DATE]])</f>
        <v>2019</v>
      </c>
      <c r="E12" s="1">
        <f>MONTH(BASELJMO[[#This Row],[DATE]])</f>
        <v>2</v>
      </c>
      <c r="F12" s="2" t="s">
        <v>112</v>
      </c>
      <c r="G12" s="2" t="s">
        <v>190</v>
      </c>
      <c r="H12" s="3">
        <v>43499</v>
      </c>
      <c r="I12" s="2">
        <v>20</v>
      </c>
      <c r="J12" s="7">
        <f t="shared" si="0"/>
        <v>11</v>
      </c>
    </row>
    <row r="13" spans="1:10" x14ac:dyDescent="0.25">
      <c r="A13" s="1">
        <f>ROW()-ROW(BASELJMO[[#Headers],[INDEX]])</f>
        <v>12</v>
      </c>
      <c r="B13" s="1" t="str">
        <f>BASE!$W$2</f>
        <v>MR MARGOT QUENTIN</v>
      </c>
      <c r="C13" s="1" t="str">
        <f>IF(OR(BASELJMO[[#This Row],[CATEGORIE]]="PLACEMENT EPARGNE",BASELJMO[[#This Row],[CATEGORIE]]="RETRAIT EPARGNE"),BASE!$Y$3,IF(OR(BASELJMO[[#This Row],[CATEGORIE]]="PLACEMENT CPS",BASELJMO[[#This Row],[CATEGORIE]]="RETRAIT CPS"),BASE!$Y$4,""))</f>
        <v>LJMO</v>
      </c>
      <c r="D13" s="1">
        <f>YEAR(BASELJMO[[#This Row],[DATE]])</f>
        <v>2019</v>
      </c>
      <c r="E13" s="1">
        <f>MONTH(BASELJMO[[#This Row],[DATE]])</f>
        <v>2</v>
      </c>
      <c r="F13" s="2" t="s">
        <v>112</v>
      </c>
      <c r="G13" s="2" t="s">
        <v>190</v>
      </c>
      <c r="H13" s="3">
        <v>43498</v>
      </c>
      <c r="I13" s="2">
        <v>20</v>
      </c>
      <c r="J13" s="7">
        <f t="shared" si="0"/>
        <v>12</v>
      </c>
    </row>
    <row r="14" spans="1:10" x14ac:dyDescent="0.25">
      <c r="A14" s="1">
        <f>ROW()-ROW(BASELJMO[[#Headers],[INDEX]])</f>
        <v>13</v>
      </c>
      <c r="B14" s="1" t="str">
        <f>BASE!$W$2</f>
        <v>MR MARGOT QUENTIN</v>
      </c>
      <c r="C14" s="1" t="str">
        <f>IF(OR(BASELJMO[[#This Row],[CATEGORIE]]="PLACEMENT EPARGNE",BASELJMO[[#This Row],[CATEGORIE]]="RETRAIT EPARGNE"),BASE!$Y$3,IF(OR(BASELJMO[[#This Row],[CATEGORIE]]="PLACEMENT CPS",BASELJMO[[#This Row],[CATEGORIE]]="RETRAIT CPS"),BASE!$Y$4,""))</f>
        <v>LJMO</v>
      </c>
      <c r="D14" s="1">
        <f>YEAR(BASELJMO[[#This Row],[DATE]])</f>
        <v>2019</v>
      </c>
      <c r="E14" s="1">
        <f>MONTH(BASELJMO[[#This Row],[DATE]])</f>
        <v>1</v>
      </c>
      <c r="F14" s="2" t="s">
        <v>113</v>
      </c>
      <c r="G14" s="2" t="s">
        <v>189</v>
      </c>
      <c r="H14" s="3">
        <v>43467</v>
      </c>
      <c r="I14" s="2">
        <v>142.27000000000001</v>
      </c>
      <c r="J14" s="7">
        <f t="shared" si="0"/>
        <v>13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701659-FFD0-47AC-887D-299268238FF3}">
  <sheetPr codeName="Feuil3"/>
  <dimension ref="A1:AJ199"/>
  <sheetViews>
    <sheetView tabSelected="1" topLeftCell="H1" workbookViewId="0">
      <selection activeCell="V38" sqref="V38"/>
    </sheetView>
  </sheetViews>
  <sheetFormatPr baseColWidth="10" defaultRowHeight="15" x14ac:dyDescent="0.25"/>
  <cols>
    <col min="1" max="1" width="12.85546875" style="1" bestFit="1" customWidth="1"/>
    <col min="2" max="2" width="20.85546875" style="1" bestFit="1" customWidth="1"/>
    <col min="3" max="3" width="13.140625" style="1" bestFit="1" customWidth="1"/>
    <col min="4" max="4" width="11.7109375" style="1" bestFit="1" customWidth="1"/>
    <col min="5" max="5" width="10.42578125" style="1" bestFit="1" customWidth="1"/>
    <col min="6" max="6" width="17" style="1" bestFit="1" customWidth="1"/>
    <col min="7" max="7" width="17.28515625" style="1" bestFit="1" customWidth="1"/>
    <col min="8" max="8" width="10.7109375" style="1" bestFit="1" customWidth="1"/>
    <col min="9" max="9" width="15" style="1" bestFit="1" customWidth="1"/>
    <col min="10" max="10" width="13" style="1" bestFit="1" customWidth="1"/>
    <col min="11" max="11" width="16.28515625" style="1" customWidth="1"/>
    <col min="12" max="12" width="11.5703125" style="1" customWidth="1"/>
    <col min="13" max="13" width="11.42578125" style="1"/>
    <col min="14" max="14" width="19" style="1" bestFit="1" customWidth="1"/>
    <col min="15" max="15" width="20.85546875" style="1" bestFit="1" customWidth="1"/>
    <col min="16" max="16" width="24.28515625" style="1" bestFit="1" customWidth="1"/>
    <col min="17" max="17" width="16.85546875" style="1" bestFit="1" customWidth="1"/>
    <col min="18" max="18" width="12.7109375" style="1" bestFit="1" customWidth="1"/>
    <col min="19" max="19" width="16.28515625" style="1" bestFit="1" customWidth="1"/>
    <col min="20" max="25" width="11.42578125" style="1"/>
    <col min="26" max="36" width="0" style="1" hidden="1" customWidth="1"/>
    <col min="37" max="37" width="17.28515625" style="1" customWidth="1"/>
    <col min="38" max="16384" width="11.42578125" style="1"/>
  </cols>
  <sheetData>
    <row r="1" spans="2:36" ht="15.75" thickBot="1" x14ac:dyDescent="0.3">
      <c r="B1" s="7"/>
      <c r="E1" s="2"/>
      <c r="F1" s="3"/>
      <c r="G1" s="3"/>
      <c r="H1" s="3"/>
      <c r="I1" s="3"/>
      <c r="J1" s="3"/>
      <c r="K1" s="3"/>
      <c r="N1" s="39" t="s">
        <v>203</v>
      </c>
      <c r="O1" s="40"/>
      <c r="P1" s="41"/>
      <c r="R1" s="45" t="s">
        <v>204</v>
      </c>
      <c r="S1" s="46"/>
      <c r="T1" s="46"/>
      <c r="U1" s="47"/>
      <c r="W1" s="11" t="s">
        <v>20</v>
      </c>
      <c r="X1" s="12">
        <f>TEST!U12</f>
        <v>53</v>
      </c>
      <c r="Z1" s="8" t="s">
        <v>6</v>
      </c>
      <c r="AA1" s="9" t="s">
        <v>83</v>
      </c>
      <c r="AB1" s="9" t="s">
        <v>87</v>
      </c>
      <c r="AC1" s="10" t="s">
        <v>114</v>
      </c>
      <c r="AE1" s="14" t="s">
        <v>4</v>
      </c>
      <c r="AF1" s="14" t="s">
        <v>19</v>
      </c>
      <c r="AG1" s="14" t="s">
        <v>83</v>
      </c>
      <c r="AH1" s="14" t="s">
        <v>87</v>
      </c>
      <c r="AI1" s="14" t="s">
        <v>115</v>
      </c>
    </row>
    <row r="2" spans="2:36" ht="15.75" thickBot="1" x14ac:dyDescent="0.3">
      <c r="E2" s="2"/>
      <c r="N2" s="42"/>
      <c r="O2" s="38"/>
      <c r="P2" s="43"/>
      <c r="R2" s="48"/>
      <c r="S2" s="44"/>
      <c r="T2" s="44"/>
      <c r="U2" s="49"/>
      <c r="Z2" s="13" t="s">
        <v>10</v>
      </c>
      <c r="AA2" s="14" t="str">
        <f>IF(AND($P$4=1,$P$5=1,$P$6=1,$P$7=1,$P$8=1,$P$9=1),SUMIFS(BASE[MONTANT],BASE[TITULAIRE],titulaire,BASE[COMPTE],compte,BASE[ANNEE],annee,BASE[MOIS],mois,BASE[CATEGORIE],categorie,BASE[DESCRIPTION],descritpion),"")</f>
        <v/>
      </c>
      <c r="AB2" s="14" t="str">
        <f>IF(AND($P$4=1,$P$5=1,$P$6=1,$P$7=1,$P$8=1,$P$9=1),SUMIFS(BASE[MONTANT],BASE[TITULAIRE],titulaire,BASE[COMPTE],compte,BASE[ANNEE],annee,BASE[MOIS],mois,BASE[CATEGORIE],categorie,BASE[DESCRIPTION],descritpion),"")</f>
        <v/>
      </c>
      <c r="AC2" s="15" t="str">
        <f>IF(AA2=AB2,AA2,AA2-AB2)</f>
        <v/>
      </c>
      <c r="AD2" s="1" t="s">
        <v>93</v>
      </c>
      <c r="AE2" s="14" t="s">
        <v>97</v>
      </c>
      <c r="AF2" s="14">
        <v>1</v>
      </c>
      <c r="AG2" s="14">
        <f>SUM(SUMIFS(BASE[MONTANT],BASE[TITULAIRE],titulaire,BASE[COMPTE],compte,BASE[ANNEE],annee,BASE[MOIS],AF2,BASE[CATEGORIE],$AE$16),SUMIFS(BASE[MONTANT],BASE[TITULAIRE],titulaire,BASE[COMPTE],compte,BASE[ANNEE],annee,BASE[MOIS],AF2,BASE[CATEGORIE],$AE$23),SUMIFS(BASE[MONTANT],BASE[TITULAIRE],titulaire,BASE[COMPTE],compte,BASE[ANNEE],annee,BASE[MOIS],AF2,BASE[CATEGORIE],$AE$26),SUMIFS(BASE[MONTANT],BASE[TITULAIRE],titulaire,BASE[COMPTE],compte,BASE[ANNEE],annee,BASE[MOIS],AF2,BASE[CATEGORIE],$AE$29))</f>
        <v>1094.6500000000001</v>
      </c>
      <c r="AH2" s="14">
        <f>IF(AND($P$4=1,$P$5=1,$P$6=1,$P$7=1,$P$8=0,$P$9=0),SUM(SUMIFS(BASE[MONTANT],BASE[TITULAIRE],titulaire,BASE[COMPTE],compte,BASE[ANNEE],annee,BASE[MOIS],AF2,BASE[CATEGORIE],$AE$17),SUMIFS(BASE[MONTANT],BASE[TITULAIRE],titulaire,BASE[COMPTE],compte,BASE[ANNEE],annee,BASE[MOIS],AF2,BASE[CATEGORIE],$AE$18),SUMIFS(BASE[MONTANT],BASE[TITULAIRE],titulaire,BASE[COMPTE],compte,BASE[ANNEE],annee,BASE[MOIS],AF2,BASE[CATEGORIE],$AE$19),SUMIFS(BASE[MONTANT],BASE[TITULAIRE],titulaire,BASE[COMPTE],compte,BASE[ANNEE],annee,BASE[MOIS],AF2,BASE[CATEGORIE],$AE$20),SUMIFS(BASE[MONTANT],BASE[TITULAIRE],titulaire,BASE[COMPTE],compte,BASE[ANNEE],annee,BASE[MOIS],AF2,BASE[CATEGORIE],$AE$21),SUMIFS(BASE[MONTANT],BASE[TITULAIRE],titulaire,BASE[COMPTE],compte,BASE[ANNEE],annee,BASE[MOIS],AF2,BASE[CATEGORIE],$AE$22),SUMIFS(BASE[MONTANT],BASE[TITULAIRE],titulaire,BASE[COMPTE],compte,BASE[ANNEE],annee,BASE[MOIS],AF2,BASE[CATEGORIE],$AE$24),SUMIFS(BASE[MONTANT],BASE[TITULAIRE],titulaire,BASE[COMPTE],compte,BASE[ANNEE],annee,BASE[MOIS],AF2,BASE[CATEGORIE],$AE$25),SUMIFS(BASE[MONTANT],BASE[TITULAIRE],titulaire,BASE[COMPTE],compte,BASE[ANNEE],annee,BASE[MOIS],AF2,BASE[CATEGORIE],$AE$27),SUMIFS(BASE[MONTANT],BASE[TITULAIRE],titulaire,BASE[COMPTE],compte,BASE[ANNEE],annee,BASE[MOIS],AF2,BASE[CATEGORIE],$AE$28),SUMIFS(BASE[MONTANT],BASE[TITULAIRE],titulaire,BASE[COMPTE],compte,BASE[ANNEE],annee,BASE[MOIS],AF2,BASE[CATEGORIE],$AE$30),SUMIFS(BASE[MONTANT],BASE[TITULAIRE],titulaire,BASE[COMPTE],compte,BASE[ANNEE],annee,BASE[MOIS],AF2,BASE[CATEGORIE],$AE$31)),"")</f>
        <v>1051.81</v>
      </c>
      <c r="AI2" s="36">
        <f>AG2-AH2</f>
        <v>42.840000000000146</v>
      </c>
      <c r="AJ2" s="35"/>
    </row>
    <row r="3" spans="2:36" x14ac:dyDescent="0.25">
      <c r="B3" s="7"/>
      <c r="E3" s="2"/>
      <c r="N3" s="8" t="s">
        <v>109</v>
      </c>
      <c r="O3" s="9" t="s">
        <v>110</v>
      </c>
      <c r="P3" s="10" t="s">
        <v>18</v>
      </c>
      <c r="R3" s="8" t="s">
        <v>205</v>
      </c>
      <c r="S3" s="9" t="s">
        <v>7</v>
      </c>
      <c r="T3" s="9" t="s">
        <v>8</v>
      </c>
      <c r="U3" s="10" t="s">
        <v>9</v>
      </c>
      <c r="Z3" s="13" t="s">
        <v>11</v>
      </c>
      <c r="AA3" s="14" t="str">
        <f>IF(AND($P$4=1,$P$5=1,$P$6=1,$P$7=1,$P$8=1,$P$9=0),SUMIFS(BASE[MONTANT],BASE[TITULAIRE],titulaire,BASE[COMPTE],compte,BASE[ANNEE],annee,BASE[MOIS],mois,BASE[CATEGORIE],categorie),"")</f>
        <v/>
      </c>
      <c r="AB3" s="14" t="str">
        <f>IF(AND($P$4=1,$P$5=1,$P$6=1,$P$7=1,$P$8=1,$P$9=0),SUMIFS(BASE[MONTANT],BASE[TITULAIRE],titulaire,BASE[COMPTE],compte,BASE[ANNEE],annee,BASE[MOIS],mois,BASE[CATEGORIE],categorie),"")</f>
        <v/>
      </c>
      <c r="AC3" s="15" t="str">
        <f t="shared" ref="AC3:AC5" si="0">IF(AA3=AB3,AA3,AA3-AB3)</f>
        <v/>
      </c>
      <c r="AE3" s="14" t="s">
        <v>98</v>
      </c>
      <c r="AF3" s="14">
        <v>2</v>
      </c>
      <c r="AG3" s="14">
        <f>SUM(SUMIFS(BASE[MONTANT],BASE[TITULAIRE],titulaire,BASE[COMPTE],compte,BASE[ANNEE],annee,BASE[MOIS],AF3,BASE[CATEGORIE],$AE$16),SUMIFS(BASE[MONTANT],BASE[TITULAIRE],titulaire,BASE[COMPTE],compte,BASE[ANNEE],annee,BASE[MOIS],AF3,BASE[CATEGORIE],$AE$23),SUMIFS(BASE[MONTANT],BASE[TITULAIRE],titulaire,BASE[COMPTE],compte,BASE[ANNEE],annee,BASE[MOIS],AF3,BASE[CATEGORIE],$AE$26),SUMIFS(BASE[MONTANT],BASE[TITULAIRE],titulaire,BASE[COMPTE],compte,BASE[ANNEE],annee,BASE[MOIS],AF3,BASE[CATEGORIE],$AE$29))</f>
        <v>2098.34</v>
      </c>
      <c r="AH3" s="14">
        <f>IF(AND($P$4=1,$P$5=1,$P$6=1,$P$7=1,$P$8=0,$P$9=0),SUM(SUMIFS(BASE[MONTANT],BASE[TITULAIRE],titulaire,BASE[COMPTE],compte,BASE[ANNEE],annee,BASE[MOIS],AF3,BASE[CATEGORIE],$AE$17),SUMIFS(BASE[MONTANT],BASE[TITULAIRE],titulaire,BASE[COMPTE],compte,BASE[ANNEE],annee,BASE[MOIS],AF3,BASE[CATEGORIE],$AE$18),SUMIFS(BASE[MONTANT],BASE[TITULAIRE],titulaire,BASE[COMPTE],compte,BASE[ANNEE],annee,BASE[MOIS],AF3,BASE[CATEGORIE],$AE$19),SUMIFS(BASE[MONTANT],BASE[TITULAIRE],titulaire,BASE[COMPTE],compte,BASE[ANNEE],annee,BASE[MOIS],AF3,BASE[CATEGORIE],$AE$20),SUMIFS(BASE[MONTANT],BASE[TITULAIRE],titulaire,BASE[COMPTE],compte,BASE[ANNEE],annee,BASE[MOIS],AF3,BASE[CATEGORIE],$AE$21),SUMIFS(BASE[MONTANT],BASE[TITULAIRE],titulaire,BASE[COMPTE],compte,BASE[ANNEE],annee,BASE[MOIS],AF3,BASE[CATEGORIE],$AE$22),SUMIFS(BASE[MONTANT],BASE[TITULAIRE],titulaire,BASE[COMPTE],compte,BASE[ANNEE],annee,BASE[MOIS],AF3,BASE[CATEGORIE],$AE$24),SUMIFS(BASE[MONTANT],BASE[TITULAIRE],titulaire,BASE[COMPTE],compte,BASE[ANNEE],annee,BASE[MOIS],AF3,BASE[CATEGORIE],$AE$25),SUMIFS(BASE[MONTANT],BASE[TITULAIRE],titulaire,BASE[COMPTE],compte,BASE[ANNEE],annee,BASE[MOIS],AF3,BASE[CATEGORIE],$AE$27),SUMIFS(BASE[MONTANT],BASE[TITULAIRE],titulaire,BASE[COMPTE],compte,BASE[ANNEE],annee,BASE[MOIS],AF3,BASE[CATEGORIE],$AE$28),SUMIFS(BASE[MONTANT],BASE[TITULAIRE],titulaire,BASE[COMPTE],compte,BASE[ANNEE],annee,BASE[MOIS],AF3,BASE[CATEGORIE],$AE$30),SUMIFS(BASE[MONTANT],BASE[TITULAIRE],titulaire,BASE[COMPTE],compte,BASE[ANNEE],annee,BASE[MOIS],AF3,BASE[CATEGORIE],$AE$31)),"")</f>
        <v>2071.59</v>
      </c>
      <c r="AI3" s="36">
        <f>AG3-AH3+AI2</f>
        <v>69.590000000000146</v>
      </c>
    </row>
    <row r="4" spans="2:36" x14ac:dyDescent="0.25">
      <c r="B4" s="7"/>
      <c r="E4" s="2"/>
      <c r="N4" s="13" t="s">
        <v>6</v>
      </c>
      <c r="O4" s="14" t="s">
        <v>92</v>
      </c>
      <c r="P4" s="15">
        <f>IF(TEST!O4="",0,1)</f>
        <v>1</v>
      </c>
      <c r="R4" s="13" t="s">
        <v>10</v>
      </c>
      <c r="S4" s="14" t="str">
        <f>IF(compte="CCHQ",IF(AND($P$4=1,$P$5=1,$P$6=1,$P$7=1,$P$8=1,$P$9=1),_xlfn.MINIFS(BASE[INDEX],BASE[TITULAIRE],titulaire,BASE[COMPTE],compte,BASE[ANNEE],annee,BASE[MOIS],mois,BASE[CATEGORIE],categorie,BASE[DESCRIPTION],descritpion),""),IF(AND($P$4=1,$P$5=1,$P$6=1,$P$7=1,$P$8=1,$P$9=1),_xlfn.MINIFS(BASELJMO[INDEX],BASELJMO[TITULAIRE],titulaire,BASELJMO[COMPTE],compte,BASELJMO[ANNEE],annee,BASELJMO[MOIS],mois,BASELJMO[CATEGORIE],categorie,BASELJMO[DESCRIPTION],descritpion),""))</f>
        <v/>
      </c>
      <c r="T4" s="14" t="str">
        <f>IF(compte="CCHQ",IF(AND($P$4=1,$P$5=1,$P$6=1,$P$7=1,$P$8=1,$P$9=1),_xlfn.MAXIFS(BASE[INDEX],BASE[TITULAIRE],titulaire,BASE[COMPTE],compte,BASE[ANNEE],annee,BASE[MOIS],mois,BASE[CATEGORIE],categorie,BASE[DESCRIPTION],descritpion),""),IF(AND($P$4=1,$P$5=1,$P$6=1,$P$7=1,$P$8=1,$P$9=1),_xlfn.MAXIFS(BASELJMO[INDEX],BASELJMO[TITULAIRE],titulaire,BASELJMO[COMPTE],compte,BASELJMO[ANNEE],annee,BASELJMO[MOIS],mois,BASELJMO[CATEGORIE],categorie,BASELJMO[DESCRIPTION],descritpion),""))</f>
        <v/>
      </c>
      <c r="U4" s="15" t="str">
        <f>IF(compte="CCHQ",IF(AND($P$4=1,$P$5=1,$P$6=1,$P$7=1,$P$8=1,$P$9=1),COUNTIFS(BASE[TITULAIRE],titulaire,BASE[COMPTE],compte,BASE[ANNEE],annee,BASE[MOIS],mois,BASE[CATEGORIE],categorie,BASE[DESCRIPTION],descritpion),""),IF(AND($P$4=1,$P$5=1,$P$6=1,$P$7=1,$P$8=1,$P$9=1),COUNTIFS(BASELJMO[TITULAIRE],titulaire,BASELJMO[COMPTE],compte,BASELJMO[ANNEE],annee,BASELJMO[MOIS],mois,BASELJMO[CATEGORIE],categorie,BASELJMO[DESCRIPTION],descritpion),""))</f>
        <v/>
      </c>
      <c r="Z4" s="13" t="s">
        <v>12</v>
      </c>
      <c r="AA4" s="14">
        <f>IF(AND($P$4=1,$P$5=1,$P$6=1,$P$7=1,$P$8=0,$P$9=0),SUM(SUMIFS(BASE[MONTANT],BASE[TITULAIRE],titulaire,BASE[COMPTE],compte,BASE[ANNEE],annee,BASE[MOIS],mois,BASE[CATEGORIE],$AE$16),SUMIFS(BASE[MONTANT],BASE[TITULAIRE],titulaire,BASE[COMPTE],compte,BASE[ANNEE],annee,BASE[MOIS],mois,BASE[CATEGORIE],$AE$23),SUMIFS(BASE[MONTANT],BASE[TITULAIRE],titulaire,BASE[COMPTE],compte,BASE[ANNEE],annee,BASE[MOIS],mois,BASE[CATEGORIE],$AE$26),SUMIFS(BASE[MONTANT],BASE[TITULAIRE],titulaire,BASE[COMPTE],compte,BASE[ANNEE],annee,BASE[MOIS],mois,BASE[CATEGORIE],$AE$29)),"")</f>
        <v>2098.34</v>
      </c>
      <c r="AB4" s="14">
        <f>IF(AND($P$4=1,$P$5=1,$P$6=1,$P$7=1,$P$8=0,$P$9=0),SUM(SUMIFS(BASE[MONTANT],BASE[TITULAIRE],titulaire,BASE[COMPTE],compte,BASE[ANNEE],annee,BASE[MOIS],mois,BASE[CATEGORIE],$AE$17),SUMIFS(BASE[MONTANT],BASE[TITULAIRE],titulaire,BASE[COMPTE],compte,BASE[ANNEE],annee,BASE[MOIS],mois,BASE[CATEGORIE],$AE$18),SUMIFS(BASE[MONTANT],BASE[TITULAIRE],titulaire,BASE[COMPTE],compte,BASE[ANNEE],annee,BASE[MOIS],mois,BASE[CATEGORIE],$AE$19),SUMIFS(BASE[MONTANT],BASE[TITULAIRE],titulaire,BASE[COMPTE],compte,BASE[ANNEE],annee,BASE[MOIS],mois,BASE[CATEGORIE],$AE$20),SUMIFS(BASE[MONTANT],BASE[TITULAIRE],titulaire,BASE[COMPTE],compte,BASE[ANNEE],annee,BASE[MOIS],mois,BASE[CATEGORIE],$AE$21),SUMIFS(BASE[MONTANT],BASE[TITULAIRE],titulaire,BASE[COMPTE],compte,BASE[ANNEE],annee,BASE[MOIS],mois,BASE[CATEGORIE],$AE$22),SUMIFS(BASE[MONTANT],BASE[TITULAIRE],titulaire,BASE[COMPTE],compte,BASE[ANNEE],annee,BASE[MOIS],mois,BASE[CATEGORIE],$AE$24),SUMIFS(BASE[MONTANT],BASE[TITULAIRE],titulaire,BASE[COMPTE],compte,BASE[ANNEE],annee,BASE[MOIS],mois,BASE[CATEGORIE],$AE$25),SUMIFS(BASE[MONTANT],BASE[TITULAIRE],titulaire,BASE[COMPTE],compte,BASE[ANNEE],annee,BASE[MOIS],mois,BASE[CATEGORIE],$AE$27),SUMIFS(BASE[MONTANT],BASE[TITULAIRE],titulaire,BASE[COMPTE],compte,BASE[ANNEE],annee,BASE[MOIS],mois,BASE[CATEGORIE],$AE$28),SUMIFS(BASE[MONTANT],BASE[TITULAIRE],titulaire,BASE[COMPTE],compte,BASE[ANNEE],annee,BASE[MOIS],mois,BASE[CATEGORIE],$AE$30),SUMIFS(BASE[MONTANT],BASE[TITULAIRE],titulaire,BASE[COMPTE],compte,BASE[ANNEE],annee,BASE[MOIS],mois,BASE[CATEGORIE],$AE$31)),"")</f>
        <v>2071.59</v>
      </c>
      <c r="AC4" s="15">
        <f t="shared" si="0"/>
        <v>26.75</v>
      </c>
      <c r="AE4" s="14" t="s">
        <v>99</v>
      </c>
      <c r="AF4" s="14">
        <v>3</v>
      </c>
      <c r="AG4" s="14">
        <f>SUM(SUMIFS(BASE[MONTANT],BASE[TITULAIRE],titulaire,BASE[COMPTE],compte,BASE[ANNEE],annee,BASE[MOIS],AF4,BASE[CATEGORIE],$AE$16),SUMIFS(BASE[MONTANT],BASE[TITULAIRE],titulaire,BASE[COMPTE],compte,BASE[ANNEE],annee,BASE[MOIS],AF4,BASE[CATEGORIE],$AE$23),SUMIFS(BASE[MONTANT],BASE[TITULAIRE],titulaire,BASE[COMPTE],compte,BASE[ANNEE],annee,BASE[MOIS],AF4,BASE[CATEGORIE],$AE$26),SUMIFS(BASE[MONTANT],BASE[TITULAIRE],titulaire,BASE[COMPTE],compte,BASE[ANNEE],annee,BASE[MOIS],AF4,BASE[CATEGORIE],$AE$29))</f>
        <v>1225.1600000000001</v>
      </c>
      <c r="AH4" s="14">
        <f>IF(AND($P$4=1,$P$5=1,$P$6=1,$P$7=1,$P$8=0,$P$9=0),SUM(SUMIFS(BASE[MONTANT],BASE[TITULAIRE],titulaire,BASE[COMPTE],compte,BASE[ANNEE],annee,BASE[MOIS],AF4,BASE[CATEGORIE],$AE$17),SUMIFS(BASE[MONTANT],BASE[TITULAIRE],titulaire,BASE[COMPTE],compte,BASE[ANNEE],annee,BASE[MOIS],AF4,BASE[CATEGORIE],$AE$18),SUMIFS(BASE[MONTANT],BASE[TITULAIRE],titulaire,BASE[COMPTE],compte,BASE[ANNEE],annee,BASE[MOIS],AF4,BASE[CATEGORIE],$AE$19),SUMIFS(BASE[MONTANT],BASE[TITULAIRE],titulaire,BASE[COMPTE],compte,BASE[ANNEE],annee,BASE[MOIS],AF4,BASE[CATEGORIE],$AE$20),SUMIFS(BASE[MONTANT],BASE[TITULAIRE],titulaire,BASE[COMPTE],compte,BASE[ANNEE],annee,BASE[MOIS],AF4,BASE[CATEGORIE],$AE$21),SUMIFS(BASE[MONTANT],BASE[TITULAIRE],titulaire,BASE[COMPTE],compte,BASE[ANNEE],annee,BASE[MOIS],AF4,BASE[CATEGORIE],$AE$22),SUMIFS(BASE[MONTANT],BASE[TITULAIRE],titulaire,BASE[COMPTE],compte,BASE[ANNEE],annee,BASE[MOIS],AF4,BASE[CATEGORIE],$AE$24),SUMIFS(BASE[MONTANT],BASE[TITULAIRE],titulaire,BASE[COMPTE],compte,BASE[ANNEE],annee,BASE[MOIS],AF4,BASE[CATEGORIE],$AE$25),SUMIFS(BASE[MONTANT],BASE[TITULAIRE],titulaire,BASE[COMPTE],compte,BASE[ANNEE],annee,BASE[MOIS],AF4,BASE[CATEGORIE],$AE$27),SUMIFS(BASE[MONTANT],BASE[TITULAIRE],titulaire,BASE[COMPTE],compte,BASE[ANNEE],annee,BASE[MOIS],AF4,BASE[CATEGORIE],$AE$28),SUMIFS(BASE[MONTANT],BASE[TITULAIRE],titulaire,BASE[COMPTE],compte,BASE[ANNEE],annee,BASE[MOIS],AF4,BASE[CATEGORIE],$AE$30),SUMIFS(BASE[MONTANT],BASE[TITULAIRE],titulaire,BASE[COMPTE],compte,BASE[ANNEE],annee,BASE[MOIS],AF4,BASE[CATEGORIE],$AE$31)),"")</f>
        <v>1172.21</v>
      </c>
      <c r="AI4" s="14">
        <f t="shared" ref="AI4:AI13" si="1">AG4-AH4+AI3</f>
        <v>122.54000000000019</v>
      </c>
    </row>
    <row r="5" spans="2:36" x14ac:dyDescent="0.25">
      <c r="B5" s="7"/>
      <c r="E5" s="2"/>
      <c r="N5" s="13" t="s">
        <v>5</v>
      </c>
      <c r="O5" s="14" t="s">
        <v>91</v>
      </c>
      <c r="P5" s="15">
        <f>IF(TEST!O5="",0,1)</f>
        <v>1</v>
      </c>
      <c r="R5" s="13" t="s">
        <v>11</v>
      </c>
      <c r="S5" s="14" t="str">
        <f>IF(compte="CCHQ",IF(AND($P$4=1,$P$5=1,$P$6=1,$P$7=1,$P$8=1,$P$9=0),_xlfn.MINIFS(BASE[INDEX],BASE[TITULAIRE],titulaire,BASE[COMPTE],compte,BASE[ANNEE],annee,BASE[MOIS],mois,BASE[CATEGORIE],categorie),""),IF(AND($P$4=1,$P$5=1,$P$6=1,$P$7=1,$P$8=1,$P$9=0),_xlfn.MINIFS(BASELJMO[INDEX],BASELJMO[TITULAIRE],titulaire,BASELJMO[COMPTE],compte,BASELJMO[ANNEE],annee,BASELJMO[MOIS],mois,BASELJMO[CATEGORIE],categorie),""))</f>
        <v/>
      </c>
      <c r="T5" s="14" t="str">
        <f>IF(compte="CCHQ",IF(AND($P$4=1,$P$5=1,$P$6=1,$P$7=1,$P$8=1,$P$9=0),_xlfn.MAXIFS(BASE[INDEX],BASE[TITULAIRE],titulaire,BASE[COMPTE],compte,BASE[ANNEE],annee,BASE[MOIS],mois,BASE[CATEGORIE],categorie),""),IF(AND($P$4=1,$P$5=1,$P$6=1,$P$7=1,$P$8=1,$P$9=0),_xlfn.MAXIFS(BASELJMO[INDEX],BASELJMO[TITULAIRE],titulaire,BASELJMO[COMPTE],compte,BASELJMO[ANNEE],annee,BASELJMO[MOIS],mois,BASELJMO[CATEGORIE],categorie),""))</f>
        <v/>
      </c>
      <c r="U5" s="15" t="str">
        <f>IF(compte="CCHQ",IF(AND($P$4=1,$P$5=1,$P$6=1,$P$7=1,$P$8=1,$P$9=0),COUNTIFS(BASE[TITULAIRE],titulaire,BASE[COMPTE],compte,BASE[ANNEE],annee,BASE[MOIS],mois,BASE[CATEGORIE],categorie),""),IF(AND($P$4=1,$P$5=1,$P$6=1,$P$7=1,$P$8=1,$P$9=0),COUNTIFS(BASELJMO[TITULAIRE],titulaire,BASELJMO[COMPTE],compte,BASELJMO[ANNEE],annee,BASELJMO[MOIS],mois,BASELJMO[CATEGORIE],categorie),""))</f>
        <v/>
      </c>
      <c r="Z5" s="13" t="s">
        <v>13</v>
      </c>
      <c r="AA5" s="14" t="str">
        <f>IF(AND($P$4=1,$P$5=1,$P$6=1,$P$7=0,$P$8=0,$P$9=0),SUM(SUMIFS(BASE[MONTANT],BASE[TITULAIRE],titulaire,BASE[COMPTE],compte,BASE[ANNEE],annee,BASE[CATEGORIE],$AE$16),SUMIFS(BASE[MONTANT],BASE[TITULAIRE],titulaire,BASE[COMPTE],compte,BASE[ANNEE],annee,BASE[CATEGORIE],$AE$23),SUMIFS(BASE[MONTANT],BASE[TITULAIRE],titulaire,BASE[COMPTE],compte,BASE[ANNEE],annee,BASE[CATEGORIE],$AE$26),SUMIFS(BASE[MONTANT],BASE[TITULAIRE],titulaire,BASE[COMPTE],compte,BASE[ANNEE],annee,BASE[CATEGORIE],$AE$29)),"")</f>
        <v/>
      </c>
      <c r="AB5" s="14" t="str">
        <f>IF(AND($P$4=1,$P$5=1,$P$6=1,$P$7=0,$P$8=0,$P$9=0),SUM(SUMIFS(BASE[MONTANT],BASE[TITULAIRE],titulaire,BASE[COMPTE],compte,BASE[ANNEE],annee,BASE[CATEGORIE],$AE$17),SUMIFS(BASE[MONTANT],BASE[TITULAIRE],titulaire,BASE[COMPTE],compte,BASE[ANNEE],annee,BASE[CATEGORIE],$AE$18),SUMIFS(BASE[MONTANT],BASE[TITULAIRE],titulaire,BASE[COMPTE],compte,BASE[ANNEE],annee,BASE[CATEGORIE],$AE$19),SUMIFS(BASE[MONTANT],BASE[TITULAIRE],titulaire,BASE[COMPTE],compte,BASE[ANNEE],annee,BASE[CATEGORIE],$AE$20),SUMIFS(BASE[MONTANT],BASE[TITULAIRE],titulaire,BASE[COMPTE],compte,BASE[ANNEE],annee,BASE[CATEGORIE],$AE$21),SUMIFS(BASE[MONTANT],BASE[TITULAIRE],titulaire,BASE[COMPTE],compte,BASE[ANNEE],annee,BASE[CATEGORIE],$AE$22),SUMIFS(BASE[MONTANT],BASE[TITULAIRE],titulaire,BASE[COMPTE],compte,BASE[ANNEE],annee,BASE[CATEGORIE],$AE$24),SUMIFS(BASE[MONTANT],BASE[TITULAIRE],titulaire,BASE[COMPTE],compte,BASE[ANNEE],annee,BASE[CATEGORIE],$AE$25),SUMIFS(BASE[MONTANT],BASE[TITULAIRE],titulaire,BASE[COMPTE],compte,BASE[ANNEE],annee,BASE[CATEGORIE],$AE$27),SUMIFS(BASE[MONTANT],BASE[TITULAIRE],titulaire,BASE[COMPTE],compte,BASE[ANNEE],annee,BASE[CATEGORIE],$AE$28),SUMIFS(BASE[MONTANT],BASE[TITULAIRE],titulaire,BASE[COMPTE],compte,BASE[ANNEE],annee,BASE[CATEGORIE],$AE$30),SUMIFS(BASE[MONTANT],BASE[TITULAIRE],titulaire,BASE[COMPTE],compte,BASE[ANNEE],annee,BASE[CATEGORIE],$AE$31)),"")</f>
        <v/>
      </c>
      <c r="AC5" s="15" t="str">
        <f t="shared" si="0"/>
        <v/>
      </c>
      <c r="AE5" s="14" t="s">
        <v>100</v>
      </c>
      <c r="AF5" s="14">
        <v>4</v>
      </c>
      <c r="AG5" s="14">
        <f>SUM(SUMIFS(BASE[MONTANT],BASE[TITULAIRE],titulaire,BASE[COMPTE],compte,BASE[ANNEE],annee,BASE[MOIS],AF5,BASE[CATEGORIE],$AE$16),SUMIFS(BASE[MONTANT],BASE[TITULAIRE],titulaire,BASE[COMPTE],compte,BASE[ANNEE],annee,BASE[MOIS],AF5,BASE[CATEGORIE],$AE$23),SUMIFS(BASE[MONTANT],BASE[TITULAIRE],titulaire,BASE[COMPTE],compte,BASE[ANNEE],annee,BASE[MOIS],AF5,BASE[CATEGORIE],$AE$26),SUMIFS(BASE[MONTANT],BASE[TITULAIRE],titulaire,BASE[COMPTE],compte,BASE[ANNEE],annee,BASE[MOIS],AF5,BASE[CATEGORIE],$AE$29))</f>
        <v>1231.1399999999999</v>
      </c>
      <c r="AH5" s="14">
        <f>IF(AND($P$4=1,$P$5=1,$P$6=1,$P$7=1,$P$8=0,$P$9=0),SUM(SUMIFS(BASE[MONTANT],BASE[TITULAIRE],titulaire,BASE[COMPTE],compte,BASE[ANNEE],annee,BASE[MOIS],AF5,BASE[CATEGORIE],$AE$17),SUMIFS(BASE[MONTANT],BASE[TITULAIRE],titulaire,BASE[COMPTE],compte,BASE[ANNEE],annee,BASE[MOIS],AF5,BASE[CATEGORIE],$AE$18),SUMIFS(BASE[MONTANT],BASE[TITULAIRE],titulaire,BASE[COMPTE],compte,BASE[ANNEE],annee,BASE[MOIS],AF5,BASE[CATEGORIE],$AE$19),SUMIFS(BASE[MONTANT],BASE[TITULAIRE],titulaire,BASE[COMPTE],compte,BASE[ANNEE],annee,BASE[MOIS],AF5,BASE[CATEGORIE],$AE$20),SUMIFS(BASE[MONTANT],BASE[TITULAIRE],titulaire,BASE[COMPTE],compte,BASE[ANNEE],annee,BASE[MOIS],AF5,BASE[CATEGORIE],$AE$21),SUMIFS(BASE[MONTANT],BASE[TITULAIRE],titulaire,BASE[COMPTE],compte,BASE[ANNEE],annee,BASE[MOIS],AF5,BASE[CATEGORIE],$AE$22),SUMIFS(BASE[MONTANT],BASE[TITULAIRE],titulaire,BASE[COMPTE],compte,BASE[ANNEE],annee,BASE[MOIS],AF5,BASE[CATEGORIE],$AE$24),SUMIFS(BASE[MONTANT],BASE[TITULAIRE],titulaire,BASE[COMPTE],compte,BASE[ANNEE],annee,BASE[MOIS],AF5,BASE[CATEGORIE],$AE$25),SUMIFS(BASE[MONTANT],BASE[TITULAIRE],titulaire,BASE[COMPTE],compte,BASE[ANNEE],annee,BASE[MOIS],AF5,BASE[CATEGORIE],$AE$27),SUMIFS(BASE[MONTANT],BASE[TITULAIRE],titulaire,BASE[COMPTE],compte,BASE[ANNEE],annee,BASE[MOIS],AF5,BASE[CATEGORIE],$AE$28),SUMIFS(BASE[MONTANT],BASE[TITULAIRE],titulaire,BASE[COMPTE],compte,BASE[ANNEE],annee,BASE[MOIS],AF5,BASE[CATEGORIE],$AE$30),SUMIFS(BASE[MONTANT],BASE[TITULAIRE],titulaire,BASE[COMPTE],compte,BASE[ANNEE],annee,BASE[MOIS],AF5,BASE[CATEGORIE],$AE$31)),"")</f>
        <v>1281.6100000000001</v>
      </c>
      <c r="AI5" s="14">
        <f t="shared" si="1"/>
        <v>72.069999999999936</v>
      </c>
    </row>
    <row r="6" spans="2:36" ht="15.75" thickBot="1" x14ac:dyDescent="0.3">
      <c r="B6" s="7"/>
      <c r="E6" s="2"/>
      <c r="N6" s="13" t="s">
        <v>3</v>
      </c>
      <c r="O6" s="14">
        <v>2019</v>
      </c>
      <c r="P6" s="15">
        <f>IF(TEST!O6="",0,1)</f>
        <v>1</v>
      </c>
      <c r="R6" s="13" t="s">
        <v>12</v>
      </c>
      <c r="S6" s="14">
        <f>IF(compte="CCHQ",IF(AND($P$4=1,$P$5=1,$P$6=1,$P$7=1,$P$8=0,$P$9=0),_xlfn.MINIFS(BASE[INDEX],BASE[TITULAIRE],titulaire,BASE[COMPTE],compte,BASE[ANNEE],annee,BASE[MOIS],mois),""),IF(AND($P$4=1,$P$5=1,$P$6=1,$P$7=1,$P$8=0,$P$9=0),_xlfn.MINIFS(BASELJMO[INDEX],BASELJMO[TITULAIRE],titulaire,BASELJMO[COMPTE],compte,BASELJMO[ANNEE],annee,BASELJMO[MOIS],mois),""))</f>
        <v>197</v>
      </c>
      <c r="T6" s="14">
        <f>IF(compte="CCHQ",IF(AND($P$4=1,$P$5=1,$P$6=1,$P$7=1,$P$8=0,$P$9=0),_xlfn.MAXIFS(BASE[INDEX],BASE[TITULAIRE],titulaire,BASE[COMPTE],compte,BASE[ANNEE],annee,BASE[MOIS],mois),""),IF(AND($P$4=1,$P$5=1,$P$6=1,$P$7=1,$P$8=0,$P$9=0),_xlfn.MAXIFS(BASELJMO[INDEX],BASELJMO[TITULAIRE],titulaire,BASELJMO[COMPTE],compte,BASELJMO[ANNEE],annee,BASELJMO[MOIS],mois),""))</f>
        <v>249</v>
      </c>
      <c r="U6" s="15">
        <f>IF(compte="CCHQ",IF(AND($P$4=1,$P$5=1,$P$6=1,$P$7=1,$P$8=0,$P$9=0),COUNTIFS(BASE[TITULAIRE],titulaire,BASE[COMPTE],compte,BASE[ANNEE],annee,BASE[MOIS],mois),""),IF(AND($P$4=1,$P$5=1,$P$6=1,$P$7=1,$P$8=0,$P$9=0),COUNTIFS(BASELJMO[TITULAIRE],titulaire,BASELJMO[COMPTE],compte,BASELJMO[ANNEE],annee,BASELJMO[MOIS],mois),""))</f>
        <v>53</v>
      </c>
      <c r="Z6" s="16" t="s">
        <v>118</v>
      </c>
      <c r="AA6" s="17">
        <f>MAX(AA2:AA5)</f>
        <v>2098.34</v>
      </c>
      <c r="AB6" s="17">
        <f>MAX(AB2:AB5)</f>
        <v>2071.59</v>
      </c>
      <c r="AC6" s="18">
        <f>MAX(AC2:AC5)+AI14</f>
        <v>69.590000000000146</v>
      </c>
      <c r="AE6" s="14" t="s">
        <v>101</v>
      </c>
      <c r="AF6" s="14">
        <v>5</v>
      </c>
      <c r="AG6" s="14">
        <f>SUM(SUMIFS(BASE[MONTANT],BASE[TITULAIRE],titulaire,BASE[COMPTE],compte,BASE[ANNEE],annee,BASE[MOIS],AF6,BASE[CATEGORIE],$AE$16),SUMIFS(BASE[MONTANT],BASE[TITULAIRE],titulaire,BASE[COMPTE],compte,BASE[ANNEE],annee,BASE[MOIS],AF6,BASE[CATEGORIE],$AE$23),SUMIFS(BASE[MONTANT],BASE[TITULAIRE],titulaire,BASE[COMPTE],compte,BASE[ANNEE],annee,BASE[MOIS],AF6,BASE[CATEGORIE],$AE$26),SUMIFS(BASE[MONTANT],BASE[TITULAIRE],titulaire,BASE[COMPTE],compte,BASE[ANNEE],annee,BASE[MOIS],AF6,BASE[CATEGORIE],$AE$29))</f>
        <v>990.44</v>
      </c>
      <c r="AH6" s="14">
        <f>IF(AND($P$4=1,$P$5=1,$P$6=1,$P$7=1,$P$8=0,$P$9=0),SUM(SUMIFS(BASE[MONTANT],BASE[TITULAIRE],titulaire,BASE[COMPTE],compte,BASE[ANNEE],annee,BASE[MOIS],AF6,BASE[CATEGORIE],$AE$17),SUMIFS(BASE[MONTANT],BASE[TITULAIRE],titulaire,BASE[COMPTE],compte,BASE[ANNEE],annee,BASE[MOIS],AF6,BASE[CATEGORIE],$AE$18),SUMIFS(BASE[MONTANT],BASE[TITULAIRE],titulaire,BASE[COMPTE],compte,BASE[ANNEE],annee,BASE[MOIS],AF6,BASE[CATEGORIE],$AE$19),SUMIFS(BASE[MONTANT],BASE[TITULAIRE],titulaire,BASE[COMPTE],compte,BASE[ANNEE],annee,BASE[MOIS],AF6,BASE[CATEGORIE],$AE$20),SUMIFS(BASE[MONTANT],BASE[TITULAIRE],titulaire,BASE[COMPTE],compte,BASE[ANNEE],annee,BASE[MOIS],AF6,BASE[CATEGORIE],$AE$21),SUMIFS(BASE[MONTANT],BASE[TITULAIRE],titulaire,BASE[COMPTE],compte,BASE[ANNEE],annee,BASE[MOIS],AF6,BASE[CATEGORIE],$AE$22),SUMIFS(BASE[MONTANT],BASE[TITULAIRE],titulaire,BASE[COMPTE],compte,BASE[ANNEE],annee,BASE[MOIS],AF6,BASE[CATEGORIE],$AE$24),SUMIFS(BASE[MONTANT],BASE[TITULAIRE],titulaire,BASE[COMPTE],compte,BASE[ANNEE],annee,BASE[MOIS],AF6,BASE[CATEGORIE],$AE$25),SUMIFS(BASE[MONTANT],BASE[TITULAIRE],titulaire,BASE[COMPTE],compte,BASE[ANNEE],annee,BASE[MOIS],AF6,BASE[CATEGORIE],$AE$27),SUMIFS(BASE[MONTANT],BASE[TITULAIRE],titulaire,BASE[COMPTE],compte,BASE[ANNEE],annee,BASE[MOIS],AF6,BASE[CATEGORIE],$AE$28),SUMIFS(BASE[MONTANT],BASE[TITULAIRE],titulaire,BASE[COMPTE],compte,BASE[ANNEE],annee,BASE[MOIS],AF6,BASE[CATEGORIE],$AE$30),SUMIFS(BASE[MONTANT],BASE[TITULAIRE],titulaire,BASE[COMPTE],compte,BASE[ANNEE],annee,BASE[MOIS],AF6,BASE[CATEGORIE],$AE$31)),"")</f>
        <v>1034.0800000000002</v>
      </c>
      <c r="AI6" s="14">
        <f t="shared" si="1"/>
        <v>28.429999999999836</v>
      </c>
    </row>
    <row r="7" spans="2:36" x14ac:dyDescent="0.25">
      <c r="B7" s="7"/>
      <c r="E7" s="2"/>
      <c r="N7" s="13" t="s">
        <v>4</v>
      </c>
      <c r="O7" s="14">
        <v>2</v>
      </c>
      <c r="P7" s="15">
        <f>IF(TEST!O7="",0,1)</f>
        <v>1</v>
      </c>
      <c r="R7" s="13" t="s">
        <v>13</v>
      </c>
      <c r="S7" s="14" t="str">
        <f>IF(compte="CCHQ",IF(AND($P$4=1,$P$5=1,$P$6=1,$P$7=0,$P$8=0,$P$9=0),_xlfn.MINIFS(BASE[INDEX],BASE[TITULAIRE],titulaire,BASE[COMPTE],compte,BASE[ANNEE],annee),""),IF(AND($P$4=1,$P$5=1,$P$6=1,$P$7=0,$P$8=0,$P$9=0),_xlfn.MINIFS(BASELJMO[INDEX],BASELJMO[TITULAIRE],titulaire,BASELJMO[COMPTE],compte,BASELJMO[ANNEE],annee),""))</f>
        <v/>
      </c>
      <c r="T7" s="14" t="str">
        <f>IF(compte="CCHQ",IF(AND($P$4=1,$P$5=1,$P$6=1,$P$7=0,$P$8=0,$P$9=0),_xlfn.MAXIFS(BASE[INDEX],BASE[TITULAIRE],titulaire,BASE[COMPTE],compte,BASE[ANNEE],annee),""),IF(AND($P$4=1,$P$5=1,$P$6=1,$P$7=0,$P$8=0,$P$9=0),_xlfn.MAXIFS(BASELJMO[INDEX],BASELJMO[TITULAIRE],titulaire,BASELJMO[COMPTE],compte,BASELJMO[ANNEE],annee),""))</f>
        <v/>
      </c>
      <c r="U7" s="15" t="str">
        <f>IF(compte="CCHQ",IF(AND($P$4=1,$P$5=1,$P$6=1,$P$7=0,$P$8=0,$P$9=0),COUNTIFS(BASE[TITULAIRE],titulaire,BASE[COMPTE],compte,BASE[ANNEE],annee),""),IF(AND($P$4=1,$P$5=1,$P$6=1,$P$7=0,$P$8=0,$P$9=0),COUNTIFS(BASELJMO[TITULAIRE],titulaire,BASELJMO[COMPTE],compte,BASELJMO[ANNEE],annee),""))</f>
        <v/>
      </c>
      <c r="AE7" s="14" t="s">
        <v>102</v>
      </c>
      <c r="AF7" s="14">
        <v>6</v>
      </c>
      <c r="AG7" s="14">
        <f>SUM(SUMIFS(BASE[MONTANT],BASE[TITULAIRE],titulaire,BASE[COMPTE],compte,BASE[ANNEE],annee,BASE[MOIS],AF7,BASE[CATEGORIE],$AE$16),SUMIFS(BASE[MONTANT],BASE[TITULAIRE],titulaire,BASE[COMPTE],compte,BASE[ANNEE],annee,BASE[MOIS],AF7,BASE[CATEGORIE],$AE$23),SUMIFS(BASE[MONTANT],BASE[TITULAIRE],titulaire,BASE[COMPTE],compte,BASE[ANNEE],annee,BASE[MOIS],AF7,BASE[CATEGORIE],$AE$26),SUMIFS(BASE[MONTANT],BASE[TITULAIRE],titulaire,BASE[COMPTE],compte,BASE[ANNEE],annee,BASE[MOIS],AF7,BASE[CATEGORIE],$AE$29))</f>
        <v>978.46999999999991</v>
      </c>
      <c r="AH7" s="14">
        <f>IF(AND($P$4=1,$P$5=1,$P$6=1,$P$7=1,$P$8=0,$P$9=0),SUM(SUMIFS(BASE[MONTANT],BASE[TITULAIRE],titulaire,BASE[COMPTE],compte,BASE[ANNEE],annee,BASE[MOIS],AF7,BASE[CATEGORIE],$AE$17),SUMIFS(BASE[MONTANT],BASE[TITULAIRE],titulaire,BASE[COMPTE],compte,BASE[ANNEE],annee,BASE[MOIS],AF7,BASE[CATEGORIE],$AE$18),SUMIFS(BASE[MONTANT],BASE[TITULAIRE],titulaire,BASE[COMPTE],compte,BASE[ANNEE],annee,BASE[MOIS],AF7,BASE[CATEGORIE],$AE$19),SUMIFS(BASE[MONTANT],BASE[TITULAIRE],titulaire,BASE[COMPTE],compte,BASE[ANNEE],annee,BASE[MOIS],AF7,BASE[CATEGORIE],$AE$20),SUMIFS(BASE[MONTANT],BASE[TITULAIRE],titulaire,BASE[COMPTE],compte,BASE[ANNEE],annee,BASE[MOIS],AF7,BASE[CATEGORIE],$AE$21),SUMIFS(BASE[MONTANT],BASE[TITULAIRE],titulaire,BASE[COMPTE],compte,BASE[ANNEE],annee,BASE[MOIS],AF7,BASE[CATEGORIE],$AE$22),SUMIFS(BASE[MONTANT],BASE[TITULAIRE],titulaire,BASE[COMPTE],compte,BASE[ANNEE],annee,BASE[MOIS],AF7,BASE[CATEGORIE],$AE$24),SUMIFS(BASE[MONTANT],BASE[TITULAIRE],titulaire,BASE[COMPTE],compte,BASE[ANNEE],annee,BASE[MOIS],AF7,BASE[CATEGORIE],$AE$25),SUMIFS(BASE[MONTANT],BASE[TITULAIRE],titulaire,BASE[COMPTE],compte,BASE[ANNEE],annee,BASE[MOIS],AF7,BASE[CATEGORIE],$AE$27),SUMIFS(BASE[MONTANT],BASE[TITULAIRE],titulaire,BASE[COMPTE],compte,BASE[ANNEE],annee,BASE[MOIS],AF7,BASE[CATEGORIE],$AE$28),SUMIFS(BASE[MONTANT],BASE[TITULAIRE],titulaire,BASE[COMPTE],compte,BASE[ANNEE],annee,BASE[MOIS],AF7,BASE[CATEGORIE],$AE$30),SUMIFS(BASE[MONTANT],BASE[TITULAIRE],titulaire,BASE[COMPTE],compte,BASE[ANNEE],annee,BASE[MOIS],AF7,BASE[CATEGORIE],$AE$31)),"")</f>
        <v>691.06</v>
      </c>
      <c r="AI7" s="14">
        <f>AG7-AH7+AI6</f>
        <v>315.8399999999998</v>
      </c>
    </row>
    <row r="8" spans="2:36" x14ac:dyDescent="0.25">
      <c r="B8" s="7"/>
      <c r="E8" s="2"/>
      <c r="N8" s="13" t="s">
        <v>2</v>
      </c>
      <c r="O8" s="14"/>
      <c r="P8" s="15">
        <f>IF(TEST!O8="",0,1)</f>
        <v>0</v>
      </c>
      <c r="R8" s="13" t="s">
        <v>14</v>
      </c>
      <c r="S8" s="14" t="str">
        <f>IF(compte="CCHQ",IF(AND($P$4=1,$P$5=1,$P$6=1,$P$7=0,$P$8=1,$P$9=0),_xlfn.MINIFS(BASE[INDEX],BASE[TITULAIRE],titulaire,BASE[COMPTE],compte,BASE[ANNEE],annee,BASE[CATEGORIE],categorie),""),IF(AND($P$4=1,$P$5=1,$P$6=1,$P$7=0,$P$8=1,$P$9=0),_xlfn.MINIFS(BASELJMO[INDEX],BASELJMO[TITULAIRE],titulaire,BASELJMO[COMPTE],compte,BASELJMO[ANNEE],annee,BASELJMO[CATEGORIE],categorie),""))</f>
        <v/>
      </c>
      <c r="T8" s="14" t="str">
        <f>IF(compte="CCHQ",IF(AND($P$4=1,$P$5=1,$P$6=1,$P$7=0,$P$8=1,$P$9=0),_xlfn.MAXIFS(BASE[INDEX],BASE[TITULAIRE],titulaire,BASE[COMPTE],compte,BASE[ANNEE],annee,BASE[CATEGORIE],categorie),""),IF(AND($P$4=1,$P$5=1,$P$6=1,$P$7=0,$P$8=1,$P$9=0),_xlfn.MAXIFS(BASELJMO[INDEX],BASELJMO[TITULAIRE],titulaire,BASELJMO[COMPTE],compte,BASELJMO[ANNEE],annee,BASELJMO[CATEGORIE],categorie),""))</f>
        <v/>
      </c>
      <c r="U8" s="15" t="str">
        <f>IF(compte="CCHQ",IF(AND($P$4=1,$P$5=1,$P$6=1,$P$7=0,$P$8=1,$P$9=0),COUNTIFS(BASE[TITULAIRE],titulaire,BASE[COMPTE],compte,BASE[ANNEE],annee,BASE[CATEGORIE],categorie),""),IF(AND($P$4=1,$P$5=1,$P$6=1,$P$7=0,$P$8=1,$P$9=0),COUNTIFS(BASELJMO[TITULAIRE],titulaire,BASELJMO[COMPTE],compte,BASELJMO[ANNEE],annee,BASELJMO[CATEGORIE],categorie),""))</f>
        <v/>
      </c>
      <c r="AE8" s="14" t="s">
        <v>103</v>
      </c>
      <c r="AF8" s="14">
        <v>7</v>
      </c>
      <c r="AG8" s="14">
        <f>SUM(SUMIFS(BASE[MONTANT],BASE[TITULAIRE],titulaire,BASE[COMPTE],compte,BASE[ANNEE],annee,BASE[MOIS],AF8,BASE[CATEGORIE],$AE$16),SUMIFS(BASE[MONTANT],BASE[TITULAIRE],titulaire,BASE[COMPTE],compte,BASE[ANNEE],annee,BASE[MOIS],AF8,BASE[CATEGORIE],$AE$23),SUMIFS(BASE[MONTANT],BASE[TITULAIRE],titulaire,BASE[COMPTE],compte,BASE[ANNEE],annee,BASE[MOIS],AF8,BASE[CATEGORIE],$AE$26),SUMIFS(BASE[MONTANT],BASE[TITULAIRE],titulaire,BASE[COMPTE],compte,BASE[ANNEE],annee,BASE[MOIS],AF8,BASE[CATEGORIE],$AE$29))</f>
        <v>0</v>
      </c>
      <c r="AH8" s="14">
        <f>IF(AND($P$4=1,$P$5=1,$P$6=1,$P$7=1,$P$8=0,$P$9=0),SUM(SUMIFS(BASE[MONTANT],BASE[TITULAIRE],titulaire,BASE[COMPTE],compte,BASE[ANNEE],annee,BASE[MOIS],AF8,BASE[CATEGORIE],$AE$17),SUMIFS(BASE[MONTANT],BASE[TITULAIRE],titulaire,BASE[COMPTE],compte,BASE[ANNEE],annee,BASE[MOIS],AF8,BASE[CATEGORIE],$AE$18),SUMIFS(BASE[MONTANT],BASE[TITULAIRE],titulaire,BASE[COMPTE],compte,BASE[ANNEE],annee,BASE[MOIS],AF8,BASE[CATEGORIE],$AE$19),SUMIFS(BASE[MONTANT],BASE[TITULAIRE],titulaire,BASE[COMPTE],compte,BASE[ANNEE],annee,BASE[MOIS],AF8,BASE[CATEGORIE],$AE$20),SUMIFS(BASE[MONTANT],BASE[TITULAIRE],titulaire,BASE[COMPTE],compte,BASE[ANNEE],annee,BASE[MOIS],AF8,BASE[CATEGORIE],$AE$21),SUMIFS(BASE[MONTANT],BASE[TITULAIRE],titulaire,BASE[COMPTE],compte,BASE[ANNEE],annee,BASE[MOIS],AF8,BASE[CATEGORIE],$AE$22),SUMIFS(BASE[MONTANT],BASE[TITULAIRE],titulaire,BASE[COMPTE],compte,BASE[ANNEE],annee,BASE[MOIS],AF8,BASE[CATEGORIE],$AE$24),SUMIFS(BASE[MONTANT],BASE[TITULAIRE],titulaire,BASE[COMPTE],compte,BASE[ANNEE],annee,BASE[MOIS],AF8,BASE[CATEGORIE],$AE$25),SUMIFS(BASE[MONTANT],BASE[TITULAIRE],titulaire,BASE[COMPTE],compte,BASE[ANNEE],annee,BASE[MOIS],AF8,BASE[CATEGORIE],$AE$27),SUMIFS(BASE[MONTANT],BASE[TITULAIRE],titulaire,BASE[COMPTE],compte,BASE[ANNEE],annee,BASE[MOIS],AF8,BASE[CATEGORIE],$AE$28),SUMIFS(BASE[MONTANT],BASE[TITULAIRE],titulaire,BASE[COMPTE],compte,BASE[ANNEE],annee,BASE[MOIS],AF8,BASE[CATEGORIE],$AE$30),SUMIFS(BASE[MONTANT],BASE[TITULAIRE],titulaire,BASE[COMPTE],compte,BASE[ANNEE],annee,BASE[MOIS],AF8,BASE[CATEGORIE],$AE$31)),"")</f>
        <v>0</v>
      </c>
      <c r="AI8" s="14">
        <f t="shared" si="1"/>
        <v>315.8399999999998</v>
      </c>
    </row>
    <row r="9" spans="2:36" ht="15.75" thickBot="1" x14ac:dyDescent="0.3">
      <c r="B9" s="7"/>
      <c r="E9" s="2"/>
      <c r="N9" s="16" t="s">
        <v>1</v>
      </c>
      <c r="O9" s="17"/>
      <c r="P9" s="18">
        <f>IF(TEST!O9="",0,1)</f>
        <v>0</v>
      </c>
      <c r="R9" s="13" t="s">
        <v>15</v>
      </c>
      <c r="S9" s="14" t="str">
        <f>IF(compte="CCHQ",IF(AND($P$4=1,$P$5=1,$P$6=1,$P$7=0,$P$8=0,$P$9=1),_xlfn.MINIFS(BASE[INDEX],BASE[TITULAIRE],titulaire,BASE[COMPTE],compte,BASE[ANNEE],annee,BASE[DESCRIPTION],descritpion),""),IF(AND($P$4=1,$P$5=1,$P$6=1,$P$7=0,$P$8=0,$P$9=1),_xlfn.MINIFS(BASELJMO[INDEX],BASELJMO[TITULAIRE],titulaire,BASELJMO[COMPTE],compte,BASELJMO[ANNEE],annee,BASELJMO[DESCRIPTION],descritpion),""))</f>
        <v/>
      </c>
      <c r="T9" s="14" t="str">
        <f>IF(compte="CCHQ",IF(AND($P$4=1,$P$5=1,$P$6=1,$P$7=0,$P$8=0,$P$9=1),_xlfn.MAXIFS(BASE[INDEX],BASE[TITULAIRE],titulaire,BASE[COMPTE],compte,BASE[ANNEE],annee,BASE[DESCRIPTION],descritpion),""),IF(AND($P$4=1,$P$5=1,$P$6=1,$P$7=0,$P$8=0,$P$9=1),_xlfn.MAXIFS(BASELJMO[INDEX],BASELJMO[TITULAIRE],titulaire,BASELJMO[COMPTE],compte,BASELJMO[ANNEE],annee,BASELJMO[DESCRIPTION],descritpion),""))</f>
        <v/>
      </c>
      <c r="U9" s="15" t="str">
        <f>IF(compte="CCHQ",IF(AND($P$4=1,$P$5=1,$P$6=1,$P$7=0,$P$8=0,$P$9=1),COUNTIFS(BASE[TITULAIRE],titulaire,BASE[COMPTE],compte,BASE[ANNEE],annee,BASE[DESCRIPTION],descritpion),""),IF(AND($P$4=1,$P$5=1,$P$6=1,$P$7=0,$P$8=0,$P$9=1),COUNTIFS(BASELJMO[TITULAIRE],titulaire,BASELJMO[COMPTE],compte,BASELJMO[ANNEE],annee,BASELJMO[DESCRIPTION],descritpion),""))</f>
        <v/>
      </c>
      <c r="AB9" s="2">
        <f>AC9-AI2</f>
        <v>0</v>
      </c>
      <c r="AC9" s="1">
        <f>ABS(AC4-AC10)</f>
        <v>42.840000000000146</v>
      </c>
      <c r="AE9" s="14" t="s">
        <v>104</v>
      </c>
      <c r="AF9" s="14">
        <v>8</v>
      </c>
      <c r="AG9" s="14">
        <f>SUM(SUMIFS(BASE[MONTANT],BASE[TITULAIRE],titulaire,BASE[COMPTE],compte,BASE[ANNEE],annee,BASE[MOIS],AF9,BASE[CATEGORIE],$AE$16),SUMIFS(BASE[MONTANT],BASE[TITULAIRE],titulaire,BASE[COMPTE],compte,BASE[ANNEE],annee,BASE[MOIS],AF9,BASE[CATEGORIE],$AE$23),SUMIFS(BASE[MONTANT],BASE[TITULAIRE],titulaire,BASE[COMPTE],compte,BASE[ANNEE],annee,BASE[MOIS],AF9,BASE[CATEGORIE],$AE$26),SUMIFS(BASE[MONTANT],BASE[TITULAIRE],titulaire,BASE[COMPTE],compte,BASE[ANNEE],annee,BASE[MOIS],AF9,BASE[CATEGORIE],$AE$29))</f>
        <v>0</v>
      </c>
      <c r="AH9" s="14">
        <f>IF(AND($P$4=1,$P$5=1,$P$6=1,$P$7=1,$P$8=0,$P$9=0),SUM(SUMIFS(BASE[MONTANT],BASE[TITULAIRE],titulaire,BASE[COMPTE],compte,BASE[ANNEE],annee,BASE[MOIS],AF9,BASE[CATEGORIE],$AE$17),SUMIFS(BASE[MONTANT],BASE[TITULAIRE],titulaire,BASE[COMPTE],compte,BASE[ANNEE],annee,BASE[MOIS],AF9,BASE[CATEGORIE],$AE$18),SUMIFS(BASE[MONTANT],BASE[TITULAIRE],titulaire,BASE[COMPTE],compte,BASE[ANNEE],annee,BASE[MOIS],AF9,BASE[CATEGORIE],$AE$19),SUMIFS(BASE[MONTANT],BASE[TITULAIRE],titulaire,BASE[COMPTE],compte,BASE[ANNEE],annee,BASE[MOIS],AF9,BASE[CATEGORIE],$AE$20),SUMIFS(BASE[MONTANT],BASE[TITULAIRE],titulaire,BASE[COMPTE],compte,BASE[ANNEE],annee,BASE[MOIS],AF9,BASE[CATEGORIE],$AE$21),SUMIFS(BASE[MONTANT],BASE[TITULAIRE],titulaire,BASE[COMPTE],compte,BASE[ANNEE],annee,BASE[MOIS],AF9,BASE[CATEGORIE],$AE$22),SUMIFS(BASE[MONTANT],BASE[TITULAIRE],titulaire,BASE[COMPTE],compte,BASE[ANNEE],annee,BASE[MOIS],AF9,BASE[CATEGORIE],$AE$24),SUMIFS(BASE[MONTANT],BASE[TITULAIRE],titulaire,BASE[COMPTE],compte,BASE[ANNEE],annee,BASE[MOIS],AF9,BASE[CATEGORIE],$AE$25),SUMIFS(BASE[MONTANT],BASE[TITULAIRE],titulaire,BASE[COMPTE],compte,BASE[ANNEE],annee,BASE[MOIS],AF9,BASE[CATEGORIE],$AE$27),SUMIFS(BASE[MONTANT],BASE[TITULAIRE],titulaire,BASE[COMPTE],compte,BASE[ANNEE],annee,BASE[MOIS],AF9,BASE[CATEGORIE],$AE$28),SUMIFS(BASE[MONTANT],BASE[TITULAIRE],titulaire,BASE[COMPTE],compte,BASE[ANNEE],annee,BASE[MOIS],AF9,BASE[CATEGORIE],$AE$30),SUMIFS(BASE[MONTANT],BASE[TITULAIRE],titulaire,BASE[COMPTE],compte,BASE[ANNEE],annee,BASE[MOIS],AF9,BASE[CATEGORIE],$AE$31)),"")</f>
        <v>0</v>
      </c>
      <c r="AI9" s="14">
        <f t="shared" si="1"/>
        <v>315.8399999999998</v>
      </c>
    </row>
    <row r="10" spans="2:36" x14ac:dyDescent="0.25">
      <c r="B10" s="7"/>
      <c r="E10" s="2"/>
      <c r="R10" s="13" t="s">
        <v>16</v>
      </c>
      <c r="S10" s="14" t="str">
        <f>IF(compte="CCHQ",IF(AND($P$4=1,$P$5=1,$P$6=1,$P$7=0,$P$8=1,$P$9=1),_xlfn.MINIFS(BASE[INDEX],BASE[TITULAIRE],titulaire,BASE[COMPTE],compte,BASE[ANNEE],annee,BASE[CATEGORIE],categorie,BASE[DESCRIPTION],descritpion),""),IF(AND($P$4=1,$P$5=1,$P$6=1,$P$7=0,$P$8=1,$P$9=1),_xlfn.MINIFS(BASELJMO[INDEX],BASELJMO[TITULAIRE],titulaire,BASELJMO[COMPTE],compte,BASELJMO[ANNEE],annee,BASELJMO[CATEGORIE],categorie,BASELJMO[DESCRIPTION],descritpion),""))</f>
        <v/>
      </c>
      <c r="T10" s="14" t="str">
        <f>IF(compte="CCHQ",IF(AND($P$4=1,$P$5=1,$P$6=1,$P$7=0,$P$8=1,$P$9=1),_xlfn.MAXIFS(BASE[INDEX],BASE[TITULAIRE],titulaire,BASE[COMPTE],compte,BASE[ANNEE],annee,BASE[CATEGORIE],categorie,BASE[DESCRIPTION],descritpion),""),IF(AND($P$4=1,$P$5=1,$P$6=1,$P$7=0,$P$8=1,$P$9=1),_xlfn.MAXIFS(BASELJMO[INDEX],BASELJMO[TITULAIRE],titulaire,BASELJMO[COMPTE],compte,BASELJMO[ANNEE],annee,BASELJMO[CATEGORIE],categorie,BASELJMO[DESCRIPTION],descritpion),""))</f>
        <v/>
      </c>
      <c r="U10" s="15" t="str">
        <f>IF(compte="CCHQ",IF(AND($P$4=1,$P$5=1,$P$6=1,$P$7=0,$P$8=1,$P$9=1),COUNTIFS(BASE[TITULAIRE],titulaire,BASE[COMPTE],compte,BASE[ANNEE],annee,BASE[CATEGORIE],categorie,BASE[DESCRIPTION],descritpion),""),IF(AND($P$4=1,$P$5=1,$P$6=1,$P$7=0,$P$8=1,$P$9=1),COUNTIFS(BASELJMO[TITULAIRE],titulaire,BASELJMO[COMPTE],compte,BASELJMO[ANNEE],annee,BASELJMO[CATEGORIE],categorie,BASELJMO[DESCRIPTION],descritpion),""))</f>
        <v/>
      </c>
      <c r="AC10" s="1">
        <v>69.590000000000146</v>
      </c>
      <c r="AE10" s="14" t="s">
        <v>105</v>
      </c>
      <c r="AF10" s="14">
        <v>9</v>
      </c>
      <c r="AG10" s="14">
        <f>SUM(SUMIFS(BASE[MONTANT],BASE[TITULAIRE],titulaire,BASE[COMPTE],compte,BASE[ANNEE],annee,BASE[MOIS],AF10,BASE[CATEGORIE],$AE$16),SUMIFS(BASE[MONTANT],BASE[TITULAIRE],titulaire,BASE[COMPTE],compte,BASE[ANNEE],annee,BASE[MOIS],AF10,BASE[CATEGORIE],$AE$23),SUMIFS(BASE[MONTANT],BASE[TITULAIRE],titulaire,BASE[COMPTE],compte,BASE[ANNEE],annee,BASE[MOIS],AF10,BASE[CATEGORIE],$AE$26),SUMIFS(BASE[MONTANT],BASE[TITULAIRE],titulaire,BASE[COMPTE],compte,BASE[ANNEE],annee,BASE[MOIS],AF10,BASE[CATEGORIE],$AE$29))</f>
        <v>0</v>
      </c>
      <c r="AH10" s="14">
        <f>IF(AND($P$4=1,$P$5=1,$P$6=1,$P$7=1,$P$8=0,$P$9=0),SUM(SUMIFS(BASE[MONTANT],BASE[TITULAIRE],titulaire,BASE[COMPTE],compte,BASE[ANNEE],annee,BASE[MOIS],AF10,BASE[CATEGORIE],$AE$17),SUMIFS(BASE[MONTANT],BASE[TITULAIRE],titulaire,BASE[COMPTE],compte,BASE[ANNEE],annee,BASE[MOIS],AF10,BASE[CATEGORIE],$AE$18),SUMIFS(BASE[MONTANT],BASE[TITULAIRE],titulaire,BASE[COMPTE],compte,BASE[ANNEE],annee,BASE[MOIS],AF10,BASE[CATEGORIE],$AE$19),SUMIFS(BASE[MONTANT],BASE[TITULAIRE],titulaire,BASE[COMPTE],compte,BASE[ANNEE],annee,BASE[MOIS],AF10,BASE[CATEGORIE],$AE$20),SUMIFS(BASE[MONTANT],BASE[TITULAIRE],titulaire,BASE[COMPTE],compte,BASE[ANNEE],annee,BASE[MOIS],AF10,BASE[CATEGORIE],$AE$21),SUMIFS(BASE[MONTANT],BASE[TITULAIRE],titulaire,BASE[COMPTE],compte,BASE[ANNEE],annee,BASE[MOIS],AF10,BASE[CATEGORIE],$AE$22),SUMIFS(BASE[MONTANT],BASE[TITULAIRE],titulaire,BASE[COMPTE],compte,BASE[ANNEE],annee,BASE[MOIS],AF10,BASE[CATEGORIE],$AE$24),SUMIFS(BASE[MONTANT],BASE[TITULAIRE],titulaire,BASE[COMPTE],compte,BASE[ANNEE],annee,BASE[MOIS],AF10,BASE[CATEGORIE],$AE$25),SUMIFS(BASE[MONTANT],BASE[TITULAIRE],titulaire,BASE[COMPTE],compte,BASE[ANNEE],annee,BASE[MOIS],AF10,BASE[CATEGORIE],$AE$27),SUMIFS(BASE[MONTANT],BASE[TITULAIRE],titulaire,BASE[COMPTE],compte,BASE[ANNEE],annee,BASE[MOIS],AF10,BASE[CATEGORIE],$AE$28),SUMIFS(BASE[MONTANT],BASE[TITULAIRE],titulaire,BASE[COMPTE],compte,BASE[ANNEE],annee,BASE[MOIS],AF10,BASE[CATEGORIE],$AE$30),SUMIFS(BASE[MONTANT],BASE[TITULAIRE],titulaire,BASE[COMPTE],compte,BASE[ANNEE],annee,BASE[MOIS],AF10,BASE[CATEGORIE],$AE$31)),"")</f>
        <v>0</v>
      </c>
      <c r="AI10" s="14">
        <f t="shared" si="1"/>
        <v>315.8399999999998</v>
      </c>
    </row>
    <row r="11" spans="2:36" x14ac:dyDescent="0.25">
      <c r="B11" s="7"/>
      <c r="E11" s="2"/>
      <c r="R11" s="13" t="s">
        <v>17</v>
      </c>
      <c r="S11" s="14" t="str">
        <f>IF(compte="CCHQ",IF(AND($P$4=1,$P$5=1,$P$6=1,$P$7=1,$P$8=0,$P$9=1),_xlfn.MINIFS(BASE[INDEX],BASE[TITULAIRE],titulaire,BASE[COMPTE],compte,BASE[ANNEE],annee,BASE[MOIS],mois,BASE[DESCRIPTION],descritpion),""),IF(AND($P$4=1,$P$5=1,$P$6=1,$P$7=1,$P$8=0,$P$9=1),_xlfn.MINIFS(BASELJMO[INDEX],BASELJMO[TITULAIRE],titulaire,BASELJMO[COMPTE],compte,BASELJMO[ANNEE],annee,BASELJMO[MOIS],mois,BASELJMO[DESCRIPTION],descritpion),""))</f>
        <v/>
      </c>
      <c r="T11" s="14" t="str">
        <f>IF(compte="CCHQ",IF(AND($P$4=1,$P$5=1,$P$6=1,$P$7=1,$P$8=0,$P$9=1),_xlfn.MAXIFS(BASE[INDEX],BASE[TITULAIRE],titulaire,BASE[COMPTE],compte,BASE[ANNEE],annee,BASE[MOIS],mois,BASE[DESCRIPTION],descritpion),""),IF(AND($P$4=1,$P$5=1,$P$6=1,$P$7=1,$P$8=0,$P$9=1),_xlfn.MAXIFS(BASELJMO[INDEX],BASELJMO[TITULAIRE],titulaire,BASELJMO[COMPTE],compte,BASELJMO[ANNEE],annee,BASELJMO[MOIS],mois,BASELJMO[DESCRIPTION],descritpion),""))</f>
        <v/>
      </c>
      <c r="U11" s="15" t="str">
        <f>IF(compte="CCHQ",IF(AND($P$4=1,$P$5=1,$P$6=1,$P$7=1,$P$8=0,$P$9=1),COUNTIFS(BASE[TITULAIRE],titulaire,BASE[COMPTE],compte,BASE[ANNEE],annee,BASE[MOIS],mois,BASE[DESCRIPTION],descritpion),""),IF(AND($P$4=1,$P$5=1,$P$6=1,$P$7=1,$P$8=0,$P$9=1),COUNTIFS(BASELJMO[TITULAIRE],titulaire,BASELJMO[COMPTE],compte,BASELJMO[ANNEE],annee,BASELJMO[MOIS],mois,BASELJMO[DESCRIPTION],descritpion),""))</f>
        <v/>
      </c>
      <c r="AE11" s="14" t="s">
        <v>106</v>
      </c>
      <c r="AF11" s="14">
        <v>10</v>
      </c>
      <c r="AG11" s="14">
        <f>SUM(SUMIFS(BASE[MONTANT],BASE[TITULAIRE],titulaire,BASE[COMPTE],compte,BASE[ANNEE],annee,BASE[MOIS],AF11,BASE[CATEGORIE],$AE$16),SUMIFS(BASE[MONTANT],BASE[TITULAIRE],titulaire,BASE[COMPTE],compte,BASE[ANNEE],annee,BASE[MOIS],AF11,BASE[CATEGORIE],$AE$23),SUMIFS(BASE[MONTANT],BASE[TITULAIRE],titulaire,BASE[COMPTE],compte,BASE[ANNEE],annee,BASE[MOIS],AF11,BASE[CATEGORIE],$AE$26),SUMIFS(BASE[MONTANT],BASE[TITULAIRE],titulaire,BASE[COMPTE],compte,BASE[ANNEE],annee,BASE[MOIS],AF11,BASE[CATEGORIE],$AE$29))</f>
        <v>0</v>
      </c>
      <c r="AH11" s="14">
        <f>IF(AND($P$4=1,$P$5=1,$P$6=1,$P$7=1,$P$8=0,$P$9=0),SUM(SUMIFS(BASE[MONTANT],BASE[TITULAIRE],titulaire,BASE[COMPTE],compte,BASE[ANNEE],annee,BASE[MOIS],AF11,BASE[CATEGORIE],$AE$17),SUMIFS(BASE[MONTANT],BASE[TITULAIRE],titulaire,BASE[COMPTE],compte,BASE[ANNEE],annee,BASE[MOIS],AF11,BASE[CATEGORIE],$AE$18),SUMIFS(BASE[MONTANT],BASE[TITULAIRE],titulaire,BASE[COMPTE],compte,BASE[ANNEE],annee,BASE[MOIS],AF11,BASE[CATEGORIE],$AE$19),SUMIFS(BASE[MONTANT],BASE[TITULAIRE],titulaire,BASE[COMPTE],compte,BASE[ANNEE],annee,BASE[MOIS],AF11,BASE[CATEGORIE],$AE$20),SUMIFS(BASE[MONTANT],BASE[TITULAIRE],titulaire,BASE[COMPTE],compte,BASE[ANNEE],annee,BASE[MOIS],AF11,BASE[CATEGORIE],$AE$21),SUMIFS(BASE[MONTANT],BASE[TITULAIRE],titulaire,BASE[COMPTE],compte,BASE[ANNEE],annee,BASE[MOIS],AF11,BASE[CATEGORIE],$AE$22),SUMIFS(BASE[MONTANT],BASE[TITULAIRE],titulaire,BASE[COMPTE],compte,BASE[ANNEE],annee,BASE[MOIS],AF11,BASE[CATEGORIE],$AE$24),SUMIFS(BASE[MONTANT],BASE[TITULAIRE],titulaire,BASE[COMPTE],compte,BASE[ANNEE],annee,BASE[MOIS],AF11,BASE[CATEGORIE],$AE$25),SUMIFS(BASE[MONTANT],BASE[TITULAIRE],titulaire,BASE[COMPTE],compte,BASE[ANNEE],annee,BASE[MOIS],AF11,BASE[CATEGORIE],$AE$27),SUMIFS(BASE[MONTANT],BASE[TITULAIRE],titulaire,BASE[COMPTE],compte,BASE[ANNEE],annee,BASE[MOIS],AF11,BASE[CATEGORIE],$AE$28),SUMIFS(BASE[MONTANT],BASE[TITULAIRE],titulaire,BASE[COMPTE],compte,BASE[ANNEE],annee,BASE[MOIS],AF11,BASE[CATEGORIE],$AE$30),SUMIFS(BASE[MONTANT],BASE[TITULAIRE],titulaire,BASE[COMPTE],compte,BASE[ANNEE],annee,BASE[MOIS],AF11,BASE[CATEGORIE],$AE$31)),"")</f>
        <v>0</v>
      </c>
      <c r="AI11" s="14">
        <f t="shared" si="1"/>
        <v>315.8399999999998</v>
      </c>
    </row>
    <row r="12" spans="2:36" ht="15.75" thickBot="1" x14ac:dyDescent="0.3">
      <c r="B12" s="7"/>
      <c r="E12" s="2"/>
      <c r="R12" s="16"/>
      <c r="S12" s="17">
        <f>MAX(S4:S11)</f>
        <v>197</v>
      </c>
      <c r="T12" s="17">
        <f>MAX(T4:T11)</f>
        <v>249</v>
      </c>
      <c r="U12" s="18">
        <f>MAX(U4:U11)</f>
        <v>53</v>
      </c>
      <c r="AE12" s="14" t="s">
        <v>107</v>
      </c>
      <c r="AF12" s="14">
        <v>11</v>
      </c>
      <c r="AG12" s="14">
        <f>SUM(SUMIFS(BASE[MONTANT],BASE[TITULAIRE],titulaire,BASE[COMPTE],compte,BASE[ANNEE],annee,BASE[MOIS],AF12,BASE[CATEGORIE],$AE$16),SUMIFS(BASE[MONTANT],BASE[TITULAIRE],titulaire,BASE[COMPTE],compte,BASE[ANNEE],annee,BASE[MOIS],AF12,BASE[CATEGORIE],$AE$23),SUMIFS(BASE[MONTANT],BASE[TITULAIRE],titulaire,BASE[COMPTE],compte,BASE[ANNEE],annee,BASE[MOIS],AF12,BASE[CATEGORIE],$AE$26),SUMIFS(BASE[MONTANT],BASE[TITULAIRE],titulaire,BASE[COMPTE],compte,BASE[ANNEE],annee,BASE[MOIS],AF12,BASE[CATEGORIE],$AE$29))</f>
        <v>0</v>
      </c>
      <c r="AH12" s="14">
        <f>IF(AND($P$4=1,$P$5=1,$P$6=1,$P$7=1,$P$8=0,$P$9=0),SUM(SUMIFS(BASE[MONTANT],BASE[TITULAIRE],titulaire,BASE[COMPTE],compte,BASE[ANNEE],annee,BASE[MOIS],AF12,BASE[CATEGORIE],$AE$17),SUMIFS(BASE[MONTANT],BASE[TITULAIRE],titulaire,BASE[COMPTE],compte,BASE[ANNEE],annee,BASE[MOIS],AF12,BASE[CATEGORIE],$AE$18),SUMIFS(BASE[MONTANT],BASE[TITULAIRE],titulaire,BASE[COMPTE],compte,BASE[ANNEE],annee,BASE[MOIS],AF12,BASE[CATEGORIE],$AE$19),SUMIFS(BASE[MONTANT],BASE[TITULAIRE],titulaire,BASE[COMPTE],compte,BASE[ANNEE],annee,BASE[MOIS],AF12,BASE[CATEGORIE],$AE$20),SUMIFS(BASE[MONTANT],BASE[TITULAIRE],titulaire,BASE[COMPTE],compte,BASE[ANNEE],annee,BASE[MOIS],AF12,BASE[CATEGORIE],$AE$21),SUMIFS(BASE[MONTANT],BASE[TITULAIRE],titulaire,BASE[COMPTE],compte,BASE[ANNEE],annee,BASE[MOIS],AF12,BASE[CATEGORIE],$AE$22),SUMIFS(BASE[MONTANT],BASE[TITULAIRE],titulaire,BASE[COMPTE],compte,BASE[ANNEE],annee,BASE[MOIS],AF12,BASE[CATEGORIE],$AE$24),SUMIFS(BASE[MONTANT],BASE[TITULAIRE],titulaire,BASE[COMPTE],compte,BASE[ANNEE],annee,BASE[MOIS],AF12,BASE[CATEGORIE],$AE$25),SUMIFS(BASE[MONTANT],BASE[TITULAIRE],titulaire,BASE[COMPTE],compte,BASE[ANNEE],annee,BASE[MOIS],AF12,BASE[CATEGORIE],$AE$27),SUMIFS(BASE[MONTANT],BASE[TITULAIRE],titulaire,BASE[COMPTE],compte,BASE[ANNEE],annee,BASE[MOIS],AF12,BASE[CATEGORIE],$AE$28),SUMIFS(BASE[MONTANT],BASE[TITULAIRE],titulaire,BASE[COMPTE],compte,BASE[ANNEE],annee,BASE[MOIS],AF12,BASE[CATEGORIE],$AE$30),SUMIFS(BASE[MONTANT],BASE[TITULAIRE],titulaire,BASE[COMPTE],compte,BASE[ANNEE],annee,BASE[MOIS],AF12,BASE[CATEGORIE],$AE$31)),"")</f>
        <v>0</v>
      </c>
      <c r="AI12" s="14">
        <f t="shared" si="1"/>
        <v>315.8399999999998</v>
      </c>
    </row>
    <row r="13" spans="2:36" x14ac:dyDescent="0.25">
      <c r="B13" s="7"/>
      <c r="E13" s="2"/>
      <c r="AE13" s="14" t="s">
        <v>108</v>
      </c>
      <c r="AF13" s="14">
        <v>12</v>
      </c>
      <c r="AG13" s="14">
        <f>SUM(SUMIFS(BASE[MONTANT],BASE[TITULAIRE],titulaire,BASE[COMPTE],compte,BASE[ANNEE],annee,BASE[MOIS],AF13,BASE[CATEGORIE],$AE$16),SUMIFS(BASE[MONTANT],BASE[TITULAIRE],titulaire,BASE[COMPTE],compte,BASE[ANNEE],annee,BASE[MOIS],AF13,BASE[CATEGORIE],$AE$23),SUMIFS(BASE[MONTANT],BASE[TITULAIRE],titulaire,BASE[COMPTE],compte,BASE[ANNEE],annee,BASE[MOIS],AF13,BASE[CATEGORIE],$AE$26),SUMIFS(BASE[MONTANT],BASE[TITULAIRE],titulaire,BASE[COMPTE],compte,BASE[ANNEE],annee,BASE[MOIS],AF13,BASE[CATEGORIE],$AE$29))</f>
        <v>0</v>
      </c>
      <c r="AH13" s="14">
        <f>IF(AND($P$4=1,$P$5=1,$P$6=1,$P$7=1,$P$8=0,$P$9=0),SUM(SUMIFS(BASE[MONTANT],BASE[TITULAIRE],titulaire,BASE[COMPTE],compte,BASE[ANNEE],annee,BASE[MOIS],AF13,BASE[CATEGORIE],$AE$17),SUMIFS(BASE[MONTANT],BASE[TITULAIRE],titulaire,BASE[COMPTE],compte,BASE[ANNEE],annee,BASE[MOIS],AF13,BASE[CATEGORIE],$AE$18),SUMIFS(BASE[MONTANT],BASE[TITULAIRE],titulaire,BASE[COMPTE],compte,BASE[ANNEE],annee,BASE[MOIS],AF13,BASE[CATEGORIE],$AE$19),SUMIFS(BASE[MONTANT],BASE[TITULAIRE],titulaire,BASE[COMPTE],compte,BASE[ANNEE],annee,BASE[MOIS],AF13,BASE[CATEGORIE],$AE$20),SUMIFS(BASE[MONTANT],BASE[TITULAIRE],titulaire,BASE[COMPTE],compte,BASE[ANNEE],annee,BASE[MOIS],AF13,BASE[CATEGORIE],$AE$21),SUMIFS(BASE[MONTANT],BASE[TITULAIRE],titulaire,BASE[COMPTE],compte,BASE[ANNEE],annee,BASE[MOIS],AF13,BASE[CATEGORIE],$AE$22),SUMIFS(BASE[MONTANT],BASE[TITULAIRE],titulaire,BASE[COMPTE],compte,BASE[ANNEE],annee,BASE[MOIS],AF13,BASE[CATEGORIE],$AE$24),SUMIFS(BASE[MONTANT],BASE[TITULAIRE],titulaire,BASE[COMPTE],compte,BASE[ANNEE],annee,BASE[MOIS],AF13,BASE[CATEGORIE],$AE$25),SUMIFS(BASE[MONTANT],BASE[TITULAIRE],titulaire,BASE[COMPTE],compte,BASE[ANNEE],annee,BASE[MOIS],AF13,BASE[CATEGORIE],$AE$27),SUMIFS(BASE[MONTANT],BASE[TITULAIRE],titulaire,BASE[COMPTE],compte,BASE[ANNEE],annee,BASE[MOIS],AF13,BASE[CATEGORIE],$AE$28),SUMIFS(BASE[MONTANT],BASE[TITULAIRE],titulaire,BASE[COMPTE],compte,BASE[ANNEE],annee,BASE[MOIS],AF13,BASE[CATEGORIE],$AE$30),SUMIFS(BASE[MONTANT],BASE[TITULAIRE],titulaire,BASE[COMPTE],compte,BASE[ANNEE],annee,BASE[MOIS],AF13,BASE[CATEGORIE],$AE$31)),"")</f>
        <v>0</v>
      </c>
      <c r="AI13" s="14">
        <f t="shared" si="1"/>
        <v>315.8399999999998</v>
      </c>
    </row>
    <row r="14" spans="2:36" x14ac:dyDescent="0.25">
      <c r="B14" s="7"/>
      <c r="E14" s="2"/>
      <c r="AH14" s="1" t="s">
        <v>117</v>
      </c>
      <c r="AI14" s="1">
        <f>IF(mois=AF2,0,IF(mois=AF3,AI2,IF(mois=AF4,AI3,IF(mois=AF5,AI4,IF(mois=AF6,AI5,IF(mois=AF7,AI6,IF(mois=AF8,AI7,IF(mois=AF9,AI8,IF(mois=AF10,AI9,IF(mois=AF11,AI10,IF(mois=AF12,AI11,IF(mois=AF13,AI12,""))))))))))))</f>
        <v>42.840000000000146</v>
      </c>
    </row>
    <row r="15" spans="2:36" x14ac:dyDescent="0.25">
      <c r="B15" s="7"/>
      <c r="E15" s="2"/>
    </row>
    <row r="16" spans="2:36" x14ac:dyDescent="0.25">
      <c r="B16" s="7"/>
      <c r="E16" s="2"/>
      <c r="AE16" s="29" t="s">
        <v>77</v>
      </c>
    </row>
    <row r="17" spans="1:31" x14ac:dyDescent="0.25">
      <c r="B17" s="7"/>
      <c r="E17" s="2"/>
      <c r="AE17" s="30" t="s">
        <v>113</v>
      </c>
    </row>
    <row r="18" spans="1:31" x14ac:dyDescent="0.25">
      <c r="B18" s="3"/>
      <c r="E18" s="2"/>
      <c r="AE18" s="29" t="s">
        <v>78</v>
      </c>
    </row>
    <row r="19" spans="1:31" x14ac:dyDescent="0.25">
      <c r="B19" s="3"/>
      <c r="E19" s="2"/>
      <c r="AE19" s="30" t="s">
        <v>79</v>
      </c>
    </row>
    <row r="20" spans="1:31" x14ac:dyDescent="0.25">
      <c r="B20" s="3"/>
      <c r="E20" s="2"/>
      <c r="AE20" s="29" t="s">
        <v>80</v>
      </c>
    </row>
    <row r="21" spans="1:31" x14ac:dyDescent="0.25">
      <c r="L21" s="52"/>
      <c r="M21" s="52"/>
      <c r="N21" s="52"/>
      <c r="AE21" s="30" t="s">
        <v>81</v>
      </c>
    </row>
    <row r="22" spans="1:31" x14ac:dyDescent="0.25">
      <c r="A22" s="1" t="s">
        <v>19</v>
      </c>
      <c r="B22" s="1" t="s">
        <v>6</v>
      </c>
      <c r="C22" s="1" t="s">
        <v>5</v>
      </c>
      <c r="D22" s="1" t="s">
        <v>3</v>
      </c>
      <c r="E22" s="1" t="s">
        <v>4</v>
      </c>
      <c r="F22" s="1" t="s">
        <v>2</v>
      </c>
      <c r="G22" s="1" t="s">
        <v>1</v>
      </c>
      <c r="H22" s="1" t="s">
        <v>0</v>
      </c>
      <c r="I22" s="1" t="s">
        <v>111</v>
      </c>
      <c r="J22" s="1" t="s">
        <v>20</v>
      </c>
      <c r="L22" s="53"/>
      <c r="M22" s="53"/>
      <c r="N22" s="52"/>
      <c r="AE22" s="29" t="s">
        <v>82</v>
      </c>
    </row>
    <row r="23" spans="1:31" x14ac:dyDescent="0.25">
      <c r="A23" s="1">
        <f>IF(OR(numeroligne=0,numeroligne="",TEST!$S$12=0,TEST!$T$12=0),"",IF(A22="INDEX",$S$12,A22+1))</f>
        <v>197</v>
      </c>
      <c r="B23" s="7" t="str">
        <f>IF(LISTING[[#This Row],[INDEX]]="","",IF(compte="CCHQ",INDEX(BASE[],LISTING[[#This Row],[INDEX]],COLUMN(B21)),INDEX(BASELJMO[],LISTING[[#This Row],[INDEX]],COLUMN(B21))))</f>
        <v>MR MARGOT QUENTIN</v>
      </c>
      <c r="C23" s="7" t="str">
        <f>IF(LISTING[[#This Row],[INDEX]]="","",IF(compte="CCHQ",INDEX(BASE[],LISTING[[#This Row],[INDEX]],COLUMN(C21)),INDEX(BASELJMO[],LISTING[[#This Row],[INDEX]],COLUMN(C21))))</f>
        <v>CCHQ</v>
      </c>
      <c r="D23" s="7">
        <f>IF(LISTING[[#This Row],[INDEX]]="","",IF(compte="CCHQ",INDEX(BASE[],LISTING[[#This Row],[INDEX]],COLUMN(D21)),INDEX(BASELJMO[],LISTING[[#This Row],[INDEX]],COLUMN(D21))))</f>
        <v>2019</v>
      </c>
      <c r="E23" s="7">
        <f>IF(LISTING[[#This Row],[INDEX]]="","",IF(compte="CCHQ",INDEX(BASE[],LISTING[[#This Row],[INDEX]],COLUMN(E21)),INDEX(BASELJMO[],LISTING[[#This Row],[INDEX]],COLUMN(E21))))</f>
        <v>2</v>
      </c>
      <c r="F23" s="7" t="str">
        <f>IF(LISTING[[#This Row],[INDEX]]="","",IF(compte="CCHQ",INDEX(BASE[],LISTING[[#This Row],[INDEX]],COLUMN(F21)),INDEX(BASELJMO[],LISTING[[#This Row],[INDEX]],COLUMN(F21))))</f>
        <v>LOISIRS</v>
      </c>
      <c r="G23" s="7" t="str">
        <f>IF(LISTING[[#This Row],[INDEX]]="","",IF(compte="CCHQ",INDEX(BASE[],LISTING[[#This Row],[INDEX]],COLUMN(G21)),INDEX(BASELJMO[],LISTING[[#This Row],[INDEX]],COLUMN(G21))))</f>
        <v>Steam</v>
      </c>
      <c r="H23" s="3">
        <f>IF(LISTING[[#This Row],[INDEX]]="","",IF(compte="CCHQ",INDEX(BASE[],LISTING[[#This Row],[INDEX]],COLUMN(H21)),INDEX(BASELJMO[],LISTING[[#This Row],[INDEX]],COLUMN(H21))))</f>
        <v>43522</v>
      </c>
      <c r="I23" s="2">
        <f>IF(LISTING[[#This Row],[INDEX]]="","",IF(compte="CCHQ",INDEX(BASE[],LISTING[[#This Row],[INDEX]],COLUMN(I21)),INDEX(BASELJMO[],LISTING[[#This Row],[INDEX]],COLUMN(I21))))</f>
        <v>3</v>
      </c>
      <c r="J23" s="7">
        <f>IF(LISTING[[#This Row],[INDEX]]="","",IF(compte="CCHQ",INDEX(BASE[],LISTING[[#This Row],[INDEX]],COLUMN(J21)),INDEX(BASELJMO[],LISTING[[#This Row],[INDEX]],COLUMN(J21))))</f>
        <v>197</v>
      </c>
      <c r="L23" s="53"/>
      <c r="M23" s="53"/>
      <c r="N23" s="52"/>
      <c r="AE23" s="30" t="s">
        <v>83</v>
      </c>
    </row>
    <row r="24" spans="1:31" x14ac:dyDescent="0.25">
      <c r="A24" s="1">
        <f>IF(OR(numeroligne=0,numeroligne="",TEST!$S$12=0,TEST!$T$12=0),"",IF(A23="INDEX",#REF!,A23+1))</f>
        <v>198</v>
      </c>
      <c r="B24" s="7" t="str">
        <f>IF(LISTING[[#This Row],[INDEX]]="","",IF(compte="CCHQ",INDEX(BASE[],LISTING[[#This Row],[INDEX]],COLUMN(B22)),INDEX(BASELJMO[],LISTING[[#This Row],[INDEX]],COLUMN(B22))))</f>
        <v>MR MARGOT QUENTIN</v>
      </c>
      <c r="C24" s="7" t="str">
        <f>IF(LISTING[[#This Row],[INDEX]]="","",IF(compte="CCHQ",INDEX(BASE[],LISTING[[#This Row],[INDEX]],COLUMN(C22)),INDEX(BASELJMO[],LISTING[[#This Row],[INDEX]],COLUMN(C22))))</f>
        <v>CCHQ</v>
      </c>
      <c r="D24" s="7">
        <f>IF(LISTING[[#This Row],[INDEX]]="","",IF(compte="CCHQ",INDEX(BASE[],LISTING[[#This Row],[INDEX]],COLUMN(D22)),INDEX(BASELJMO[],LISTING[[#This Row],[INDEX]],COLUMN(D22))))</f>
        <v>2019</v>
      </c>
      <c r="E24" s="7">
        <f>IF(LISTING[[#This Row],[INDEX]]="","",IF(compte="CCHQ",INDEX(BASE[],LISTING[[#This Row],[INDEX]],COLUMN(E22)),INDEX(BASELJMO[],LISTING[[#This Row],[INDEX]],COLUMN(E22))))</f>
        <v>2</v>
      </c>
      <c r="F24" s="7" t="str">
        <f>IF(LISTING[[#This Row],[INDEX]]="","",IF(compte="CCHQ",INDEX(BASE[],LISTING[[#This Row],[INDEX]],COLUMN(F22)),INDEX(BASELJMO[],LISTING[[#This Row],[INDEX]],COLUMN(F22))))</f>
        <v>TRANSPORT</v>
      </c>
      <c r="G24" s="7" t="str">
        <f>IF(LISTING[[#This Row],[INDEX]]="","",IF(compte="CCHQ",INDEX(BASE[],LISTING[[#This Row],[INDEX]],COLUMN(G22)),INDEX(BASELJMO[],LISTING[[#This Row],[INDEX]],COLUMN(G22))))</f>
        <v>Essence</v>
      </c>
      <c r="H24" s="3">
        <f>IF(LISTING[[#This Row],[INDEX]]="","",IF(compte="CCHQ",INDEX(BASE[],LISTING[[#This Row],[INDEX]],COLUMN(H22)),INDEX(BASELJMO[],LISTING[[#This Row],[INDEX]],COLUMN(H22))))</f>
        <v>43522</v>
      </c>
      <c r="I24" s="2">
        <f>IF(LISTING[[#This Row],[INDEX]]="","",IF(compte="CCHQ",INDEX(BASE[],LISTING[[#This Row],[INDEX]],COLUMN(I22)),INDEX(BASELJMO[],LISTING[[#This Row],[INDEX]],COLUMN(I22))))</f>
        <v>30</v>
      </c>
      <c r="J24" s="7">
        <f>IF(LISTING[[#This Row],[INDEX]]="","",IF(compte="CCHQ",INDEX(BASE[],LISTING[[#This Row],[INDEX]],COLUMN(J22)),INDEX(BASELJMO[],LISTING[[#This Row],[INDEX]],COLUMN(J22))))</f>
        <v>198</v>
      </c>
      <c r="L24" s="53"/>
      <c r="M24" s="53"/>
      <c r="N24" s="52"/>
      <c r="AE24" s="29" t="s">
        <v>84</v>
      </c>
    </row>
    <row r="25" spans="1:31" x14ac:dyDescent="0.25">
      <c r="A25" s="1">
        <f>IF(OR(numeroligne=0,numeroligne="",TEST!$S$12=0,TEST!$T$12=0),"",IF(A24="INDEX",TEST!#REF!,A24+1))</f>
        <v>199</v>
      </c>
      <c r="B25" s="7" t="str">
        <f>IF(LISTING[[#This Row],[INDEX]]="","",IF(compte="CCHQ",INDEX(BASE[],LISTING[[#This Row],[INDEX]],COLUMN(B23)),INDEX(BASELJMO[],LISTING[[#This Row],[INDEX]],COLUMN(B23))))</f>
        <v>MR MARGOT QUENTIN</v>
      </c>
      <c r="C25" s="7" t="str">
        <f>IF(LISTING[[#This Row],[INDEX]]="","",IF(compte="CCHQ",INDEX(BASE[],LISTING[[#This Row],[INDEX]],COLUMN(C23)),INDEX(BASELJMO[],LISTING[[#This Row],[INDEX]],COLUMN(C23))))</f>
        <v>CCHQ</v>
      </c>
      <c r="D25" s="7">
        <f>IF(LISTING[[#This Row],[INDEX]]="","",IF(compte="CCHQ",INDEX(BASE[],LISTING[[#This Row],[INDEX]],COLUMN(D23)),INDEX(BASELJMO[],LISTING[[#This Row],[INDEX]],COLUMN(D23))))</f>
        <v>2019</v>
      </c>
      <c r="E25" s="7">
        <f>IF(LISTING[[#This Row],[INDEX]]="","",IF(compte="CCHQ",INDEX(BASE[],LISTING[[#This Row],[INDEX]],COLUMN(E23)),INDEX(BASELJMO[],LISTING[[#This Row],[INDEX]],COLUMN(E23))))</f>
        <v>2</v>
      </c>
      <c r="F25" s="7" t="str">
        <f>IF(LISTING[[#This Row],[INDEX]]="","",IF(compte="CCHQ",INDEX(BASE[],LISTING[[#This Row],[INDEX]],COLUMN(F23)),INDEX(BASELJMO[],LISTING[[#This Row],[INDEX]],COLUMN(F23))))</f>
        <v>FACTURE</v>
      </c>
      <c r="G25" s="7" t="str">
        <f>IF(LISTING[[#This Row],[INDEX]]="","",IF(compte="CCHQ",INDEX(BASE[],LISTING[[#This Row],[INDEX]],COLUMN(G23)),INDEX(BASELJMO[],LISTING[[#This Row],[INDEX]],COLUMN(G23))))</f>
        <v>Onedrive</v>
      </c>
      <c r="H25" s="3">
        <f>IF(LISTING[[#This Row],[INDEX]]="","",IF(compte="CCHQ",INDEX(BASE[],LISTING[[#This Row],[INDEX]],COLUMN(H23)),INDEX(BASELJMO[],LISTING[[#This Row],[INDEX]],COLUMN(H23))))</f>
        <v>43521</v>
      </c>
      <c r="I25" s="2">
        <f>IF(LISTING[[#This Row],[INDEX]]="","",IF(compte="CCHQ",INDEX(BASE[],LISTING[[#This Row],[INDEX]],COLUMN(I23)),INDEX(BASELJMO[],LISTING[[#This Row],[INDEX]],COLUMN(I23))))</f>
        <v>7</v>
      </c>
      <c r="J25" s="7">
        <f>IF(LISTING[[#This Row],[INDEX]]="","",IF(compte="CCHQ",INDEX(BASE[],LISTING[[#This Row],[INDEX]],COLUMN(J23)),INDEX(BASELJMO[],LISTING[[#This Row],[INDEX]],COLUMN(J23))))</f>
        <v>199</v>
      </c>
      <c r="L25" s="53"/>
      <c r="M25" s="53"/>
      <c r="N25" s="52"/>
      <c r="AE25" s="30" t="s">
        <v>85</v>
      </c>
    </row>
    <row r="26" spans="1:31" x14ac:dyDescent="0.25">
      <c r="A26" s="1">
        <f>IF(OR(numeroligne=0,numeroligne="",TEST!$S$12=0,TEST!$T$12=0),"",IF(A25="INDEX",TEST!S13,A25+1))</f>
        <v>200</v>
      </c>
      <c r="B26" s="7" t="str">
        <f>IF(LISTING[[#This Row],[INDEX]]="","",IF(compte="CCHQ",INDEX(BASE[],LISTING[[#This Row],[INDEX]],COLUMN(B24)),INDEX(BASELJMO[],LISTING[[#This Row],[INDEX]],COLUMN(B24))))</f>
        <v>MR MARGOT QUENTIN</v>
      </c>
      <c r="C26" s="7" t="str">
        <f>IF(LISTING[[#This Row],[INDEX]]="","",IF(compte="CCHQ",INDEX(BASE[],LISTING[[#This Row],[INDEX]],COLUMN(C24)),INDEX(BASELJMO[],LISTING[[#This Row],[INDEX]],COLUMN(C24))))</f>
        <v>CCHQ</v>
      </c>
      <c r="D26" s="7">
        <f>IF(LISTING[[#This Row],[INDEX]]="","",IF(compte="CCHQ",INDEX(BASE[],LISTING[[#This Row],[INDEX]],COLUMN(D24)),INDEX(BASELJMO[],LISTING[[#This Row],[INDEX]],COLUMN(D24))))</f>
        <v>2019</v>
      </c>
      <c r="E26" s="7">
        <f>IF(LISTING[[#This Row],[INDEX]]="","",IF(compte="CCHQ",INDEX(BASE[],LISTING[[#This Row],[INDEX]],COLUMN(E24)),INDEX(BASELJMO[],LISTING[[#This Row],[INDEX]],COLUMN(E24))))</f>
        <v>2</v>
      </c>
      <c r="F26" s="7" t="str">
        <f>IF(LISTING[[#This Row],[INDEX]]="","",IF(compte="CCHQ",INDEX(BASE[],LISTING[[#This Row],[INDEX]],COLUMN(F24)),INDEX(BASELJMO[],LISTING[[#This Row],[INDEX]],COLUMN(F24))))</f>
        <v>RESTAURATION</v>
      </c>
      <c r="G26" s="7" t="str">
        <f>IF(LISTING[[#This Row],[INDEX]]="","",IF(compte="CCHQ",INDEX(BASE[],LISTING[[#This Row],[INDEX]],COLUMN(G24)),INDEX(BASELJMO[],LISTING[[#This Row],[INDEX]],COLUMN(G24))))</f>
        <v>Macdonald's</v>
      </c>
      <c r="H26" s="3">
        <f>IF(LISTING[[#This Row],[INDEX]]="","",IF(compte="CCHQ",INDEX(BASE[],LISTING[[#This Row],[INDEX]],COLUMN(H24)),INDEX(BASELJMO[],LISTING[[#This Row],[INDEX]],COLUMN(H24))))</f>
        <v>43521</v>
      </c>
      <c r="I26" s="2">
        <f>IF(LISTING[[#This Row],[INDEX]]="","",IF(compte="CCHQ",INDEX(BASE[],LISTING[[#This Row],[INDEX]],COLUMN(I24)),INDEX(BASELJMO[],LISTING[[#This Row],[INDEX]],COLUMN(I24))))</f>
        <v>23</v>
      </c>
      <c r="J26" s="7">
        <f>IF(LISTING[[#This Row],[INDEX]]="","",IF(compte="CCHQ",INDEX(BASE[],LISTING[[#This Row],[INDEX]],COLUMN(J24)),INDEX(BASELJMO[],LISTING[[#This Row],[INDEX]],COLUMN(J24))))</f>
        <v>200</v>
      </c>
      <c r="L26" s="53"/>
      <c r="M26" s="53"/>
      <c r="N26" s="52"/>
      <c r="AE26" s="29" t="s">
        <v>112</v>
      </c>
    </row>
    <row r="27" spans="1:31" x14ac:dyDescent="0.25">
      <c r="A27" s="1">
        <f>IF(OR(numeroligne=0,numeroligne="",TEST!$S$12=0,TEST!$T$12=0),"",IF(A26="INDEX",TEST!S14,A26+1))</f>
        <v>201</v>
      </c>
      <c r="B27" s="7" t="str">
        <f>IF(LISTING[[#This Row],[INDEX]]="","",IF(compte="CCHQ",INDEX(BASE[],LISTING[[#This Row],[INDEX]],COLUMN(B25)),INDEX(BASELJMO[],LISTING[[#This Row],[INDEX]],COLUMN(B25))))</f>
        <v>MR MARGOT QUENTIN</v>
      </c>
      <c r="C27" s="7" t="str">
        <f>IF(LISTING[[#This Row],[INDEX]]="","",IF(compte="CCHQ",INDEX(BASE[],LISTING[[#This Row],[INDEX]],COLUMN(C25)),INDEX(BASELJMO[],LISTING[[#This Row],[INDEX]],COLUMN(C25))))</f>
        <v>CCHQ</v>
      </c>
      <c r="D27" s="7">
        <f>IF(LISTING[[#This Row],[INDEX]]="","",IF(compte="CCHQ",INDEX(BASE[],LISTING[[#This Row],[INDEX]],COLUMN(D25)),INDEX(BASELJMO[],LISTING[[#This Row],[INDEX]],COLUMN(D25))))</f>
        <v>2019</v>
      </c>
      <c r="E27" s="7">
        <f>IF(LISTING[[#This Row],[INDEX]]="","",IF(compte="CCHQ",INDEX(BASE[],LISTING[[#This Row],[INDEX]],COLUMN(E25)),INDEX(BASELJMO[],LISTING[[#This Row],[INDEX]],COLUMN(E25))))</f>
        <v>2</v>
      </c>
      <c r="F27" s="7" t="str">
        <f>IF(LISTING[[#This Row],[INDEX]]="","",IF(compte="CCHQ",INDEX(BASE[],LISTING[[#This Row],[INDEX]],COLUMN(F25)),INDEX(BASELJMO[],LISTING[[#This Row],[INDEX]],COLUMN(F25))))</f>
        <v>DIVERS</v>
      </c>
      <c r="G27" s="7" t="str">
        <f>IF(LISTING[[#This Row],[INDEX]]="","",IF(compte="CCHQ",INDEX(BASE[],LISTING[[#This Row],[INDEX]],COLUMN(G25)),INDEX(BASELJMO[],LISTING[[#This Row],[INDEX]],COLUMN(G25))))</f>
        <v>Amazon</v>
      </c>
      <c r="H27" s="3">
        <f>IF(LISTING[[#This Row],[INDEX]]="","",IF(compte="CCHQ",INDEX(BASE[],LISTING[[#This Row],[INDEX]],COLUMN(H25)),INDEX(BASELJMO[],LISTING[[#This Row],[INDEX]],COLUMN(H25))))</f>
        <v>43521</v>
      </c>
      <c r="I27" s="2">
        <f>IF(LISTING[[#This Row],[INDEX]]="","",IF(compte="CCHQ",INDEX(BASE[],LISTING[[#This Row],[INDEX]],COLUMN(I25)),INDEX(BASELJMO[],LISTING[[#This Row],[INDEX]],COLUMN(I25))))</f>
        <v>74.900000000000006</v>
      </c>
      <c r="J27" s="7">
        <f>IF(LISTING[[#This Row],[INDEX]]="","",IF(compte="CCHQ",INDEX(BASE[],LISTING[[#This Row],[INDEX]],COLUMN(J25)),INDEX(BASELJMO[],LISTING[[#This Row],[INDEX]],COLUMN(J25))))</f>
        <v>201</v>
      </c>
      <c r="L27" s="53"/>
      <c r="M27" s="53"/>
      <c r="N27" s="52"/>
      <c r="AE27" s="30" t="s">
        <v>86</v>
      </c>
    </row>
    <row r="28" spans="1:31" x14ac:dyDescent="0.25">
      <c r="A28" s="1">
        <f>IF(OR(numeroligne=0,numeroligne="",TEST!$S$12=0,TEST!$T$12=0),"",IF(A27="INDEX",TEST!S15,A27+1))</f>
        <v>202</v>
      </c>
      <c r="B28" s="7" t="str">
        <f>IF(LISTING[[#This Row],[INDEX]]="","",IF(compte="CCHQ",INDEX(BASE[],LISTING[[#This Row],[INDEX]],COLUMN(B26)),INDEX(BASELJMO[],LISTING[[#This Row],[INDEX]],COLUMN(B26))))</f>
        <v>MR MARGOT QUENTIN</v>
      </c>
      <c r="C28" s="7" t="str">
        <f>IF(LISTING[[#This Row],[INDEX]]="","",IF(compte="CCHQ",INDEX(BASE[],LISTING[[#This Row],[INDEX]],COLUMN(C26)),INDEX(BASELJMO[],LISTING[[#This Row],[INDEX]],COLUMN(C26))))</f>
        <v>CCHQ</v>
      </c>
      <c r="D28" s="7">
        <f>IF(LISTING[[#This Row],[INDEX]]="","",IF(compte="CCHQ",INDEX(BASE[],LISTING[[#This Row],[INDEX]],COLUMN(D26)),INDEX(BASELJMO[],LISTING[[#This Row],[INDEX]],COLUMN(D26))))</f>
        <v>2019</v>
      </c>
      <c r="E28" s="7">
        <f>IF(LISTING[[#This Row],[INDEX]]="","",IF(compte="CCHQ",INDEX(BASE[],LISTING[[#This Row],[INDEX]],COLUMN(E26)),INDEX(BASELJMO[],LISTING[[#This Row],[INDEX]],COLUMN(E26))))</f>
        <v>2</v>
      </c>
      <c r="F28" s="7" t="str">
        <f>IF(LISTING[[#This Row],[INDEX]]="","",IF(compte="CCHQ",INDEX(BASE[],LISTING[[#This Row],[INDEX]],COLUMN(F26)),INDEX(BASELJMO[],LISTING[[#This Row],[INDEX]],COLUMN(F26))))</f>
        <v>FACTURE</v>
      </c>
      <c r="G28" s="7" t="str">
        <f>IF(LISTING[[#This Row],[INDEX]]="","",IF(compte="CCHQ",INDEX(BASE[],LISTING[[#This Row],[INDEX]],COLUMN(G26)),INDEX(BASELJMO[],LISTING[[#This Row],[INDEX]],COLUMN(G26))))</f>
        <v>Youtube</v>
      </c>
      <c r="H28" s="3">
        <f>IF(LISTING[[#This Row],[INDEX]]="","",IF(compte="CCHQ",INDEX(BASE[],LISTING[[#This Row],[INDEX]],COLUMN(H26)),INDEX(BASELJMO[],LISTING[[#This Row],[INDEX]],COLUMN(H26))))</f>
        <v>43518</v>
      </c>
      <c r="I28" s="2">
        <f>IF(LISTING[[#This Row],[INDEX]]="","",IF(compte="CCHQ",INDEX(BASE[],LISTING[[#This Row],[INDEX]],COLUMN(I26)),INDEX(BASELJMO[],LISTING[[#This Row],[INDEX]],COLUMN(I26))))</f>
        <v>11.99</v>
      </c>
      <c r="J28" s="7">
        <f>IF(LISTING[[#This Row],[INDEX]]="","",IF(compte="CCHQ",INDEX(BASE[],LISTING[[#This Row],[INDEX]],COLUMN(J26)),INDEX(BASELJMO[],LISTING[[#This Row],[INDEX]],COLUMN(J26))))</f>
        <v>202</v>
      </c>
      <c r="L28" s="53"/>
      <c r="M28" s="53"/>
      <c r="N28" s="52"/>
      <c r="AE28" s="29" t="s">
        <v>87</v>
      </c>
    </row>
    <row r="29" spans="1:31" x14ac:dyDescent="0.25">
      <c r="A29" s="1">
        <f>IF(OR(numeroligne=0,numeroligne="",TEST!$S$12=0,TEST!$T$12=0),"",IF(A28="INDEX",TEST!S16,A28+1))</f>
        <v>203</v>
      </c>
      <c r="B29" s="7" t="str">
        <f>IF(LISTING[[#This Row],[INDEX]]="","",IF(compte="CCHQ",INDEX(BASE[],LISTING[[#This Row],[INDEX]],COLUMN(B27)),INDEX(BASELJMO[],LISTING[[#This Row],[INDEX]],COLUMN(B27))))</f>
        <v>MR MARGOT QUENTIN</v>
      </c>
      <c r="C29" s="7" t="str">
        <f>IF(LISTING[[#This Row],[INDEX]]="","",IF(compte="CCHQ",INDEX(BASE[],LISTING[[#This Row],[INDEX]],COLUMN(C27)),INDEX(BASELJMO[],LISTING[[#This Row],[INDEX]],COLUMN(C27))))</f>
        <v>CCHQ</v>
      </c>
      <c r="D29" s="7">
        <f>IF(LISTING[[#This Row],[INDEX]]="","",IF(compte="CCHQ",INDEX(BASE[],LISTING[[#This Row],[INDEX]],COLUMN(D27)),INDEX(BASELJMO[],LISTING[[#This Row],[INDEX]],COLUMN(D27))))</f>
        <v>2019</v>
      </c>
      <c r="E29" s="7">
        <f>IF(LISTING[[#This Row],[INDEX]]="","",IF(compte="CCHQ",INDEX(BASE[],LISTING[[#This Row],[INDEX]],COLUMN(E27)),INDEX(BASELJMO[],LISTING[[#This Row],[INDEX]],COLUMN(E27))))</f>
        <v>2</v>
      </c>
      <c r="F29" s="7" t="str">
        <f>IF(LISTING[[#This Row],[INDEX]]="","",IF(compte="CCHQ",INDEX(BASE[],LISTING[[#This Row],[INDEX]],COLUMN(F27)),INDEX(BASELJMO[],LISTING[[#This Row],[INDEX]],COLUMN(F27))))</f>
        <v>AIDE</v>
      </c>
      <c r="G29" s="7" t="str">
        <f>IF(LISTING[[#This Row],[INDEX]]="","",IF(compte="CCHQ",INDEX(BASE[],LISTING[[#This Row],[INDEX]],COLUMN(G27)),INDEX(BASELJMO[],LISTING[[#This Row],[INDEX]],COLUMN(G27))))</f>
        <v>Aide transport</v>
      </c>
      <c r="H29" s="3">
        <f>IF(LISTING[[#This Row],[INDEX]]="","",IF(compte="CCHQ",INDEX(BASE[],LISTING[[#This Row],[INDEX]],COLUMN(H27)),INDEX(BASELJMO[],LISTING[[#This Row],[INDEX]],COLUMN(H27))))</f>
        <v>43517</v>
      </c>
      <c r="I29" s="2">
        <f>IF(LISTING[[#This Row],[INDEX]]="","",IF(compte="CCHQ",INDEX(BASE[],LISTING[[#This Row],[INDEX]],COLUMN(I27)),INDEX(BASELJMO[],LISTING[[#This Row],[INDEX]],COLUMN(I27))))</f>
        <v>220</v>
      </c>
      <c r="J29" s="7">
        <f>IF(LISTING[[#This Row],[INDEX]]="","",IF(compte="CCHQ",INDEX(BASE[],LISTING[[#This Row],[INDEX]],COLUMN(J27)),INDEX(BASELJMO[],LISTING[[#This Row],[INDEX]],COLUMN(J27))))</f>
        <v>203</v>
      </c>
      <c r="L29" s="53"/>
      <c r="M29" s="53"/>
      <c r="N29" s="52"/>
      <c r="AE29" s="30" t="s">
        <v>88</v>
      </c>
    </row>
    <row r="30" spans="1:31" x14ac:dyDescent="0.25">
      <c r="A30" s="1">
        <f>IF(OR(numeroligne=0,numeroligne="",TEST!$S$12=0,TEST!$T$12=0),"",IF(A29="INDEX",TEST!S17,A29+1))</f>
        <v>204</v>
      </c>
      <c r="B30" s="7" t="str">
        <f>IF(LISTING[[#This Row],[INDEX]]="","",IF(compte="CCHQ",INDEX(BASE[],LISTING[[#This Row],[INDEX]],COLUMN(B28)),INDEX(BASELJMO[],LISTING[[#This Row],[INDEX]],COLUMN(B28))))</f>
        <v>MR MARGOT QUENTIN</v>
      </c>
      <c r="C30" s="7" t="str">
        <f>IF(LISTING[[#This Row],[INDEX]]="","",IF(compte="CCHQ",INDEX(BASE[],LISTING[[#This Row],[INDEX]],COLUMN(C28)),INDEX(BASELJMO[],LISTING[[#This Row],[INDEX]],COLUMN(C28))))</f>
        <v>CCHQ</v>
      </c>
      <c r="D30" s="7">
        <f>IF(LISTING[[#This Row],[INDEX]]="","",IF(compte="CCHQ",INDEX(BASE[],LISTING[[#This Row],[INDEX]],COLUMN(D28)),INDEX(BASELJMO[],LISTING[[#This Row],[INDEX]],COLUMN(D28))))</f>
        <v>2019</v>
      </c>
      <c r="E30" s="7">
        <f>IF(LISTING[[#This Row],[INDEX]]="","",IF(compte="CCHQ",INDEX(BASE[],LISTING[[#This Row],[INDEX]],COLUMN(E28)),INDEX(BASELJMO[],LISTING[[#This Row],[INDEX]],COLUMN(E28))))</f>
        <v>2</v>
      </c>
      <c r="F30" s="7" t="str">
        <f>IF(LISTING[[#This Row],[INDEX]]="","",IF(compte="CCHQ",INDEX(BASE[],LISTING[[#This Row],[INDEX]],COLUMN(F28)),INDEX(BASELJMO[],LISTING[[#This Row],[INDEX]],COLUMN(F28))))</f>
        <v>FACTURE</v>
      </c>
      <c r="G30" s="7" t="str">
        <f>IF(LISTING[[#This Row],[INDEX]]="","",IF(compte="CCHQ",INDEX(BASE[],LISTING[[#This Row],[INDEX]],COLUMN(G28)),INDEX(BASELJMO[],LISTING[[#This Row],[INDEX]],COLUMN(G28))))</f>
        <v>Anime Digital Network</v>
      </c>
      <c r="H30" s="3">
        <f>IF(LISTING[[#This Row],[INDEX]]="","",IF(compte="CCHQ",INDEX(BASE[],LISTING[[#This Row],[INDEX]],COLUMN(H28)),INDEX(BASELJMO[],LISTING[[#This Row],[INDEX]],COLUMN(H28))))</f>
        <v>43516</v>
      </c>
      <c r="I30" s="2">
        <f>IF(LISTING[[#This Row],[INDEX]]="","",IF(compte="CCHQ",INDEX(BASE[],LISTING[[#This Row],[INDEX]],COLUMN(I28)),INDEX(BASELJMO[],LISTING[[#This Row],[INDEX]],COLUMN(I28))))</f>
        <v>6.99</v>
      </c>
      <c r="J30" s="7">
        <f>IF(LISTING[[#This Row],[INDEX]]="","",IF(compte="CCHQ",INDEX(BASE[],LISTING[[#This Row],[INDEX]],COLUMN(J28)),INDEX(BASELJMO[],LISTING[[#This Row],[INDEX]],COLUMN(J28))))</f>
        <v>204</v>
      </c>
      <c r="L30" s="53"/>
      <c r="M30" s="53"/>
      <c r="N30" s="52"/>
      <c r="AE30" s="29" t="s">
        <v>89</v>
      </c>
    </row>
    <row r="31" spans="1:31" x14ac:dyDescent="0.25">
      <c r="A31" s="1">
        <f>IF(OR(numeroligne=0,numeroligne="",TEST!$S$12=0,TEST!$T$12=0),"",IF(A30="INDEX",TEST!S18,A30+1))</f>
        <v>205</v>
      </c>
      <c r="B31" s="7" t="str">
        <f>IF(LISTING[[#This Row],[INDEX]]="","",IF(compte="CCHQ",INDEX(BASE[],LISTING[[#This Row],[INDEX]],COLUMN(B29)),INDEX(BASELJMO[],LISTING[[#This Row],[INDEX]],COLUMN(B29))))</f>
        <v>MR MARGOT QUENTIN</v>
      </c>
      <c r="C31" s="7" t="str">
        <f>IF(LISTING[[#This Row],[INDEX]]="","",IF(compte="CCHQ",INDEX(BASE[],LISTING[[#This Row],[INDEX]],COLUMN(C29)),INDEX(BASELJMO[],LISTING[[#This Row],[INDEX]],COLUMN(C29))))</f>
        <v>CCHQ</v>
      </c>
      <c r="D31" s="7">
        <f>IF(LISTING[[#This Row],[INDEX]]="","",IF(compte="CCHQ",INDEX(BASE[],LISTING[[#This Row],[INDEX]],COLUMN(D29)),INDEX(BASELJMO[],LISTING[[#This Row],[INDEX]],COLUMN(D29))))</f>
        <v>2019</v>
      </c>
      <c r="E31" s="7">
        <f>IF(LISTING[[#This Row],[INDEX]]="","",IF(compte="CCHQ",INDEX(BASE[],LISTING[[#This Row],[INDEX]],COLUMN(E29)),INDEX(BASELJMO[],LISTING[[#This Row],[INDEX]],COLUMN(E29))))</f>
        <v>2</v>
      </c>
      <c r="F31" s="7" t="str">
        <f>IF(LISTING[[#This Row],[INDEX]]="","",IF(compte="CCHQ",INDEX(BASE[],LISTING[[#This Row],[INDEX]],COLUMN(F29)),INDEX(BASELJMO[],LISTING[[#This Row],[INDEX]],COLUMN(F29))))</f>
        <v>DIVERS</v>
      </c>
      <c r="G31" s="7" t="str">
        <f>IF(LISTING[[#This Row],[INDEX]]="","",IF(compte="CCHQ",INDEX(BASE[],LISTING[[#This Row],[INDEX]],COLUMN(G29)),INDEX(BASELJMO[],LISTING[[#This Row],[INDEX]],COLUMN(G29))))</f>
        <v>Amazon</v>
      </c>
      <c r="H31" s="3">
        <f>IF(LISTING[[#This Row],[INDEX]]="","",IF(compte="CCHQ",INDEX(BASE[],LISTING[[#This Row],[INDEX]],COLUMN(H29)),INDEX(BASELJMO[],LISTING[[#This Row],[INDEX]],COLUMN(H29))))</f>
        <v>43515</v>
      </c>
      <c r="I31" s="2">
        <f>IF(LISTING[[#This Row],[INDEX]]="","",IF(compte="CCHQ",INDEX(BASE[],LISTING[[#This Row],[INDEX]],COLUMN(I29)),INDEX(BASELJMO[],LISTING[[#This Row],[INDEX]],COLUMN(I29))))</f>
        <v>16.989999999999998</v>
      </c>
      <c r="J31" s="7">
        <f>IF(LISTING[[#This Row],[INDEX]]="","",IF(compte="CCHQ",INDEX(BASE[],LISTING[[#This Row],[INDEX]],COLUMN(J29)),INDEX(BASELJMO[],LISTING[[#This Row],[INDEX]],COLUMN(J29))))</f>
        <v>205</v>
      </c>
      <c r="L31" s="53"/>
      <c r="M31" s="53"/>
      <c r="N31" s="52"/>
      <c r="AE31" s="30" t="s">
        <v>90</v>
      </c>
    </row>
    <row r="32" spans="1:31" x14ac:dyDescent="0.25">
      <c r="A32" s="1">
        <f>IF(OR(numeroligne=0,numeroligne="",TEST!$S$12=0,TEST!$T$12=0),"",IF(A31="INDEX",TEST!S19,A31+1))</f>
        <v>206</v>
      </c>
      <c r="B32" s="7" t="str">
        <f>IF(LISTING[[#This Row],[INDEX]]="","",IF(compte="CCHQ",INDEX(BASE[],LISTING[[#This Row],[INDEX]],COLUMN(B30)),INDEX(BASELJMO[],LISTING[[#This Row],[INDEX]],COLUMN(B30))))</f>
        <v>MR MARGOT QUENTIN</v>
      </c>
      <c r="C32" s="7" t="str">
        <f>IF(LISTING[[#This Row],[INDEX]]="","",IF(compte="CCHQ",INDEX(BASE[],LISTING[[#This Row],[INDEX]],COLUMN(C30)),INDEX(BASELJMO[],LISTING[[#This Row],[INDEX]],COLUMN(C30))))</f>
        <v>CCHQ</v>
      </c>
      <c r="D32" s="7">
        <f>IF(LISTING[[#This Row],[INDEX]]="","",IF(compte="CCHQ",INDEX(BASE[],LISTING[[#This Row],[INDEX]],COLUMN(D30)),INDEX(BASELJMO[],LISTING[[#This Row],[INDEX]],COLUMN(D30))))</f>
        <v>2019</v>
      </c>
      <c r="E32" s="7">
        <f>IF(LISTING[[#This Row],[INDEX]]="","",IF(compte="CCHQ",INDEX(BASE[],LISTING[[#This Row],[INDEX]],COLUMN(E30)),INDEX(BASELJMO[],LISTING[[#This Row],[INDEX]],COLUMN(E30))))</f>
        <v>2</v>
      </c>
      <c r="F32" s="7" t="str">
        <f>IF(LISTING[[#This Row],[INDEX]]="","",IF(compte="CCHQ",INDEX(BASE[],LISTING[[#This Row],[INDEX]],COLUMN(F30)),INDEX(BASELJMO[],LISTING[[#This Row],[INDEX]],COLUMN(F30))))</f>
        <v>RECU</v>
      </c>
      <c r="G32" s="7" t="str">
        <f>IF(LISTING[[#This Row],[INDEX]]="","",IF(compte="CCHQ",INDEX(BASE[],LISTING[[#This Row],[INDEX]],COLUMN(G30)),INDEX(BASELJMO[],LISTING[[#This Row],[INDEX]],COLUMN(G30))))</f>
        <v>Virement Julie +</v>
      </c>
      <c r="H32" s="3">
        <f>IF(LISTING[[#This Row],[INDEX]]="","",IF(compte="CCHQ",INDEX(BASE[],LISTING[[#This Row],[INDEX]],COLUMN(H30)),INDEX(BASELJMO[],LISTING[[#This Row],[INDEX]],COLUMN(H30))))</f>
        <v>43515</v>
      </c>
      <c r="I32" s="2">
        <f>IF(LISTING[[#This Row],[INDEX]]="","",IF(compte="CCHQ",INDEX(BASE[],LISTING[[#This Row],[INDEX]],COLUMN(I30)),INDEX(BASELJMO[],LISTING[[#This Row],[INDEX]],COLUMN(I30))))</f>
        <v>48</v>
      </c>
      <c r="J32" s="7">
        <f>IF(LISTING[[#This Row],[INDEX]]="","",IF(compte="CCHQ",INDEX(BASE[],LISTING[[#This Row],[INDEX]],COLUMN(J30)),INDEX(BASELJMO[],LISTING[[#This Row],[INDEX]],COLUMN(J30))))</f>
        <v>206</v>
      </c>
      <c r="L32" s="53"/>
      <c r="M32" s="53"/>
      <c r="N32" s="52"/>
    </row>
    <row r="33" spans="1:14" x14ac:dyDescent="0.25">
      <c r="A33" s="1">
        <f>IF(OR(numeroligne=0,numeroligne="",TEST!$S$12=0,TEST!$T$12=0),"",IF(A32="INDEX",TEST!S20,A32+1))</f>
        <v>207</v>
      </c>
      <c r="B33" s="7" t="str">
        <f>IF(LISTING[[#This Row],[INDEX]]="","",IF(compte="CCHQ",INDEX(BASE[],LISTING[[#This Row],[INDEX]],COLUMN(B31)),INDEX(BASELJMO[],LISTING[[#This Row],[INDEX]],COLUMN(B31))))</f>
        <v>MR MARGOT QUENTIN</v>
      </c>
      <c r="C33" s="7" t="str">
        <f>IF(LISTING[[#This Row],[INDEX]]="","",IF(compte="CCHQ",INDEX(BASE[],LISTING[[#This Row],[INDEX]],COLUMN(C31)),INDEX(BASELJMO[],LISTING[[#This Row],[INDEX]],COLUMN(C31))))</f>
        <v>CCHQ</v>
      </c>
      <c r="D33" s="7">
        <f>IF(LISTING[[#This Row],[INDEX]]="","",IF(compte="CCHQ",INDEX(BASE[],LISTING[[#This Row],[INDEX]],COLUMN(D31)),INDEX(BASELJMO[],LISTING[[#This Row],[INDEX]],COLUMN(D31))))</f>
        <v>2019</v>
      </c>
      <c r="E33" s="7">
        <f>IF(LISTING[[#This Row],[INDEX]]="","",IF(compte="CCHQ",INDEX(BASE[],LISTING[[#This Row],[INDEX]],COLUMN(E31)),INDEX(BASELJMO[],LISTING[[#This Row],[INDEX]],COLUMN(E31))))</f>
        <v>2</v>
      </c>
      <c r="F33" s="7" t="str">
        <f>IF(LISTING[[#This Row],[INDEX]]="","",IF(compte="CCHQ",INDEX(BASE[],LISTING[[#This Row],[INDEX]],COLUMN(F31)),INDEX(BASELJMO[],LISTING[[#This Row],[INDEX]],COLUMN(F31))))</f>
        <v>FACTURE</v>
      </c>
      <c r="G33" s="7" t="str">
        <f>IF(LISTING[[#This Row],[INDEX]]="","",IF(compte="CCHQ",INDEX(BASE[],LISTING[[#This Row],[INDEX]],COLUMN(G31)),INDEX(BASELJMO[],LISTING[[#This Row],[INDEX]],COLUMN(G31))))</f>
        <v>Assurance Tout Mobile</v>
      </c>
      <c r="H33" s="3">
        <f>IF(LISTING[[#This Row],[INDEX]]="","",IF(compte="CCHQ",INDEX(BASE[],LISTING[[#This Row],[INDEX]],COLUMN(H31)),INDEX(BASELJMO[],LISTING[[#This Row],[INDEX]],COLUMN(H31))))</f>
        <v>43514</v>
      </c>
      <c r="I33" s="2">
        <f>IF(LISTING[[#This Row],[INDEX]]="","",IF(compte="CCHQ",INDEX(BASE[],LISTING[[#This Row],[INDEX]],COLUMN(I31)),INDEX(BASELJMO[],LISTING[[#This Row],[INDEX]],COLUMN(I31))))</f>
        <v>9.9</v>
      </c>
      <c r="J33" s="7">
        <f>IF(LISTING[[#This Row],[INDEX]]="","",IF(compte="CCHQ",INDEX(BASE[],LISTING[[#This Row],[INDEX]],COLUMN(J31)),INDEX(BASELJMO[],LISTING[[#This Row],[INDEX]],COLUMN(J31))))</f>
        <v>207</v>
      </c>
      <c r="L33" s="53"/>
      <c r="M33" s="53"/>
      <c r="N33" s="52"/>
    </row>
    <row r="34" spans="1:14" x14ac:dyDescent="0.25">
      <c r="A34" s="1">
        <f>IF(OR(numeroligne=0,numeroligne="",TEST!$S$12=0,TEST!$T$12=0),"",IF(A33="INDEX",TEST!S21,A33+1))</f>
        <v>208</v>
      </c>
      <c r="B34" s="7" t="str">
        <f>IF(LISTING[[#This Row],[INDEX]]="","",IF(compte="CCHQ",INDEX(BASE[],LISTING[[#This Row],[INDEX]],COLUMN(B32)),INDEX(BASELJMO[],LISTING[[#This Row],[INDEX]],COLUMN(B32))))</f>
        <v>MR MARGOT QUENTIN</v>
      </c>
      <c r="C34" s="7" t="str">
        <f>IF(LISTING[[#This Row],[INDEX]]="","",IF(compte="CCHQ",INDEX(BASE[],LISTING[[#This Row],[INDEX]],COLUMN(C32)),INDEX(BASELJMO[],LISTING[[#This Row],[INDEX]],COLUMN(C32))))</f>
        <v>CCHQ</v>
      </c>
      <c r="D34" s="7">
        <f>IF(LISTING[[#This Row],[INDEX]]="","",IF(compte="CCHQ",INDEX(BASE[],LISTING[[#This Row],[INDEX]],COLUMN(D32)),INDEX(BASELJMO[],LISTING[[#This Row],[INDEX]],COLUMN(D32))))</f>
        <v>2019</v>
      </c>
      <c r="E34" s="7">
        <f>IF(LISTING[[#This Row],[INDEX]]="","",IF(compte="CCHQ",INDEX(BASE[],LISTING[[#This Row],[INDEX]],COLUMN(E32)),INDEX(BASELJMO[],LISTING[[#This Row],[INDEX]],COLUMN(E32))))</f>
        <v>2</v>
      </c>
      <c r="F34" s="7" t="str">
        <f>IF(LISTING[[#This Row],[INDEX]]="","",IF(compte="CCHQ",INDEX(BASE[],LISTING[[#This Row],[INDEX]],COLUMN(F32)),INDEX(BASELJMO[],LISTING[[#This Row],[INDEX]],COLUMN(F32))))</f>
        <v>COURSE</v>
      </c>
      <c r="G34" s="7" t="str">
        <f>IF(LISTING[[#This Row],[INDEX]]="","",IF(compte="CCHQ",INDEX(BASE[],LISTING[[#This Row],[INDEX]],COLUMN(G32)),INDEX(BASELJMO[],LISTING[[#This Row],[INDEX]],COLUMN(G32))))</f>
        <v>Carrefour</v>
      </c>
      <c r="H34" s="3">
        <f>IF(LISTING[[#This Row],[INDEX]]="","",IF(compte="CCHQ",INDEX(BASE[],LISTING[[#This Row],[INDEX]],COLUMN(H32)),INDEX(BASELJMO[],LISTING[[#This Row],[INDEX]],COLUMN(H32))))</f>
        <v>43514</v>
      </c>
      <c r="I34" s="2">
        <f>IF(LISTING[[#This Row],[INDEX]]="","",IF(compte="CCHQ",INDEX(BASE[],LISTING[[#This Row],[INDEX]],COLUMN(I32)),INDEX(BASELJMO[],LISTING[[#This Row],[INDEX]],COLUMN(I32))))</f>
        <v>12.46</v>
      </c>
      <c r="J34" s="7">
        <f>IF(LISTING[[#This Row],[INDEX]]="","",IF(compte="CCHQ",INDEX(BASE[],LISTING[[#This Row],[INDEX]],COLUMN(J32)),INDEX(BASELJMO[],LISTING[[#This Row],[INDEX]],COLUMN(J32))))</f>
        <v>208</v>
      </c>
      <c r="L34" s="53"/>
      <c r="M34" s="53"/>
      <c r="N34" s="52"/>
    </row>
    <row r="35" spans="1:14" x14ac:dyDescent="0.25">
      <c r="A35" s="1">
        <f>IF(OR(numeroligne=0,numeroligne="",TEST!$S$12=0,TEST!$T$12=0),"",IF(A34="INDEX",TEST!S22,A34+1))</f>
        <v>209</v>
      </c>
      <c r="B35" s="7" t="str">
        <f>IF(LISTING[[#This Row],[INDEX]]="","",IF(compte="CCHQ",INDEX(BASE[],LISTING[[#This Row],[INDEX]],COLUMN(B33)),INDEX(BASELJMO[],LISTING[[#This Row],[INDEX]],COLUMN(B33))))</f>
        <v>MR MARGOT QUENTIN</v>
      </c>
      <c r="C35" s="7" t="str">
        <f>IF(LISTING[[#This Row],[INDEX]]="","",IF(compte="CCHQ",INDEX(BASE[],LISTING[[#This Row],[INDEX]],COLUMN(C33)),INDEX(BASELJMO[],LISTING[[#This Row],[INDEX]],COLUMN(C33))))</f>
        <v>CCHQ</v>
      </c>
      <c r="D35" s="7">
        <f>IF(LISTING[[#This Row],[INDEX]]="","",IF(compte="CCHQ",INDEX(BASE[],LISTING[[#This Row],[INDEX]],COLUMN(D33)),INDEX(BASELJMO[],LISTING[[#This Row],[INDEX]],COLUMN(D33))))</f>
        <v>2019</v>
      </c>
      <c r="E35" s="7">
        <f>IF(LISTING[[#This Row],[INDEX]]="","",IF(compte="CCHQ",INDEX(BASE[],LISTING[[#This Row],[INDEX]],COLUMN(E33)),INDEX(BASELJMO[],LISTING[[#This Row],[INDEX]],COLUMN(E33))))</f>
        <v>2</v>
      </c>
      <c r="F35" s="7" t="str">
        <f>IF(LISTING[[#This Row],[INDEX]]="","",IF(compte="CCHQ",INDEX(BASE[],LISTING[[#This Row],[INDEX]],COLUMN(F33)),INDEX(BASELJMO[],LISTING[[#This Row],[INDEX]],COLUMN(F33))))</f>
        <v>COURSE</v>
      </c>
      <c r="G35" s="7" t="str">
        <f>IF(LISTING[[#This Row],[INDEX]]="","",IF(compte="CCHQ",INDEX(BASE[],LISTING[[#This Row],[INDEX]],COLUMN(G33)),INDEX(BASELJMO[],LISTING[[#This Row],[INDEX]],COLUMN(G33))))</f>
        <v>Carrefour</v>
      </c>
      <c r="H35" s="3">
        <f>IF(LISTING[[#This Row],[INDEX]]="","",IF(compte="CCHQ",INDEX(BASE[],LISTING[[#This Row],[INDEX]],COLUMN(H33)),INDEX(BASELJMO[],LISTING[[#This Row],[INDEX]],COLUMN(H33))))</f>
        <v>43514</v>
      </c>
      <c r="I35" s="2">
        <f>IF(LISTING[[#This Row],[INDEX]]="","",IF(compte="CCHQ",INDEX(BASE[],LISTING[[#This Row],[INDEX]],COLUMN(I33)),INDEX(BASELJMO[],LISTING[[#This Row],[INDEX]],COLUMN(I33))))</f>
        <v>7.16</v>
      </c>
      <c r="J35" s="7">
        <f>IF(LISTING[[#This Row],[INDEX]]="","",IF(compte="CCHQ",INDEX(BASE[],LISTING[[#This Row],[INDEX]],COLUMN(J33)),INDEX(BASELJMO[],LISTING[[#This Row],[INDEX]],COLUMN(J33))))</f>
        <v>209</v>
      </c>
      <c r="L35" s="53"/>
      <c r="M35" s="53"/>
      <c r="N35" s="52"/>
    </row>
    <row r="36" spans="1:14" x14ac:dyDescent="0.25">
      <c r="A36" s="1">
        <f>IF(OR(numeroligne=0,numeroligne="",TEST!$S$12=0,TEST!$T$12=0),"",IF(A35="INDEX",TEST!S23,A35+1))</f>
        <v>210</v>
      </c>
      <c r="B36" s="7" t="str">
        <f>IF(LISTING[[#This Row],[INDEX]]="","",IF(compte="CCHQ",INDEX(BASE[],LISTING[[#This Row],[INDEX]],COLUMN(B34)),INDEX(BASELJMO[],LISTING[[#This Row],[INDEX]],COLUMN(B34))))</f>
        <v>MR MARGOT QUENTIN</v>
      </c>
      <c r="C36" s="7" t="str">
        <f>IF(LISTING[[#This Row],[INDEX]]="","",IF(compte="CCHQ",INDEX(BASE[],LISTING[[#This Row],[INDEX]],COLUMN(C34)),INDEX(BASELJMO[],LISTING[[#This Row],[INDEX]],COLUMN(C34))))</f>
        <v>CCHQ</v>
      </c>
      <c r="D36" s="7">
        <f>IF(LISTING[[#This Row],[INDEX]]="","",IF(compte="CCHQ",INDEX(BASE[],LISTING[[#This Row],[INDEX]],COLUMN(D34)),INDEX(BASELJMO[],LISTING[[#This Row],[INDEX]],COLUMN(D34))))</f>
        <v>2019</v>
      </c>
      <c r="E36" s="7">
        <f>IF(LISTING[[#This Row],[INDEX]]="","",IF(compte="CCHQ",INDEX(BASE[],LISTING[[#This Row],[INDEX]],COLUMN(E34)),INDEX(BASELJMO[],LISTING[[#This Row],[INDEX]],COLUMN(E34))))</f>
        <v>2</v>
      </c>
      <c r="F36" s="7" t="str">
        <f>IF(LISTING[[#This Row],[INDEX]]="","",IF(compte="CCHQ",INDEX(BASE[],LISTING[[#This Row],[INDEX]],COLUMN(F34)),INDEX(BASELJMO[],LISTING[[#This Row],[INDEX]],COLUMN(F34))))</f>
        <v>RESTAURATION</v>
      </c>
      <c r="G36" s="7" t="str">
        <f>IF(LISTING[[#This Row],[INDEX]]="","",IF(compte="CCHQ",INDEX(BASE[],LISTING[[#This Row],[INDEX]],COLUMN(G34)),INDEX(BASELJMO[],LISTING[[#This Row],[INDEX]],COLUMN(G34))))</f>
        <v>Chinois</v>
      </c>
      <c r="H36" s="3">
        <f>IF(LISTING[[#This Row],[INDEX]]="","",IF(compte="CCHQ",INDEX(BASE[],LISTING[[#This Row],[INDEX]],COLUMN(H34)),INDEX(BASELJMO[],LISTING[[#This Row],[INDEX]],COLUMN(H34))))</f>
        <v>43514</v>
      </c>
      <c r="I36" s="2">
        <f>IF(LISTING[[#This Row],[INDEX]]="","",IF(compte="CCHQ",INDEX(BASE[],LISTING[[#This Row],[INDEX]],COLUMN(I34)),INDEX(BASELJMO[],LISTING[[#This Row],[INDEX]],COLUMN(I34))))</f>
        <v>15.9</v>
      </c>
      <c r="J36" s="7">
        <f>IF(LISTING[[#This Row],[INDEX]]="","",IF(compte="CCHQ",INDEX(BASE[],LISTING[[#This Row],[INDEX]],COLUMN(J34)),INDEX(BASELJMO[],LISTING[[#This Row],[INDEX]],COLUMN(J34))))</f>
        <v>210</v>
      </c>
      <c r="L36" s="53"/>
      <c r="M36" s="53"/>
      <c r="N36" s="52"/>
    </row>
    <row r="37" spans="1:14" x14ac:dyDescent="0.25">
      <c r="A37" s="1">
        <f>IF(OR(numeroligne=0,numeroligne="",TEST!$S$12=0,TEST!$T$12=0),"",IF(A36="INDEX",TEST!S24,A36+1))</f>
        <v>211</v>
      </c>
      <c r="B37" s="7" t="str">
        <f>IF(LISTING[[#This Row],[INDEX]]="","",IF(compte="CCHQ",INDEX(BASE[],LISTING[[#This Row],[INDEX]],COLUMN(B35)),INDEX(BASELJMO[],LISTING[[#This Row],[INDEX]],COLUMN(B35))))</f>
        <v>MR MARGOT QUENTIN</v>
      </c>
      <c r="C37" s="7" t="str">
        <f>IF(LISTING[[#This Row],[INDEX]]="","",IF(compte="CCHQ",INDEX(BASE[],LISTING[[#This Row],[INDEX]],COLUMN(C35)),INDEX(BASELJMO[],LISTING[[#This Row],[INDEX]],COLUMN(C35))))</f>
        <v>CCHQ</v>
      </c>
      <c r="D37" s="7">
        <f>IF(LISTING[[#This Row],[INDEX]]="","",IF(compte="CCHQ",INDEX(BASE[],LISTING[[#This Row],[INDEX]],COLUMN(D35)),INDEX(BASELJMO[],LISTING[[#This Row],[INDEX]],COLUMN(D35))))</f>
        <v>2019</v>
      </c>
      <c r="E37" s="7">
        <f>IF(LISTING[[#This Row],[INDEX]]="","",IF(compte="CCHQ",INDEX(BASE[],LISTING[[#This Row],[INDEX]],COLUMN(E35)),INDEX(BASELJMO[],LISTING[[#This Row],[INDEX]],COLUMN(E35))))</f>
        <v>2</v>
      </c>
      <c r="F37" s="7" t="str">
        <f>IF(LISTING[[#This Row],[INDEX]]="","",IF(compte="CCHQ",INDEX(BASE[],LISTING[[#This Row],[INDEX]],COLUMN(F35)),INDEX(BASELJMO[],LISTING[[#This Row],[INDEX]],COLUMN(F35))))</f>
        <v>DIVERS</v>
      </c>
      <c r="G37" s="7" t="str">
        <f>IF(LISTING[[#This Row],[INDEX]]="","",IF(compte="CCHQ",INDEX(BASE[],LISTING[[#This Row],[INDEX]],COLUMN(G35)),INDEX(BASELJMO[],LISTING[[#This Row],[INDEX]],COLUMN(G35))))</f>
        <v>Amazon</v>
      </c>
      <c r="H37" s="3">
        <f>IF(LISTING[[#This Row],[INDEX]]="","",IF(compte="CCHQ",INDEX(BASE[],LISTING[[#This Row],[INDEX]],COLUMN(H35)),INDEX(BASELJMO[],LISTING[[#This Row],[INDEX]],COLUMN(H35))))</f>
        <v>43514</v>
      </c>
      <c r="I37" s="2">
        <f>IF(LISTING[[#This Row],[INDEX]]="","",IF(compte="CCHQ",INDEX(BASE[],LISTING[[#This Row],[INDEX]],COLUMN(I35)),INDEX(BASELJMO[],LISTING[[#This Row],[INDEX]],COLUMN(I35))))</f>
        <v>22.78</v>
      </c>
      <c r="J37" s="7">
        <f>IF(LISTING[[#This Row],[INDEX]]="","",IF(compte="CCHQ",INDEX(BASE[],LISTING[[#This Row],[INDEX]],COLUMN(J35)),INDEX(BASELJMO[],LISTING[[#This Row],[INDEX]],COLUMN(J35))))</f>
        <v>211</v>
      </c>
      <c r="L37" s="53"/>
      <c r="M37" s="53"/>
      <c r="N37" s="52"/>
    </row>
    <row r="38" spans="1:14" x14ac:dyDescent="0.25">
      <c r="A38" s="1">
        <f>IF(OR(numeroligne=0,numeroligne="",TEST!$S$12=0,TEST!$T$12=0),"",IF(A37="INDEX",TEST!S25,A37+1))</f>
        <v>212</v>
      </c>
      <c r="B38" s="7" t="str">
        <f>IF(LISTING[[#This Row],[INDEX]]="","",IF(compte="CCHQ",INDEX(BASE[],LISTING[[#This Row],[INDEX]],COLUMN(B36)),INDEX(BASELJMO[],LISTING[[#This Row],[INDEX]],COLUMN(B36))))</f>
        <v>MR MARGOT QUENTIN</v>
      </c>
      <c r="C38" s="7" t="str">
        <f>IF(LISTING[[#This Row],[INDEX]]="","",IF(compte="CCHQ",INDEX(BASE[],LISTING[[#This Row],[INDEX]],COLUMN(C36)),INDEX(BASELJMO[],LISTING[[#This Row],[INDEX]],COLUMN(C36))))</f>
        <v>CCHQ</v>
      </c>
      <c r="D38" s="7">
        <f>IF(LISTING[[#This Row],[INDEX]]="","",IF(compte="CCHQ",INDEX(BASE[],LISTING[[#This Row],[INDEX]],COLUMN(D36)),INDEX(BASELJMO[],LISTING[[#This Row],[INDEX]],COLUMN(D36))))</f>
        <v>2019</v>
      </c>
      <c r="E38" s="7">
        <f>IF(LISTING[[#This Row],[INDEX]]="","",IF(compte="CCHQ",INDEX(BASE[],LISTING[[#This Row],[INDEX]],COLUMN(E36)),INDEX(BASELJMO[],LISTING[[#This Row],[INDEX]],COLUMN(E36))))</f>
        <v>2</v>
      </c>
      <c r="F38" s="7" t="str">
        <f>IF(LISTING[[#This Row],[INDEX]]="","",IF(compte="CCHQ",INDEX(BASE[],LISTING[[#This Row],[INDEX]],COLUMN(F36)),INDEX(BASELJMO[],LISTING[[#This Row],[INDEX]],COLUMN(F36))))</f>
        <v>RESTAURATION</v>
      </c>
      <c r="G38" s="7" t="str">
        <f>IF(LISTING[[#This Row],[INDEX]]="","",IF(compte="CCHQ",INDEX(BASE[],LISTING[[#This Row],[INDEX]],COLUMN(G36)),INDEX(BASELJMO[],LISTING[[#This Row],[INDEX]],COLUMN(G36))))</f>
        <v>Boulangerie</v>
      </c>
      <c r="H38" s="3">
        <f>IF(LISTING[[#This Row],[INDEX]]="","",IF(compte="CCHQ",INDEX(BASE[],LISTING[[#This Row],[INDEX]],COLUMN(H36)),INDEX(BASELJMO[],LISTING[[#This Row],[INDEX]],COLUMN(H36))))</f>
        <v>43514</v>
      </c>
      <c r="I38" s="2">
        <f>IF(LISTING[[#This Row],[INDEX]]="","",IF(compte="CCHQ",INDEX(BASE[],LISTING[[#This Row],[INDEX]],COLUMN(I36)),INDEX(BASELJMO[],LISTING[[#This Row],[INDEX]],COLUMN(I36))))</f>
        <v>16</v>
      </c>
      <c r="J38" s="7">
        <f>IF(LISTING[[#This Row],[INDEX]]="","",IF(compte="CCHQ",INDEX(BASE[],LISTING[[#This Row],[INDEX]],COLUMN(J36)),INDEX(BASELJMO[],LISTING[[#This Row],[INDEX]],COLUMN(J36))))</f>
        <v>212</v>
      </c>
      <c r="L38" s="53"/>
      <c r="M38" s="53"/>
      <c r="N38" s="52"/>
    </row>
    <row r="39" spans="1:14" x14ac:dyDescent="0.25">
      <c r="A39" s="1">
        <f>IF(OR(numeroligne=0,numeroligne="",TEST!$S$12=0,TEST!$T$12=0),"",IF(A38="INDEX",TEST!S26,A38+1))</f>
        <v>213</v>
      </c>
      <c r="B39" s="7" t="str">
        <f>IF(LISTING[[#This Row],[INDEX]]="","",IF(compte="CCHQ",INDEX(BASE[],LISTING[[#This Row],[INDEX]],COLUMN(B37)),INDEX(BASELJMO[],LISTING[[#This Row],[INDEX]],COLUMN(B37))))</f>
        <v>MR MARGOT QUENTIN</v>
      </c>
      <c r="C39" s="7" t="str">
        <f>IF(LISTING[[#This Row],[INDEX]]="","",IF(compte="CCHQ",INDEX(BASE[],LISTING[[#This Row],[INDEX]],COLUMN(C37)),INDEX(BASELJMO[],LISTING[[#This Row],[INDEX]],COLUMN(C37))))</f>
        <v>CCHQ</v>
      </c>
      <c r="D39" s="7">
        <f>IF(LISTING[[#This Row],[INDEX]]="","",IF(compte="CCHQ",INDEX(BASE[],LISTING[[#This Row],[INDEX]],COLUMN(D37)),INDEX(BASELJMO[],LISTING[[#This Row],[INDEX]],COLUMN(D37))))</f>
        <v>2019</v>
      </c>
      <c r="E39" s="7">
        <f>IF(LISTING[[#This Row],[INDEX]]="","",IF(compte="CCHQ",INDEX(BASE[],LISTING[[#This Row],[INDEX]],COLUMN(E37)),INDEX(BASELJMO[],LISTING[[#This Row],[INDEX]],COLUMN(E37))))</f>
        <v>2</v>
      </c>
      <c r="F39" s="7" t="str">
        <f>IF(LISTING[[#This Row],[INDEX]]="","",IF(compte="CCHQ",INDEX(BASE[],LISTING[[#This Row],[INDEX]],COLUMN(F37)),INDEX(BASELJMO[],LISTING[[#This Row],[INDEX]],COLUMN(F37))))</f>
        <v>RESTAURATION</v>
      </c>
      <c r="G39" s="7" t="str">
        <f>IF(LISTING[[#This Row],[INDEX]]="","",IF(compte="CCHQ",INDEX(BASE[],LISTING[[#This Row],[INDEX]],COLUMN(G37)),INDEX(BASELJMO[],LISTING[[#This Row],[INDEX]],COLUMN(G37))))</f>
        <v>Le Bistro Régent</v>
      </c>
      <c r="H39" s="3">
        <f>IF(LISTING[[#This Row],[INDEX]]="","",IF(compte="CCHQ",INDEX(BASE[],LISTING[[#This Row],[INDEX]],COLUMN(H37)),INDEX(BASELJMO[],LISTING[[#This Row],[INDEX]],COLUMN(H37))))</f>
        <v>43514</v>
      </c>
      <c r="I39" s="2">
        <f>IF(LISTING[[#This Row],[INDEX]]="","",IF(compte="CCHQ",INDEX(BASE[],LISTING[[#This Row],[INDEX]],COLUMN(I37)),INDEX(BASELJMO[],LISTING[[#This Row],[INDEX]],COLUMN(I37))))</f>
        <v>46.4</v>
      </c>
      <c r="J39" s="7">
        <f>IF(LISTING[[#This Row],[INDEX]]="","",IF(compte="CCHQ",INDEX(BASE[],LISTING[[#This Row],[INDEX]],COLUMN(J37)),INDEX(BASELJMO[],LISTING[[#This Row],[INDEX]],COLUMN(J37))))</f>
        <v>213</v>
      </c>
      <c r="L39" s="53"/>
      <c r="M39" s="53"/>
      <c r="N39" s="52"/>
    </row>
    <row r="40" spans="1:14" x14ac:dyDescent="0.25">
      <c r="A40" s="1">
        <f>IF(OR(numeroligne=0,numeroligne="",TEST!$S$12=0,TEST!$T$12=0),"",IF(A39="INDEX",TEST!S27,A39+1))</f>
        <v>214</v>
      </c>
      <c r="B40" s="7" t="str">
        <f>IF(LISTING[[#This Row],[INDEX]]="","",IF(compte="CCHQ",INDEX(BASE[],LISTING[[#This Row],[INDEX]],COLUMN(B38)),INDEX(BASELJMO[],LISTING[[#This Row],[INDEX]],COLUMN(B38))))</f>
        <v>MR MARGOT QUENTIN</v>
      </c>
      <c r="C40" s="7" t="str">
        <f>IF(LISTING[[#This Row],[INDEX]]="","",IF(compte="CCHQ",INDEX(BASE[],LISTING[[#This Row],[INDEX]],COLUMN(C38)),INDEX(BASELJMO[],LISTING[[#This Row],[INDEX]],COLUMN(C38))))</f>
        <v>CCHQ</v>
      </c>
      <c r="D40" s="7">
        <f>IF(LISTING[[#This Row],[INDEX]]="","",IF(compte="CCHQ",INDEX(BASE[],LISTING[[#This Row],[INDEX]],COLUMN(D38)),INDEX(BASELJMO[],LISTING[[#This Row],[INDEX]],COLUMN(D38))))</f>
        <v>2019</v>
      </c>
      <c r="E40" s="7">
        <f>IF(LISTING[[#This Row],[INDEX]]="","",IF(compte="CCHQ",INDEX(BASE[],LISTING[[#This Row],[INDEX]],COLUMN(E38)),INDEX(BASELJMO[],LISTING[[#This Row],[INDEX]],COLUMN(E38))))</f>
        <v>2</v>
      </c>
      <c r="F40" s="7" t="str">
        <f>IF(LISTING[[#This Row],[INDEX]]="","",IF(compte="CCHQ",INDEX(BASE[],LISTING[[#This Row],[INDEX]],COLUMN(F38)),INDEX(BASELJMO[],LISTING[[#This Row],[INDEX]],COLUMN(F38))))</f>
        <v>RESTAURATION</v>
      </c>
      <c r="G40" s="7" t="str">
        <f>IF(LISTING[[#This Row],[INDEX]]="","",IF(compte="CCHQ",INDEX(BASE[],LISTING[[#This Row],[INDEX]],COLUMN(G38)),INDEX(BASELJMO[],LISTING[[#This Row],[INDEX]],COLUMN(G38))))</f>
        <v>Le Bistro Régent</v>
      </c>
      <c r="H40" s="3">
        <f>IF(LISTING[[#This Row],[INDEX]]="","",IF(compte="CCHQ",INDEX(BASE[],LISTING[[#This Row],[INDEX]],COLUMN(H38)),INDEX(BASELJMO[],LISTING[[#This Row],[INDEX]],COLUMN(H38))))</f>
        <v>43514</v>
      </c>
      <c r="I40" s="2">
        <f>IF(LISTING[[#This Row],[INDEX]]="","",IF(compte="CCHQ",INDEX(BASE[],LISTING[[#This Row],[INDEX]],COLUMN(I38)),INDEX(BASELJMO[],LISTING[[#This Row],[INDEX]],COLUMN(I38))))</f>
        <v>2</v>
      </c>
      <c r="J40" s="7">
        <f>IF(LISTING[[#This Row],[INDEX]]="","",IF(compte="CCHQ",INDEX(BASE[],LISTING[[#This Row],[INDEX]],COLUMN(J38)),INDEX(BASELJMO[],LISTING[[#This Row],[INDEX]],COLUMN(J38))))</f>
        <v>214</v>
      </c>
      <c r="L40" s="53"/>
      <c r="M40" s="53"/>
      <c r="N40" s="52"/>
    </row>
    <row r="41" spans="1:14" x14ac:dyDescent="0.25">
      <c r="A41" s="1">
        <f>IF(OR(numeroligne=0,numeroligne="",TEST!$S$12=0,TEST!$T$12=0),"",IF(A40="INDEX",TEST!S28,A40+1))</f>
        <v>215</v>
      </c>
      <c r="B41" s="7" t="str">
        <f>IF(LISTING[[#This Row],[INDEX]]="","",IF(compte="CCHQ",INDEX(BASE[],LISTING[[#This Row],[INDEX]],COLUMN(B39)),INDEX(BASELJMO[],LISTING[[#This Row],[INDEX]],COLUMN(B39))))</f>
        <v>MR MARGOT QUENTIN</v>
      </c>
      <c r="C41" s="7" t="str">
        <f>IF(LISTING[[#This Row],[INDEX]]="","",IF(compte="CCHQ",INDEX(BASE[],LISTING[[#This Row],[INDEX]],COLUMN(C39)),INDEX(BASELJMO[],LISTING[[#This Row],[INDEX]],COLUMN(C39))))</f>
        <v>CCHQ</v>
      </c>
      <c r="D41" s="7">
        <f>IF(LISTING[[#This Row],[INDEX]]="","",IF(compte="CCHQ",INDEX(BASE[],LISTING[[#This Row],[INDEX]],COLUMN(D39)),INDEX(BASELJMO[],LISTING[[#This Row],[INDEX]],COLUMN(D39))))</f>
        <v>2019</v>
      </c>
      <c r="E41" s="7">
        <f>IF(LISTING[[#This Row],[INDEX]]="","",IF(compte="CCHQ",INDEX(BASE[],LISTING[[#This Row],[INDEX]],COLUMN(E39)),INDEX(BASELJMO[],LISTING[[#This Row],[INDEX]],COLUMN(E39))))</f>
        <v>2</v>
      </c>
      <c r="F41" s="7" t="str">
        <f>IF(LISTING[[#This Row],[INDEX]]="","",IF(compte="CCHQ",INDEX(BASE[],LISTING[[#This Row],[INDEX]],COLUMN(F39)),INDEX(BASELJMO[],LISTING[[#This Row],[INDEX]],COLUMN(F39))))</f>
        <v>TRANSPORT</v>
      </c>
      <c r="G41" s="7" t="str">
        <f>IF(LISTING[[#This Row],[INDEX]]="","",IF(compte="CCHQ",INDEX(BASE[],LISTING[[#This Row],[INDEX]],COLUMN(G39)),INDEX(BASELJMO[],LISTING[[#This Row],[INDEX]],COLUMN(G39))))</f>
        <v>Train</v>
      </c>
      <c r="H41" s="3">
        <f>IF(LISTING[[#This Row],[INDEX]]="","",IF(compte="CCHQ",INDEX(BASE[],LISTING[[#This Row],[INDEX]],COLUMN(H39)),INDEX(BASELJMO[],LISTING[[#This Row],[INDEX]],COLUMN(H39))))</f>
        <v>43514</v>
      </c>
      <c r="I41" s="2">
        <f>IF(LISTING[[#This Row],[INDEX]]="","",IF(compte="CCHQ",INDEX(BASE[],LISTING[[#This Row],[INDEX]],COLUMN(I39)),INDEX(BASELJMO[],LISTING[[#This Row],[INDEX]],COLUMN(I39))))</f>
        <v>7</v>
      </c>
      <c r="J41" s="7">
        <f>IF(LISTING[[#This Row],[INDEX]]="","",IF(compte="CCHQ",INDEX(BASE[],LISTING[[#This Row],[INDEX]],COLUMN(J39)),INDEX(BASELJMO[],LISTING[[#This Row],[INDEX]],COLUMN(J39))))</f>
        <v>215</v>
      </c>
      <c r="L41" s="53"/>
      <c r="M41" s="53"/>
      <c r="N41" s="52"/>
    </row>
    <row r="42" spans="1:14" x14ac:dyDescent="0.25">
      <c r="A42" s="1">
        <f>IF(OR(numeroligne=0,numeroligne="",TEST!$S$12=0,TEST!$T$12=0),"",IF(A41="INDEX",TEST!S29,A41+1))</f>
        <v>216</v>
      </c>
      <c r="B42" s="7" t="str">
        <f>IF(LISTING[[#This Row],[INDEX]]="","",IF(compte="CCHQ",INDEX(BASE[],LISTING[[#This Row],[INDEX]],COLUMN(B40)),INDEX(BASELJMO[],LISTING[[#This Row],[INDEX]],COLUMN(B40))))</f>
        <v>MR MARGOT QUENTIN</v>
      </c>
      <c r="C42" s="7" t="str">
        <f>IF(LISTING[[#This Row],[INDEX]]="","",IF(compte="CCHQ",INDEX(BASE[],LISTING[[#This Row],[INDEX]],COLUMN(C40)),INDEX(BASELJMO[],LISTING[[#This Row],[INDEX]],COLUMN(C40))))</f>
        <v>CCHQ</v>
      </c>
      <c r="D42" s="7">
        <f>IF(LISTING[[#This Row],[INDEX]]="","",IF(compte="CCHQ",INDEX(BASE[],LISTING[[#This Row],[INDEX]],COLUMN(D40)),INDEX(BASELJMO[],LISTING[[#This Row],[INDEX]],COLUMN(D40))))</f>
        <v>2019</v>
      </c>
      <c r="E42" s="7">
        <f>IF(LISTING[[#This Row],[INDEX]]="","",IF(compte="CCHQ",INDEX(BASE[],LISTING[[#This Row],[INDEX]],COLUMN(E40)),INDEX(BASELJMO[],LISTING[[#This Row],[INDEX]],COLUMN(E40))))</f>
        <v>2</v>
      </c>
      <c r="F42" s="7" t="str">
        <f>IF(LISTING[[#This Row],[INDEX]]="","",IF(compte="CCHQ",INDEX(BASE[],LISTING[[#This Row],[INDEX]],COLUMN(F40)),INDEX(BASELJMO[],LISTING[[#This Row],[INDEX]],COLUMN(F40))))</f>
        <v>TRANSPORT</v>
      </c>
      <c r="G42" s="7" t="str">
        <f>IF(LISTING[[#This Row],[INDEX]]="","",IF(compte="CCHQ",INDEX(BASE[],LISTING[[#This Row],[INDEX]],COLUMN(G40)),INDEX(BASELJMO[],LISTING[[#This Row],[INDEX]],COLUMN(G40))))</f>
        <v>Transport Bordeaux</v>
      </c>
      <c r="H42" s="3">
        <f>IF(LISTING[[#This Row],[INDEX]]="","",IF(compte="CCHQ",INDEX(BASE[],LISTING[[#This Row],[INDEX]],COLUMN(H40)),INDEX(BASELJMO[],LISTING[[#This Row],[INDEX]],COLUMN(H40))))</f>
        <v>43514</v>
      </c>
      <c r="I42" s="2">
        <f>IF(LISTING[[#This Row],[INDEX]]="","",IF(compte="CCHQ",INDEX(BASE[],LISTING[[#This Row],[INDEX]],COLUMN(I40)),INDEX(BASELJMO[],LISTING[[#This Row],[INDEX]],COLUMN(I40))))</f>
        <v>3.1</v>
      </c>
      <c r="J42" s="7">
        <f>IF(LISTING[[#This Row],[INDEX]]="","",IF(compte="CCHQ",INDEX(BASE[],LISTING[[#This Row],[INDEX]],COLUMN(J40)),INDEX(BASELJMO[],LISTING[[#This Row],[INDEX]],COLUMN(J40))))</f>
        <v>216</v>
      </c>
      <c r="L42" s="53"/>
      <c r="M42" s="53"/>
      <c r="N42" s="52"/>
    </row>
    <row r="43" spans="1:14" x14ac:dyDescent="0.25">
      <c r="A43" s="1">
        <f>IF(OR(numeroligne=0,numeroligne="",TEST!$S$12=0,TEST!$T$12=0),"",IF(A42="INDEX",TEST!S30,A42+1))</f>
        <v>217</v>
      </c>
      <c r="B43" s="7" t="str">
        <f>IF(LISTING[[#This Row],[INDEX]]="","",IF(compte="CCHQ",INDEX(BASE[],LISTING[[#This Row],[INDEX]],COLUMN(B41)),INDEX(BASELJMO[],LISTING[[#This Row],[INDEX]],COLUMN(B41))))</f>
        <v>MR MARGOT QUENTIN</v>
      </c>
      <c r="C43" s="7" t="str">
        <f>IF(LISTING[[#This Row],[INDEX]]="","",IF(compte="CCHQ",INDEX(BASE[],LISTING[[#This Row],[INDEX]],COLUMN(C41)),INDEX(BASELJMO[],LISTING[[#This Row],[INDEX]],COLUMN(C41))))</f>
        <v>CCHQ</v>
      </c>
      <c r="D43" s="7">
        <f>IF(LISTING[[#This Row],[INDEX]]="","",IF(compte="CCHQ",INDEX(BASE[],LISTING[[#This Row],[INDEX]],COLUMN(D41)),INDEX(BASELJMO[],LISTING[[#This Row],[INDEX]],COLUMN(D41))))</f>
        <v>2019</v>
      </c>
      <c r="E43" s="7">
        <f>IF(LISTING[[#This Row],[INDEX]]="","",IF(compte="CCHQ",INDEX(BASE[],LISTING[[#This Row],[INDEX]],COLUMN(E41)),INDEX(BASELJMO[],LISTING[[#This Row],[INDEX]],COLUMN(E41))))</f>
        <v>2</v>
      </c>
      <c r="F43" s="7" t="str">
        <f>IF(LISTING[[#This Row],[INDEX]]="","",IF(compte="CCHQ",INDEX(BASE[],LISTING[[#This Row],[INDEX]],COLUMN(F41)),INDEX(BASELJMO[],LISTING[[#This Row],[INDEX]],COLUMN(F41))))</f>
        <v>LOISIRS</v>
      </c>
      <c r="G43" s="7" t="str">
        <f>IF(LISTING[[#This Row],[INDEX]]="","",IF(compte="CCHQ",INDEX(BASE[],LISTING[[#This Row],[INDEX]],COLUMN(G41)),INDEX(BASELJMO[],LISTING[[#This Row],[INDEX]],COLUMN(G41))))</f>
        <v>Bar</v>
      </c>
      <c r="H43" s="3">
        <f>IF(LISTING[[#This Row],[INDEX]]="","",IF(compte="CCHQ",INDEX(BASE[],LISTING[[#This Row],[INDEX]],COLUMN(H41)),INDEX(BASELJMO[],LISTING[[#This Row],[INDEX]],COLUMN(H41))))</f>
        <v>43514</v>
      </c>
      <c r="I43" s="2">
        <f>IF(LISTING[[#This Row],[INDEX]]="","",IF(compte="CCHQ",INDEX(BASE[],LISTING[[#This Row],[INDEX]],COLUMN(I41)),INDEX(BASELJMO[],LISTING[[#This Row],[INDEX]],COLUMN(I41))))</f>
        <v>11.4</v>
      </c>
      <c r="J43" s="7">
        <f>IF(LISTING[[#This Row],[INDEX]]="","",IF(compte="CCHQ",INDEX(BASE[],LISTING[[#This Row],[INDEX]],COLUMN(J41)),INDEX(BASELJMO[],LISTING[[#This Row],[INDEX]],COLUMN(J41))))</f>
        <v>217</v>
      </c>
      <c r="L43" s="53"/>
      <c r="M43" s="53"/>
      <c r="N43" s="52"/>
    </row>
    <row r="44" spans="1:14" x14ac:dyDescent="0.25">
      <c r="A44" s="1">
        <f>IF(OR(numeroligne=0,numeroligne="",TEST!$S$12=0,TEST!$T$12=0),"",IF(A43="INDEX",TEST!S31,A43+1))</f>
        <v>218</v>
      </c>
      <c r="B44" s="7" t="str">
        <f>IF(LISTING[[#This Row],[INDEX]]="","",IF(compte="CCHQ",INDEX(BASE[],LISTING[[#This Row],[INDEX]],COLUMN(B42)),INDEX(BASELJMO[],LISTING[[#This Row],[INDEX]],COLUMN(B42))))</f>
        <v>MR MARGOT QUENTIN</v>
      </c>
      <c r="C44" s="7" t="str">
        <f>IF(LISTING[[#This Row],[INDEX]]="","",IF(compte="CCHQ",INDEX(BASE[],LISTING[[#This Row],[INDEX]],COLUMN(C42)),INDEX(BASELJMO[],LISTING[[#This Row],[INDEX]],COLUMN(C42))))</f>
        <v>CCHQ</v>
      </c>
      <c r="D44" s="7">
        <f>IF(LISTING[[#This Row],[INDEX]]="","",IF(compte="CCHQ",INDEX(BASE[],LISTING[[#This Row],[INDEX]],COLUMN(D42)),INDEX(BASELJMO[],LISTING[[#This Row],[INDEX]],COLUMN(D42))))</f>
        <v>2019</v>
      </c>
      <c r="E44" s="7">
        <f>IF(LISTING[[#This Row],[INDEX]]="","",IF(compte="CCHQ",INDEX(BASE[],LISTING[[#This Row],[INDEX]],COLUMN(E42)),INDEX(BASELJMO[],LISTING[[#This Row],[INDEX]],COLUMN(E42))))</f>
        <v>2</v>
      </c>
      <c r="F44" s="7" t="str">
        <f>IF(LISTING[[#This Row],[INDEX]]="","",IF(compte="CCHQ",INDEX(BASE[],LISTING[[#This Row],[INDEX]],COLUMN(F42)),INDEX(BASELJMO[],LISTING[[#This Row],[INDEX]],COLUMN(F42))))</f>
        <v>FACTURE</v>
      </c>
      <c r="G44" s="7" t="str">
        <f>IF(LISTING[[#This Row],[INDEX]]="","",IF(compte="CCHQ",INDEX(BASE[],LISTING[[#This Row],[INDEX]],COLUMN(G42)),INDEX(BASELJMO[],LISTING[[#This Row],[INDEX]],COLUMN(G42))))</f>
        <v>Netflix</v>
      </c>
      <c r="H44" s="3">
        <f>IF(LISTING[[#This Row],[INDEX]]="","",IF(compte="CCHQ",INDEX(BASE[],LISTING[[#This Row],[INDEX]],COLUMN(H42)),INDEX(BASELJMO[],LISTING[[#This Row],[INDEX]],COLUMN(H42))))</f>
        <v>43514</v>
      </c>
      <c r="I44" s="2">
        <f>IF(LISTING[[#This Row],[INDEX]]="","",IF(compte="CCHQ",INDEX(BASE[],LISTING[[#This Row],[INDEX]],COLUMN(I42)),INDEX(BASELJMO[],LISTING[[#This Row],[INDEX]],COLUMN(I42))))</f>
        <v>10.99</v>
      </c>
      <c r="J44" s="7">
        <f>IF(LISTING[[#This Row],[INDEX]]="","",IF(compte="CCHQ",INDEX(BASE[],LISTING[[#This Row],[INDEX]],COLUMN(J42)),INDEX(BASELJMO[],LISTING[[#This Row],[INDEX]],COLUMN(J42))))</f>
        <v>218</v>
      </c>
      <c r="L44" s="53"/>
      <c r="M44" s="53"/>
      <c r="N44" s="52"/>
    </row>
    <row r="45" spans="1:14" x14ac:dyDescent="0.25">
      <c r="A45" s="1">
        <f>IF(OR(numeroligne=0,numeroligne="",TEST!$S$12=0,TEST!$T$12=0),"",IF(A44="INDEX",TEST!S32,A44+1))</f>
        <v>219</v>
      </c>
      <c r="B45" s="7" t="str">
        <f>IF(LISTING[[#This Row],[INDEX]]="","",IF(compte="CCHQ",INDEX(BASE[],LISTING[[#This Row],[INDEX]],COLUMN(B43)),INDEX(BASELJMO[],LISTING[[#This Row],[INDEX]],COLUMN(B43))))</f>
        <v>MR MARGOT QUENTIN</v>
      </c>
      <c r="C45" s="7" t="str">
        <f>IF(LISTING[[#This Row],[INDEX]]="","",IF(compte="CCHQ",INDEX(BASE[],LISTING[[#This Row],[INDEX]],COLUMN(C43)),INDEX(BASELJMO[],LISTING[[#This Row],[INDEX]],COLUMN(C43))))</f>
        <v>CCHQ</v>
      </c>
      <c r="D45" s="7">
        <f>IF(LISTING[[#This Row],[INDEX]]="","",IF(compte="CCHQ",INDEX(BASE[],LISTING[[#This Row],[INDEX]],COLUMN(D43)),INDEX(BASELJMO[],LISTING[[#This Row],[INDEX]],COLUMN(D43))))</f>
        <v>2019</v>
      </c>
      <c r="E45" s="7">
        <f>IF(LISTING[[#This Row],[INDEX]]="","",IF(compte="CCHQ",INDEX(BASE[],LISTING[[#This Row],[INDEX]],COLUMN(E43)),INDEX(BASELJMO[],LISTING[[#This Row],[INDEX]],COLUMN(E43))))</f>
        <v>2</v>
      </c>
      <c r="F45" s="7" t="str">
        <f>IF(LISTING[[#This Row],[INDEX]]="","",IF(compte="CCHQ",INDEX(BASE[],LISTING[[#This Row],[INDEX]],COLUMN(F43)),INDEX(BASELJMO[],LISTING[[#This Row],[INDEX]],COLUMN(F43))))</f>
        <v>CREDIT</v>
      </c>
      <c r="G45" s="7" t="str">
        <f>IF(LISTING[[#This Row],[INDEX]]="","",IF(compte="CCHQ",INDEX(BASE[],LISTING[[#This Row],[INDEX]],COLUMN(G43)),INDEX(BASELJMO[],LISTING[[#This Row],[INDEX]],COLUMN(G43))))</f>
        <v>Piece HP OMEN</v>
      </c>
      <c r="H45" s="3">
        <f>IF(LISTING[[#This Row],[INDEX]]="","",IF(compte="CCHQ",INDEX(BASE[],LISTING[[#This Row],[INDEX]],COLUMN(H43)),INDEX(BASELJMO[],LISTING[[#This Row],[INDEX]],COLUMN(H43))))</f>
        <v>43514</v>
      </c>
      <c r="I45" s="2">
        <f>IF(LISTING[[#This Row],[INDEX]]="","",IF(compte="CCHQ",INDEX(BASE[],LISTING[[#This Row],[INDEX]],COLUMN(I43)),INDEX(BASELJMO[],LISTING[[#This Row],[INDEX]],COLUMN(I43))))</f>
        <v>50.66</v>
      </c>
      <c r="J45" s="7">
        <f>IF(LISTING[[#This Row],[INDEX]]="","",IF(compte="CCHQ",INDEX(BASE[],LISTING[[#This Row],[INDEX]],COLUMN(J43)),INDEX(BASELJMO[],LISTING[[#This Row],[INDEX]],COLUMN(J43))))</f>
        <v>219</v>
      </c>
      <c r="L45" s="53"/>
      <c r="M45" s="53"/>
      <c r="N45" s="52"/>
    </row>
    <row r="46" spans="1:14" x14ac:dyDescent="0.25">
      <c r="A46" s="1">
        <f>IF(OR(numeroligne=0,numeroligne="",TEST!$S$12=0,TEST!$T$12=0),"",IF(A45="INDEX",TEST!S33,A45+1))</f>
        <v>220</v>
      </c>
      <c r="B46" s="7" t="str">
        <f>IF(LISTING[[#This Row],[INDEX]]="","",IF(compte="CCHQ",INDEX(BASE[],LISTING[[#This Row],[INDEX]],COLUMN(B44)),INDEX(BASELJMO[],LISTING[[#This Row],[INDEX]],COLUMN(B44))))</f>
        <v>MR MARGOT QUENTIN</v>
      </c>
      <c r="C46" s="7" t="str">
        <f>IF(LISTING[[#This Row],[INDEX]]="","",IF(compte="CCHQ",INDEX(BASE[],LISTING[[#This Row],[INDEX]],COLUMN(C44)),INDEX(BASELJMO[],LISTING[[#This Row],[INDEX]],COLUMN(C44))))</f>
        <v>CCHQ</v>
      </c>
      <c r="D46" s="7">
        <f>IF(LISTING[[#This Row],[INDEX]]="","",IF(compte="CCHQ",INDEX(BASE[],LISTING[[#This Row],[INDEX]],COLUMN(D44)),INDEX(BASELJMO[],LISTING[[#This Row],[INDEX]],COLUMN(D44))))</f>
        <v>2019</v>
      </c>
      <c r="E46" s="7">
        <f>IF(LISTING[[#This Row],[INDEX]]="","",IF(compte="CCHQ",INDEX(BASE[],LISTING[[#This Row],[INDEX]],COLUMN(E44)),INDEX(BASELJMO[],LISTING[[#This Row],[INDEX]],COLUMN(E44))))</f>
        <v>2</v>
      </c>
      <c r="F46" s="7" t="str">
        <f>IF(LISTING[[#This Row],[INDEX]]="","",IF(compte="CCHQ",INDEX(BASE[],LISTING[[#This Row],[INDEX]],COLUMN(F44)),INDEX(BASELJMO[],LISTING[[#This Row],[INDEX]],COLUMN(F44))))</f>
        <v>RETRAIT</v>
      </c>
      <c r="G46" s="7" t="str">
        <f>IF(LISTING[[#This Row],[INDEX]]="","",IF(compte="CCHQ",INDEX(BASE[],LISTING[[#This Row],[INDEX]],COLUMN(G44)),INDEX(BASELJMO[],LISTING[[#This Row],[INDEX]],COLUMN(G44))))</f>
        <v>Retrait Talence</v>
      </c>
      <c r="H46" s="3">
        <f>IF(LISTING[[#This Row],[INDEX]]="","",IF(compte="CCHQ",INDEX(BASE[],LISTING[[#This Row],[INDEX]],COLUMN(H44)),INDEX(BASELJMO[],LISTING[[#This Row],[INDEX]],COLUMN(H44))))</f>
        <v>43514</v>
      </c>
      <c r="I46" s="2">
        <f>IF(LISTING[[#This Row],[INDEX]]="","",IF(compte="CCHQ",INDEX(BASE[],LISTING[[#This Row],[INDEX]],COLUMN(I44)),INDEX(BASELJMO[],LISTING[[#This Row],[INDEX]],COLUMN(I44))))</f>
        <v>20</v>
      </c>
      <c r="J46" s="7">
        <f>IF(LISTING[[#This Row],[INDEX]]="","",IF(compte="CCHQ",INDEX(BASE[],LISTING[[#This Row],[INDEX]],COLUMN(J44)),INDEX(BASELJMO[],LISTING[[#This Row],[INDEX]],COLUMN(J44))))</f>
        <v>220</v>
      </c>
      <c r="L46" s="53"/>
      <c r="M46" s="53"/>
      <c r="N46" s="52"/>
    </row>
    <row r="47" spans="1:14" x14ac:dyDescent="0.25">
      <c r="A47" s="1">
        <f>IF(OR(numeroligne=0,numeroligne="",TEST!$S$12=0,TEST!$T$12=0),"",IF(A46="INDEX",TEST!S34,A46+1))</f>
        <v>221</v>
      </c>
      <c r="B47" s="7" t="str">
        <f>IF(LISTING[[#This Row],[INDEX]]="","",IF(compte="CCHQ",INDEX(BASE[],LISTING[[#This Row],[INDEX]],COLUMN(B45)),INDEX(BASELJMO[],LISTING[[#This Row],[INDEX]],COLUMN(B45))))</f>
        <v>MR MARGOT QUENTIN</v>
      </c>
      <c r="C47" s="7" t="str">
        <f>IF(LISTING[[#This Row],[INDEX]]="","",IF(compte="CCHQ",INDEX(BASE[],LISTING[[#This Row],[INDEX]],COLUMN(C45)),INDEX(BASELJMO[],LISTING[[#This Row],[INDEX]],COLUMN(C45))))</f>
        <v>CCHQ</v>
      </c>
      <c r="D47" s="7">
        <f>IF(LISTING[[#This Row],[INDEX]]="","",IF(compte="CCHQ",INDEX(BASE[],LISTING[[#This Row],[INDEX]],COLUMN(D45)),INDEX(BASELJMO[],LISTING[[#This Row],[INDEX]],COLUMN(D45))))</f>
        <v>2019</v>
      </c>
      <c r="E47" s="7">
        <f>IF(LISTING[[#This Row],[INDEX]]="","",IF(compte="CCHQ",INDEX(BASE[],LISTING[[#This Row],[INDEX]],COLUMN(E45)),INDEX(BASELJMO[],LISTING[[#This Row],[INDEX]],COLUMN(E45))))</f>
        <v>2</v>
      </c>
      <c r="F47" s="7" t="str">
        <f>IF(LISTING[[#This Row],[INDEX]]="","",IF(compte="CCHQ",INDEX(BASE[],LISTING[[#This Row],[INDEX]],COLUMN(F45)),INDEX(BASELJMO[],LISTING[[#This Row],[INDEX]],COLUMN(F45))))</f>
        <v>RESTAURATION</v>
      </c>
      <c r="G47" s="7" t="str">
        <f>IF(LISTING[[#This Row],[INDEX]]="","",IF(compte="CCHQ",INDEX(BASE[],LISTING[[#This Row],[INDEX]],COLUMN(G45)),INDEX(BASELJMO[],LISTING[[#This Row],[INDEX]],COLUMN(G45))))</f>
        <v>Kebab</v>
      </c>
      <c r="H47" s="3">
        <f>IF(LISTING[[#This Row],[INDEX]]="","",IF(compte="CCHQ",INDEX(BASE[],LISTING[[#This Row],[INDEX]],COLUMN(H45)),INDEX(BASELJMO[],LISTING[[#This Row],[INDEX]],COLUMN(H45))))</f>
        <v>43511</v>
      </c>
      <c r="I47" s="2">
        <f>IF(LISTING[[#This Row],[INDEX]]="","",IF(compte="CCHQ",INDEX(BASE[],LISTING[[#This Row],[INDEX]],COLUMN(I45)),INDEX(BASELJMO[],LISTING[[#This Row],[INDEX]],COLUMN(I45))))</f>
        <v>15</v>
      </c>
      <c r="J47" s="7">
        <f>IF(LISTING[[#This Row],[INDEX]]="","",IF(compte="CCHQ",INDEX(BASE[],LISTING[[#This Row],[INDEX]],COLUMN(J45)),INDEX(BASELJMO[],LISTING[[#This Row],[INDEX]],COLUMN(J45))))</f>
        <v>221</v>
      </c>
      <c r="L47" s="53"/>
      <c r="M47" s="53"/>
      <c r="N47" s="52"/>
    </row>
    <row r="48" spans="1:14" x14ac:dyDescent="0.25">
      <c r="A48" s="1">
        <f>IF(OR(numeroligne=0,numeroligne="",TEST!$S$12=0,TEST!$T$12=0),"",IF(A47="INDEX",TEST!S35,A47+1))</f>
        <v>222</v>
      </c>
      <c r="B48" s="7" t="str">
        <f>IF(LISTING[[#This Row],[INDEX]]="","",IF(compte="CCHQ",INDEX(BASE[],LISTING[[#This Row],[INDEX]],COLUMN(B46)),INDEX(BASELJMO[],LISTING[[#This Row],[INDEX]],COLUMN(B46))))</f>
        <v>MR MARGOT QUENTIN</v>
      </c>
      <c r="C48" s="7" t="str">
        <f>IF(LISTING[[#This Row],[INDEX]]="","",IF(compte="CCHQ",INDEX(BASE[],LISTING[[#This Row],[INDEX]],COLUMN(C46)),INDEX(BASELJMO[],LISTING[[#This Row],[INDEX]],COLUMN(C46))))</f>
        <v>CCHQ</v>
      </c>
      <c r="D48" s="7">
        <f>IF(LISTING[[#This Row],[INDEX]]="","",IF(compte="CCHQ",INDEX(BASE[],LISTING[[#This Row],[INDEX]],COLUMN(D46)),INDEX(BASELJMO[],LISTING[[#This Row],[INDEX]],COLUMN(D46))))</f>
        <v>2019</v>
      </c>
      <c r="E48" s="7">
        <f>IF(LISTING[[#This Row],[INDEX]]="","",IF(compte="CCHQ",INDEX(BASE[],LISTING[[#This Row],[INDEX]],COLUMN(E46)),INDEX(BASELJMO[],LISTING[[#This Row],[INDEX]],COLUMN(E46))))</f>
        <v>2</v>
      </c>
      <c r="F48" s="7" t="str">
        <f>IF(LISTING[[#This Row],[INDEX]]="","",IF(compte="CCHQ",INDEX(BASE[],LISTING[[#This Row],[INDEX]],COLUMN(F46)),INDEX(BASELJMO[],LISTING[[#This Row],[INDEX]],COLUMN(F46))))</f>
        <v>RECU</v>
      </c>
      <c r="G48" s="7" t="str">
        <f>IF(LISTING[[#This Row],[INDEX]]="","",IF(compte="CCHQ",INDEX(BASE[],LISTING[[#This Row],[INDEX]],COLUMN(G46)),INDEX(BASELJMO[],LISTING[[#This Row],[INDEX]],COLUMN(G46))))</f>
        <v>Remboursement E-assiste</v>
      </c>
      <c r="H48" s="3">
        <f>IF(LISTING[[#This Row],[INDEX]]="","",IF(compte="CCHQ",INDEX(BASE[],LISTING[[#This Row],[INDEX]],COLUMN(H46)),INDEX(BASELJMO[],LISTING[[#This Row],[INDEX]],COLUMN(H46))))</f>
        <v>43511</v>
      </c>
      <c r="I48" s="2">
        <f>IF(LISTING[[#This Row],[INDEX]]="","",IF(compte="CCHQ",INDEX(BASE[],LISTING[[#This Row],[INDEX]],COLUMN(I46)),INDEX(BASELJMO[],LISTING[[#This Row],[INDEX]],COLUMN(I46))))</f>
        <v>49.9</v>
      </c>
      <c r="J48" s="7">
        <f>IF(LISTING[[#This Row],[INDEX]]="","",IF(compte="CCHQ",INDEX(BASE[],LISTING[[#This Row],[INDEX]],COLUMN(J46)),INDEX(BASELJMO[],LISTING[[#This Row],[INDEX]],COLUMN(J46))))</f>
        <v>222</v>
      </c>
      <c r="L48" s="53"/>
      <c r="M48" s="53"/>
      <c r="N48" s="52"/>
    </row>
    <row r="49" spans="1:14" x14ac:dyDescent="0.25">
      <c r="A49" s="1">
        <f>IF(OR(numeroligne=0,numeroligne="",TEST!$S$12=0,TEST!$T$12=0),"",IF(A48="INDEX",TEST!S36,A48+1))</f>
        <v>223</v>
      </c>
      <c r="B49" s="7" t="str">
        <f>IF(LISTING[[#This Row],[INDEX]]="","",IF(compte="CCHQ",INDEX(BASE[],LISTING[[#This Row],[INDEX]],COLUMN(B47)),INDEX(BASELJMO[],LISTING[[#This Row],[INDEX]],COLUMN(B47))))</f>
        <v>MR MARGOT QUENTIN</v>
      </c>
      <c r="C49" s="7" t="str">
        <f>IF(LISTING[[#This Row],[INDEX]]="","",IF(compte="CCHQ",INDEX(BASE[],LISTING[[#This Row],[INDEX]],COLUMN(C47)),INDEX(BASELJMO[],LISTING[[#This Row],[INDEX]],COLUMN(C47))))</f>
        <v>CCHQ</v>
      </c>
      <c r="D49" s="7">
        <f>IF(LISTING[[#This Row],[INDEX]]="","",IF(compte="CCHQ",INDEX(BASE[],LISTING[[#This Row],[INDEX]],COLUMN(D47)),INDEX(BASELJMO[],LISTING[[#This Row],[INDEX]],COLUMN(D47))))</f>
        <v>2019</v>
      </c>
      <c r="E49" s="7">
        <f>IF(LISTING[[#This Row],[INDEX]]="","",IF(compte="CCHQ",INDEX(BASE[],LISTING[[#This Row],[INDEX]],COLUMN(E47)),INDEX(BASELJMO[],LISTING[[#This Row],[INDEX]],COLUMN(E47))))</f>
        <v>2</v>
      </c>
      <c r="F49" s="7" t="str">
        <f>IF(LISTING[[#This Row],[INDEX]]="","",IF(compte="CCHQ",INDEX(BASE[],LISTING[[#This Row],[INDEX]],COLUMN(F47)),INDEX(BASELJMO[],LISTING[[#This Row],[INDEX]],COLUMN(F47))))</f>
        <v>COURSE</v>
      </c>
      <c r="G49" s="7" t="str">
        <f>IF(LISTING[[#This Row],[INDEX]]="","",IF(compte="CCHQ",INDEX(BASE[],LISTING[[#This Row],[INDEX]],COLUMN(G47)),INDEX(BASELJMO[],LISTING[[#This Row],[INDEX]],COLUMN(G47))))</f>
        <v>Intermarché</v>
      </c>
      <c r="H49" s="3">
        <f>IF(LISTING[[#This Row],[INDEX]]="","",IF(compte="CCHQ",INDEX(BASE[],LISTING[[#This Row],[INDEX]],COLUMN(H47)),INDEX(BASELJMO[],LISTING[[#This Row],[INDEX]],COLUMN(H47))))</f>
        <v>43510</v>
      </c>
      <c r="I49" s="2">
        <f>IF(LISTING[[#This Row],[INDEX]]="","",IF(compte="CCHQ",INDEX(BASE[],LISTING[[#This Row],[INDEX]],COLUMN(I47)),INDEX(BASELJMO[],LISTING[[#This Row],[INDEX]],COLUMN(I47))))</f>
        <v>3.9</v>
      </c>
      <c r="J49" s="7">
        <f>IF(LISTING[[#This Row],[INDEX]]="","",IF(compte="CCHQ",INDEX(BASE[],LISTING[[#This Row],[INDEX]],COLUMN(J47)),INDEX(BASELJMO[],LISTING[[#This Row],[INDEX]],COLUMN(J47))))</f>
        <v>223</v>
      </c>
      <c r="L49" s="53"/>
      <c r="M49" s="53"/>
      <c r="N49" s="52"/>
    </row>
    <row r="50" spans="1:14" x14ac:dyDescent="0.25">
      <c r="A50" s="1">
        <f>IF(OR(numeroligne=0,numeroligne="",TEST!$S$12=0,TEST!$T$12=0),"",IF(A49="INDEX",TEST!S37,A49+1))</f>
        <v>224</v>
      </c>
      <c r="B50" s="7" t="str">
        <f>IF(LISTING[[#This Row],[INDEX]]="","",IF(compte="CCHQ",INDEX(BASE[],LISTING[[#This Row],[INDEX]],COLUMN(B48)),INDEX(BASELJMO[],LISTING[[#This Row],[INDEX]],COLUMN(B48))))</f>
        <v>MR MARGOT QUENTIN</v>
      </c>
      <c r="C50" s="7" t="str">
        <f>IF(LISTING[[#This Row],[INDEX]]="","",IF(compte="CCHQ",INDEX(BASE[],LISTING[[#This Row],[INDEX]],COLUMN(C48)),INDEX(BASELJMO[],LISTING[[#This Row],[INDEX]],COLUMN(C48))))</f>
        <v>CCHQ</v>
      </c>
      <c r="D50" s="7">
        <f>IF(LISTING[[#This Row],[INDEX]]="","",IF(compte="CCHQ",INDEX(BASE[],LISTING[[#This Row],[INDEX]],COLUMN(D48)),INDEX(BASELJMO[],LISTING[[#This Row],[INDEX]],COLUMN(D48))))</f>
        <v>2019</v>
      </c>
      <c r="E50" s="7">
        <f>IF(LISTING[[#This Row],[INDEX]]="","",IF(compte="CCHQ",INDEX(BASE[],LISTING[[#This Row],[INDEX]],COLUMN(E48)),INDEX(BASELJMO[],LISTING[[#This Row],[INDEX]],COLUMN(E48))))</f>
        <v>2</v>
      </c>
      <c r="F50" s="7" t="str">
        <f>IF(LISTING[[#This Row],[INDEX]]="","",IF(compte="CCHQ",INDEX(BASE[],LISTING[[#This Row],[INDEX]],COLUMN(F48)),INDEX(BASELJMO[],LISTING[[#This Row],[INDEX]],COLUMN(F48))))</f>
        <v>COURSE</v>
      </c>
      <c r="G50" s="7" t="str">
        <f>IF(LISTING[[#This Row],[INDEX]]="","",IF(compte="CCHQ",INDEX(BASE[],LISTING[[#This Row],[INDEX]],COLUMN(G48)),INDEX(BASELJMO[],LISTING[[#This Row],[INDEX]],COLUMN(G48))))</f>
        <v>Intermarché</v>
      </c>
      <c r="H50" s="3">
        <f>IF(LISTING[[#This Row],[INDEX]]="","",IF(compte="CCHQ",INDEX(BASE[],LISTING[[#This Row],[INDEX]],COLUMN(H48)),INDEX(BASELJMO[],LISTING[[#This Row],[INDEX]],COLUMN(H48))))</f>
        <v>43510</v>
      </c>
      <c r="I50" s="2">
        <f>IF(LISTING[[#This Row],[INDEX]]="","",IF(compte="CCHQ",INDEX(BASE[],LISTING[[#This Row],[INDEX]],COLUMN(I48)),INDEX(BASELJMO[],LISTING[[#This Row],[INDEX]],COLUMN(I48))))</f>
        <v>2.1800000000000002</v>
      </c>
      <c r="J50" s="7">
        <f>IF(LISTING[[#This Row],[INDEX]]="","",IF(compte="CCHQ",INDEX(BASE[],LISTING[[#This Row],[INDEX]],COLUMN(J48)),INDEX(BASELJMO[],LISTING[[#This Row],[INDEX]],COLUMN(J48))))</f>
        <v>224</v>
      </c>
      <c r="L50" s="53"/>
      <c r="M50" s="53"/>
      <c r="N50" s="52"/>
    </row>
    <row r="51" spans="1:14" x14ac:dyDescent="0.25">
      <c r="A51" s="1">
        <f>IF(OR(numeroligne=0,numeroligne="",TEST!$S$12=0,TEST!$T$12=0),"",IF(A50="INDEX",TEST!S38,A50+1))</f>
        <v>225</v>
      </c>
      <c r="B51" s="7" t="str">
        <f>IF(LISTING[[#This Row],[INDEX]]="","",IF(compte="CCHQ",INDEX(BASE[],LISTING[[#This Row],[INDEX]],COLUMN(B49)),INDEX(BASELJMO[],LISTING[[#This Row],[INDEX]],COLUMN(B49))))</f>
        <v>MR MARGOT QUENTIN</v>
      </c>
      <c r="C51" s="7" t="str">
        <f>IF(LISTING[[#This Row],[INDEX]]="","",IF(compte="CCHQ",INDEX(BASE[],LISTING[[#This Row],[INDEX]],COLUMN(C49)),INDEX(BASELJMO[],LISTING[[#This Row],[INDEX]],COLUMN(C49))))</f>
        <v>CCHQ</v>
      </c>
      <c r="D51" s="7">
        <f>IF(LISTING[[#This Row],[INDEX]]="","",IF(compte="CCHQ",INDEX(BASE[],LISTING[[#This Row],[INDEX]],COLUMN(D49)),INDEX(BASELJMO[],LISTING[[#This Row],[INDEX]],COLUMN(D49))))</f>
        <v>2019</v>
      </c>
      <c r="E51" s="7">
        <f>IF(LISTING[[#This Row],[INDEX]]="","",IF(compte="CCHQ",INDEX(BASE[],LISTING[[#This Row],[INDEX]],COLUMN(E49)),INDEX(BASELJMO[],LISTING[[#This Row],[INDEX]],COLUMN(E49))))</f>
        <v>2</v>
      </c>
      <c r="F51" s="7" t="str">
        <f>IF(LISTING[[#This Row],[INDEX]]="","",IF(compte="CCHQ",INDEX(BASE[],LISTING[[#This Row],[INDEX]],COLUMN(F49)),INDEX(BASELJMO[],LISTING[[#This Row],[INDEX]],COLUMN(F49))))</f>
        <v>COURSE</v>
      </c>
      <c r="G51" s="7" t="str">
        <f>IF(LISTING[[#This Row],[INDEX]]="","",IF(compte="CCHQ",INDEX(BASE[],LISTING[[#This Row],[INDEX]],COLUMN(G49)),INDEX(BASELJMO[],LISTING[[#This Row],[INDEX]],COLUMN(G49))))</f>
        <v>Géant Casino</v>
      </c>
      <c r="H51" s="3">
        <f>IF(LISTING[[#This Row],[INDEX]]="","",IF(compte="CCHQ",INDEX(BASE[],LISTING[[#This Row],[INDEX]],COLUMN(H49)),INDEX(BASELJMO[],LISTING[[#This Row],[INDEX]],COLUMN(H49))))</f>
        <v>43510</v>
      </c>
      <c r="I51" s="2">
        <f>IF(LISTING[[#This Row],[INDEX]]="","",IF(compte="CCHQ",INDEX(BASE[],LISTING[[#This Row],[INDEX]],COLUMN(I49)),INDEX(BASELJMO[],LISTING[[#This Row],[INDEX]],COLUMN(I49))))</f>
        <v>11</v>
      </c>
      <c r="J51" s="7">
        <f>IF(LISTING[[#This Row],[INDEX]]="","",IF(compte="CCHQ",INDEX(BASE[],LISTING[[#This Row],[INDEX]],COLUMN(J49)),INDEX(BASELJMO[],LISTING[[#This Row],[INDEX]],COLUMN(J49))))</f>
        <v>225</v>
      </c>
      <c r="L51" s="53"/>
      <c r="M51" s="53"/>
      <c r="N51" s="52"/>
    </row>
    <row r="52" spans="1:14" x14ac:dyDescent="0.25">
      <c r="A52" s="1">
        <f>IF(OR(numeroligne=0,numeroligne="",TEST!$S$12=0,TEST!$T$12=0),"",IF(A51="INDEX",TEST!S39,A51+1))</f>
        <v>226</v>
      </c>
      <c r="B52" s="7" t="str">
        <f>IF(LISTING[[#This Row],[INDEX]]="","",IF(compte="CCHQ",INDEX(BASE[],LISTING[[#This Row],[INDEX]],COLUMN(B50)),INDEX(BASELJMO[],LISTING[[#This Row],[INDEX]],COLUMN(B50))))</f>
        <v>MR MARGOT QUENTIN</v>
      </c>
      <c r="C52" s="7" t="str">
        <f>IF(LISTING[[#This Row],[INDEX]]="","",IF(compte="CCHQ",INDEX(BASE[],LISTING[[#This Row],[INDEX]],COLUMN(C50)),INDEX(BASELJMO[],LISTING[[#This Row],[INDEX]],COLUMN(C50))))</f>
        <v>CCHQ</v>
      </c>
      <c r="D52" s="7">
        <f>IF(LISTING[[#This Row],[INDEX]]="","",IF(compte="CCHQ",INDEX(BASE[],LISTING[[#This Row],[INDEX]],COLUMN(D50)),INDEX(BASELJMO[],LISTING[[#This Row],[INDEX]],COLUMN(D50))))</f>
        <v>2019</v>
      </c>
      <c r="E52" s="7">
        <f>IF(LISTING[[#This Row],[INDEX]]="","",IF(compte="CCHQ",INDEX(BASE[],LISTING[[#This Row],[INDEX]],COLUMN(E50)),INDEX(BASELJMO[],LISTING[[#This Row],[INDEX]],COLUMN(E50))))</f>
        <v>2</v>
      </c>
      <c r="F52" s="7" t="str">
        <f>IF(LISTING[[#This Row],[INDEX]]="","",IF(compte="CCHQ",INDEX(BASE[],LISTING[[#This Row],[INDEX]],COLUMN(F50)),INDEX(BASELJMO[],LISTING[[#This Row],[INDEX]],COLUMN(F50))))</f>
        <v>RESTAURATION</v>
      </c>
      <c r="G52" s="7" t="str">
        <f>IF(LISTING[[#This Row],[INDEX]]="","",IF(compte="CCHQ",INDEX(BASE[],LISTING[[#This Row],[INDEX]],COLUMN(G50)),INDEX(BASELJMO[],LISTING[[#This Row],[INDEX]],COLUMN(G50))))</f>
        <v>Boulangerie</v>
      </c>
      <c r="H52" s="3">
        <f>IF(LISTING[[#This Row],[INDEX]]="","",IF(compte="CCHQ",INDEX(BASE[],LISTING[[#This Row],[INDEX]],COLUMN(H50)),INDEX(BASELJMO[],LISTING[[#This Row],[INDEX]],COLUMN(H50))))</f>
        <v>43509</v>
      </c>
      <c r="I52" s="2">
        <f>IF(LISTING[[#This Row],[INDEX]]="","",IF(compte="CCHQ",INDEX(BASE[],LISTING[[#This Row],[INDEX]],COLUMN(I50)),INDEX(BASELJMO[],LISTING[[#This Row],[INDEX]],COLUMN(I50))))</f>
        <v>8.3000000000000007</v>
      </c>
      <c r="J52" s="7">
        <f>IF(LISTING[[#This Row],[INDEX]]="","",IF(compte="CCHQ",INDEX(BASE[],LISTING[[#This Row],[INDEX]],COLUMN(J50)),INDEX(BASELJMO[],LISTING[[#This Row],[INDEX]],COLUMN(J50))))</f>
        <v>226</v>
      </c>
      <c r="L52" s="53"/>
      <c r="M52" s="53"/>
      <c r="N52" s="52"/>
    </row>
    <row r="53" spans="1:14" x14ac:dyDescent="0.25">
      <c r="A53" s="1">
        <f>IF(OR(numeroligne=0,numeroligne="",TEST!$S$12=0,TEST!$T$12=0),"",IF(A52="INDEX",TEST!S40,A52+1))</f>
        <v>227</v>
      </c>
      <c r="B53" s="7" t="str">
        <f>IF(LISTING[[#This Row],[INDEX]]="","",IF(compte="CCHQ",INDEX(BASE[],LISTING[[#This Row],[INDEX]],COLUMN(B51)),INDEX(BASELJMO[],LISTING[[#This Row],[INDEX]],COLUMN(B51))))</f>
        <v>MR MARGOT QUENTIN</v>
      </c>
      <c r="C53" s="7" t="str">
        <f>IF(LISTING[[#This Row],[INDEX]]="","",IF(compte="CCHQ",INDEX(BASE[],LISTING[[#This Row],[INDEX]],COLUMN(C51)),INDEX(BASELJMO[],LISTING[[#This Row],[INDEX]],COLUMN(C51))))</f>
        <v>CCHQ</v>
      </c>
      <c r="D53" s="7">
        <f>IF(LISTING[[#This Row],[INDEX]]="","",IF(compte="CCHQ",INDEX(BASE[],LISTING[[#This Row],[INDEX]],COLUMN(D51)),INDEX(BASELJMO[],LISTING[[#This Row],[INDEX]],COLUMN(D51))))</f>
        <v>2019</v>
      </c>
      <c r="E53" s="7">
        <f>IF(LISTING[[#This Row],[INDEX]]="","",IF(compte="CCHQ",INDEX(BASE[],LISTING[[#This Row],[INDEX]],COLUMN(E51)),INDEX(BASELJMO[],LISTING[[#This Row],[INDEX]],COLUMN(E51))))</f>
        <v>2</v>
      </c>
      <c r="F53" s="7" t="str">
        <f>IF(LISTING[[#This Row],[INDEX]]="","",IF(compte="CCHQ",INDEX(BASE[],LISTING[[#This Row],[INDEX]],COLUMN(F51)),INDEX(BASELJMO[],LISTING[[#This Row],[INDEX]],COLUMN(F51))))</f>
        <v>COURSE</v>
      </c>
      <c r="G53" s="7" t="str">
        <f>IF(LISTING[[#This Row],[INDEX]]="","",IF(compte="CCHQ",INDEX(BASE[],LISTING[[#This Row],[INDEX]],COLUMN(G51)),INDEX(BASELJMO[],LISTING[[#This Row],[INDEX]],COLUMN(G51))))</f>
        <v>Intermarché</v>
      </c>
      <c r="H53" s="3">
        <f>IF(LISTING[[#This Row],[INDEX]]="","",IF(compte="CCHQ",INDEX(BASE[],LISTING[[#This Row],[INDEX]],COLUMN(H51)),INDEX(BASELJMO[],LISTING[[#This Row],[INDEX]],COLUMN(H51))))</f>
        <v>43508</v>
      </c>
      <c r="I53" s="2">
        <f>IF(LISTING[[#This Row],[INDEX]]="","",IF(compte="CCHQ",INDEX(BASE[],LISTING[[#This Row],[INDEX]],COLUMN(I51)),INDEX(BASELJMO[],LISTING[[#This Row],[INDEX]],COLUMN(I51))))</f>
        <v>3.29</v>
      </c>
      <c r="J53" s="7">
        <f>IF(LISTING[[#This Row],[INDEX]]="","",IF(compte="CCHQ",INDEX(BASE[],LISTING[[#This Row],[INDEX]],COLUMN(J51)),INDEX(BASELJMO[],LISTING[[#This Row],[INDEX]],COLUMN(J51))))</f>
        <v>227</v>
      </c>
      <c r="L53" s="53"/>
      <c r="M53" s="53"/>
      <c r="N53" s="52"/>
    </row>
    <row r="54" spans="1:14" x14ac:dyDescent="0.25">
      <c r="A54" s="1">
        <f>IF(OR(numeroligne=0,numeroligne="",TEST!$S$12=0,TEST!$T$12=0),"",IF(A53="INDEX",TEST!S41,A53+1))</f>
        <v>228</v>
      </c>
      <c r="B54" s="7" t="str">
        <f>IF(LISTING[[#This Row],[INDEX]]="","",IF(compte="CCHQ",INDEX(BASE[],LISTING[[#This Row],[INDEX]],COLUMN(B52)),INDEX(BASELJMO[],LISTING[[#This Row],[INDEX]],COLUMN(B52))))</f>
        <v>MR MARGOT QUENTIN</v>
      </c>
      <c r="C54" s="7" t="str">
        <f>IF(LISTING[[#This Row],[INDEX]]="","",IF(compte="CCHQ",INDEX(BASE[],LISTING[[#This Row],[INDEX]],COLUMN(C52)),INDEX(BASELJMO[],LISTING[[#This Row],[INDEX]],COLUMN(C52))))</f>
        <v>CCHQ</v>
      </c>
      <c r="D54" s="7">
        <f>IF(LISTING[[#This Row],[INDEX]]="","",IF(compte="CCHQ",INDEX(BASE[],LISTING[[#This Row],[INDEX]],COLUMN(D52)),INDEX(BASELJMO[],LISTING[[#This Row],[INDEX]],COLUMN(D52))))</f>
        <v>2019</v>
      </c>
      <c r="E54" s="7">
        <f>IF(LISTING[[#This Row],[INDEX]]="","",IF(compte="CCHQ",INDEX(BASE[],LISTING[[#This Row],[INDEX]],COLUMN(E52)),INDEX(BASELJMO[],LISTING[[#This Row],[INDEX]],COLUMN(E52))))</f>
        <v>2</v>
      </c>
      <c r="F54" s="7" t="str">
        <f>IF(LISTING[[#This Row],[INDEX]]="","",IF(compte="CCHQ",INDEX(BASE[],LISTING[[#This Row],[INDEX]],COLUMN(F52)),INDEX(BASELJMO[],LISTING[[#This Row],[INDEX]],COLUMN(F52))))</f>
        <v>DIVERS</v>
      </c>
      <c r="G54" s="7" t="str">
        <f>IF(LISTING[[#This Row],[INDEX]]="","",IF(compte="CCHQ",INDEX(BASE[],LISTING[[#This Row],[INDEX]],COLUMN(G52)),INDEX(BASELJMO[],LISTING[[#This Row],[INDEX]],COLUMN(G52))))</f>
        <v>Amazon</v>
      </c>
      <c r="H54" s="3">
        <f>IF(LISTING[[#This Row],[INDEX]]="","",IF(compte="CCHQ",INDEX(BASE[],LISTING[[#This Row],[INDEX]],COLUMN(H52)),INDEX(BASELJMO[],LISTING[[#This Row],[INDEX]],COLUMN(H52))))</f>
        <v>43508</v>
      </c>
      <c r="I54" s="2">
        <f>IF(LISTING[[#This Row],[INDEX]]="","",IF(compte="CCHQ",INDEX(BASE[],LISTING[[#This Row],[INDEX]],COLUMN(I52)),INDEX(BASELJMO[],LISTING[[#This Row],[INDEX]],COLUMN(I52))))</f>
        <v>28.47</v>
      </c>
      <c r="J54" s="7">
        <f>IF(LISTING[[#This Row],[INDEX]]="","",IF(compte="CCHQ",INDEX(BASE[],LISTING[[#This Row],[INDEX]],COLUMN(J52)),INDEX(BASELJMO[],LISTING[[#This Row],[INDEX]],COLUMN(J52))))</f>
        <v>228</v>
      </c>
      <c r="L54" s="53"/>
      <c r="M54" s="53"/>
      <c r="N54" s="52"/>
    </row>
    <row r="55" spans="1:14" x14ac:dyDescent="0.25">
      <c r="A55" s="1">
        <f>IF(OR(numeroligne=0,numeroligne="",TEST!$S$12=0,TEST!$T$12=0),"",IF(A54="INDEX",TEST!S42,A54+1))</f>
        <v>229</v>
      </c>
      <c r="B55" s="7" t="str">
        <f>IF(LISTING[[#This Row],[INDEX]]="","",IF(compte="CCHQ",INDEX(BASE[],LISTING[[#This Row],[INDEX]],COLUMN(B53)),INDEX(BASELJMO[],LISTING[[#This Row],[INDEX]],COLUMN(B53))))</f>
        <v>MR MARGOT QUENTIN</v>
      </c>
      <c r="C55" s="7" t="str">
        <f>IF(LISTING[[#This Row],[INDEX]]="","",IF(compte="CCHQ",INDEX(BASE[],LISTING[[#This Row],[INDEX]],COLUMN(C53)),INDEX(BASELJMO[],LISTING[[#This Row],[INDEX]],COLUMN(C53))))</f>
        <v>CCHQ</v>
      </c>
      <c r="D55" s="7">
        <f>IF(LISTING[[#This Row],[INDEX]]="","",IF(compte="CCHQ",INDEX(BASE[],LISTING[[#This Row],[INDEX]],COLUMN(D53)),INDEX(BASELJMO[],LISTING[[#This Row],[INDEX]],COLUMN(D53))))</f>
        <v>2019</v>
      </c>
      <c r="E55" s="7">
        <f>IF(LISTING[[#This Row],[INDEX]]="","",IF(compte="CCHQ",INDEX(BASE[],LISTING[[#This Row],[INDEX]],COLUMN(E53)),INDEX(BASELJMO[],LISTING[[#This Row],[INDEX]],COLUMN(E53))))</f>
        <v>2</v>
      </c>
      <c r="F55" s="7" t="str">
        <f>IF(LISTING[[#This Row],[INDEX]]="","",IF(compte="CCHQ",INDEX(BASE[],LISTING[[#This Row],[INDEX]],COLUMN(F53)),INDEX(BASELJMO[],LISTING[[#This Row],[INDEX]],COLUMN(F53))))</f>
        <v>TRANSPORT</v>
      </c>
      <c r="G55" s="7" t="str">
        <f>IF(LISTING[[#This Row],[INDEX]]="","",IF(compte="CCHQ",INDEX(BASE[],LISTING[[#This Row],[INDEX]],COLUMN(G53)),INDEX(BASELJMO[],LISTING[[#This Row],[INDEX]],COLUMN(G53))))</f>
        <v>Péage</v>
      </c>
      <c r="H55" s="3">
        <f>IF(LISTING[[#This Row],[INDEX]]="","",IF(compte="CCHQ",INDEX(BASE[],LISTING[[#This Row],[INDEX]],COLUMN(H53)),INDEX(BASELJMO[],LISTING[[#This Row],[INDEX]],COLUMN(H53))))</f>
        <v>43507</v>
      </c>
      <c r="I55" s="2">
        <f>IF(LISTING[[#This Row],[INDEX]]="","",IF(compte="CCHQ",INDEX(BASE[],LISTING[[#This Row],[INDEX]],COLUMN(I53)),INDEX(BASELJMO[],LISTING[[#This Row],[INDEX]],COLUMN(I53))))</f>
        <v>4.5199999999999996</v>
      </c>
      <c r="J55" s="7">
        <f>IF(LISTING[[#This Row],[INDEX]]="","",IF(compte="CCHQ",INDEX(BASE[],LISTING[[#This Row],[INDEX]],COLUMN(J53)),INDEX(BASELJMO[],LISTING[[#This Row],[INDEX]],COLUMN(J53))))</f>
        <v>229</v>
      </c>
      <c r="L55" s="53"/>
      <c r="M55" s="53"/>
      <c r="N55" s="52"/>
    </row>
    <row r="56" spans="1:14" x14ac:dyDescent="0.25">
      <c r="A56" s="1">
        <f>IF(OR(numeroligne=0,numeroligne="",TEST!$S$12=0,TEST!$T$12=0),"",IF(A55="INDEX",TEST!S43,A55+1))</f>
        <v>230</v>
      </c>
      <c r="B56" s="7" t="str">
        <f>IF(LISTING[[#This Row],[INDEX]]="","",IF(compte="CCHQ",INDEX(BASE[],LISTING[[#This Row],[INDEX]],COLUMN(B54)),INDEX(BASELJMO[],LISTING[[#This Row],[INDEX]],COLUMN(B54))))</f>
        <v>MR MARGOT QUENTIN</v>
      </c>
      <c r="C56" s="7" t="str">
        <f>IF(LISTING[[#This Row],[INDEX]]="","",IF(compte="CCHQ",INDEX(BASE[],LISTING[[#This Row],[INDEX]],COLUMN(C54)),INDEX(BASELJMO[],LISTING[[#This Row],[INDEX]],COLUMN(C54))))</f>
        <v>CCHQ</v>
      </c>
      <c r="D56" s="7">
        <f>IF(LISTING[[#This Row],[INDEX]]="","",IF(compte="CCHQ",INDEX(BASE[],LISTING[[#This Row],[INDEX]],COLUMN(D54)),INDEX(BASELJMO[],LISTING[[#This Row],[INDEX]],COLUMN(D54))))</f>
        <v>2019</v>
      </c>
      <c r="E56" s="7">
        <f>IF(LISTING[[#This Row],[INDEX]]="","",IF(compte="CCHQ",INDEX(BASE[],LISTING[[#This Row],[INDEX]],COLUMN(E54)),INDEX(BASELJMO[],LISTING[[#This Row],[INDEX]],COLUMN(E54))))</f>
        <v>2</v>
      </c>
      <c r="F56" s="7" t="str">
        <f>IF(LISTING[[#This Row],[INDEX]]="","",IF(compte="CCHQ",INDEX(BASE[],LISTING[[#This Row],[INDEX]],COLUMN(F54)),INDEX(BASELJMO[],LISTING[[#This Row],[INDEX]],COLUMN(F54))))</f>
        <v>COURSE</v>
      </c>
      <c r="G56" s="7" t="str">
        <f>IF(LISTING[[#This Row],[INDEX]]="","",IF(compte="CCHQ",INDEX(BASE[],LISTING[[#This Row],[INDEX]],COLUMN(G54)),INDEX(BASELJMO[],LISTING[[#This Row],[INDEX]],COLUMN(G54))))</f>
        <v>Super U</v>
      </c>
      <c r="H56" s="3">
        <f>IF(LISTING[[#This Row],[INDEX]]="","",IF(compte="CCHQ",INDEX(BASE[],LISTING[[#This Row],[INDEX]],COLUMN(H54)),INDEX(BASELJMO[],LISTING[[#This Row],[INDEX]],COLUMN(H54))))</f>
        <v>43507</v>
      </c>
      <c r="I56" s="2">
        <f>IF(LISTING[[#This Row],[INDEX]]="","",IF(compte="CCHQ",INDEX(BASE[],LISTING[[#This Row],[INDEX]],COLUMN(I54)),INDEX(BASELJMO[],LISTING[[#This Row],[INDEX]],COLUMN(I54))))</f>
        <v>3.9</v>
      </c>
      <c r="J56" s="7">
        <f>IF(LISTING[[#This Row],[INDEX]]="","",IF(compte="CCHQ",INDEX(BASE[],LISTING[[#This Row],[INDEX]],COLUMN(J54)),INDEX(BASELJMO[],LISTING[[#This Row],[INDEX]],COLUMN(J54))))</f>
        <v>230</v>
      </c>
      <c r="L56" s="53"/>
      <c r="M56" s="53"/>
      <c r="N56" s="52"/>
    </row>
    <row r="57" spans="1:14" x14ac:dyDescent="0.25">
      <c r="A57" s="1">
        <f>IF(OR(numeroligne=0,numeroligne="",TEST!$S$12=0,TEST!$T$12=0),"",IF(A56="INDEX",TEST!S44,A56+1))</f>
        <v>231</v>
      </c>
      <c r="B57" s="7" t="str">
        <f>IF(LISTING[[#This Row],[INDEX]]="","",IF(compte="CCHQ",INDEX(BASE[],LISTING[[#This Row],[INDEX]],COLUMN(B55)),INDEX(BASELJMO[],LISTING[[#This Row],[INDEX]],COLUMN(B55))))</f>
        <v>MR MARGOT QUENTIN</v>
      </c>
      <c r="C57" s="7" t="str">
        <f>IF(LISTING[[#This Row],[INDEX]]="","",IF(compte="CCHQ",INDEX(BASE[],LISTING[[#This Row],[INDEX]],COLUMN(C55)),INDEX(BASELJMO[],LISTING[[#This Row],[INDEX]],COLUMN(C55))))</f>
        <v>CCHQ</v>
      </c>
      <c r="D57" s="7">
        <f>IF(LISTING[[#This Row],[INDEX]]="","",IF(compte="CCHQ",INDEX(BASE[],LISTING[[#This Row],[INDEX]],COLUMN(D55)),INDEX(BASELJMO[],LISTING[[#This Row],[INDEX]],COLUMN(D55))))</f>
        <v>2019</v>
      </c>
      <c r="E57" s="7">
        <f>IF(LISTING[[#This Row],[INDEX]]="","",IF(compte="CCHQ",INDEX(BASE[],LISTING[[#This Row],[INDEX]],COLUMN(E55)),INDEX(BASELJMO[],LISTING[[#This Row],[INDEX]],COLUMN(E55))))</f>
        <v>2</v>
      </c>
      <c r="F57" s="7" t="str">
        <f>IF(LISTING[[#This Row],[INDEX]]="","",IF(compte="CCHQ",INDEX(BASE[],LISTING[[#This Row],[INDEX]],COLUMN(F55)),INDEX(BASELJMO[],LISTING[[#This Row],[INDEX]],COLUMN(F55))))</f>
        <v>TRANSPORT</v>
      </c>
      <c r="G57" s="7" t="str">
        <f>IF(LISTING[[#This Row],[INDEX]]="","",IF(compte="CCHQ",INDEX(BASE[],LISTING[[#This Row],[INDEX]],COLUMN(G55)),INDEX(BASELJMO[],LISTING[[#This Row],[INDEX]],COLUMN(G55))))</f>
        <v>Essence</v>
      </c>
      <c r="H57" s="3">
        <f>IF(LISTING[[#This Row],[INDEX]]="","",IF(compte="CCHQ",INDEX(BASE[],LISTING[[#This Row],[INDEX]],COLUMN(H55)),INDEX(BASELJMO[],LISTING[[#This Row],[INDEX]],COLUMN(H55))))</f>
        <v>43507</v>
      </c>
      <c r="I57" s="2">
        <f>IF(LISTING[[#This Row],[INDEX]]="","",IF(compte="CCHQ",INDEX(BASE[],LISTING[[#This Row],[INDEX]],COLUMN(I55)),INDEX(BASELJMO[],LISTING[[#This Row],[INDEX]],COLUMN(I55))))</f>
        <v>28.08</v>
      </c>
      <c r="J57" s="7">
        <f>IF(LISTING[[#This Row],[INDEX]]="","",IF(compte="CCHQ",INDEX(BASE[],LISTING[[#This Row],[INDEX]],COLUMN(J55)),INDEX(BASELJMO[],LISTING[[#This Row],[INDEX]],COLUMN(J55))))</f>
        <v>231</v>
      </c>
      <c r="L57" s="53"/>
      <c r="M57" s="53"/>
      <c r="N57" s="52"/>
    </row>
    <row r="58" spans="1:14" x14ac:dyDescent="0.25">
      <c r="A58" s="1">
        <f>IF(OR(numeroligne=0,numeroligne="",TEST!$S$12=0,TEST!$T$12=0),"",IF(A57="INDEX",TEST!S45,A57+1))</f>
        <v>232</v>
      </c>
      <c r="B58" s="7" t="str">
        <f>IF(LISTING[[#This Row],[INDEX]]="","",IF(compte="CCHQ",INDEX(BASE[],LISTING[[#This Row],[INDEX]],COLUMN(B56)),INDEX(BASELJMO[],LISTING[[#This Row],[INDEX]],COLUMN(B56))))</f>
        <v>MR MARGOT QUENTIN</v>
      </c>
      <c r="C58" s="7" t="str">
        <f>IF(LISTING[[#This Row],[INDEX]]="","",IF(compte="CCHQ",INDEX(BASE[],LISTING[[#This Row],[INDEX]],COLUMN(C56)),INDEX(BASELJMO[],LISTING[[#This Row],[INDEX]],COLUMN(C56))))</f>
        <v>CCHQ</v>
      </c>
      <c r="D58" s="7">
        <f>IF(LISTING[[#This Row],[INDEX]]="","",IF(compte="CCHQ",INDEX(BASE[],LISTING[[#This Row],[INDEX]],COLUMN(D56)),INDEX(BASELJMO[],LISTING[[#This Row],[INDEX]],COLUMN(D56))))</f>
        <v>2019</v>
      </c>
      <c r="E58" s="7">
        <f>IF(LISTING[[#This Row],[INDEX]]="","",IF(compte="CCHQ",INDEX(BASE[],LISTING[[#This Row],[INDEX]],COLUMN(E56)),INDEX(BASELJMO[],LISTING[[#This Row],[INDEX]],COLUMN(E56))))</f>
        <v>2</v>
      </c>
      <c r="F58" s="7" t="str">
        <f>IF(LISTING[[#This Row],[INDEX]]="","",IF(compte="CCHQ",INDEX(BASE[],LISTING[[#This Row],[INDEX]],COLUMN(F56)),INDEX(BASELJMO[],LISTING[[#This Row],[INDEX]],COLUMN(F56))))</f>
        <v>CREDIT</v>
      </c>
      <c r="G58" s="7" t="str">
        <f>IF(LISTING[[#This Row],[INDEX]]="","",IF(compte="CCHQ",INDEX(BASE[],LISTING[[#This Row],[INDEX]],COLUMN(G56)),INDEX(BASELJMO[],LISTING[[#This Row],[INDEX]],COLUMN(G56))))</f>
        <v>Permis 1€</v>
      </c>
      <c r="H58" s="3">
        <f>IF(LISTING[[#This Row],[INDEX]]="","",IF(compte="CCHQ",INDEX(BASE[],LISTING[[#This Row],[INDEX]],COLUMN(H56)),INDEX(BASELJMO[],LISTING[[#This Row],[INDEX]],COLUMN(H56))))</f>
        <v>43507</v>
      </c>
      <c r="I58" s="2">
        <f>IF(LISTING[[#This Row],[INDEX]]="","",IF(compte="CCHQ",INDEX(BASE[],LISTING[[#This Row],[INDEX]],COLUMN(I56)),INDEX(BASELJMO[],LISTING[[#This Row],[INDEX]],COLUMN(I56))))</f>
        <v>42</v>
      </c>
      <c r="J58" s="7">
        <f>IF(LISTING[[#This Row],[INDEX]]="","",IF(compte="CCHQ",INDEX(BASE[],LISTING[[#This Row],[INDEX]],COLUMN(J56)),INDEX(BASELJMO[],LISTING[[#This Row],[INDEX]],COLUMN(J56))))</f>
        <v>232</v>
      </c>
      <c r="L58" s="53"/>
      <c r="M58" s="53"/>
      <c r="N58" s="52"/>
    </row>
    <row r="59" spans="1:14" x14ac:dyDescent="0.25">
      <c r="A59" s="1">
        <f>IF(OR(numeroligne=0,numeroligne="",TEST!$S$12=0,TEST!$T$12=0),"",IF(A58="INDEX",TEST!S46,A58+1))</f>
        <v>233</v>
      </c>
      <c r="B59" s="7" t="str">
        <f>IF(LISTING[[#This Row],[INDEX]]="","",IF(compte="CCHQ",INDEX(BASE[],LISTING[[#This Row],[INDEX]],COLUMN(B57)),INDEX(BASELJMO[],LISTING[[#This Row],[INDEX]],COLUMN(B57))))</f>
        <v>MR MARGOT QUENTIN</v>
      </c>
      <c r="C59" s="7" t="str">
        <f>IF(LISTING[[#This Row],[INDEX]]="","",IF(compte="CCHQ",INDEX(BASE[],LISTING[[#This Row],[INDEX]],COLUMN(C57)),INDEX(BASELJMO[],LISTING[[#This Row],[INDEX]],COLUMN(C57))))</f>
        <v>CCHQ</v>
      </c>
      <c r="D59" s="7">
        <f>IF(LISTING[[#This Row],[INDEX]]="","",IF(compte="CCHQ",INDEX(BASE[],LISTING[[#This Row],[INDEX]],COLUMN(D57)),INDEX(BASELJMO[],LISTING[[#This Row],[INDEX]],COLUMN(D57))))</f>
        <v>2019</v>
      </c>
      <c r="E59" s="7">
        <f>IF(LISTING[[#This Row],[INDEX]]="","",IF(compte="CCHQ",INDEX(BASE[],LISTING[[#This Row],[INDEX]],COLUMN(E57)),INDEX(BASELJMO[],LISTING[[#This Row],[INDEX]],COLUMN(E57))))</f>
        <v>2</v>
      </c>
      <c r="F59" s="7" t="str">
        <f>IF(LISTING[[#This Row],[INDEX]]="","",IF(compte="CCHQ",INDEX(BASE[],LISTING[[#This Row],[INDEX]],COLUMN(F57)),INDEX(BASELJMO[],LISTING[[#This Row],[INDEX]],COLUMN(F57))))</f>
        <v>COURSE</v>
      </c>
      <c r="G59" s="7" t="str">
        <f>IF(LISTING[[#This Row],[INDEX]]="","",IF(compte="CCHQ",INDEX(BASE[],LISTING[[#This Row],[INDEX]],COLUMN(G57)),INDEX(BASELJMO[],LISTING[[#This Row],[INDEX]],COLUMN(G57))))</f>
        <v>Carrefour</v>
      </c>
      <c r="H59" s="3">
        <f>IF(LISTING[[#This Row],[INDEX]]="","",IF(compte="CCHQ",INDEX(BASE[],LISTING[[#This Row],[INDEX]],COLUMN(H57)),INDEX(BASELJMO[],LISTING[[#This Row],[INDEX]],COLUMN(H57))))</f>
        <v>43506</v>
      </c>
      <c r="I59" s="2">
        <f>IF(LISTING[[#This Row],[INDEX]]="","",IF(compte="CCHQ",INDEX(BASE[],LISTING[[#This Row],[INDEX]],COLUMN(I57)),INDEX(BASELJMO[],LISTING[[#This Row],[INDEX]],COLUMN(I57))))</f>
        <v>30</v>
      </c>
      <c r="J59" s="7">
        <f>IF(LISTING[[#This Row],[INDEX]]="","",IF(compte="CCHQ",INDEX(BASE[],LISTING[[#This Row],[INDEX]],COLUMN(J57)),INDEX(BASELJMO[],LISTING[[#This Row],[INDEX]],COLUMN(J57))))</f>
        <v>233</v>
      </c>
      <c r="L59" s="53"/>
      <c r="M59" s="53"/>
      <c r="N59" s="52"/>
    </row>
    <row r="60" spans="1:14" x14ac:dyDescent="0.25">
      <c r="A60" s="1">
        <f>IF(OR(numeroligne=0,numeroligne="",TEST!$S$12=0,TEST!$T$12=0),"",IF(A59="INDEX",TEST!S47,A59+1))</f>
        <v>234</v>
      </c>
      <c r="B60" s="7" t="str">
        <f>IF(LISTING[[#This Row],[INDEX]]="","",IF(compte="CCHQ",INDEX(BASE[],LISTING[[#This Row],[INDEX]],COLUMN(B58)),INDEX(BASELJMO[],LISTING[[#This Row],[INDEX]],COLUMN(B58))))</f>
        <v>MR MARGOT QUENTIN</v>
      </c>
      <c r="C60" s="7" t="str">
        <f>IF(LISTING[[#This Row],[INDEX]]="","",IF(compte="CCHQ",INDEX(BASE[],LISTING[[#This Row],[INDEX]],COLUMN(C58)),INDEX(BASELJMO[],LISTING[[#This Row],[INDEX]],COLUMN(C58))))</f>
        <v>CCHQ</v>
      </c>
      <c r="D60" s="7">
        <f>IF(LISTING[[#This Row],[INDEX]]="","",IF(compte="CCHQ",INDEX(BASE[],LISTING[[#This Row],[INDEX]],COLUMN(D58)),INDEX(BASELJMO[],LISTING[[#This Row],[INDEX]],COLUMN(D58))))</f>
        <v>2019</v>
      </c>
      <c r="E60" s="7">
        <f>IF(LISTING[[#This Row],[INDEX]]="","",IF(compte="CCHQ",INDEX(BASE[],LISTING[[#This Row],[INDEX]],COLUMN(E58)),INDEX(BASELJMO[],LISTING[[#This Row],[INDEX]],COLUMN(E58))))</f>
        <v>2</v>
      </c>
      <c r="F60" s="7" t="str">
        <f>IF(LISTING[[#This Row],[INDEX]]="","",IF(compte="CCHQ",INDEX(BASE[],LISTING[[#This Row],[INDEX]],COLUMN(F58)),INDEX(BASELJMO[],LISTING[[#This Row],[INDEX]],COLUMN(F58))))</f>
        <v>FACTURE</v>
      </c>
      <c r="G60" s="7" t="str">
        <f>IF(LISTING[[#This Row],[INDEX]]="","",IF(compte="CCHQ",INDEX(BASE[],LISTING[[#This Row],[INDEX]],COLUMN(G58)),INDEX(BASELJMO[],LISTING[[#This Row],[INDEX]],COLUMN(G58))))</f>
        <v>Loyer</v>
      </c>
      <c r="H60" s="3">
        <f>IF(LISTING[[#This Row],[INDEX]]="","",IF(compte="CCHQ",INDEX(BASE[],LISTING[[#This Row],[INDEX]],COLUMN(H58)),INDEX(BASELJMO[],LISTING[[#This Row],[INDEX]],COLUMN(H58))))</f>
        <v>43504</v>
      </c>
      <c r="I60" s="2">
        <f>IF(LISTING[[#This Row],[INDEX]]="","",IF(compte="CCHQ",INDEX(BASE[],LISTING[[#This Row],[INDEX]],COLUMN(I58)),INDEX(BASELJMO[],LISTING[[#This Row],[INDEX]],COLUMN(I58))))</f>
        <v>280</v>
      </c>
      <c r="J60" s="7">
        <f>IF(LISTING[[#This Row],[INDEX]]="","",IF(compte="CCHQ",INDEX(BASE[],LISTING[[#This Row],[INDEX]],COLUMN(J58)),INDEX(BASELJMO[],LISTING[[#This Row],[INDEX]],COLUMN(J58))))</f>
        <v>234</v>
      </c>
      <c r="L60" s="53"/>
      <c r="M60" s="53"/>
      <c r="N60" s="52"/>
    </row>
    <row r="61" spans="1:14" x14ac:dyDescent="0.25">
      <c r="A61" s="1">
        <f>IF(OR(numeroligne=0,numeroligne="",TEST!$S$12=0,TEST!$T$12=0),"",IF(A60="INDEX",TEST!S48,A60+1))</f>
        <v>235</v>
      </c>
      <c r="B61" s="7" t="str">
        <f>IF(LISTING[[#This Row],[INDEX]]="","",IF(compte="CCHQ",INDEX(BASE[],LISTING[[#This Row],[INDEX]],COLUMN(B59)),INDEX(BASELJMO[],LISTING[[#This Row],[INDEX]],COLUMN(B59))))</f>
        <v>MR MARGOT QUENTIN</v>
      </c>
      <c r="C61" s="7" t="str">
        <f>IF(LISTING[[#This Row],[INDEX]]="","",IF(compte="CCHQ",INDEX(BASE[],LISTING[[#This Row],[INDEX]],COLUMN(C59)),INDEX(BASELJMO[],LISTING[[#This Row],[INDEX]],COLUMN(C59))))</f>
        <v>CCHQ</v>
      </c>
      <c r="D61" s="7">
        <f>IF(LISTING[[#This Row],[INDEX]]="","",IF(compte="CCHQ",INDEX(BASE[],LISTING[[#This Row],[INDEX]],COLUMN(D59)),INDEX(BASELJMO[],LISTING[[#This Row],[INDEX]],COLUMN(D59))))</f>
        <v>2019</v>
      </c>
      <c r="E61" s="7">
        <f>IF(LISTING[[#This Row],[INDEX]]="","",IF(compte="CCHQ",INDEX(BASE[],LISTING[[#This Row],[INDEX]],COLUMN(E59)),INDEX(BASELJMO[],LISTING[[#This Row],[INDEX]],COLUMN(E59))))</f>
        <v>2</v>
      </c>
      <c r="F61" s="7" t="str">
        <f>IF(LISTING[[#This Row],[INDEX]]="","",IF(compte="CCHQ",INDEX(BASE[],LISTING[[#This Row],[INDEX]],COLUMN(F59)),INDEX(BASELJMO[],LISTING[[#This Row],[INDEX]],COLUMN(F59))))</f>
        <v>CREDIT</v>
      </c>
      <c r="G61" s="7" t="str">
        <f>IF(LISTING[[#This Row],[INDEX]]="","",IF(compte="CCHQ",INDEX(BASE[],LISTING[[#This Row],[INDEX]],COLUMN(G59)),INDEX(BASELJMO[],LISTING[[#This Row],[INDEX]],COLUMN(G59))))</f>
        <v>HP OMEN</v>
      </c>
      <c r="H61" s="3">
        <f>IF(LISTING[[#This Row],[INDEX]]="","",IF(compte="CCHQ",INDEX(BASE[],LISTING[[#This Row],[INDEX]],COLUMN(H59)),INDEX(BASELJMO[],LISTING[[#This Row],[INDEX]],COLUMN(H59))))</f>
        <v>43504</v>
      </c>
      <c r="I61" s="2">
        <f>IF(LISTING[[#This Row],[INDEX]]="","",IF(compte="CCHQ",INDEX(BASE[],LISTING[[#This Row],[INDEX]],COLUMN(I59)),INDEX(BASELJMO[],LISTING[[#This Row],[INDEX]],COLUMN(I59))))</f>
        <v>44.34</v>
      </c>
      <c r="J61" s="7">
        <f>IF(LISTING[[#This Row],[INDEX]]="","",IF(compte="CCHQ",INDEX(BASE[],LISTING[[#This Row],[INDEX]],COLUMN(J59)),INDEX(BASELJMO[],LISTING[[#This Row],[INDEX]],COLUMN(J59))))</f>
        <v>235</v>
      </c>
      <c r="L61" s="53"/>
      <c r="M61" s="53"/>
      <c r="N61" s="52"/>
    </row>
    <row r="62" spans="1:14" x14ac:dyDescent="0.25">
      <c r="A62" s="1">
        <f>IF(OR(numeroligne=0,numeroligne="",TEST!$S$12=0,TEST!$T$12=0),"",IF(A61="INDEX",TEST!S49,A61+1))</f>
        <v>236</v>
      </c>
      <c r="B62" s="7" t="str">
        <f>IF(LISTING[[#This Row],[INDEX]]="","",IF(compte="CCHQ",INDEX(BASE[],LISTING[[#This Row],[INDEX]],COLUMN(B60)),INDEX(BASELJMO[],LISTING[[#This Row],[INDEX]],COLUMN(B60))))</f>
        <v>MR MARGOT QUENTIN</v>
      </c>
      <c r="C62" s="7" t="str">
        <f>IF(LISTING[[#This Row],[INDEX]]="","",IF(compte="CCHQ",INDEX(BASE[],LISTING[[#This Row],[INDEX]],COLUMN(C60)),INDEX(BASELJMO[],LISTING[[#This Row],[INDEX]],COLUMN(C60))))</f>
        <v>CCHQ</v>
      </c>
      <c r="D62" s="7">
        <f>IF(LISTING[[#This Row],[INDEX]]="","",IF(compte="CCHQ",INDEX(BASE[],LISTING[[#This Row],[INDEX]],COLUMN(D60)),INDEX(BASELJMO[],LISTING[[#This Row],[INDEX]],COLUMN(D60))))</f>
        <v>2019</v>
      </c>
      <c r="E62" s="7">
        <f>IF(LISTING[[#This Row],[INDEX]]="","",IF(compte="CCHQ",INDEX(BASE[],LISTING[[#This Row],[INDEX]],COLUMN(E60)),INDEX(BASELJMO[],LISTING[[#This Row],[INDEX]],COLUMN(E60))))</f>
        <v>2</v>
      </c>
      <c r="F62" s="7" t="str">
        <f>IF(LISTING[[#This Row],[INDEX]]="","",IF(compte="CCHQ",INDEX(BASE[],LISTING[[#This Row],[INDEX]],COLUMN(F60)),INDEX(BASELJMO[],LISTING[[#This Row],[INDEX]],COLUMN(F60))))</f>
        <v>LOISIRS</v>
      </c>
      <c r="G62" s="7" t="str">
        <f>IF(LISTING[[#This Row],[INDEX]]="","",IF(compte="CCHQ",INDEX(BASE[],LISTING[[#This Row],[INDEX]],COLUMN(G60)),INDEX(BASELJMO[],LISTING[[#This Row],[INDEX]],COLUMN(G60))))</f>
        <v>Bar</v>
      </c>
      <c r="H62" s="3">
        <f>IF(LISTING[[#This Row],[INDEX]]="","",IF(compte="CCHQ",INDEX(BASE[],LISTING[[#This Row],[INDEX]],COLUMN(H60)),INDEX(BASELJMO[],LISTING[[#This Row],[INDEX]],COLUMN(H60))))</f>
        <v>43503</v>
      </c>
      <c r="I62" s="2">
        <f>IF(LISTING[[#This Row],[INDEX]]="","",IF(compte="CCHQ",INDEX(BASE[],LISTING[[#This Row],[INDEX]],COLUMN(I60)),INDEX(BASELJMO[],LISTING[[#This Row],[INDEX]],COLUMN(I60))))</f>
        <v>6.7</v>
      </c>
      <c r="J62" s="7">
        <f>IF(LISTING[[#This Row],[INDEX]]="","",IF(compte="CCHQ",INDEX(BASE[],LISTING[[#This Row],[INDEX]],COLUMN(J60)),INDEX(BASELJMO[],LISTING[[#This Row],[INDEX]],COLUMN(J60))))</f>
        <v>236</v>
      </c>
      <c r="L62" s="53"/>
      <c r="M62" s="53"/>
      <c r="N62" s="52"/>
    </row>
    <row r="63" spans="1:14" x14ac:dyDescent="0.25">
      <c r="A63" s="1">
        <f>IF(OR(numeroligne=0,numeroligne="",TEST!$S$12=0,TEST!$T$12=0),"",IF(A62="INDEX",TEST!S50,A62+1))</f>
        <v>237</v>
      </c>
      <c r="B63" s="7" t="str">
        <f>IF(LISTING[[#This Row],[INDEX]]="","",IF(compte="CCHQ",INDEX(BASE[],LISTING[[#This Row],[INDEX]],COLUMN(B61)),INDEX(BASELJMO[],LISTING[[#This Row],[INDEX]],COLUMN(B61))))</f>
        <v>MR MARGOT QUENTIN</v>
      </c>
      <c r="C63" s="7" t="str">
        <f>IF(LISTING[[#This Row],[INDEX]]="","",IF(compte="CCHQ",INDEX(BASE[],LISTING[[#This Row],[INDEX]],COLUMN(C61)),INDEX(BASELJMO[],LISTING[[#This Row],[INDEX]],COLUMN(C61))))</f>
        <v>CCHQ</v>
      </c>
      <c r="D63" s="7">
        <f>IF(LISTING[[#This Row],[INDEX]]="","",IF(compte="CCHQ",INDEX(BASE[],LISTING[[#This Row],[INDEX]],COLUMN(D61)),INDEX(BASELJMO[],LISTING[[#This Row],[INDEX]],COLUMN(D61))))</f>
        <v>2019</v>
      </c>
      <c r="E63" s="7">
        <f>IF(LISTING[[#This Row],[INDEX]]="","",IF(compte="CCHQ",INDEX(BASE[],LISTING[[#This Row],[INDEX]],COLUMN(E61)),INDEX(BASELJMO[],LISTING[[#This Row],[INDEX]],COLUMN(E61))))</f>
        <v>2</v>
      </c>
      <c r="F63" s="7" t="str">
        <f>IF(LISTING[[#This Row],[INDEX]]="","",IF(compte="CCHQ",INDEX(BASE[],LISTING[[#This Row],[INDEX]],COLUMN(F61)),INDEX(BASELJMO[],LISTING[[#This Row],[INDEX]],COLUMN(F61))))</f>
        <v>SALAIRE</v>
      </c>
      <c r="G63" s="7" t="str">
        <f>IF(LISTING[[#This Row],[INDEX]]="","",IF(compte="CCHQ",INDEX(BASE[],LISTING[[#This Row],[INDEX]],COLUMN(G61)),INDEX(BASELJMO[],LISTING[[#This Row],[INDEX]],COLUMN(G61))))</f>
        <v>Salaire</v>
      </c>
      <c r="H63" s="3">
        <f>IF(LISTING[[#This Row],[INDEX]]="","",IF(compte="CCHQ",INDEX(BASE[],LISTING[[#This Row],[INDEX]],COLUMN(H61)),INDEX(BASELJMO[],LISTING[[#This Row],[INDEX]],COLUMN(H61))))</f>
        <v>43502</v>
      </c>
      <c r="I63" s="2">
        <f>IF(LISTING[[#This Row],[INDEX]]="","",IF(compte="CCHQ",INDEX(BASE[],LISTING[[#This Row],[INDEX]],COLUMN(I61)),INDEX(BASELJMO[],LISTING[[#This Row],[INDEX]],COLUMN(I61))))</f>
        <v>1740.44</v>
      </c>
      <c r="J63" s="7">
        <f>IF(LISTING[[#This Row],[INDEX]]="","",IF(compte="CCHQ",INDEX(BASE[],LISTING[[#This Row],[INDEX]],COLUMN(J61)),INDEX(BASELJMO[],LISTING[[#This Row],[INDEX]],COLUMN(J61))))</f>
        <v>237</v>
      </c>
      <c r="L63" s="53"/>
      <c r="M63" s="53"/>
      <c r="N63" s="52"/>
    </row>
    <row r="64" spans="1:14" x14ac:dyDescent="0.25">
      <c r="A64" s="1">
        <f>IF(OR(numeroligne=0,numeroligne="",TEST!$S$12=0,TEST!$T$12=0),"",IF(A63="INDEX",TEST!S51,A63+1))</f>
        <v>238</v>
      </c>
      <c r="B64" s="7" t="str">
        <f>IF(LISTING[[#This Row],[INDEX]]="","",IF(compte="CCHQ",INDEX(BASE[],LISTING[[#This Row],[INDEX]],COLUMN(B62)),INDEX(BASELJMO[],LISTING[[#This Row],[INDEX]],COLUMN(B62))))</f>
        <v>MR MARGOT QUENTIN</v>
      </c>
      <c r="C64" s="7" t="str">
        <f>IF(LISTING[[#This Row],[INDEX]]="","",IF(compte="CCHQ",INDEX(BASE[],LISTING[[#This Row],[INDEX]],COLUMN(C62)),INDEX(BASELJMO[],LISTING[[#This Row],[INDEX]],COLUMN(C62))))</f>
        <v>CCHQ</v>
      </c>
      <c r="D64" s="7">
        <f>IF(LISTING[[#This Row],[INDEX]]="","",IF(compte="CCHQ",INDEX(BASE[],LISTING[[#This Row],[INDEX]],COLUMN(D62)),INDEX(BASELJMO[],LISTING[[#This Row],[INDEX]],COLUMN(D62))))</f>
        <v>2019</v>
      </c>
      <c r="E64" s="7">
        <f>IF(LISTING[[#This Row],[INDEX]]="","",IF(compte="CCHQ",INDEX(BASE[],LISTING[[#This Row],[INDEX]],COLUMN(E62)),INDEX(BASELJMO[],LISTING[[#This Row],[INDEX]],COLUMN(E62))))</f>
        <v>2</v>
      </c>
      <c r="F64" s="7" t="str">
        <f>IF(LISTING[[#This Row],[INDEX]]="","",IF(compte="CCHQ",INDEX(BASE[],LISTING[[#This Row],[INDEX]],COLUMN(F62)),INDEX(BASELJMO[],LISTING[[#This Row],[INDEX]],COLUMN(F62))))</f>
        <v>PLACEMENT EPARGNE</v>
      </c>
      <c r="G64" s="7" t="str">
        <f>IF(LISTING[[#This Row],[INDEX]]="","",IF(compte="CCHQ",INDEX(BASE[],LISTING[[#This Row],[INDEX]],COLUMN(G62)),INDEX(BASELJMO[],LISTING[[#This Row],[INDEX]],COLUMN(G62))))</f>
        <v>Placement épargne</v>
      </c>
      <c r="H64" s="3">
        <f>IF(LISTING[[#This Row],[INDEX]]="","",IF(compte="CCHQ",INDEX(BASE[],LISTING[[#This Row],[INDEX]],COLUMN(H62)),INDEX(BASELJMO[],LISTING[[#This Row],[INDEX]],COLUMN(H62))))</f>
        <v>43502</v>
      </c>
      <c r="I64" s="2">
        <f>IF(LISTING[[#This Row],[INDEX]]="","",IF(compte="CCHQ",INDEX(BASE[],LISTING[[#This Row],[INDEX]],COLUMN(I62)),INDEX(BASELJMO[],LISTING[[#This Row],[INDEX]],COLUMN(I62))))</f>
        <v>1000</v>
      </c>
      <c r="J64" s="7">
        <f>IF(LISTING[[#This Row],[INDEX]]="","",IF(compte="CCHQ",INDEX(BASE[],LISTING[[#This Row],[INDEX]],COLUMN(J62)),INDEX(BASELJMO[],LISTING[[#This Row],[INDEX]],COLUMN(J62))))</f>
        <v>238</v>
      </c>
      <c r="L64" s="53"/>
      <c r="M64" s="53"/>
      <c r="N64" s="52"/>
    </row>
    <row r="65" spans="1:14" x14ac:dyDescent="0.25">
      <c r="A65" s="1">
        <f>IF(OR(numeroligne=0,numeroligne="",TEST!$S$12=0,TEST!$T$12=0),"",IF(A64="INDEX",TEST!S52,A64+1))</f>
        <v>239</v>
      </c>
      <c r="B65" s="7" t="str">
        <f>IF(LISTING[[#This Row],[INDEX]]="","",IF(compte="CCHQ",INDEX(BASE[],LISTING[[#This Row],[INDEX]],COLUMN(B63)),INDEX(BASELJMO[],LISTING[[#This Row],[INDEX]],COLUMN(B63))))</f>
        <v>MR MARGOT QUENTIN</v>
      </c>
      <c r="C65" s="7" t="str">
        <f>IF(LISTING[[#This Row],[INDEX]]="","",IF(compte="CCHQ",INDEX(BASE[],LISTING[[#This Row],[INDEX]],COLUMN(C63)),INDEX(BASELJMO[],LISTING[[#This Row],[INDEX]],COLUMN(C63))))</f>
        <v>CCHQ</v>
      </c>
      <c r="D65" s="7">
        <f>IF(LISTING[[#This Row],[INDEX]]="","",IF(compte="CCHQ",INDEX(BASE[],LISTING[[#This Row],[INDEX]],COLUMN(D63)),INDEX(BASELJMO[],LISTING[[#This Row],[INDEX]],COLUMN(D63))))</f>
        <v>2019</v>
      </c>
      <c r="E65" s="7">
        <f>IF(LISTING[[#This Row],[INDEX]]="","",IF(compte="CCHQ",INDEX(BASE[],LISTING[[#This Row],[INDEX]],COLUMN(E63)),INDEX(BASELJMO[],LISTING[[#This Row],[INDEX]],COLUMN(E63))))</f>
        <v>2</v>
      </c>
      <c r="F65" s="7" t="str">
        <f>IF(LISTING[[#This Row],[INDEX]]="","",IF(compte="CCHQ",INDEX(BASE[],LISTING[[#This Row],[INDEX]],COLUMN(F63)),INDEX(BASELJMO[],LISTING[[#This Row],[INDEX]],COLUMN(F63))))</f>
        <v>DIVERS</v>
      </c>
      <c r="G65" s="7" t="str">
        <f>IF(LISTING[[#This Row],[INDEX]]="","",IF(compte="CCHQ",INDEX(BASE[],LISTING[[#This Row],[INDEX]],COLUMN(G63)),INDEX(BASELJMO[],LISTING[[#This Row],[INDEX]],COLUMN(G63))))</f>
        <v>E-assiste</v>
      </c>
      <c r="H65" s="3">
        <f>IF(LISTING[[#This Row],[INDEX]]="","",IF(compte="CCHQ",INDEX(BASE[],LISTING[[#This Row],[INDEX]],COLUMN(H63)),INDEX(BASELJMO[],LISTING[[#This Row],[INDEX]],COLUMN(H63))))</f>
        <v>43502</v>
      </c>
      <c r="I65" s="2">
        <f>IF(LISTING[[#This Row],[INDEX]]="","",IF(compte="CCHQ",INDEX(BASE[],LISTING[[#This Row],[INDEX]],COLUMN(I63)),INDEX(BASELJMO[],LISTING[[#This Row],[INDEX]],COLUMN(I63))))</f>
        <v>49.9</v>
      </c>
      <c r="J65" s="7">
        <f>IF(LISTING[[#This Row],[INDEX]]="","",IF(compte="CCHQ",INDEX(BASE[],LISTING[[#This Row],[INDEX]],COLUMN(J63)),INDEX(BASELJMO[],LISTING[[#This Row],[INDEX]],COLUMN(J63))))</f>
        <v>239</v>
      </c>
      <c r="L65" s="53"/>
      <c r="M65" s="53"/>
      <c r="N65" s="52"/>
    </row>
    <row r="66" spans="1:14" x14ac:dyDescent="0.25">
      <c r="A66" s="1">
        <f>IF(OR(numeroligne=0,numeroligne="",TEST!$S$12=0,TEST!$T$12=0),"",IF(A65="INDEX",TEST!S53,A65+1))</f>
        <v>240</v>
      </c>
      <c r="B66" s="7" t="str">
        <f>IF(LISTING[[#This Row],[INDEX]]="","",IF(compte="CCHQ",INDEX(BASE[],LISTING[[#This Row],[INDEX]],COLUMN(B64)),INDEX(BASELJMO[],LISTING[[#This Row],[INDEX]],COLUMN(B64))))</f>
        <v>MR MARGOT QUENTIN</v>
      </c>
      <c r="C66" s="7" t="str">
        <f>IF(LISTING[[#This Row],[INDEX]]="","",IF(compte="CCHQ",INDEX(BASE[],LISTING[[#This Row],[INDEX]],COLUMN(C64)),INDEX(BASELJMO[],LISTING[[#This Row],[INDEX]],COLUMN(C64))))</f>
        <v>CCHQ</v>
      </c>
      <c r="D66" s="7">
        <f>IF(LISTING[[#This Row],[INDEX]]="","",IF(compte="CCHQ",INDEX(BASE[],LISTING[[#This Row],[INDEX]],COLUMN(D64)),INDEX(BASELJMO[],LISTING[[#This Row],[INDEX]],COLUMN(D64))))</f>
        <v>2019</v>
      </c>
      <c r="E66" s="7">
        <f>IF(LISTING[[#This Row],[INDEX]]="","",IF(compte="CCHQ",INDEX(BASE[],LISTING[[#This Row],[INDEX]],COLUMN(E64)),INDEX(BASELJMO[],LISTING[[#This Row],[INDEX]],COLUMN(E64))))</f>
        <v>2</v>
      </c>
      <c r="F66" s="7" t="str">
        <f>IF(LISTING[[#This Row],[INDEX]]="","",IF(compte="CCHQ",INDEX(BASE[],LISTING[[#This Row],[INDEX]],COLUMN(F64)),INDEX(BASELJMO[],LISTING[[#This Row],[INDEX]],COLUMN(F64))))</f>
        <v>FACTURE</v>
      </c>
      <c r="G66" s="7" t="str">
        <f>IF(LISTING[[#This Row],[INDEX]]="","",IF(compte="CCHQ",INDEX(BASE[],LISTING[[#This Row],[INDEX]],COLUMN(G64)),INDEX(BASELJMO[],LISTING[[#This Row],[INDEX]],COLUMN(G64))))</f>
        <v>Frais d'irr.et incident</v>
      </c>
      <c r="H66" s="3">
        <f>IF(LISTING[[#This Row],[INDEX]]="","",IF(compte="CCHQ",INDEX(BASE[],LISTING[[#This Row],[INDEX]],COLUMN(H64)),INDEX(BASELJMO[],LISTING[[#This Row],[INDEX]],COLUMN(H64))))</f>
        <v>43502</v>
      </c>
      <c r="I66" s="2">
        <f>IF(LISTING[[#This Row],[INDEX]]="","",IF(compte="CCHQ",INDEX(BASE[],LISTING[[#This Row],[INDEX]],COLUMN(I64)),INDEX(BASELJMO[],LISTING[[#This Row],[INDEX]],COLUMN(I64))))</f>
        <v>8</v>
      </c>
      <c r="J66" s="7">
        <f>IF(LISTING[[#This Row],[INDEX]]="","",IF(compte="CCHQ",INDEX(BASE[],LISTING[[#This Row],[INDEX]],COLUMN(J64)),INDEX(BASELJMO[],LISTING[[#This Row],[INDEX]],COLUMN(J64))))</f>
        <v>240</v>
      </c>
      <c r="L66" s="53"/>
      <c r="M66" s="53"/>
      <c r="N66" s="52"/>
    </row>
    <row r="67" spans="1:14" x14ac:dyDescent="0.25">
      <c r="A67" s="1">
        <f>IF(OR(numeroligne=0,numeroligne="",TEST!$S$12=0,TEST!$T$12=0),"",IF(A66="INDEX",TEST!S54,A66+1))</f>
        <v>241</v>
      </c>
      <c r="B67" s="7" t="str">
        <f>IF(LISTING[[#This Row],[INDEX]]="","",IF(compte="CCHQ",INDEX(BASE[],LISTING[[#This Row],[INDEX]],COLUMN(B65)),INDEX(BASELJMO[],LISTING[[#This Row],[INDEX]],COLUMN(B65))))</f>
        <v>MR MARGOT QUENTIN</v>
      </c>
      <c r="C67" s="7" t="str">
        <f>IF(LISTING[[#This Row],[INDEX]]="","",IF(compte="CCHQ",INDEX(BASE[],LISTING[[#This Row],[INDEX]],COLUMN(C65)),INDEX(BASELJMO[],LISTING[[#This Row],[INDEX]],COLUMN(C65))))</f>
        <v>CCHQ</v>
      </c>
      <c r="D67" s="7">
        <f>IF(LISTING[[#This Row],[INDEX]]="","",IF(compte="CCHQ",INDEX(BASE[],LISTING[[#This Row],[INDEX]],COLUMN(D65)),INDEX(BASELJMO[],LISTING[[#This Row],[INDEX]],COLUMN(D65))))</f>
        <v>2019</v>
      </c>
      <c r="E67" s="7">
        <f>IF(LISTING[[#This Row],[INDEX]]="","",IF(compte="CCHQ",INDEX(BASE[],LISTING[[#This Row],[INDEX]],COLUMN(E65)),INDEX(BASELJMO[],LISTING[[#This Row],[INDEX]],COLUMN(E65))))</f>
        <v>2</v>
      </c>
      <c r="F67" s="7" t="str">
        <f>IF(LISTING[[#This Row],[INDEX]]="","",IF(compte="CCHQ",INDEX(BASE[],LISTING[[#This Row],[INDEX]],COLUMN(F65)),INDEX(BASELJMO[],LISTING[[#This Row],[INDEX]],COLUMN(F65))))</f>
        <v>RESTAURATION</v>
      </c>
      <c r="G67" s="7" t="str">
        <f>IF(LISTING[[#This Row],[INDEX]]="","",IF(compte="CCHQ",INDEX(BASE[],LISTING[[#This Row],[INDEX]],COLUMN(G65)),INDEX(BASELJMO[],LISTING[[#This Row],[INDEX]],COLUMN(G65))))</f>
        <v>Boulangerie</v>
      </c>
      <c r="H67" s="3">
        <f>IF(LISTING[[#This Row],[INDEX]]="","",IF(compte="CCHQ",INDEX(BASE[],LISTING[[#This Row],[INDEX]],COLUMN(H65)),INDEX(BASELJMO[],LISTING[[#This Row],[INDEX]],COLUMN(H65))))</f>
        <v>43501</v>
      </c>
      <c r="I67" s="2">
        <f>IF(LISTING[[#This Row],[INDEX]]="","",IF(compte="CCHQ",INDEX(BASE[],LISTING[[#This Row],[INDEX]],COLUMN(I65)),INDEX(BASELJMO[],LISTING[[#This Row],[INDEX]],COLUMN(I65))))</f>
        <v>5.2</v>
      </c>
      <c r="J67" s="7">
        <f>IF(LISTING[[#This Row],[INDEX]]="","",IF(compte="CCHQ",INDEX(BASE[],LISTING[[#This Row],[INDEX]],COLUMN(J65)),INDEX(BASELJMO[],LISTING[[#This Row],[INDEX]],COLUMN(J65))))</f>
        <v>241</v>
      </c>
      <c r="L67" s="53"/>
      <c r="M67" s="53"/>
      <c r="N67" s="52"/>
    </row>
    <row r="68" spans="1:14" x14ac:dyDescent="0.25">
      <c r="A68" s="1">
        <f>IF(OR(numeroligne=0,numeroligne="",TEST!$S$12=0,TEST!$T$12=0),"",IF(A67="INDEX",TEST!S55,A67+1))</f>
        <v>242</v>
      </c>
      <c r="B68" s="7" t="str">
        <f>IF(LISTING[[#This Row],[INDEX]]="","",IF(compte="CCHQ",INDEX(BASE[],LISTING[[#This Row],[INDEX]],COLUMN(B66)),INDEX(BASELJMO[],LISTING[[#This Row],[INDEX]],COLUMN(B66))))</f>
        <v>MR MARGOT QUENTIN</v>
      </c>
      <c r="C68" s="7" t="str">
        <f>IF(LISTING[[#This Row],[INDEX]]="","",IF(compte="CCHQ",INDEX(BASE[],LISTING[[#This Row],[INDEX]],COLUMN(C66)),INDEX(BASELJMO[],LISTING[[#This Row],[INDEX]],COLUMN(C66))))</f>
        <v>CCHQ</v>
      </c>
      <c r="D68" s="7">
        <f>IF(LISTING[[#This Row],[INDEX]]="","",IF(compte="CCHQ",INDEX(BASE[],LISTING[[#This Row],[INDEX]],COLUMN(D66)),INDEX(BASELJMO[],LISTING[[#This Row],[INDEX]],COLUMN(D66))))</f>
        <v>2019</v>
      </c>
      <c r="E68" s="7">
        <f>IF(LISTING[[#This Row],[INDEX]]="","",IF(compte="CCHQ",INDEX(BASE[],LISTING[[#This Row],[INDEX]],COLUMN(E66)),INDEX(BASELJMO[],LISTING[[#This Row],[INDEX]],COLUMN(E66))))</f>
        <v>2</v>
      </c>
      <c r="F68" s="7" t="str">
        <f>IF(LISTING[[#This Row],[INDEX]]="","",IF(compte="CCHQ",INDEX(BASE[],LISTING[[#This Row],[INDEX]],COLUMN(F66)),INDEX(BASELJMO[],LISTING[[#This Row],[INDEX]],COLUMN(F66))))</f>
        <v>RESTAURATION</v>
      </c>
      <c r="G68" s="7" t="str">
        <f>IF(LISTING[[#This Row],[INDEX]]="","",IF(compte="CCHQ",INDEX(BASE[],LISTING[[#This Row],[INDEX]],COLUMN(G66)),INDEX(BASELJMO[],LISTING[[#This Row],[INDEX]],COLUMN(G66))))</f>
        <v>Macdonald's</v>
      </c>
      <c r="H68" s="3">
        <f>IF(LISTING[[#This Row],[INDEX]]="","",IF(compte="CCHQ",INDEX(BASE[],LISTING[[#This Row],[INDEX]],COLUMN(H66)),INDEX(BASELJMO[],LISTING[[#This Row],[INDEX]],COLUMN(H66))))</f>
        <v>43500</v>
      </c>
      <c r="I68" s="2">
        <f>IF(LISTING[[#This Row],[INDEX]]="","",IF(compte="CCHQ",INDEX(BASE[],LISTING[[#This Row],[INDEX]],COLUMN(I66)),INDEX(BASELJMO[],LISTING[[#This Row],[INDEX]],COLUMN(I66))))</f>
        <v>22.8</v>
      </c>
      <c r="J68" s="7">
        <f>IF(LISTING[[#This Row],[INDEX]]="","",IF(compte="CCHQ",INDEX(BASE[],LISTING[[#This Row],[INDEX]],COLUMN(J66)),INDEX(BASELJMO[],LISTING[[#This Row],[INDEX]],COLUMN(J66))))</f>
        <v>242</v>
      </c>
      <c r="L68" s="53"/>
      <c r="M68" s="53"/>
      <c r="N68" s="52"/>
    </row>
    <row r="69" spans="1:14" x14ac:dyDescent="0.25">
      <c r="A69" s="1">
        <f>IF(OR(numeroligne=0,numeroligne="",TEST!$S$12=0,TEST!$T$12=0),"",IF(A68="INDEX",TEST!S56,A68+1))</f>
        <v>243</v>
      </c>
      <c r="B69" s="7" t="str">
        <f>IF(LISTING[[#This Row],[INDEX]]="","",IF(compte="CCHQ",INDEX(BASE[],LISTING[[#This Row],[INDEX]],COLUMN(B67)),INDEX(BASELJMO[],LISTING[[#This Row],[INDEX]],COLUMN(B67))))</f>
        <v>MR MARGOT QUENTIN</v>
      </c>
      <c r="C69" s="7" t="str">
        <f>IF(LISTING[[#This Row],[INDEX]]="","",IF(compte="CCHQ",INDEX(BASE[],LISTING[[#This Row],[INDEX]],COLUMN(C67)),INDEX(BASELJMO[],LISTING[[#This Row],[INDEX]],COLUMN(C67))))</f>
        <v>CCHQ</v>
      </c>
      <c r="D69" s="7">
        <f>IF(LISTING[[#This Row],[INDEX]]="","",IF(compte="CCHQ",INDEX(BASE[],LISTING[[#This Row],[INDEX]],COLUMN(D67)),INDEX(BASELJMO[],LISTING[[#This Row],[INDEX]],COLUMN(D67))))</f>
        <v>2019</v>
      </c>
      <c r="E69" s="7">
        <f>IF(LISTING[[#This Row],[INDEX]]="","",IF(compte="CCHQ",INDEX(BASE[],LISTING[[#This Row],[INDEX]],COLUMN(E67)),INDEX(BASELJMO[],LISTING[[#This Row],[INDEX]],COLUMN(E67))))</f>
        <v>2</v>
      </c>
      <c r="F69" s="7" t="str">
        <f>IF(LISTING[[#This Row],[INDEX]]="","",IF(compte="CCHQ",INDEX(BASE[],LISTING[[#This Row],[INDEX]],COLUMN(F67)),INDEX(BASELJMO[],LISTING[[#This Row],[INDEX]],COLUMN(F67))))</f>
        <v>LOISIRS</v>
      </c>
      <c r="G69" s="7" t="str">
        <f>IF(LISTING[[#This Row],[INDEX]]="","",IF(compte="CCHQ",INDEX(BASE[],LISTING[[#This Row],[INDEX]],COLUMN(G67)),INDEX(BASELJMO[],LISTING[[#This Row],[INDEX]],COLUMN(G67))))</f>
        <v>Bar</v>
      </c>
      <c r="H69" s="3">
        <f>IF(LISTING[[#This Row],[INDEX]]="","",IF(compte="CCHQ",INDEX(BASE[],LISTING[[#This Row],[INDEX]],COLUMN(H67)),INDEX(BASELJMO[],LISTING[[#This Row],[INDEX]],COLUMN(H67))))</f>
        <v>43500</v>
      </c>
      <c r="I69" s="2">
        <f>IF(LISTING[[#This Row],[INDEX]]="","",IF(compte="CCHQ",INDEX(BASE[],LISTING[[#This Row],[INDEX]],COLUMN(I67)),INDEX(BASELJMO[],LISTING[[#This Row],[INDEX]],COLUMN(I67))))</f>
        <v>39.9</v>
      </c>
      <c r="J69" s="7">
        <f>IF(LISTING[[#This Row],[INDEX]]="","",IF(compte="CCHQ",INDEX(BASE[],LISTING[[#This Row],[INDEX]],COLUMN(J67)),INDEX(BASELJMO[],LISTING[[#This Row],[INDEX]],COLUMN(J67))))</f>
        <v>243</v>
      </c>
      <c r="L69" s="53"/>
      <c r="M69" s="53"/>
      <c r="N69" s="52"/>
    </row>
    <row r="70" spans="1:14" x14ac:dyDescent="0.25">
      <c r="A70" s="1">
        <f>IF(OR(numeroligne=0,numeroligne="",TEST!$S$12=0,TEST!$T$12=0),"",IF(A69="INDEX",TEST!S57,A69+1))</f>
        <v>244</v>
      </c>
      <c r="B70" s="7" t="str">
        <f>IF(LISTING[[#This Row],[INDEX]]="","",IF(compte="CCHQ",INDEX(BASE[],LISTING[[#This Row],[INDEX]],COLUMN(B68)),INDEX(BASELJMO[],LISTING[[#This Row],[INDEX]],COLUMN(B68))))</f>
        <v>MR MARGOT QUENTIN</v>
      </c>
      <c r="C70" s="7" t="str">
        <f>IF(LISTING[[#This Row],[INDEX]]="","",IF(compte="CCHQ",INDEX(BASE[],LISTING[[#This Row],[INDEX]],COLUMN(C68)),INDEX(BASELJMO[],LISTING[[#This Row],[INDEX]],COLUMN(C68))))</f>
        <v>CCHQ</v>
      </c>
      <c r="D70" s="7">
        <f>IF(LISTING[[#This Row],[INDEX]]="","",IF(compte="CCHQ",INDEX(BASE[],LISTING[[#This Row],[INDEX]],COLUMN(D68)),INDEX(BASELJMO[],LISTING[[#This Row],[INDEX]],COLUMN(D68))))</f>
        <v>2019</v>
      </c>
      <c r="E70" s="7">
        <f>IF(LISTING[[#This Row],[INDEX]]="","",IF(compte="CCHQ",INDEX(BASE[],LISTING[[#This Row],[INDEX]],COLUMN(E68)),INDEX(BASELJMO[],LISTING[[#This Row],[INDEX]],COLUMN(E68))))</f>
        <v>2</v>
      </c>
      <c r="F70" s="7" t="str">
        <f>IF(LISTING[[#This Row],[INDEX]]="","",IF(compte="CCHQ",INDEX(BASE[],LISTING[[#This Row],[INDEX]],COLUMN(F68)),INDEX(BASELJMO[],LISTING[[#This Row],[INDEX]],COLUMN(F68))))</f>
        <v>RESTAURATION</v>
      </c>
      <c r="G70" s="7" t="str">
        <f>IF(LISTING[[#This Row],[INDEX]]="","",IF(compte="CCHQ",INDEX(BASE[],LISTING[[#This Row],[INDEX]],COLUMN(G68)),INDEX(BASELJMO[],LISTING[[#This Row],[INDEX]],COLUMN(G68))))</f>
        <v>Restaurant</v>
      </c>
      <c r="H70" s="3">
        <f>IF(LISTING[[#This Row],[INDEX]]="","",IF(compte="CCHQ",INDEX(BASE[],LISTING[[#This Row],[INDEX]],COLUMN(H68)),INDEX(BASELJMO[],LISTING[[#This Row],[INDEX]],COLUMN(H68))))</f>
        <v>43500</v>
      </c>
      <c r="I70" s="2">
        <f>IF(LISTING[[#This Row],[INDEX]]="","",IF(compte="CCHQ",INDEX(BASE[],LISTING[[#This Row],[INDEX]],COLUMN(I68)),INDEX(BASELJMO[],LISTING[[#This Row],[INDEX]],COLUMN(I68))))</f>
        <v>19.8</v>
      </c>
      <c r="J70" s="7">
        <f>IF(LISTING[[#This Row],[INDEX]]="","",IF(compte="CCHQ",INDEX(BASE[],LISTING[[#This Row],[INDEX]],COLUMN(J68)),INDEX(BASELJMO[],LISTING[[#This Row],[INDEX]],COLUMN(J68))))</f>
        <v>244</v>
      </c>
      <c r="L70" s="53"/>
      <c r="M70" s="53"/>
      <c r="N70" s="52"/>
    </row>
    <row r="71" spans="1:14" x14ac:dyDescent="0.25">
      <c r="A71" s="1">
        <f>IF(OR(numeroligne=0,numeroligne="",TEST!$S$12=0,TEST!$T$12=0),"",IF(A70="INDEX",TEST!S58,A70+1))</f>
        <v>245</v>
      </c>
      <c r="B71" s="7" t="str">
        <f>IF(LISTING[[#This Row],[INDEX]]="","",IF(compte="CCHQ",INDEX(BASE[],LISTING[[#This Row],[INDEX]],COLUMN(B69)),INDEX(BASELJMO[],LISTING[[#This Row],[INDEX]],COLUMN(B69))))</f>
        <v>MR MARGOT QUENTIN</v>
      </c>
      <c r="C71" s="7" t="str">
        <f>IF(LISTING[[#This Row],[INDEX]]="","",IF(compte="CCHQ",INDEX(BASE[],LISTING[[#This Row],[INDEX]],COLUMN(C69)),INDEX(BASELJMO[],LISTING[[#This Row],[INDEX]],COLUMN(C69))))</f>
        <v>CCHQ</v>
      </c>
      <c r="D71" s="7">
        <f>IF(LISTING[[#This Row],[INDEX]]="","",IF(compte="CCHQ",INDEX(BASE[],LISTING[[#This Row],[INDEX]],COLUMN(D69)),INDEX(BASELJMO[],LISTING[[#This Row],[INDEX]],COLUMN(D69))))</f>
        <v>2019</v>
      </c>
      <c r="E71" s="7">
        <f>IF(LISTING[[#This Row],[INDEX]]="","",IF(compte="CCHQ",INDEX(BASE[],LISTING[[#This Row],[INDEX]],COLUMN(E69)),INDEX(BASELJMO[],LISTING[[#This Row],[INDEX]],COLUMN(E69))))</f>
        <v>2</v>
      </c>
      <c r="F71" s="7" t="str">
        <f>IF(LISTING[[#This Row],[INDEX]]="","",IF(compte="CCHQ",INDEX(BASE[],LISTING[[#This Row],[INDEX]],COLUMN(F69)),INDEX(BASELJMO[],LISTING[[#This Row],[INDEX]],COLUMN(F69))))</f>
        <v>DIVERS</v>
      </c>
      <c r="G71" s="7" t="str">
        <f>IF(LISTING[[#This Row],[INDEX]]="","",IF(compte="CCHQ",INDEX(BASE[],LISTING[[#This Row],[INDEX]],COLUMN(G69)),INDEX(BASELJMO[],LISTING[[#This Row],[INDEX]],COLUMN(G69))))</f>
        <v>E-assiste</v>
      </c>
      <c r="H71" s="3">
        <f>IF(LISTING[[#This Row],[INDEX]]="","",IF(compte="CCHQ",INDEX(BASE[],LISTING[[#This Row],[INDEX]],COLUMN(H69)),INDEX(BASELJMO[],LISTING[[#This Row],[INDEX]],COLUMN(H69))))</f>
        <v>43500</v>
      </c>
      <c r="I71" s="2">
        <f>IF(LISTING[[#This Row],[INDEX]]="","",IF(compte="CCHQ",INDEX(BASE[],LISTING[[#This Row],[INDEX]],COLUMN(I69)),INDEX(BASELJMO[],LISTING[[#This Row],[INDEX]],COLUMN(I69))))</f>
        <v>1</v>
      </c>
      <c r="J71" s="7">
        <f>IF(LISTING[[#This Row],[INDEX]]="","",IF(compte="CCHQ",INDEX(BASE[],LISTING[[#This Row],[INDEX]],COLUMN(J69)),INDEX(BASELJMO[],LISTING[[#This Row],[INDEX]],COLUMN(J69))))</f>
        <v>245</v>
      </c>
      <c r="L71" s="53"/>
      <c r="M71" s="53"/>
      <c r="N71" s="52"/>
    </row>
    <row r="72" spans="1:14" x14ac:dyDescent="0.25">
      <c r="A72" s="1">
        <f>IF(OR(numeroligne=0,numeroligne="",TEST!$S$12=0,TEST!$T$12=0),"",IF(A71="INDEX",TEST!S59,A71+1))</f>
        <v>246</v>
      </c>
      <c r="B72" s="7" t="str">
        <f>IF(LISTING[[#This Row],[INDEX]]="","",IF(compte="CCHQ",INDEX(BASE[],LISTING[[#This Row],[INDEX]],COLUMN(B70)),INDEX(BASELJMO[],LISTING[[#This Row],[INDEX]],COLUMN(B70))))</f>
        <v>MR MARGOT QUENTIN</v>
      </c>
      <c r="C72" s="7" t="str">
        <f>IF(LISTING[[#This Row],[INDEX]]="","",IF(compte="CCHQ",INDEX(BASE[],LISTING[[#This Row],[INDEX]],COLUMN(C70)),INDEX(BASELJMO[],LISTING[[#This Row],[INDEX]],COLUMN(C70))))</f>
        <v>CCHQ</v>
      </c>
      <c r="D72" s="7">
        <f>IF(LISTING[[#This Row],[INDEX]]="","",IF(compte="CCHQ",INDEX(BASE[],LISTING[[#This Row],[INDEX]],COLUMN(D70)),INDEX(BASELJMO[],LISTING[[#This Row],[INDEX]],COLUMN(D70))))</f>
        <v>2019</v>
      </c>
      <c r="E72" s="7">
        <f>IF(LISTING[[#This Row],[INDEX]]="","",IF(compte="CCHQ",INDEX(BASE[],LISTING[[#This Row],[INDEX]],COLUMN(E70)),INDEX(BASELJMO[],LISTING[[#This Row],[INDEX]],COLUMN(E70))))</f>
        <v>2</v>
      </c>
      <c r="F72" s="7" t="str">
        <f>IF(LISTING[[#This Row],[INDEX]]="","",IF(compte="CCHQ",INDEX(BASE[],LISTING[[#This Row],[INDEX]],COLUMN(F70)),INDEX(BASELJMO[],LISTING[[#This Row],[INDEX]],COLUMN(F70))))</f>
        <v>FACTURE</v>
      </c>
      <c r="G72" s="7" t="str">
        <f>IF(LISTING[[#This Row],[INDEX]]="","",IF(compte="CCHQ",INDEX(BASE[],LISTING[[#This Row],[INDEX]],COLUMN(G70)),INDEX(BASELJMO[],LISTING[[#This Row],[INDEX]],COLUMN(G70))))</f>
        <v>Compte à composer</v>
      </c>
      <c r="H72" s="3">
        <f>IF(LISTING[[#This Row],[INDEX]]="","",IF(compte="CCHQ",INDEX(BASE[],LISTING[[#This Row],[INDEX]],COLUMN(H70)),INDEX(BASELJMO[],LISTING[[#This Row],[INDEX]],COLUMN(H70))))</f>
        <v>43500</v>
      </c>
      <c r="I72" s="2">
        <f>IF(LISTING[[#This Row],[INDEX]]="","",IF(compte="CCHQ",INDEX(BASE[],LISTING[[#This Row],[INDEX]],COLUMN(I70)),INDEX(BASELJMO[],LISTING[[#This Row],[INDEX]],COLUMN(I70))))</f>
        <v>3.09</v>
      </c>
      <c r="J72" s="7">
        <f>IF(LISTING[[#This Row],[INDEX]]="","",IF(compte="CCHQ",INDEX(BASE[],LISTING[[#This Row],[INDEX]],COLUMN(J70)),INDEX(BASELJMO[],LISTING[[#This Row],[INDEX]],COLUMN(J70))))</f>
        <v>246</v>
      </c>
      <c r="L72" s="53"/>
      <c r="M72" s="53"/>
      <c r="N72" s="52"/>
    </row>
    <row r="73" spans="1:14" x14ac:dyDescent="0.25">
      <c r="A73" s="1">
        <f>IF(OR(numeroligne=0,numeroligne="",TEST!$S$12=0,TEST!$T$12=0),"",IF(A72="INDEX",TEST!S60,A72+1))</f>
        <v>247</v>
      </c>
      <c r="B73" s="7" t="str">
        <f>IF(LISTING[[#This Row],[INDEX]]="","",IF(compte="CCHQ",INDEX(BASE[],LISTING[[#This Row],[INDEX]],COLUMN(B71)),INDEX(BASELJMO[],LISTING[[#This Row],[INDEX]],COLUMN(B71))))</f>
        <v>MR MARGOT QUENTIN</v>
      </c>
      <c r="C73" s="7" t="str">
        <f>IF(LISTING[[#This Row],[INDEX]]="","",IF(compte="CCHQ",INDEX(BASE[],LISTING[[#This Row],[INDEX]],COLUMN(C71)),INDEX(BASELJMO[],LISTING[[#This Row],[INDEX]],COLUMN(C71))))</f>
        <v>CCHQ</v>
      </c>
      <c r="D73" s="7">
        <f>IF(LISTING[[#This Row],[INDEX]]="","",IF(compte="CCHQ",INDEX(BASE[],LISTING[[#This Row],[INDEX]],COLUMN(D71)),INDEX(BASELJMO[],LISTING[[#This Row],[INDEX]],COLUMN(D71))))</f>
        <v>2019</v>
      </c>
      <c r="E73" s="7">
        <f>IF(LISTING[[#This Row],[INDEX]]="","",IF(compte="CCHQ",INDEX(BASE[],LISTING[[#This Row],[INDEX]],COLUMN(E71)),INDEX(BASELJMO[],LISTING[[#This Row],[INDEX]],COLUMN(E71))))</f>
        <v>2</v>
      </c>
      <c r="F73" s="7" t="str">
        <f>IF(LISTING[[#This Row],[INDEX]]="","",IF(compte="CCHQ",INDEX(BASE[],LISTING[[#This Row],[INDEX]],COLUMN(F71)),INDEX(BASELJMO[],LISTING[[#This Row],[INDEX]],COLUMN(F71))))</f>
        <v>FACTURE</v>
      </c>
      <c r="G73" s="7" t="str">
        <f>IF(LISTING[[#This Row],[INDEX]]="","",IF(compte="CCHQ",INDEX(BASE[],LISTING[[#This Row],[INDEX]],COLUMN(G71)),INDEX(BASELJMO[],LISTING[[#This Row],[INDEX]],COLUMN(G71))))</f>
        <v>Assurance pret perso.</v>
      </c>
      <c r="H73" s="3">
        <f>IF(LISTING[[#This Row],[INDEX]]="","",IF(compte="CCHQ",INDEX(BASE[],LISTING[[#This Row],[INDEX]],COLUMN(H71)),INDEX(BASELJMO[],LISTING[[#This Row],[INDEX]],COLUMN(H71))))</f>
        <v>43500</v>
      </c>
      <c r="I73" s="2">
        <f>IF(LISTING[[#This Row],[INDEX]]="","",IF(compte="CCHQ",INDEX(BASE[],LISTING[[#This Row],[INDEX]],COLUMN(I71)),INDEX(BASELJMO[],LISTING[[#This Row],[INDEX]],COLUMN(I71))))</f>
        <v>0.6</v>
      </c>
      <c r="J73" s="7">
        <f>IF(LISTING[[#This Row],[INDEX]]="","",IF(compte="CCHQ",INDEX(BASE[],LISTING[[#This Row],[INDEX]],COLUMN(J71)),INDEX(BASELJMO[],LISTING[[#This Row],[INDEX]],COLUMN(J71))))</f>
        <v>247</v>
      </c>
      <c r="L73" s="53"/>
      <c r="M73" s="53"/>
      <c r="N73" s="52"/>
    </row>
    <row r="74" spans="1:14" x14ac:dyDescent="0.25">
      <c r="A74" s="1">
        <f>IF(OR(numeroligne=0,numeroligne="",TEST!$S$12=0,TEST!$T$12=0),"",IF(A73="INDEX",TEST!S61,A73+1))</f>
        <v>248</v>
      </c>
      <c r="B74" s="7" t="str">
        <f>IF(LISTING[[#This Row],[INDEX]]="","",IF(compte="CCHQ",INDEX(BASE[],LISTING[[#This Row],[INDEX]],COLUMN(B72)),INDEX(BASELJMO[],LISTING[[#This Row],[INDEX]],COLUMN(B72))))</f>
        <v>MR MARGOT QUENTIN</v>
      </c>
      <c r="C74" s="7" t="str">
        <f>IF(LISTING[[#This Row],[INDEX]]="","",IF(compte="CCHQ",INDEX(BASE[],LISTING[[#This Row],[INDEX]],COLUMN(C72)),INDEX(BASELJMO[],LISTING[[#This Row],[INDEX]],COLUMN(C72))))</f>
        <v>CCHQ</v>
      </c>
      <c r="D74" s="7">
        <f>IF(LISTING[[#This Row],[INDEX]]="","",IF(compte="CCHQ",INDEX(BASE[],LISTING[[#This Row],[INDEX]],COLUMN(D72)),INDEX(BASELJMO[],LISTING[[#This Row],[INDEX]],COLUMN(D72))))</f>
        <v>2019</v>
      </c>
      <c r="E74" s="7">
        <f>IF(LISTING[[#This Row],[INDEX]]="","",IF(compte="CCHQ",INDEX(BASE[],LISTING[[#This Row],[INDEX]],COLUMN(E72)),INDEX(BASELJMO[],LISTING[[#This Row],[INDEX]],COLUMN(E72))))</f>
        <v>2</v>
      </c>
      <c r="F74" s="7" t="str">
        <f>IF(LISTING[[#This Row],[INDEX]]="","",IF(compte="CCHQ",INDEX(BASE[],LISTING[[#This Row],[INDEX]],COLUMN(F72)),INDEX(BASELJMO[],LISTING[[#This Row],[INDEX]],COLUMN(F72))))</f>
        <v>RETRAIT EPARGNE</v>
      </c>
      <c r="G74" s="7" t="str">
        <f>IF(LISTING[[#This Row],[INDEX]]="","",IF(compte="CCHQ",INDEX(BASE[],LISTING[[#This Row],[INDEX]],COLUMN(G72)),INDEX(BASELJMO[],LISTING[[#This Row],[INDEX]],COLUMN(G72))))</f>
        <v>Retrait épargne</v>
      </c>
      <c r="H74" s="3">
        <f>IF(LISTING[[#This Row],[INDEX]]="","",IF(compte="CCHQ",INDEX(BASE[],LISTING[[#This Row],[INDEX]],COLUMN(H72)),INDEX(BASELJMO[],LISTING[[#This Row],[INDEX]],COLUMN(H72))))</f>
        <v>43499</v>
      </c>
      <c r="I74" s="2">
        <f>IF(LISTING[[#This Row],[INDEX]]="","",IF(compte="CCHQ",INDEX(BASE[],LISTING[[#This Row],[INDEX]],COLUMN(I72)),INDEX(BASELJMO[],LISTING[[#This Row],[INDEX]],COLUMN(I72))))</f>
        <v>20</v>
      </c>
      <c r="J74" s="7">
        <f>IF(LISTING[[#This Row],[INDEX]]="","",IF(compte="CCHQ",INDEX(BASE[],LISTING[[#This Row],[INDEX]],COLUMN(J72)),INDEX(BASELJMO[],LISTING[[#This Row],[INDEX]],COLUMN(J72))))</f>
        <v>248</v>
      </c>
      <c r="L74" s="53"/>
      <c r="M74" s="53"/>
      <c r="N74" s="52"/>
    </row>
    <row r="75" spans="1:14" x14ac:dyDescent="0.25">
      <c r="A75" s="1">
        <f>IF(OR(numeroligne=0,numeroligne="",TEST!$S$12=0,TEST!$T$12=0),"",IF(A74="INDEX",TEST!S62,A74+1))</f>
        <v>249</v>
      </c>
      <c r="B75" s="7" t="str">
        <f>IF(LISTING[[#This Row],[INDEX]]="","",IF(compte="CCHQ",INDEX(BASE[],LISTING[[#This Row],[INDEX]],COLUMN(B73)),INDEX(BASELJMO[],LISTING[[#This Row],[INDEX]],COLUMN(B73))))</f>
        <v>MR MARGOT QUENTIN</v>
      </c>
      <c r="C75" s="7" t="str">
        <f>IF(LISTING[[#This Row],[INDEX]]="","",IF(compte="CCHQ",INDEX(BASE[],LISTING[[#This Row],[INDEX]],COLUMN(C73)),INDEX(BASELJMO[],LISTING[[#This Row],[INDEX]],COLUMN(C73))))</f>
        <v>CCHQ</v>
      </c>
      <c r="D75" s="7">
        <f>IF(LISTING[[#This Row],[INDEX]]="","",IF(compte="CCHQ",INDEX(BASE[],LISTING[[#This Row],[INDEX]],COLUMN(D73)),INDEX(BASELJMO[],LISTING[[#This Row],[INDEX]],COLUMN(D73))))</f>
        <v>2019</v>
      </c>
      <c r="E75" s="7">
        <f>IF(LISTING[[#This Row],[INDEX]]="","",IF(compte="CCHQ",INDEX(BASE[],LISTING[[#This Row],[INDEX]],COLUMN(E73)),INDEX(BASELJMO[],LISTING[[#This Row],[INDEX]],COLUMN(E73))))</f>
        <v>2</v>
      </c>
      <c r="F75" s="7" t="str">
        <f>IF(LISTING[[#This Row],[INDEX]]="","",IF(compte="CCHQ",INDEX(BASE[],LISTING[[#This Row],[INDEX]],COLUMN(F73)),INDEX(BASELJMO[],LISTING[[#This Row],[INDEX]],COLUMN(F73))))</f>
        <v>RETRAIT EPARGNE</v>
      </c>
      <c r="G75" s="7" t="str">
        <f>IF(LISTING[[#This Row],[INDEX]]="","",IF(compte="CCHQ",INDEX(BASE[],LISTING[[#This Row],[INDEX]],COLUMN(G73)),INDEX(BASELJMO[],LISTING[[#This Row],[INDEX]],COLUMN(G73))))</f>
        <v>Retrait épargne</v>
      </c>
      <c r="H75" s="3">
        <f>IF(LISTING[[#This Row],[INDEX]]="","",IF(compte="CCHQ",INDEX(BASE[],LISTING[[#This Row],[INDEX]],COLUMN(H73)),INDEX(BASELJMO[],LISTING[[#This Row],[INDEX]],COLUMN(H73))))</f>
        <v>43498</v>
      </c>
      <c r="I75" s="2">
        <f>IF(LISTING[[#This Row],[INDEX]]="","",IF(compte="CCHQ",INDEX(BASE[],LISTING[[#This Row],[INDEX]],COLUMN(I73)),INDEX(BASELJMO[],LISTING[[#This Row],[INDEX]],COLUMN(I73))))</f>
        <v>20</v>
      </c>
      <c r="J75" s="7">
        <f>IF(LISTING[[#This Row],[INDEX]]="","",IF(compte="CCHQ",INDEX(BASE[],LISTING[[#This Row],[INDEX]],COLUMN(J73)),INDEX(BASELJMO[],LISTING[[#This Row],[INDEX]],COLUMN(J73))))</f>
        <v>249</v>
      </c>
      <c r="L75" s="53"/>
      <c r="M75" s="53"/>
      <c r="N75" s="52"/>
    </row>
    <row r="76" spans="1:14" x14ac:dyDescent="0.25">
      <c r="B76" s="7"/>
      <c r="C76" s="7"/>
      <c r="D76" s="7"/>
      <c r="E76" s="7"/>
      <c r="F76" s="7"/>
      <c r="G76" s="7"/>
      <c r="H76" s="3"/>
      <c r="I76" s="2"/>
      <c r="J76" s="7"/>
      <c r="L76" s="53"/>
      <c r="M76" s="53"/>
      <c r="N76" s="52"/>
    </row>
    <row r="77" spans="1:14" x14ac:dyDescent="0.25">
      <c r="B77" s="7"/>
      <c r="C77" s="7"/>
      <c r="D77" s="7"/>
      <c r="E77" s="7"/>
      <c r="F77" s="7"/>
      <c r="G77" s="7"/>
      <c r="H77" s="3"/>
      <c r="I77" s="2"/>
      <c r="J77" s="7"/>
      <c r="L77" s="53"/>
      <c r="M77" s="53"/>
      <c r="N77" s="52"/>
    </row>
    <row r="78" spans="1:14" x14ac:dyDescent="0.25">
      <c r="B78" s="7"/>
      <c r="C78" s="7"/>
      <c r="D78" s="7"/>
      <c r="E78" s="7"/>
      <c r="F78" s="7"/>
      <c r="G78" s="7"/>
      <c r="H78" s="3"/>
      <c r="I78" s="2"/>
      <c r="J78" s="7"/>
      <c r="L78" s="53"/>
      <c r="M78" s="53"/>
      <c r="N78" s="52"/>
    </row>
    <row r="79" spans="1:14" x14ac:dyDescent="0.25">
      <c r="B79" s="7"/>
      <c r="C79" s="7"/>
      <c r="D79" s="7"/>
      <c r="E79" s="7"/>
      <c r="F79" s="7"/>
      <c r="G79" s="7"/>
      <c r="H79" s="3"/>
      <c r="I79" s="2"/>
      <c r="J79" s="7"/>
      <c r="L79" s="53"/>
      <c r="M79" s="53"/>
      <c r="N79" s="52"/>
    </row>
    <row r="80" spans="1:14" x14ac:dyDescent="0.25">
      <c r="B80" s="3"/>
      <c r="C80" s="7"/>
      <c r="D80" s="7"/>
      <c r="E80" s="2"/>
      <c r="L80" s="53"/>
      <c r="M80" s="53"/>
      <c r="N80" s="52"/>
    </row>
    <row r="81" spans="2:14" x14ac:dyDescent="0.25">
      <c r="B81" s="3"/>
      <c r="E81" s="2"/>
      <c r="L81" s="53"/>
      <c r="M81" s="53"/>
      <c r="N81" s="52"/>
    </row>
    <row r="82" spans="2:14" x14ac:dyDescent="0.25">
      <c r="B82" s="3"/>
      <c r="E82" s="2"/>
      <c r="L82" s="53"/>
      <c r="M82" s="53"/>
      <c r="N82" s="52"/>
    </row>
    <row r="83" spans="2:14" x14ac:dyDescent="0.25">
      <c r="B83" s="3"/>
      <c r="E83" s="2"/>
      <c r="L83" s="53"/>
      <c r="M83" s="53"/>
      <c r="N83" s="52"/>
    </row>
    <row r="84" spans="2:14" x14ac:dyDescent="0.25">
      <c r="B84" s="3"/>
      <c r="E84" s="2"/>
      <c r="L84" s="50"/>
      <c r="M84" s="51"/>
    </row>
    <row r="85" spans="2:14" x14ac:dyDescent="0.25">
      <c r="B85" s="3"/>
      <c r="E85" s="2"/>
      <c r="L85" s="25"/>
      <c r="M85" s="26"/>
    </row>
    <row r="86" spans="2:14" x14ac:dyDescent="0.25">
      <c r="B86" s="3"/>
      <c r="E86" s="2"/>
      <c r="L86" s="23"/>
      <c r="M86" s="24"/>
    </row>
    <row r="87" spans="2:14" x14ac:dyDescent="0.25">
      <c r="B87" s="3"/>
      <c r="E87" s="2"/>
      <c r="L87" s="25"/>
      <c r="M87" s="26"/>
    </row>
    <row r="88" spans="2:14" x14ac:dyDescent="0.25">
      <c r="B88" s="3"/>
      <c r="E88" s="2"/>
      <c r="L88" s="23"/>
      <c r="M88" s="24"/>
    </row>
    <row r="89" spans="2:14" x14ac:dyDescent="0.25">
      <c r="B89" s="3"/>
      <c r="E89" s="2"/>
      <c r="L89" s="25"/>
      <c r="M89" s="26"/>
    </row>
    <row r="90" spans="2:14" x14ac:dyDescent="0.25">
      <c r="B90" s="3"/>
      <c r="E90" s="2"/>
      <c r="L90" s="23"/>
      <c r="M90" s="24"/>
    </row>
    <row r="91" spans="2:14" x14ac:dyDescent="0.25">
      <c r="B91" s="3"/>
      <c r="E91" s="2"/>
      <c r="L91" s="25"/>
      <c r="M91" s="26"/>
    </row>
    <row r="92" spans="2:14" x14ac:dyDescent="0.25">
      <c r="B92" s="3"/>
      <c r="E92" s="2"/>
      <c r="L92" s="23"/>
      <c r="M92" s="24"/>
    </row>
    <row r="93" spans="2:14" x14ac:dyDescent="0.25">
      <c r="B93" s="3"/>
      <c r="E93" s="2"/>
      <c r="L93" s="25"/>
      <c r="M93" s="26"/>
    </row>
    <row r="94" spans="2:14" x14ac:dyDescent="0.25">
      <c r="B94" s="3"/>
      <c r="E94" s="2"/>
      <c r="L94" s="23"/>
      <c r="M94" s="24"/>
    </row>
    <row r="95" spans="2:14" x14ac:dyDescent="0.25">
      <c r="B95" s="3"/>
      <c r="E95" s="2"/>
      <c r="L95" s="25"/>
      <c r="M95" s="26"/>
    </row>
    <row r="96" spans="2:14" x14ac:dyDescent="0.25">
      <c r="B96" s="3"/>
      <c r="E96" s="2"/>
      <c r="L96" s="23"/>
      <c r="M96" s="24"/>
    </row>
    <row r="97" spans="2:13" x14ac:dyDescent="0.25">
      <c r="B97" s="3"/>
      <c r="E97" s="2"/>
      <c r="L97" s="25"/>
      <c r="M97" s="26"/>
    </row>
    <row r="98" spans="2:13" x14ac:dyDescent="0.25">
      <c r="B98" s="3"/>
      <c r="E98" s="2"/>
      <c r="L98" s="23"/>
      <c r="M98" s="24"/>
    </row>
    <row r="99" spans="2:13" x14ac:dyDescent="0.25">
      <c r="B99" s="3"/>
      <c r="E99" s="2"/>
      <c r="L99" s="25"/>
      <c r="M99" s="26"/>
    </row>
    <row r="100" spans="2:13" x14ac:dyDescent="0.25">
      <c r="B100" s="3"/>
      <c r="E100" s="2"/>
      <c r="L100" s="23"/>
      <c r="M100" s="24"/>
    </row>
    <row r="101" spans="2:13" x14ac:dyDescent="0.25">
      <c r="B101" s="3"/>
      <c r="E101" s="2"/>
      <c r="L101" s="25"/>
      <c r="M101" s="26"/>
    </row>
    <row r="102" spans="2:13" x14ac:dyDescent="0.25">
      <c r="B102" s="3"/>
      <c r="E102" s="2"/>
      <c r="L102" s="23"/>
      <c r="M102" s="24"/>
    </row>
    <row r="103" spans="2:13" x14ac:dyDescent="0.25">
      <c r="B103" s="3"/>
      <c r="E103" s="2"/>
      <c r="L103" s="25"/>
      <c r="M103" s="26"/>
    </row>
    <row r="104" spans="2:13" x14ac:dyDescent="0.25">
      <c r="B104" s="3"/>
      <c r="E104" s="2"/>
      <c r="L104" s="23"/>
      <c r="M104" s="24"/>
    </row>
    <row r="105" spans="2:13" x14ac:dyDescent="0.25">
      <c r="B105" s="3"/>
      <c r="E105" s="2"/>
      <c r="L105" s="25"/>
      <c r="M105" s="26"/>
    </row>
    <row r="106" spans="2:13" x14ac:dyDescent="0.25">
      <c r="B106" s="3"/>
      <c r="E106" s="2"/>
      <c r="L106" s="23"/>
      <c r="M106" s="24"/>
    </row>
    <row r="107" spans="2:13" x14ac:dyDescent="0.25">
      <c r="B107" s="3"/>
      <c r="E107" s="2"/>
      <c r="L107" s="25"/>
      <c r="M107" s="26"/>
    </row>
    <row r="108" spans="2:13" x14ac:dyDescent="0.25">
      <c r="B108" s="3"/>
      <c r="E108" s="2"/>
      <c r="L108" s="23"/>
      <c r="M108" s="24"/>
    </row>
    <row r="109" spans="2:13" x14ac:dyDescent="0.25">
      <c r="B109" s="3"/>
      <c r="E109" s="2"/>
      <c r="L109" s="25"/>
      <c r="M109" s="26"/>
    </row>
    <row r="110" spans="2:13" x14ac:dyDescent="0.25">
      <c r="B110" s="3"/>
      <c r="E110" s="2"/>
      <c r="L110" s="23"/>
      <c r="M110" s="24"/>
    </row>
    <row r="111" spans="2:13" x14ac:dyDescent="0.25">
      <c r="B111" s="3"/>
      <c r="E111" s="2"/>
      <c r="L111" s="25"/>
      <c r="M111" s="26"/>
    </row>
    <row r="112" spans="2:13" x14ac:dyDescent="0.25">
      <c r="B112" s="3"/>
      <c r="E112" s="2"/>
      <c r="L112" s="23"/>
      <c r="M112" s="24"/>
    </row>
    <row r="113" spans="2:13" x14ac:dyDescent="0.25">
      <c r="B113" s="3"/>
      <c r="E113" s="2"/>
      <c r="L113" s="21"/>
      <c r="M113" s="22"/>
    </row>
    <row r="114" spans="2:13" x14ac:dyDescent="0.25">
      <c r="B114" s="3"/>
      <c r="E114" s="2"/>
      <c r="L114" s="19"/>
      <c r="M114" s="20"/>
    </row>
    <row r="115" spans="2:13" x14ac:dyDescent="0.25">
      <c r="B115" s="3"/>
      <c r="E115" s="2"/>
      <c r="L115" s="25"/>
      <c r="M115" s="26"/>
    </row>
    <row r="116" spans="2:13" x14ac:dyDescent="0.25">
      <c r="B116" s="3"/>
      <c r="E116" s="2"/>
      <c r="L116" s="23"/>
      <c r="M116" s="24"/>
    </row>
    <row r="117" spans="2:13" x14ac:dyDescent="0.25">
      <c r="B117" s="3"/>
      <c r="E117" s="2"/>
      <c r="L117" s="25"/>
      <c r="M117" s="26"/>
    </row>
    <row r="118" spans="2:13" x14ac:dyDescent="0.25">
      <c r="B118" s="3"/>
      <c r="E118" s="2"/>
      <c r="L118" s="23"/>
      <c r="M118" s="24"/>
    </row>
    <row r="119" spans="2:13" x14ac:dyDescent="0.25">
      <c r="B119" s="3"/>
      <c r="E119" s="2"/>
      <c r="L119" s="25"/>
      <c r="M119" s="26"/>
    </row>
    <row r="120" spans="2:13" x14ac:dyDescent="0.25">
      <c r="B120" s="3"/>
      <c r="E120" s="2"/>
      <c r="L120" s="23"/>
      <c r="M120" s="24"/>
    </row>
    <row r="121" spans="2:13" x14ac:dyDescent="0.25">
      <c r="B121" s="3"/>
      <c r="E121" s="2"/>
      <c r="L121" s="25"/>
      <c r="M121" s="26"/>
    </row>
    <row r="122" spans="2:13" x14ac:dyDescent="0.25">
      <c r="B122" s="3"/>
      <c r="E122" s="2"/>
      <c r="L122" s="23"/>
      <c r="M122" s="24"/>
    </row>
    <row r="123" spans="2:13" x14ac:dyDescent="0.25">
      <c r="B123" s="3"/>
      <c r="E123" s="2"/>
      <c r="L123" s="25"/>
      <c r="M123" s="26"/>
    </row>
    <row r="124" spans="2:13" x14ac:dyDescent="0.25">
      <c r="B124" s="3"/>
      <c r="E124" s="2"/>
      <c r="L124" s="23"/>
      <c r="M124" s="24"/>
    </row>
    <row r="125" spans="2:13" x14ac:dyDescent="0.25">
      <c r="B125" s="3"/>
      <c r="E125" s="2"/>
      <c r="L125" s="25"/>
      <c r="M125" s="26"/>
    </row>
    <row r="126" spans="2:13" x14ac:dyDescent="0.25">
      <c r="B126" s="3"/>
      <c r="E126" s="2"/>
      <c r="L126" s="23"/>
      <c r="M126" s="24"/>
    </row>
    <row r="127" spans="2:13" x14ac:dyDescent="0.25">
      <c r="B127" s="3"/>
      <c r="E127" s="2"/>
      <c r="L127" s="25"/>
      <c r="M127" s="26"/>
    </row>
    <row r="128" spans="2:13" x14ac:dyDescent="0.25">
      <c r="B128" s="3"/>
      <c r="E128" s="2"/>
      <c r="L128" s="23"/>
      <c r="M128" s="24"/>
    </row>
    <row r="129" spans="2:13" x14ac:dyDescent="0.25">
      <c r="B129" s="3"/>
      <c r="E129" s="2"/>
      <c r="L129" s="25"/>
      <c r="M129" s="26"/>
    </row>
    <row r="130" spans="2:13" x14ac:dyDescent="0.25">
      <c r="B130" s="3"/>
      <c r="E130" s="2"/>
      <c r="L130" s="23"/>
      <c r="M130" s="24"/>
    </row>
    <row r="131" spans="2:13" x14ac:dyDescent="0.25">
      <c r="B131" s="3"/>
      <c r="E131" s="2"/>
      <c r="L131" s="25"/>
      <c r="M131" s="26"/>
    </row>
    <row r="132" spans="2:13" x14ac:dyDescent="0.25">
      <c r="B132" s="3"/>
      <c r="E132" s="2"/>
      <c r="L132" s="23"/>
      <c r="M132" s="24"/>
    </row>
    <row r="133" spans="2:13" x14ac:dyDescent="0.25">
      <c r="B133" s="3"/>
      <c r="E133" s="2"/>
      <c r="L133" s="25"/>
      <c r="M133" s="26"/>
    </row>
    <row r="134" spans="2:13" x14ac:dyDescent="0.25">
      <c r="B134" s="3"/>
      <c r="E134" s="2"/>
      <c r="L134" s="23"/>
      <c r="M134" s="24"/>
    </row>
    <row r="135" spans="2:13" x14ac:dyDescent="0.25">
      <c r="B135" s="3"/>
      <c r="E135" s="2"/>
      <c r="L135" s="25"/>
      <c r="M135" s="26"/>
    </row>
    <row r="136" spans="2:13" x14ac:dyDescent="0.25">
      <c r="B136" s="3"/>
      <c r="E136" s="2"/>
      <c r="L136" s="23"/>
      <c r="M136" s="24"/>
    </row>
    <row r="137" spans="2:13" x14ac:dyDescent="0.25">
      <c r="B137" s="3"/>
      <c r="E137" s="2"/>
      <c r="L137" s="25"/>
      <c r="M137" s="26"/>
    </row>
    <row r="138" spans="2:13" x14ac:dyDescent="0.25">
      <c r="B138" s="3"/>
      <c r="E138" s="2"/>
      <c r="L138" s="23"/>
      <c r="M138" s="24"/>
    </row>
    <row r="139" spans="2:13" x14ac:dyDescent="0.25">
      <c r="B139" s="3"/>
      <c r="E139" s="2"/>
      <c r="L139" s="25"/>
      <c r="M139" s="26"/>
    </row>
    <row r="140" spans="2:13" x14ac:dyDescent="0.25">
      <c r="B140" s="3"/>
      <c r="E140" s="2"/>
      <c r="L140" s="23"/>
      <c r="M140" s="24"/>
    </row>
    <row r="141" spans="2:13" x14ac:dyDescent="0.25">
      <c r="B141" s="3"/>
      <c r="E141" s="2"/>
      <c r="L141" s="25"/>
      <c r="M141" s="26"/>
    </row>
    <row r="142" spans="2:13" x14ac:dyDescent="0.25">
      <c r="B142" s="3"/>
      <c r="E142" s="2"/>
      <c r="L142" s="23"/>
      <c r="M142" s="24"/>
    </row>
    <row r="143" spans="2:13" x14ac:dyDescent="0.25">
      <c r="B143" s="3"/>
      <c r="E143" s="2"/>
      <c r="L143" s="25"/>
      <c r="M143" s="26"/>
    </row>
    <row r="144" spans="2:13" x14ac:dyDescent="0.25">
      <c r="B144" s="3"/>
      <c r="E144" s="2"/>
      <c r="L144" s="23"/>
      <c r="M144" s="24"/>
    </row>
    <row r="145" spans="2:13" x14ac:dyDescent="0.25">
      <c r="B145" s="3"/>
      <c r="E145" s="2"/>
      <c r="L145" s="25"/>
      <c r="M145" s="26"/>
    </row>
    <row r="146" spans="2:13" x14ac:dyDescent="0.25">
      <c r="B146" s="3"/>
      <c r="E146" s="2"/>
      <c r="L146" s="23"/>
      <c r="M146" s="24"/>
    </row>
    <row r="147" spans="2:13" x14ac:dyDescent="0.25">
      <c r="B147" s="3"/>
      <c r="E147" s="2"/>
      <c r="L147" s="25"/>
      <c r="M147" s="26"/>
    </row>
    <row r="148" spans="2:13" x14ac:dyDescent="0.25">
      <c r="B148" s="3"/>
      <c r="E148" s="2"/>
      <c r="L148" s="23"/>
      <c r="M148" s="24"/>
    </row>
    <row r="149" spans="2:13" x14ac:dyDescent="0.25">
      <c r="B149" s="3"/>
      <c r="E149" s="2"/>
      <c r="L149" s="25"/>
      <c r="M149" s="26"/>
    </row>
    <row r="150" spans="2:13" x14ac:dyDescent="0.25">
      <c r="B150" s="3"/>
      <c r="E150" s="2"/>
      <c r="L150" s="23"/>
      <c r="M150" s="24"/>
    </row>
    <row r="151" spans="2:13" x14ac:dyDescent="0.25">
      <c r="B151" s="3"/>
      <c r="E151" s="2"/>
      <c r="L151" s="25"/>
      <c r="M151" s="26"/>
    </row>
    <row r="152" spans="2:13" x14ac:dyDescent="0.25">
      <c r="B152" s="3"/>
      <c r="E152" s="2"/>
      <c r="L152" s="23"/>
      <c r="M152" s="24"/>
    </row>
    <row r="153" spans="2:13" x14ac:dyDescent="0.25">
      <c r="B153" s="3"/>
      <c r="E153" s="2"/>
      <c r="L153" s="25"/>
      <c r="M153" s="26"/>
    </row>
    <row r="154" spans="2:13" x14ac:dyDescent="0.25">
      <c r="B154" s="3"/>
      <c r="E154" s="2"/>
      <c r="L154" s="23"/>
      <c r="M154" s="24"/>
    </row>
    <row r="155" spans="2:13" x14ac:dyDescent="0.25">
      <c r="B155" s="3"/>
      <c r="E155" s="2"/>
      <c r="L155" s="25"/>
      <c r="M155" s="26"/>
    </row>
    <row r="156" spans="2:13" x14ac:dyDescent="0.25">
      <c r="B156" s="3"/>
      <c r="E156" s="2"/>
      <c r="L156" s="23"/>
      <c r="M156" s="24"/>
    </row>
    <row r="157" spans="2:13" x14ac:dyDescent="0.25">
      <c r="B157" s="3"/>
      <c r="E157" s="2"/>
      <c r="L157" s="21"/>
      <c r="M157" s="22"/>
    </row>
    <row r="158" spans="2:13" x14ac:dyDescent="0.25">
      <c r="B158" s="3"/>
      <c r="E158" s="2"/>
      <c r="L158" s="19"/>
      <c r="M158" s="20"/>
    </row>
    <row r="159" spans="2:13" x14ac:dyDescent="0.25">
      <c r="B159" s="3"/>
      <c r="E159" s="2"/>
      <c r="L159" s="21"/>
      <c r="M159" s="22"/>
    </row>
    <row r="160" spans="2:13" x14ac:dyDescent="0.25">
      <c r="B160" s="3"/>
      <c r="E160" s="2"/>
      <c r="L160" s="19"/>
      <c r="M160" s="20"/>
    </row>
    <row r="161" spans="2:13" x14ac:dyDescent="0.25">
      <c r="B161" s="3"/>
      <c r="E161" s="2"/>
      <c r="L161" s="21"/>
      <c r="M161" s="22"/>
    </row>
    <row r="162" spans="2:13" x14ac:dyDescent="0.25">
      <c r="B162" s="3"/>
      <c r="E162" s="2"/>
      <c r="L162" s="19"/>
      <c r="M162" s="20"/>
    </row>
    <row r="163" spans="2:13" x14ac:dyDescent="0.25">
      <c r="B163" s="3"/>
      <c r="E163" s="2"/>
      <c r="L163" s="21"/>
      <c r="M163" s="22"/>
    </row>
    <row r="164" spans="2:13" x14ac:dyDescent="0.25">
      <c r="B164" s="3"/>
      <c r="E164" s="2"/>
      <c r="L164" s="19"/>
      <c r="M164" s="20"/>
    </row>
    <row r="165" spans="2:13" x14ac:dyDescent="0.25">
      <c r="B165" s="3"/>
      <c r="E165" s="2"/>
      <c r="L165" s="21"/>
      <c r="M165" s="22"/>
    </row>
    <row r="166" spans="2:13" x14ac:dyDescent="0.25">
      <c r="B166" s="3"/>
      <c r="E166" s="2"/>
      <c r="L166" s="19"/>
      <c r="M166" s="20"/>
    </row>
    <row r="167" spans="2:13" x14ac:dyDescent="0.25">
      <c r="B167" s="3"/>
      <c r="E167" s="2"/>
      <c r="L167" s="21"/>
      <c r="M167" s="22"/>
    </row>
    <row r="168" spans="2:13" x14ac:dyDescent="0.25">
      <c r="B168" s="3"/>
      <c r="E168" s="2"/>
      <c r="L168" s="19"/>
      <c r="M168" s="20"/>
    </row>
    <row r="169" spans="2:13" x14ac:dyDescent="0.25">
      <c r="B169" s="3"/>
      <c r="E169" s="2"/>
      <c r="L169" s="21"/>
      <c r="M169" s="22"/>
    </row>
    <row r="170" spans="2:13" x14ac:dyDescent="0.25">
      <c r="B170" s="3"/>
      <c r="E170" s="2"/>
      <c r="L170" s="19"/>
      <c r="M170" s="20"/>
    </row>
    <row r="171" spans="2:13" x14ac:dyDescent="0.25">
      <c r="B171" s="3"/>
      <c r="E171" s="2"/>
      <c r="L171" s="21"/>
      <c r="M171" s="22"/>
    </row>
    <row r="172" spans="2:13" x14ac:dyDescent="0.25">
      <c r="B172" s="3"/>
      <c r="E172" s="2"/>
      <c r="L172" s="19"/>
      <c r="M172" s="20"/>
    </row>
    <row r="173" spans="2:13" x14ac:dyDescent="0.25">
      <c r="B173" s="3"/>
      <c r="E173" s="2"/>
      <c r="L173" s="21"/>
      <c r="M173" s="22"/>
    </row>
    <row r="174" spans="2:13" x14ac:dyDescent="0.25">
      <c r="B174" s="3"/>
      <c r="E174" s="2"/>
      <c r="L174" s="19"/>
      <c r="M174" s="20"/>
    </row>
    <row r="175" spans="2:13" x14ac:dyDescent="0.25">
      <c r="B175" s="3"/>
      <c r="E175" s="2"/>
      <c r="L175" s="21"/>
      <c r="M175" s="22"/>
    </row>
    <row r="176" spans="2:13" x14ac:dyDescent="0.25">
      <c r="B176" s="3"/>
      <c r="E176" s="2"/>
      <c r="L176" s="19"/>
      <c r="M176" s="20"/>
    </row>
    <row r="177" spans="2:13" x14ac:dyDescent="0.25">
      <c r="B177" s="3"/>
      <c r="E177" s="2"/>
      <c r="L177" s="21"/>
      <c r="M177" s="22"/>
    </row>
    <row r="178" spans="2:13" x14ac:dyDescent="0.25">
      <c r="B178" s="3"/>
      <c r="E178" s="2"/>
      <c r="L178" s="19"/>
      <c r="M178" s="20"/>
    </row>
    <row r="179" spans="2:13" x14ac:dyDescent="0.25">
      <c r="B179" s="3"/>
      <c r="E179" s="2"/>
      <c r="L179" s="21"/>
      <c r="M179" s="22"/>
    </row>
    <row r="180" spans="2:13" x14ac:dyDescent="0.25">
      <c r="B180" s="3"/>
      <c r="E180" s="2"/>
      <c r="L180" s="19"/>
      <c r="M180" s="20"/>
    </row>
    <row r="181" spans="2:13" x14ac:dyDescent="0.25">
      <c r="B181" s="3"/>
      <c r="E181" s="2"/>
      <c r="L181" s="21"/>
      <c r="M181" s="22"/>
    </row>
    <row r="182" spans="2:13" x14ac:dyDescent="0.25">
      <c r="B182" s="3"/>
      <c r="E182" s="2"/>
      <c r="L182" s="19"/>
      <c r="M182" s="20"/>
    </row>
    <row r="183" spans="2:13" x14ac:dyDescent="0.25">
      <c r="B183" s="3"/>
      <c r="E183" s="2"/>
      <c r="L183" s="21"/>
      <c r="M183" s="22"/>
    </row>
    <row r="184" spans="2:13" x14ac:dyDescent="0.25">
      <c r="B184" s="3"/>
      <c r="E184" s="2"/>
      <c r="L184" s="19"/>
      <c r="M184" s="20"/>
    </row>
    <row r="185" spans="2:13" x14ac:dyDescent="0.25">
      <c r="B185" s="3"/>
      <c r="E185" s="2"/>
      <c r="L185" s="21"/>
      <c r="M185" s="22"/>
    </row>
    <row r="186" spans="2:13" x14ac:dyDescent="0.25">
      <c r="B186" s="3"/>
      <c r="E186" s="2"/>
      <c r="L186" s="19"/>
      <c r="M186" s="20"/>
    </row>
    <row r="187" spans="2:13" x14ac:dyDescent="0.25">
      <c r="B187" s="3"/>
      <c r="E187" s="2"/>
      <c r="L187" s="21"/>
      <c r="M187" s="22"/>
    </row>
    <row r="188" spans="2:13" x14ac:dyDescent="0.25">
      <c r="B188" s="3"/>
      <c r="E188" s="2"/>
      <c r="L188" s="19"/>
      <c r="M188" s="20"/>
    </row>
    <row r="189" spans="2:13" x14ac:dyDescent="0.25">
      <c r="B189" s="3"/>
      <c r="E189" s="2"/>
      <c r="L189" s="21"/>
      <c r="M189" s="22"/>
    </row>
    <row r="190" spans="2:13" x14ac:dyDescent="0.25">
      <c r="B190" s="3"/>
      <c r="E190" s="2"/>
      <c r="L190" s="19"/>
      <c r="M190" s="20"/>
    </row>
    <row r="191" spans="2:13" x14ac:dyDescent="0.25">
      <c r="B191" s="3"/>
      <c r="E191" s="2"/>
      <c r="L191" s="21"/>
      <c r="M191" s="22"/>
    </row>
    <row r="192" spans="2:13" x14ac:dyDescent="0.25">
      <c r="B192" s="3"/>
      <c r="E192" s="2"/>
      <c r="L192" s="19"/>
      <c r="M192" s="20"/>
    </row>
    <row r="193" spans="2:13" x14ac:dyDescent="0.25">
      <c r="B193" s="3"/>
      <c r="E193" s="2"/>
      <c r="L193" s="21"/>
      <c r="M193" s="22"/>
    </row>
    <row r="194" spans="2:13" x14ac:dyDescent="0.25">
      <c r="B194" s="3"/>
      <c r="E194" s="2"/>
      <c r="L194" s="19"/>
      <c r="M194" s="20"/>
    </row>
    <row r="195" spans="2:13" x14ac:dyDescent="0.25">
      <c r="B195" s="3"/>
      <c r="E195" s="2"/>
      <c r="L195" s="21"/>
      <c r="M195" s="22"/>
    </row>
    <row r="196" spans="2:13" x14ac:dyDescent="0.25">
      <c r="B196" s="3"/>
      <c r="E196" s="2"/>
      <c r="L196" s="19"/>
      <c r="M196" s="20"/>
    </row>
    <row r="197" spans="2:13" x14ac:dyDescent="0.25">
      <c r="B197" s="3"/>
      <c r="E197" s="2"/>
      <c r="L197" s="21"/>
      <c r="M197" s="22"/>
    </row>
    <row r="198" spans="2:13" x14ac:dyDescent="0.25">
      <c r="B198" s="3"/>
      <c r="E198" s="2"/>
      <c r="L198" s="19"/>
      <c r="M198" s="20"/>
    </row>
    <row r="199" spans="2:13" x14ac:dyDescent="0.25">
      <c r="B199" s="3"/>
      <c r="E199" s="2"/>
      <c r="L199" s="27"/>
      <c r="M199" s="28"/>
    </row>
  </sheetData>
  <mergeCells count="2">
    <mergeCell ref="N1:P2"/>
    <mergeCell ref="R1:U2"/>
  </mergeCells>
  <pageMargins left="0.7" right="0.7" top="0.75" bottom="0.75" header="0.3" footer="0.3"/>
  <drawing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E52F954B-FB23-420C-8CAB-00A93CA32753}">
          <x14:formula1>
            <xm:f>BASE!$W$2</xm:f>
          </x14:formula1>
          <xm:sqref>O4</xm:sqref>
        </x14:dataValidation>
        <x14:dataValidation type="list" allowBlank="1" showInputMessage="1" showErrorMessage="1" xr:uid="{22365A59-BD9A-4768-97CD-3732FB2766D3}">
          <x14:formula1>
            <xm:f>BASE!$Y$2:$Y$4</xm:f>
          </x14:formula1>
          <xm:sqref>O5</xm:sqref>
        </x14:dataValidation>
        <x14:dataValidation type="list" allowBlank="1" showInputMessage="1" showErrorMessage="1" xr:uid="{D89FF14E-FB51-45E5-8A13-E643E8FE2DEB}">
          <x14:formula1>
            <xm:f>BASE!$U$2:$U$13</xm:f>
          </x14:formula1>
          <xm:sqref>O7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778F5-9F2E-4AC4-B42D-D0D684603FF0}">
  <sheetPr codeName="Feuil4"/>
  <dimension ref="A1:G56"/>
  <sheetViews>
    <sheetView topLeftCell="A14" workbookViewId="0">
      <selection activeCell="M35" sqref="M35"/>
    </sheetView>
  </sheetViews>
  <sheetFormatPr baseColWidth="10" defaultRowHeight="15" x14ac:dyDescent="0.25"/>
  <cols>
    <col min="1" max="1" width="21.42578125" bestFit="1" customWidth="1"/>
    <col min="2" max="3" width="14.28515625" style="31" customWidth="1"/>
    <col min="5" max="5" width="8" style="31" bestFit="1" customWidth="1"/>
    <col min="7" max="7" width="21.42578125" bestFit="1" customWidth="1"/>
  </cols>
  <sheetData>
    <row r="1" spans="1:7" x14ac:dyDescent="0.25">
      <c r="A1" t="s">
        <v>21</v>
      </c>
      <c r="B1" s="31">
        <v>0</v>
      </c>
      <c r="C1" s="31">
        <v>895.37</v>
      </c>
      <c r="D1">
        <f>IF(B1=0,C1,B1)</f>
        <v>895.37</v>
      </c>
      <c r="E1" s="34">
        <v>895.37</v>
      </c>
      <c r="G1" s="32" t="s">
        <v>21</v>
      </c>
    </row>
    <row r="2" spans="1:7" x14ac:dyDescent="0.25">
      <c r="A2" t="s">
        <v>116</v>
      </c>
      <c r="B2" s="31">
        <v>142.26999999999987</v>
      </c>
      <c r="C2" s="31">
        <v>0</v>
      </c>
      <c r="D2">
        <f t="shared" ref="D2:D49" si="0">IF(B2=0,C2,B2)</f>
        <v>142.26999999999987</v>
      </c>
      <c r="E2" s="33">
        <v>142.27000000000001</v>
      </c>
      <c r="G2" s="6" t="s">
        <v>22</v>
      </c>
    </row>
    <row r="3" spans="1:7" x14ac:dyDescent="0.25">
      <c r="A3" t="s">
        <v>23</v>
      </c>
      <c r="B3" s="31">
        <v>20</v>
      </c>
      <c r="C3" s="31">
        <v>0</v>
      </c>
      <c r="D3">
        <f t="shared" si="0"/>
        <v>20</v>
      </c>
      <c r="E3" s="34">
        <v>20</v>
      </c>
      <c r="G3" s="32" t="s">
        <v>23</v>
      </c>
    </row>
    <row r="4" spans="1:7" x14ac:dyDescent="0.25">
      <c r="A4" t="s">
        <v>24</v>
      </c>
      <c r="B4" s="31">
        <v>3.09</v>
      </c>
      <c r="C4" s="31">
        <v>0</v>
      </c>
      <c r="D4">
        <f t="shared" si="0"/>
        <v>3.09</v>
      </c>
      <c r="E4" s="33">
        <v>3.09</v>
      </c>
      <c r="G4" s="6" t="s">
        <v>24</v>
      </c>
    </row>
    <row r="5" spans="1:7" x14ac:dyDescent="0.25">
      <c r="A5" t="s">
        <v>25</v>
      </c>
      <c r="B5" s="31">
        <v>0.6</v>
      </c>
      <c r="C5" s="31">
        <v>0</v>
      </c>
      <c r="D5">
        <f t="shared" si="0"/>
        <v>0.6</v>
      </c>
      <c r="E5" s="34">
        <v>0.6</v>
      </c>
      <c r="G5" s="32" t="s">
        <v>25</v>
      </c>
    </row>
    <row r="6" spans="1:7" x14ac:dyDescent="0.25">
      <c r="A6" t="s">
        <v>26</v>
      </c>
      <c r="B6" s="31">
        <v>3.8</v>
      </c>
      <c r="C6" s="31">
        <v>0</v>
      </c>
      <c r="D6">
        <f t="shared" si="0"/>
        <v>3.8</v>
      </c>
      <c r="E6" s="33">
        <v>3.8</v>
      </c>
      <c r="G6" s="6" t="s">
        <v>26</v>
      </c>
    </row>
    <row r="7" spans="1:7" x14ac:dyDescent="0.25">
      <c r="A7" t="s">
        <v>27</v>
      </c>
      <c r="B7" s="31">
        <v>24</v>
      </c>
      <c r="C7" s="31">
        <v>0</v>
      </c>
      <c r="D7">
        <f t="shared" si="0"/>
        <v>24</v>
      </c>
      <c r="E7" s="34">
        <v>24</v>
      </c>
      <c r="G7" s="32" t="s">
        <v>27</v>
      </c>
    </row>
    <row r="8" spans="1:7" x14ac:dyDescent="0.25">
      <c r="A8" t="s">
        <v>30</v>
      </c>
      <c r="B8" s="31">
        <v>30.01</v>
      </c>
      <c r="C8" s="31">
        <v>0</v>
      </c>
      <c r="D8">
        <f t="shared" si="0"/>
        <v>30.01</v>
      </c>
      <c r="E8" s="34">
        <v>30.01</v>
      </c>
      <c r="G8" s="32" t="s">
        <v>30</v>
      </c>
    </row>
    <row r="9" spans="1:7" x14ac:dyDescent="0.25">
      <c r="A9" t="s">
        <v>32</v>
      </c>
      <c r="B9" s="31">
        <v>280</v>
      </c>
      <c r="C9" s="31">
        <v>0</v>
      </c>
      <c r="D9">
        <f t="shared" si="0"/>
        <v>280</v>
      </c>
      <c r="E9" s="34">
        <v>3.9</v>
      </c>
      <c r="G9" s="32" t="s">
        <v>26</v>
      </c>
    </row>
    <row r="10" spans="1:7" x14ac:dyDescent="0.25">
      <c r="A10" t="s">
        <v>33</v>
      </c>
      <c r="B10" s="31">
        <v>44.34</v>
      </c>
      <c r="C10" s="31">
        <v>0</v>
      </c>
      <c r="D10">
        <f t="shared" si="0"/>
        <v>44.34</v>
      </c>
      <c r="E10" s="33">
        <v>28.94</v>
      </c>
      <c r="G10" s="6" t="s">
        <v>29</v>
      </c>
    </row>
    <row r="11" spans="1:7" x14ac:dyDescent="0.25">
      <c r="A11" t="s">
        <v>34</v>
      </c>
      <c r="B11" s="31">
        <v>10.36</v>
      </c>
      <c r="C11" s="31">
        <v>0</v>
      </c>
      <c r="D11">
        <f t="shared" si="0"/>
        <v>10.36</v>
      </c>
      <c r="E11" s="34">
        <v>20.010000000000002</v>
      </c>
      <c r="G11" s="32" t="s">
        <v>30</v>
      </c>
    </row>
    <row r="12" spans="1:7" x14ac:dyDescent="0.25">
      <c r="A12" t="s">
        <v>35</v>
      </c>
      <c r="B12" s="31">
        <v>0</v>
      </c>
      <c r="C12" s="31">
        <v>24</v>
      </c>
      <c r="D12">
        <f t="shared" si="0"/>
        <v>24</v>
      </c>
      <c r="E12" s="33">
        <v>2.44</v>
      </c>
      <c r="G12" s="6" t="s">
        <v>31</v>
      </c>
    </row>
    <row r="13" spans="1:7" x14ac:dyDescent="0.25">
      <c r="A13" t="s">
        <v>36</v>
      </c>
      <c r="B13" s="31">
        <v>3</v>
      </c>
      <c r="C13" s="31">
        <v>0</v>
      </c>
      <c r="D13">
        <f t="shared" si="0"/>
        <v>3</v>
      </c>
      <c r="E13" s="34">
        <v>0.6</v>
      </c>
      <c r="G13" s="32" t="s">
        <v>25</v>
      </c>
    </row>
    <row r="14" spans="1:7" x14ac:dyDescent="0.25">
      <c r="A14" t="s">
        <v>37</v>
      </c>
      <c r="B14" s="31">
        <v>30</v>
      </c>
      <c r="C14" s="31">
        <v>0</v>
      </c>
      <c r="D14">
        <f t="shared" si="0"/>
        <v>30</v>
      </c>
      <c r="E14" s="33">
        <v>3.28</v>
      </c>
      <c r="G14" s="6" t="s">
        <v>31</v>
      </c>
    </row>
    <row r="15" spans="1:7" x14ac:dyDescent="0.25">
      <c r="A15" t="s">
        <v>38</v>
      </c>
      <c r="B15" s="31">
        <v>17.5</v>
      </c>
      <c r="C15" s="31">
        <v>0</v>
      </c>
      <c r="D15">
        <f t="shared" si="0"/>
        <v>17.5</v>
      </c>
      <c r="E15" s="33">
        <v>22</v>
      </c>
      <c r="G15" s="6" t="s">
        <v>28</v>
      </c>
    </row>
    <row r="16" spans="1:7" x14ac:dyDescent="0.25">
      <c r="A16" t="s">
        <v>23</v>
      </c>
      <c r="B16" s="31">
        <v>17</v>
      </c>
      <c r="C16" s="31">
        <v>0</v>
      </c>
      <c r="D16">
        <f t="shared" si="0"/>
        <v>17</v>
      </c>
      <c r="E16" s="33">
        <v>280</v>
      </c>
      <c r="G16" s="6" t="s">
        <v>32</v>
      </c>
    </row>
    <row r="17" spans="1:7" x14ac:dyDescent="0.25">
      <c r="A17" t="s">
        <v>39</v>
      </c>
      <c r="B17" s="31">
        <v>6</v>
      </c>
      <c r="C17" s="31">
        <v>0</v>
      </c>
      <c r="D17">
        <f t="shared" si="0"/>
        <v>6</v>
      </c>
      <c r="E17" s="34">
        <v>44.34</v>
      </c>
      <c r="G17" s="32" t="s">
        <v>33</v>
      </c>
    </row>
    <row r="18" spans="1:7" x14ac:dyDescent="0.25">
      <c r="A18" t="s">
        <v>40</v>
      </c>
      <c r="B18" s="31">
        <v>66.06</v>
      </c>
      <c r="C18" s="31">
        <v>0</v>
      </c>
      <c r="D18">
        <f t="shared" si="0"/>
        <v>66.06</v>
      </c>
      <c r="E18" s="33">
        <v>10.36</v>
      </c>
      <c r="G18" s="6" t="s">
        <v>34</v>
      </c>
    </row>
    <row r="19" spans="1:7" x14ac:dyDescent="0.25">
      <c r="A19" t="s">
        <v>41</v>
      </c>
      <c r="B19" s="31">
        <v>1.7</v>
      </c>
      <c r="C19" s="31">
        <v>0</v>
      </c>
      <c r="D19">
        <f t="shared" si="0"/>
        <v>1.7</v>
      </c>
      <c r="E19" s="34">
        <v>24</v>
      </c>
      <c r="G19" s="32" t="s">
        <v>35</v>
      </c>
    </row>
    <row r="20" spans="1:7" x14ac:dyDescent="0.25">
      <c r="A20" t="s">
        <v>42</v>
      </c>
      <c r="B20" s="31">
        <v>15</v>
      </c>
      <c r="C20" s="31">
        <v>0</v>
      </c>
      <c r="D20">
        <f t="shared" si="0"/>
        <v>15</v>
      </c>
      <c r="E20" s="33">
        <v>3</v>
      </c>
      <c r="G20" s="6" t="s">
        <v>36</v>
      </c>
    </row>
    <row r="21" spans="1:7" x14ac:dyDescent="0.25">
      <c r="A21" t="s">
        <v>43</v>
      </c>
      <c r="B21" s="31">
        <v>0</v>
      </c>
      <c r="C21" s="31">
        <v>33.01</v>
      </c>
      <c r="D21">
        <f t="shared" si="0"/>
        <v>33.01</v>
      </c>
      <c r="E21" s="34">
        <v>30</v>
      </c>
      <c r="G21" s="32" t="s">
        <v>37</v>
      </c>
    </row>
    <row r="22" spans="1:7" x14ac:dyDescent="0.25">
      <c r="A22" t="s">
        <v>44</v>
      </c>
      <c r="B22" s="31">
        <v>28.25</v>
      </c>
      <c r="C22" s="31">
        <v>0</v>
      </c>
      <c r="D22">
        <f t="shared" si="0"/>
        <v>28.25</v>
      </c>
      <c r="E22" s="33">
        <v>17.5</v>
      </c>
      <c r="G22" s="6" t="s">
        <v>38</v>
      </c>
    </row>
    <row r="23" spans="1:7" x14ac:dyDescent="0.25">
      <c r="A23" t="s">
        <v>45</v>
      </c>
      <c r="B23" s="31">
        <v>9.9</v>
      </c>
      <c r="C23" s="31">
        <v>0</v>
      </c>
      <c r="D23">
        <f t="shared" si="0"/>
        <v>9.9</v>
      </c>
      <c r="E23" s="34">
        <v>17</v>
      </c>
      <c r="G23" s="32" t="s">
        <v>23</v>
      </c>
    </row>
    <row r="24" spans="1:7" x14ac:dyDescent="0.25">
      <c r="A24" t="s">
        <v>31</v>
      </c>
      <c r="B24" s="31">
        <v>3.25</v>
      </c>
      <c r="C24" s="31">
        <v>0</v>
      </c>
      <c r="D24">
        <f t="shared" si="0"/>
        <v>3.25</v>
      </c>
      <c r="E24" s="33">
        <v>6</v>
      </c>
      <c r="G24" s="6" t="s">
        <v>39</v>
      </c>
    </row>
    <row r="25" spans="1:7" x14ac:dyDescent="0.25">
      <c r="A25" t="s">
        <v>46</v>
      </c>
      <c r="B25" s="31">
        <v>50.66</v>
      </c>
      <c r="C25" s="31">
        <v>0</v>
      </c>
      <c r="D25">
        <f t="shared" si="0"/>
        <v>50.66</v>
      </c>
      <c r="E25" s="34">
        <v>66.06</v>
      </c>
      <c r="G25" s="32" t="s">
        <v>40</v>
      </c>
    </row>
    <row r="26" spans="1:7" x14ac:dyDescent="0.25">
      <c r="A26" t="s">
        <v>47</v>
      </c>
      <c r="B26" s="31">
        <v>5.65</v>
      </c>
      <c r="C26" s="31">
        <v>0</v>
      </c>
      <c r="D26">
        <f t="shared" si="0"/>
        <v>5.65</v>
      </c>
      <c r="E26" s="33">
        <v>1.7</v>
      </c>
      <c r="G26" s="6" t="s">
        <v>41</v>
      </c>
    </row>
    <row r="27" spans="1:7" x14ac:dyDescent="0.25">
      <c r="A27" t="s">
        <v>48</v>
      </c>
      <c r="B27" s="31">
        <v>20</v>
      </c>
      <c r="C27" s="31">
        <v>0</v>
      </c>
      <c r="D27">
        <f t="shared" si="0"/>
        <v>20</v>
      </c>
      <c r="E27" s="34">
        <v>15</v>
      </c>
      <c r="G27" s="32" t="s">
        <v>42</v>
      </c>
    </row>
    <row r="28" spans="1:7" x14ac:dyDescent="0.25">
      <c r="A28" t="s">
        <v>41</v>
      </c>
      <c r="B28" s="31">
        <v>3.1</v>
      </c>
      <c r="C28" s="31">
        <v>0</v>
      </c>
      <c r="D28">
        <f t="shared" si="0"/>
        <v>3.1</v>
      </c>
      <c r="E28" s="33">
        <v>33.01</v>
      </c>
      <c r="G28" s="6" t="s">
        <v>43</v>
      </c>
    </row>
    <row r="29" spans="1:7" x14ac:dyDescent="0.25">
      <c r="A29" t="s">
        <v>49</v>
      </c>
      <c r="B29" s="31">
        <v>10.99</v>
      </c>
      <c r="C29" s="31">
        <v>0</v>
      </c>
      <c r="D29">
        <f t="shared" si="0"/>
        <v>10.99</v>
      </c>
      <c r="E29" s="34">
        <v>28.25</v>
      </c>
      <c r="G29" s="32" t="s">
        <v>44</v>
      </c>
    </row>
    <row r="30" spans="1:7" x14ac:dyDescent="0.25">
      <c r="A30" t="s">
        <v>47</v>
      </c>
      <c r="B30" s="31">
        <v>3.1</v>
      </c>
      <c r="C30" s="31">
        <v>0</v>
      </c>
      <c r="D30">
        <f t="shared" si="0"/>
        <v>3.1</v>
      </c>
      <c r="E30" s="33">
        <v>9.9</v>
      </c>
      <c r="G30" s="6" t="s">
        <v>45</v>
      </c>
    </row>
    <row r="31" spans="1:7" x14ac:dyDescent="0.25">
      <c r="A31" t="s">
        <v>23</v>
      </c>
      <c r="B31" s="31">
        <v>14</v>
      </c>
      <c r="C31" s="31">
        <v>0</v>
      </c>
      <c r="D31">
        <f t="shared" si="0"/>
        <v>14</v>
      </c>
      <c r="E31" s="34">
        <v>3.25</v>
      </c>
      <c r="G31" s="32" t="s">
        <v>31</v>
      </c>
    </row>
    <row r="32" spans="1:7" x14ac:dyDescent="0.25">
      <c r="A32" t="s">
        <v>50</v>
      </c>
      <c r="B32" s="31">
        <v>19.2</v>
      </c>
      <c r="C32" s="31">
        <v>0</v>
      </c>
      <c r="D32">
        <f t="shared" si="0"/>
        <v>19.2</v>
      </c>
      <c r="E32" s="33">
        <v>50.66</v>
      </c>
      <c r="G32" s="6" t="s">
        <v>46</v>
      </c>
    </row>
    <row r="33" spans="1:7" x14ac:dyDescent="0.25">
      <c r="A33" t="s">
        <v>51</v>
      </c>
      <c r="B33" s="31">
        <v>17</v>
      </c>
      <c r="C33" s="31">
        <v>0</v>
      </c>
      <c r="D33">
        <f t="shared" si="0"/>
        <v>17</v>
      </c>
      <c r="E33" s="34">
        <v>5.65</v>
      </c>
      <c r="G33" s="32" t="s">
        <v>47</v>
      </c>
    </row>
    <row r="34" spans="1:7" x14ac:dyDescent="0.25">
      <c r="A34" t="s">
        <v>36</v>
      </c>
      <c r="B34" s="31">
        <v>10</v>
      </c>
      <c r="C34" s="31">
        <v>0</v>
      </c>
      <c r="D34">
        <f t="shared" si="0"/>
        <v>10</v>
      </c>
      <c r="E34" s="33">
        <v>20</v>
      </c>
      <c r="G34" s="6" t="s">
        <v>48</v>
      </c>
    </row>
    <row r="35" spans="1:7" x14ac:dyDescent="0.25">
      <c r="A35" t="s">
        <v>34</v>
      </c>
      <c r="B35" s="31">
        <v>8.14</v>
      </c>
      <c r="C35" s="31">
        <v>0</v>
      </c>
      <c r="D35">
        <f t="shared" si="0"/>
        <v>8.14</v>
      </c>
      <c r="E35" s="34">
        <v>3.1</v>
      </c>
      <c r="G35" s="32" t="s">
        <v>41</v>
      </c>
    </row>
    <row r="36" spans="1:7" x14ac:dyDescent="0.25">
      <c r="A36" t="s">
        <v>31</v>
      </c>
      <c r="B36" s="31">
        <v>9.1199999999999992</v>
      </c>
      <c r="C36" s="31">
        <v>0</v>
      </c>
      <c r="D36">
        <f t="shared" si="0"/>
        <v>9.1199999999999992</v>
      </c>
      <c r="E36" s="33">
        <v>10.99</v>
      </c>
      <c r="G36" s="6" t="s">
        <v>49</v>
      </c>
    </row>
    <row r="37" spans="1:7" x14ac:dyDescent="0.25">
      <c r="A37" t="s">
        <v>52</v>
      </c>
      <c r="B37" s="31">
        <v>6.99</v>
      </c>
      <c r="C37" s="31">
        <v>0</v>
      </c>
      <c r="D37">
        <f t="shared" si="0"/>
        <v>6.99</v>
      </c>
      <c r="E37" s="34">
        <v>3.1</v>
      </c>
      <c r="G37" s="32" t="s">
        <v>47</v>
      </c>
    </row>
    <row r="38" spans="1:7" x14ac:dyDescent="0.25">
      <c r="A38" t="s">
        <v>26</v>
      </c>
      <c r="B38" s="31">
        <v>3.8</v>
      </c>
      <c r="C38" s="31">
        <v>0</v>
      </c>
      <c r="D38">
        <f t="shared" si="0"/>
        <v>3.8</v>
      </c>
      <c r="E38" s="33">
        <v>14</v>
      </c>
      <c r="G38" s="6" t="s">
        <v>23</v>
      </c>
    </row>
    <row r="39" spans="1:7" x14ac:dyDescent="0.25">
      <c r="A39" t="s">
        <v>53</v>
      </c>
      <c r="B39" s="31">
        <v>20.8</v>
      </c>
      <c r="C39" s="31">
        <v>0</v>
      </c>
      <c r="D39">
        <f t="shared" si="0"/>
        <v>20.8</v>
      </c>
      <c r="E39" s="34">
        <v>19.2</v>
      </c>
      <c r="G39" s="32" t="s">
        <v>50</v>
      </c>
    </row>
    <row r="40" spans="1:7" x14ac:dyDescent="0.25">
      <c r="A40" t="s">
        <v>41</v>
      </c>
      <c r="B40" s="31">
        <v>1.7</v>
      </c>
      <c r="C40" s="31">
        <v>0</v>
      </c>
      <c r="D40">
        <f t="shared" si="0"/>
        <v>1.7</v>
      </c>
      <c r="E40" s="33">
        <v>17</v>
      </c>
      <c r="G40" s="6" t="s">
        <v>51</v>
      </c>
    </row>
    <row r="41" spans="1:7" x14ac:dyDescent="0.25">
      <c r="A41" t="s">
        <v>48</v>
      </c>
      <c r="B41" s="31">
        <v>50</v>
      </c>
      <c r="C41" s="31">
        <v>0</v>
      </c>
      <c r="D41">
        <f t="shared" si="0"/>
        <v>50</v>
      </c>
      <c r="E41" s="34">
        <v>10</v>
      </c>
      <c r="G41" s="32" t="s">
        <v>36</v>
      </c>
    </row>
    <row r="42" spans="1:7" x14ac:dyDescent="0.25">
      <c r="A42" t="s">
        <v>54</v>
      </c>
      <c r="B42" s="31">
        <v>11.99</v>
      </c>
      <c r="C42" s="31">
        <v>0</v>
      </c>
      <c r="D42">
        <f t="shared" si="0"/>
        <v>11.99</v>
      </c>
      <c r="E42" s="33">
        <v>8.14</v>
      </c>
      <c r="G42" s="6" t="s">
        <v>34</v>
      </c>
    </row>
    <row r="43" spans="1:7" x14ac:dyDescent="0.25">
      <c r="A43" t="s">
        <v>55</v>
      </c>
      <c r="B43" s="31">
        <v>7</v>
      </c>
      <c r="C43" s="31">
        <v>0</v>
      </c>
      <c r="D43">
        <f t="shared" si="0"/>
        <v>7</v>
      </c>
      <c r="E43" s="34">
        <v>9.1199999999999992</v>
      </c>
      <c r="G43" s="32" t="s">
        <v>31</v>
      </c>
    </row>
    <row r="44" spans="1:7" x14ac:dyDescent="0.25">
      <c r="A44" t="s">
        <v>47</v>
      </c>
      <c r="B44" s="31">
        <v>3.04</v>
      </c>
      <c r="C44" s="31">
        <v>0</v>
      </c>
      <c r="D44">
        <f t="shared" si="0"/>
        <v>3.04</v>
      </c>
      <c r="E44" s="33">
        <v>6.99</v>
      </c>
      <c r="G44" s="6" t="s">
        <v>52</v>
      </c>
    </row>
    <row r="45" spans="1:7" x14ac:dyDescent="0.25">
      <c r="A45" t="s">
        <v>39</v>
      </c>
      <c r="B45" s="31">
        <v>6</v>
      </c>
      <c r="C45" s="31">
        <v>0</v>
      </c>
      <c r="D45">
        <f t="shared" si="0"/>
        <v>6</v>
      </c>
      <c r="E45" s="34">
        <v>3.8</v>
      </c>
      <c r="G45" s="32" t="s">
        <v>26</v>
      </c>
    </row>
    <row r="46" spans="1:7" x14ac:dyDescent="0.25">
      <c r="A46" t="s">
        <v>36</v>
      </c>
      <c r="B46" s="31">
        <v>3</v>
      </c>
      <c r="C46" s="31">
        <v>0</v>
      </c>
      <c r="D46">
        <f t="shared" si="0"/>
        <v>3</v>
      </c>
      <c r="E46" s="33">
        <v>20.8</v>
      </c>
      <c r="G46" s="6" t="s">
        <v>53</v>
      </c>
    </row>
    <row r="47" spans="1:7" x14ac:dyDescent="0.25">
      <c r="A47" t="s">
        <v>41</v>
      </c>
      <c r="B47" s="31">
        <v>1.7</v>
      </c>
      <c r="C47" s="31">
        <v>0</v>
      </c>
      <c r="D47">
        <f t="shared" si="0"/>
        <v>1.7</v>
      </c>
      <c r="E47" s="34">
        <v>1.7</v>
      </c>
      <c r="G47" s="32" t="s">
        <v>41</v>
      </c>
    </row>
    <row r="48" spans="1:7" x14ac:dyDescent="0.25">
      <c r="A48" t="s">
        <v>56</v>
      </c>
      <c r="B48" s="31">
        <v>7</v>
      </c>
      <c r="C48" s="31">
        <v>0</v>
      </c>
      <c r="D48">
        <f t="shared" si="0"/>
        <v>7</v>
      </c>
      <c r="E48" s="33">
        <v>50</v>
      </c>
      <c r="G48" s="6" t="s">
        <v>48</v>
      </c>
    </row>
    <row r="49" spans="1:7" x14ac:dyDescent="0.25">
      <c r="A49" t="s">
        <v>41</v>
      </c>
      <c r="B49" s="31">
        <v>1.7</v>
      </c>
      <c r="C49" s="31">
        <v>0</v>
      </c>
      <c r="D49">
        <f t="shared" si="0"/>
        <v>1.7</v>
      </c>
      <c r="E49" s="34">
        <v>11.99</v>
      </c>
      <c r="G49" s="32" t="s">
        <v>54</v>
      </c>
    </row>
    <row r="50" spans="1:7" x14ac:dyDescent="0.25">
      <c r="E50" s="33">
        <v>7</v>
      </c>
      <c r="G50" s="6" t="s">
        <v>55</v>
      </c>
    </row>
    <row r="51" spans="1:7" x14ac:dyDescent="0.25">
      <c r="E51" s="34">
        <v>3.04</v>
      </c>
      <c r="G51" s="32" t="s">
        <v>47</v>
      </c>
    </row>
    <row r="52" spans="1:7" x14ac:dyDescent="0.25">
      <c r="E52" s="33">
        <v>6</v>
      </c>
      <c r="G52" s="6" t="s">
        <v>39</v>
      </c>
    </row>
    <row r="53" spans="1:7" x14ac:dyDescent="0.25">
      <c r="E53" s="34">
        <v>3</v>
      </c>
      <c r="G53" s="32" t="s">
        <v>36</v>
      </c>
    </row>
    <row r="54" spans="1:7" x14ac:dyDescent="0.25">
      <c r="E54" s="33">
        <v>1.7</v>
      </c>
      <c r="G54" s="6" t="s">
        <v>41</v>
      </c>
    </row>
    <row r="55" spans="1:7" x14ac:dyDescent="0.25">
      <c r="E55" s="34">
        <v>7</v>
      </c>
      <c r="G55" s="32" t="s">
        <v>56</v>
      </c>
    </row>
    <row r="56" spans="1:7" x14ac:dyDescent="0.25">
      <c r="E56" s="33">
        <v>1.7</v>
      </c>
      <c r="G56" s="6" t="s">
        <v>41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7</vt:i4>
      </vt:variant>
    </vt:vector>
  </HeadingPairs>
  <TitlesOfParts>
    <vt:vector size="11" baseType="lpstr">
      <vt:lpstr>BASE</vt:lpstr>
      <vt:lpstr>BASE EPARGNE</vt:lpstr>
      <vt:lpstr>TEST</vt:lpstr>
      <vt:lpstr>Feuil1</vt:lpstr>
      <vt:lpstr>annee</vt:lpstr>
      <vt:lpstr>categorie</vt:lpstr>
      <vt:lpstr>compte</vt:lpstr>
      <vt:lpstr>descritpion</vt:lpstr>
      <vt:lpstr>mois</vt:lpstr>
      <vt:lpstr>numeroligne</vt:lpstr>
      <vt:lpstr>titulaire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Margot</dc:creator>
  <cp:lastModifiedBy>Quentin Margot</cp:lastModifiedBy>
  <dcterms:created xsi:type="dcterms:W3CDTF">2019-06-14T14:33:28Z</dcterms:created>
  <dcterms:modified xsi:type="dcterms:W3CDTF">2019-06-17T10:47:00Z</dcterms:modified>
</cp:coreProperties>
</file>