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Quentin Margot\OneDrive\Professionnel\St Dalfour\Projet\Tableau de bord\PRODUCTION\TEST\"/>
    </mc:Choice>
  </mc:AlternateContent>
  <xr:revisionPtr revIDLastSave="280" documentId="102_{1654510B-A7D9-4056-99B7-E19AE5F7DF8B}" xr6:coauthVersionLast="43" xr6:coauthVersionMax="43" xr10:uidLastSave="{97E7B3EE-28EA-4128-8817-DC478E0B35E2}"/>
  <bookViews>
    <workbookView xWindow="-120" yWindow="-120" windowWidth="29040" windowHeight="16440" activeTab="1" xr2:uid="{00000000-000D-0000-FFFF-FFFF00000000}"/>
  </bookViews>
  <sheets>
    <sheet name="BDD" sheetId="1" r:id="rId1"/>
    <sheet name="JOURNALIER" sheetId="3" r:id="rId2"/>
    <sheet name="HEBDOMADAIRE" sheetId="6" r:id="rId3"/>
    <sheet name="MENSUEL" sheetId="7" r:id="rId4"/>
    <sheet name="ANNUEL" sheetId="8" r:id="rId5"/>
  </sheets>
  <definedNames>
    <definedName name="critères">BDD!$Q$1:$R$2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3" l="1"/>
  <c r="F2" i="6" l="1"/>
  <c r="F1" i="6"/>
  <c r="D3" i="6"/>
  <c r="F4" i="6" s="1"/>
  <c r="A7" i="6" l="1"/>
  <c r="F3" i="6"/>
  <c r="A1" i="3"/>
  <c r="A4" i="3" s="1"/>
  <c r="H2" i="1"/>
  <c r="H3" i="1"/>
  <c r="H4" i="1" s="1"/>
  <c r="H5" i="1" s="1"/>
  <c r="H6" i="1" s="1"/>
  <c r="H7" i="1" s="1"/>
  <c r="H8" i="1" s="1"/>
  <c r="A5" i="3" l="1"/>
  <c r="D7" i="6"/>
  <c r="A8" i="6"/>
  <c r="H7" i="6"/>
  <c r="G7" i="6"/>
  <c r="C7" i="6"/>
  <c r="B7" i="6"/>
  <c r="F7" i="6"/>
  <c r="E7" i="6"/>
  <c r="H4" i="3"/>
  <c r="E4" i="3"/>
  <c r="B4" i="3"/>
  <c r="G4" i="3"/>
  <c r="C4" i="3"/>
  <c r="D4" i="3"/>
  <c r="F4" i="3"/>
  <c r="A6" i="3" l="1"/>
  <c r="C5" i="3"/>
  <c r="B5" i="3"/>
  <c r="G5" i="3"/>
  <c r="F5" i="3"/>
  <c r="E5" i="3"/>
  <c r="H5" i="3"/>
  <c r="D5" i="3"/>
  <c r="C8" i="6"/>
  <c r="E8" i="6"/>
  <c r="H8" i="6"/>
  <c r="F8" i="6"/>
  <c r="B8" i="6"/>
  <c r="G8" i="6"/>
  <c r="D8" i="6"/>
  <c r="A9" i="6"/>
  <c r="B6" i="3" l="1"/>
  <c r="E6" i="3"/>
  <c r="C6" i="3"/>
  <c r="F6" i="3"/>
  <c r="G6" i="3"/>
  <c r="D6" i="3"/>
  <c r="H6" i="3"/>
  <c r="A7" i="3"/>
  <c r="H9" i="6"/>
  <c r="A10" i="6"/>
  <c r="D9" i="6"/>
  <c r="C9" i="6"/>
  <c r="F9" i="6"/>
  <c r="G9" i="6"/>
  <c r="B9" i="6"/>
  <c r="E9" i="6"/>
  <c r="F7" i="3" l="1"/>
  <c r="D7" i="3"/>
  <c r="H7" i="3"/>
  <c r="E7" i="3"/>
  <c r="B7" i="3"/>
  <c r="C7" i="3"/>
  <c r="G7" i="3"/>
  <c r="A8" i="3"/>
  <c r="B10" i="6"/>
  <c r="E10" i="6"/>
  <c r="C10" i="6"/>
  <c r="F10" i="6"/>
  <c r="D10" i="6"/>
  <c r="H10" i="6"/>
  <c r="H11" i="6" s="1"/>
  <c r="G10" i="6"/>
  <c r="G8" i="3" l="1"/>
  <c r="E8" i="3"/>
  <c r="D8" i="3"/>
  <c r="H8" i="3"/>
  <c r="F8" i="3"/>
  <c r="C8" i="3"/>
  <c r="B8" i="3"/>
  <c r="A9" i="3"/>
  <c r="A10" i="3" l="1"/>
  <c r="B9" i="3"/>
  <c r="F9" i="3"/>
  <c r="D9" i="3"/>
  <c r="E9" i="3"/>
  <c r="H9" i="3"/>
  <c r="C9" i="3"/>
  <c r="G9" i="3"/>
  <c r="C10" i="3" l="1"/>
  <c r="G10" i="3"/>
  <c r="B10" i="3"/>
  <c r="F10" i="3"/>
  <c r="H10" i="3"/>
  <c r="H11" i="3" s="1"/>
  <c r="E10" i="3"/>
  <c r="D10" i="3"/>
</calcChain>
</file>

<file path=xl/sharedStrings.xml><?xml version="1.0" encoding="utf-8"?>
<sst xmlns="http://schemas.openxmlformats.org/spreadsheetml/2006/main" count="61" uniqueCount="22">
  <si>
    <t>Date équipe</t>
  </si>
  <si>
    <t>N° équipe</t>
  </si>
  <si>
    <t>Format</t>
  </si>
  <si>
    <t>Parfum code</t>
  </si>
  <si>
    <t>Parfum lib</t>
  </si>
  <si>
    <t>Qte réél fab (UEA) 06/05/19</t>
  </si>
  <si>
    <t>0001 - 284G</t>
  </si>
  <si>
    <t>003</t>
  </si>
  <si>
    <t>ANANAS-MANGUE</t>
  </si>
  <si>
    <t>007</t>
  </si>
  <si>
    <t>FRAISE</t>
  </si>
  <si>
    <t>008</t>
  </si>
  <si>
    <t>FRAMBOISE</t>
  </si>
  <si>
    <t>0006 - 284G ET 28</t>
  </si>
  <si>
    <t>Format2</t>
  </si>
  <si>
    <t>CLASSEMENT</t>
  </si>
  <si>
    <t>Total</t>
  </si>
  <si>
    <t>Choix de la date :</t>
  </si>
  <si>
    <t>PREMIER JOUR DE LA SEMAINE :</t>
  </si>
  <si>
    <t>DERNIER JOUR DE LA SEMAINE :</t>
  </si>
  <si>
    <t>NBMIN</t>
  </si>
  <si>
    <t>NBMAX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</si>
</sst>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14" fontId="2" fillId="3" borderId="2" xfId="0" applyNumberFormat="1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14" fontId="1" fillId="3" borderId="2" xfId="0" applyNumberFormat="1" applyFont="1" applyFill="1" applyBorder="1" applyAlignment="1">
      <alignment horizontal="center" vertical="center"/>
    </xf>
    <xf numFmtId="14" fontId="1" fillId="3" borderId="0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3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#,##0.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C25DB8-8827-47B8-AE79-6B0110CD9037}" name="BASE" displayName="BASE" ref="A1:H8" totalsRowShown="0" headerRowDxfId="48" dataDxfId="47">
  <autoFilter ref="A1:H8" xr:uid="{972A9263-CFB6-41D2-92F3-173B8DC43861}"/>
  <tableColumns count="8">
    <tableColumn id="1" xr3:uid="{BDF0AF29-7E4F-4965-AC3D-B68D832AEB56}" name="Date équipe" dataDxfId="46"/>
    <tableColumn id="2" xr3:uid="{A0FB2C28-2880-42F2-9359-A632B5D7BDE3}" name="N° équipe" dataDxfId="45"/>
    <tableColumn id="3" xr3:uid="{85F1126E-713E-4812-897C-BA1F8EBF19AF}" name="Format" dataDxfId="44"/>
    <tableColumn id="4" xr3:uid="{39067361-D9DD-49B6-8CF0-1C4C8CCA4361}" name="Parfum code" dataDxfId="43"/>
    <tableColumn id="5" xr3:uid="{D6D82246-7EB5-4B39-94C5-BE3C131A305B}" name="Parfum lib" dataDxfId="42"/>
    <tableColumn id="6" xr3:uid="{70B01E5F-FAD2-4671-BA89-293213BA4D77}" name="Format2" dataDxfId="41"/>
    <tableColumn id="7" xr3:uid="{E1F5C0FB-FE45-4D89-AD9A-51757D2375D1}" name="Qte réél fab (UEA) 06/05/19" dataDxfId="40"/>
    <tableColumn id="8" xr3:uid="{BC4D07A2-1E52-4230-9EEC-C9426C9038FA}" name="CLASSEMENT" dataDxfId="39">
      <calculatedColumnFormula>IF(H1="CLASSEMENT",1,H1+1)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D4F1F44-4698-4719-9C4A-4ED8469F1C19}" name="Tableau3" displayName="Tableau3" ref="A3:H11" totalsRowCount="1" headerRowDxfId="38" dataDxfId="37">
  <autoFilter ref="A3:H10" xr:uid="{5658189C-4BB8-4F79-95A3-E74B588DE65E}"/>
  <tableColumns count="8">
    <tableColumn id="1" xr3:uid="{F8961197-B04D-4AC9-89E0-DB1DA467AB2A}" name="CLASSEMENT" totalsRowLabel="Total" dataDxfId="23" totalsRowDxfId="16">
      <calculatedColumnFormula>IF(A1=0,"",IF(A3="CLASSEMENT",$A$1,IF(A3&gt;$A$2,"",A3+1)))</calculatedColumnFormula>
    </tableColumn>
    <tableColumn id="2" xr3:uid="{2B283AC6-B598-4EBB-BCC0-57ACDD461023}" name="Date équipe" dataDxfId="22" totalsRowDxfId="15">
      <calculatedColumnFormula>IF(Tableau3[[#This Row],[CLASSEMENT]]="","",INDEX(BASE[],Tableau3[[#This Row],[CLASSEMENT]],COLUMN(BASE[Date équipe])))</calculatedColumnFormula>
    </tableColumn>
    <tableColumn id="3" xr3:uid="{4A15C1AC-FD35-4937-B43F-31973C7AE422}" name="N° équipe" dataDxfId="21" totalsRowDxfId="14">
      <calculatedColumnFormula>IF(Tableau3[[#This Row],[CLASSEMENT]]="","",INDEX(BASE[],Tableau3[[#This Row],[CLASSEMENT]],COLUMN(BASE[N° équipe])))</calculatedColumnFormula>
    </tableColumn>
    <tableColumn id="4" xr3:uid="{B2762FED-7F97-4E13-AE02-8C7FFF06F3A5}" name="Format" dataDxfId="20" totalsRowDxfId="13">
      <calculatedColumnFormula>IF(Tableau3[[#This Row],[CLASSEMENT]]="","",INDEX(BASE[],Tableau3[[#This Row],[CLASSEMENT]],COLUMN(BASE[Format])))</calculatedColumnFormula>
    </tableColumn>
    <tableColumn id="5" xr3:uid="{8B6DDA00-C855-44F0-8F75-35A943AD6EE0}" name="Parfum code" dataDxfId="19" totalsRowDxfId="12">
      <calculatedColumnFormula>IF(Tableau3[[#This Row],[CLASSEMENT]]="","",INDEX(BASE[],Tableau3[[#This Row],[CLASSEMENT]],COLUMN(BASE[Parfum code])))</calculatedColumnFormula>
    </tableColumn>
    <tableColumn id="6" xr3:uid="{FD17898D-482F-410E-8695-8E8A8D22919B}" name="Parfum lib" dataDxfId="18" totalsRowDxfId="11">
      <calculatedColumnFormula>IF(Tableau3[[#This Row],[CLASSEMENT]]="","",INDEX(BASE[],Tableau3[[#This Row],[CLASSEMENT]],COLUMN(BASE[Parfum lib])))</calculatedColumnFormula>
    </tableColumn>
    <tableColumn id="7" xr3:uid="{9504E216-ED3B-45E5-8E70-AB1800513D99}" name="Format2" dataDxfId="17" totalsRowDxfId="10">
      <calculatedColumnFormula>IF(Tableau3[[#This Row],[CLASSEMENT]]="","",INDEX(BASE[],Tableau3[[#This Row],[CLASSEMENT]],COLUMN(BASE[Format2])))</calculatedColumnFormula>
    </tableColumn>
    <tableColumn id="8" xr3:uid="{E9829E89-98A5-4048-BC83-47F7CDF3D4AB}" name="Qte réél fab (UEA) 06/05/19" totalsRowFunction="sum" dataDxfId="8" totalsRowDxfId="9">
      <calculatedColumnFormula>IF(Tableau3[[#This Row],[CLASSEMENT]]="","",INDEX(BASE[],Tableau3[[#This Row],[CLASSEMENT]],COLUMN(BASE[Qte réél fab (UEA) 06/05/19])))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1921258-C413-4C25-856E-3E8312C9986E}" name="Tableau4" displayName="Tableau4" ref="A6:H11" totalsRowCount="1" headerRowDxfId="36" dataDxfId="34" headerRowBorderDxfId="35" tableBorderDxfId="33" totalsRowBorderDxfId="32">
  <autoFilter ref="A6:H10" xr:uid="{E04EB66C-8D24-4698-9FD2-9C8EEF6C3600}"/>
  <tableColumns count="8">
    <tableColumn id="1" xr3:uid="{219138DA-F044-4EF6-88F9-40BBF5AE7E83}" name="CLASSEMENT" totalsRowLabel="Total" dataDxfId="31" totalsRowDxfId="7">
      <calculatedColumnFormula>IF(A6="CLASSEMENT",$F$1,IF(A6&gt;IF($F$4=0,$F$2,$F$4),"",A6+1))</calculatedColumnFormula>
    </tableColumn>
    <tableColumn id="2" xr3:uid="{789EBAA1-2E75-4258-B98E-0D77F2B5762B}" name="Date équipe" dataDxfId="30" totalsRowDxfId="6">
      <calculatedColumnFormula>INDEX(BASE[],Tableau4[[#This Row],[CLASSEMENT]],COLUMN(BASE[Date équipe]))</calculatedColumnFormula>
    </tableColumn>
    <tableColumn id="3" xr3:uid="{8120F29A-6908-48ED-A09E-27AE224FA17B}" name="N° équipe" dataDxfId="29" totalsRowDxfId="5">
      <calculatedColumnFormula>INDEX(BASE[],Tableau4[[#This Row],[CLASSEMENT]],COLUMN(BASE[N° équipe]))</calculatedColumnFormula>
    </tableColumn>
    <tableColumn id="4" xr3:uid="{DA4600E0-399C-4714-B61E-4670FDB79B9F}" name="Format" dataDxfId="28" totalsRowDxfId="4">
      <calculatedColumnFormula>INDEX(BASE[],Tableau4[[#This Row],[CLASSEMENT]],COLUMN(BASE[Format]))</calculatedColumnFormula>
    </tableColumn>
    <tableColumn id="5" xr3:uid="{32DAA10D-1188-45FA-AEDE-DB889CFD4BCE}" name="Parfum code" dataDxfId="27" totalsRowDxfId="3">
      <calculatedColumnFormula>INDEX(BASE[],Tableau4[[#This Row],[CLASSEMENT]],COLUMN(BASE[Parfum code]))</calculatedColumnFormula>
    </tableColumn>
    <tableColumn id="6" xr3:uid="{9ED2DDF3-3029-413A-B170-B18F588E16F1}" name="Parfum lib" dataDxfId="26" totalsRowDxfId="2">
      <calculatedColumnFormula>INDEX(BASE[],Tableau4[[#This Row],[CLASSEMENT]],COLUMN(BASE[Parfum lib]))</calculatedColumnFormula>
    </tableColumn>
    <tableColumn id="7" xr3:uid="{78E32673-630B-499D-8178-6B90A8877834}" name="Format2" dataDxfId="25" totalsRowDxfId="1">
      <calculatedColumnFormula>INDEX(BASE[],Tableau4[[#This Row],[CLASSEMENT]],COLUMN(BASE[Format2]))</calculatedColumnFormula>
    </tableColumn>
    <tableColumn id="8" xr3:uid="{1D02DF1A-3A21-4C3E-AAE4-86B645F85397}" name="Qte réél fab (UEA) 06/05/19" totalsRowFunction="sum" dataDxfId="24" totalsRowDxfId="0">
      <calculatedColumnFormula>INDEX(BASE[],Tableau4[[#This Row],[CLASSEMENT]],COLUMN(BASE[Qte réél fab (UEA) 06/05/19]))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8"/>
  <sheetViews>
    <sheetView workbookViewId="0">
      <selection activeCell="H18" sqref="H18"/>
    </sheetView>
  </sheetViews>
  <sheetFormatPr baseColWidth="10" defaultColWidth="9.140625" defaultRowHeight="15" x14ac:dyDescent="0.25"/>
  <cols>
    <col min="1" max="1" width="16.42578125" style="1" bestFit="1" customWidth="1"/>
    <col min="2" max="2" width="14.42578125" style="1" bestFit="1" customWidth="1"/>
    <col min="3" max="3" width="15.7109375" style="1" bestFit="1" customWidth="1"/>
    <col min="4" max="4" width="16.7109375" style="1" bestFit="1" customWidth="1"/>
    <col min="5" max="5" width="17.5703125" style="1" bestFit="1" customWidth="1"/>
    <col min="6" max="6" width="15.7109375" style="1" bestFit="1" customWidth="1"/>
    <col min="7" max="7" width="30.140625" style="1" bestFit="1" customWidth="1"/>
    <col min="8" max="8" width="17.140625" style="1" bestFit="1" customWidth="1"/>
    <col min="9" max="12" width="9.140625" style="1"/>
    <col min="13" max="13" width="10.7109375" style="1" bestFit="1" customWidth="1"/>
    <col min="14" max="14" width="10.7109375" style="1" customWidth="1"/>
    <col min="15" max="16" width="10.7109375" style="1" bestFit="1" customWidth="1"/>
    <col min="17" max="18" width="13.42578125" style="1" bestFit="1" customWidth="1"/>
    <col min="19" max="16384" width="9.140625" style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14</v>
      </c>
      <c r="G1" s="1" t="s">
        <v>5</v>
      </c>
      <c r="H1" s="1" t="s">
        <v>15</v>
      </c>
    </row>
    <row r="2" spans="1:17" x14ac:dyDescent="0.25">
      <c r="A2" s="2">
        <v>43591</v>
      </c>
      <c r="B2" s="3">
        <v>1</v>
      </c>
      <c r="C2" s="1" t="s">
        <v>6</v>
      </c>
      <c r="D2" s="1" t="s">
        <v>7</v>
      </c>
      <c r="E2" s="1" t="s">
        <v>8</v>
      </c>
      <c r="F2" s="1" t="s">
        <v>6</v>
      </c>
      <c r="G2" s="4">
        <v>1</v>
      </c>
      <c r="H2" s="1">
        <f t="shared" ref="H2:H8" si="0">IF(H1="CLASSEMENT",1,H1+1)</f>
        <v>1</v>
      </c>
    </row>
    <row r="3" spans="1:17" x14ac:dyDescent="0.25">
      <c r="A3" s="2">
        <v>43591</v>
      </c>
      <c r="B3" s="3">
        <v>1</v>
      </c>
      <c r="C3" s="1" t="s">
        <v>6</v>
      </c>
      <c r="D3" s="1" t="s">
        <v>9</v>
      </c>
      <c r="E3" s="1" t="s">
        <v>10</v>
      </c>
      <c r="F3" s="1" t="s">
        <v>6</v>
      </c>
      <c r="G3" s="4">
        <v>16</v>
      </c>
      <c r="H3" s="1">
        <f t="shared" si="0"/>
        <v>2</v>
      </c>
      <c r="M3" s="2"/>
      <c r="N3" s="2"/>
      <c r="O3" s="2"/>
      <c r="P3" s="2"/>
      <c r="Q3" s="2"/>
    </row>
    <row r="4" spans="1:17" x14ac:dyDescent="0.25">
      <c r="A4" s="2">
        <v>43591</v>
      </c>
      <c r="B4" s="3">
        <v>2</v>
      </c>
      <c r="C4" s="1" t="s">
        <v>6</v>
      </c>
      <c r="D4" s="1" t="s">
        <v>9</v>
      </c>
      <c r="E4" s="1" t="s">
        <v>10</v>
      </c>
      <c r="F4" s="1" t="s">
        <v>6</v>
      </c>
      <c r="G4" s="4">
        <v>14</v>
      </c>
      <c r="H4" s="1">
        <f t="shared" si="0"/>
        <v>3</v>
      </c>
    </row>
    <row r="5" spans="1:17" x14ac:dyDescent="0.25">
      <c r="A5" s="2">
        <v>43591</v>
      </c>
      <c r="B5" s="3">
        <v>2</v>
      </c>
      <c r="C5" s="1" t="s">
        <v>6</v>
      </c>
      <c r="D5" s="1" t="s">
        <v>11</v>
      </c>
      <c r="E5" s="1" t="s">
        <v>12</v>
      </c>
      <c r="F5" s="1" t="s">
        <v>6</v>
      </c>
      <c r="G5" s="4">
        <v>3</v>
      </c>
      <c r="H5" s="1">
        <f t="shared" si="0"/>
        <v>4</v>
      </c>
    </row>
    <row r="6" spans="1:17" x14ac:dyDescent="0.25">
      <c r="A6" s="2">
        <v>43591</v>
      </c>
      <c r="B6" s="3">
        <v>2</v>
      </c>
      <c r="C6" s="1" t="s">
        <v>13</v>
      </c>
      <c r="D6" s="1" t="s">
        <v>11</v>
      </c>
      <c r="E6" s="1" t="s">
        <v>12</v>
      </c>
      <c r="F6" s="1" t="s">
        <v>13</v>
      </c>
      <c r="G6" s="4">
        <v>4</v>
      </c>
      <c r="H6" s="1">
        <f t="shared" si="0"/>
        <v>5</v>
      </c>
    </row>
    <row r="7" spans="1:17" x14ac:dyDescent="0.25">
      <c r="A7" s="2">
        <v>43591</v>
      </c>
      <c r="B7" s="3">
        <v>3</v>
      </c>
      <c r="C7" s="1" t="s">
        <v>6</v>
      </c>
      <c r="D7" s="1" t="s">
        <v>7</v>
      </c>
      <c r="E7" s="1" t="s">
        <v>8</v>
      </c>
      <c r="F7" s="1" t="s">
        <v>6</v>
      </c>
      <c r="G7" s="4">
        <v>3</v>
      </c>
      <c r="H7" s="1">
        <f t="shared" si="0"/>
        <v>6</v>
      </c>
    </row>
    <row r="8" spans="1:17" x14ac:dyDescent="0.25">
      <c r="A8" s="2">
        <v>43591</v>
      </c>
      <c r="B8" s="3">
        <v>3</v>
      </c>
      <c r="C8" s="1" t="s">
        <v>6</v>
      </c>
      <c r="D8" s="1" t="s">
        <v>11</v>
      </c>
      <c r="E8" s="1" t="s">
        <v>12</v>
      </c>
      <c r="F8" s="1" t="s">
        <v>6</v>
      </c>
      <c r="G8" s="4">
        <v>17</v>
      </c>
      <c r="H8" s="1">
        <f t="shared" si="0"/>
        <v>7</v>
      </c>
    </row>
  </sheetData>
  <pageMargins left="0.7" right="0.7" top="0.75" bottom="0.75" header="0.3" footer="0.3"/>
  <pageSetup paperSize="9" orientation="landscape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96863-3235-4DC5-A555-BD2E4120B0BC}">
  <sheetPr codeName="Feuil3"/>
  <dimension ref="A1:J11"/>
  <sheetViews>
    <sheetView tabSelected="1" workbookViewId="0">
      <selection activeCell="A3" sqref="A3"/>
    </sheetView>
  </sheetViews>
  <sheetFormatPr baseColWidth="10" defaultRowHeight="15" x14ac:dyDescent="0.25"/>
  <cols>
    <col min="1" max="1" width="17.140625" style="1" bestFit="1" customWidth="1"/>
    <col min="2" max="2" width="16.42578125" style="1" bestFit="1" customWidth="1"/>
    <col min="3" max="3" width="14.42578125" style="1" bestFit="1" customWidth="1"/>
    <col min="4" max="4" width="15.7109375" style="1" bestFit="1" customWidth="1"/>
    <col min="5" max="5" width="16.7109375" style="1" bestFit="1" customWidth="1"/>
    <col min="6" max="6" width="17.5703125" style="1" bestFit="1" customWidth="1"/>
    <col min="7" max="7" width="15.7109375" style="1" bestFit="1" customWidth="1"/>
    <col min="8" max="8" width="30.140625" style="1" bestFit="1" customWidth="1"/>
    <col min="9" max="9" width="16.28515625" style="1" bestFit="1" customWidth="1"/>
    <col min="10" max="16384" width="11.42578125" style="1"/>
  </cols>
  <sheetData>
    <row r="1" spans="1:10" x14ac:dyDescent="0.25">
      <c r="A1" s="1">
        <f>_xlfn.MINIFS(BASE[CLASSEMENT],BASE[Date équipe],$J$1)</f>
        <v>1</v>
      </c>
      <c r="I1" s="1" t="s">
        <v>17</v>
      </c>
      <c r="J1" s="2">
        <v>43591</v>
      </c>
    </row>
    <row r="2" spans="1:10" x14ac:dyDescent="0.25">
      <c r="A2" s="1">
        <f>_xlfn.MAXIFS(BASE[CLASSEMENT],BASE[Date équipe],$J$1)</f>
        <v>7</v>
      </c>
    </row>
    <row r="3" spans="1:10" x14ac:dyDescent="0.25">
      <c r="A3" s="1" t="s">
        <v>15</v>
      </c>
      <c r="B3" s="6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14</v>
      </c>
      <c r="H3" s="8" t="s">
        <v>5</v>
      </c>
    </row>
    <row r="4" spans="1:10" x14ac:dyDescent="0.25">
      <c r="A4" s="1">
        <f t="shared" ref="A4" si="0">IF(A1=0,"",IF(A3="CLASSEMENT",$A$1,IF(A3&gt;$A$2,"",A3+1)))</f>
        <v>1</v>
      </c>
      <c r="B4" s="2">
        <f>IF(Tableau3[[#This Row],[CLASSEMENT]]="","",INDEX(BASE[],Tableau3[[#This Row],[CLASSEMENT]],COLUMN(BASE[Date équipe])))</f>
        <v>43591</v>
      </c>
      <c r="C4" s="9">
        <f>IF(Tableau3[[#This Row],[CLASSEMENT]]="","",INDEX(BASE[],Tableau3[[#This Row],[CLASSEMENT]],COLUMN(BASE[N° équipe])))</f>
        <v>1</v>
      </c>
      <c r="D4" s="9" t="str">
        <f>IF(Tableau3[[#This Row],[CLASSEMENT]]="","",INDEX(BASE[],Tableau3[[#This Row],[CLASSEMENT]],COLUMN(BASE[Format])))</f>
        <v>0001 - 284G</v>
      </c>
      <c r="E4" s="9" t="str">
        <f>IF(Tableau3[[#This Row],[CLASSEMENT]]="","",INDEX(BASE[],Tableau3[[#This Row],[CLASSEMENT]],COLUMN(BASE[Parfum code])))</f>
        <v>003</v>
      </c>
      <c r="F4" s="9" t="str">
        <f>IF(Tableau3[[#This Row],[CLASSEMENT]]="","",INDEX(BASE[],Tableau3[[#This Row],[CLASSEMENT]],COLUMN(BASE[Parfum lib])))</f>
        <v>ANANAS-MANGUE</v>
      </c>
      <c r="G4" s="9" t="str">
        <f>IF(Tableau3[[#This Row],[CLASSEMENT]]="","",INDEX(BASE[],Tableau3[[#This Row],[CLASSEMENT]],COLUMN(BASE[Format2])))</f>
        <v>0001 - 284G</v>
      </c>
      <c r="H4" s="9">
        <f>IF(Tableau3[[#This Row],[CLASSEMENT]]="","",INDEX(BASE[],Tableau3[[#This Row],[CLASSEMENT]],COLUMN(BASE[Qte réél fab (UEA) 06/05/19])))</f>
        <v>1</v>
      </c>
    </row>
    <row r="5" spans="1:10" x14ac:dyDescent="0.25">
      <c r="A5" s="9">
        <f t="shared" ref="A5:A10" si="1">IF(A2=0,"",IF(A4="CLASSEMENT",$A$1,IF(A4&gt;$A$2,"",A4+1)))</f>
        <v>2</v>
      </c>
      <c r="B5" s="11">
        <f>IF(Tableau3[[#This Row],[CLASSEMENT]]="","",INDEX(BASE[],Tableau3[[#This Row],[CLASSEMENT]],COLUMN(BASE[Date équipe])))</f>
        <v>43591</v>
      </c>
      <c r="C5" s="9">
        <f>IF(Tableau3[[#This Row],[CLASSEMENT]]="","",INDEX(BASE[],Tableau3[[#This Row],[CLASSEMENT]],COLUMN(BASE[N° équipe])))</f>
        <v>1</v>
      </c>
      <c r="D5" s="9" t="str">
        <f>IF(Tableau3[[#This Row],[CLASSEMENT]]="","",INDEX(BASE[],Tableau3[[#This Row],[CLASSEMENT]],COLUMN(BASE[Format])))</f>
        <v>0001 - 284G</v>
      </c>
      <c r="E5" s="9" t="str">
        <f>IF(Tableau3[[#This Row],[CLASSEMENT]]="","",INDEX(BASE[],Tableau3[[#This Row],[CLASSEMENT]],COLUMN(BASE[Parfum code])))</f>
        <v>007</v>
      </c>
      <c r="F5" s="9" t="str">
        <f>IF(Tableau3[[#This Row],[CLASSEMENT]]="","",INDEX(BASE[],Tableau3[[#This Row],[CLASSEMENT]],COLUMN(BASE[Parfum lib])))</f>
        <v>FRAISE</v>
      </c>
      <c r="G5" s="9" t="str">
        <f>IF(Tableau3[[#This Row],[CLASSEMENT]]="","",INDEX(BASE[],Tableau3[[#This Row],[CLASSEMENT]],COLUMN(BASE[Format2])))</f>
        <v>0001 - 284G</v>
      </c>
      <c r="H5" s="9">
        <f>IF(Tableau3[[#This Row],[CLASSEMENT]]="","",INDEX(BASE[],Tableau3[[#This Row],[CLASSEMENT]],COLUMN(BASE[Qte réél fab (UEA) 06/05/19])))</f>
        <v>16</v>
      </c>
    </row>
    <row r="6" spans="1:10" x14ac:dyDescent="0.25">
      <c r="A6" s="9">
        <f t="shared" si="1"/>
        <v>3</v>
      </c>
      <c r="B6" s="11">
        <f>IF(Tableau3[[#This Row],[CLASSEMENT]]="","",INDEX(BASE[],Tableau3[[#This Row],[CLASSEMENT]],COLUMN(BASE[Date équipe])))</f>
        <v>43591</v>
      </c>
      <c r="C6" s="9">
        <f>IF(Tableau3[[#This Row],[CLASSEMENT]]="","",INDEX(BASE[],Tableau3[[#This Row],[CLASSEMENT]],COLUMN(BASE[N° équipe])))</f>
        <v>2</v>
      </c>
      <c r="D6" s="9" t="str">
        <f>IF(Tableau3[[#This Row],[CLASSEMENT]]="","",INDEX(BASE[],Tableau3[[#This Row],[CLASSEMENT]],COLUMN(BASE[Format])))</f>
        <v>0001 - 284G</v>
      </c>
      <c r="E6" s="9" t="str">
        <f>IF(Tableau3[[#This Row],[CLASSEMENT]]="","",INDEX(BASE[],Tableau3[[#This Row],[CLASSEMENT]],COLUMN(BASE[Parfum code])))</f>
        <v>007</v>
      </c>
      <c r="F6" s="9" t="str">
        <f>IF(Tableau3[[#This Row],[CLASSEMENT]]="","",INDEX(BASE[],Tableau3[[#This Row],[CLASSEMENT]],COLUMN(BASE[Parfum lib])))</f>
        <v>FRAISE</v>
      </c>
      <c r="G6" s="9" t="str">
        <f>IF(Tableau3[[#This Row],[CLASSEMENT]]="","",INDEX(BASE[],Tableau3[[#This Row],[CLASSEMENT]],COLUMN(BASE[Format2])))</f>
        <v>0001 - 284G</v>
      </c>
      <c r="H6" s="9">
        <f>IF(Tableau3[[#This Row],[CLASSEMENT]]="","",INDEX(BASE[],Tableau3[[#This Row],[CLASSEMENT]],COLUMN(BASE[Qte réél fab (UEA) 06/05/19])))</f>
        <v>14</v>
      </c>
    </row>
    <row r="7" spans="1:10" x14ac:dyDescent="0.25">
      <c r="A7" s="9">
        <f t="shared" si="1"/>
        <v>4</v>
      </c>
      <c r="B7" s="11">
        <f>IF(Tableau3[[#This Row],[CLASSEMENT]]="","",INDEX(BASE[],Tableau3[[#This Row],[CLASSEMENT]],COLUMN(BASE[Date équipe])))</f>
        <v>43591</v>
      </c>
      <c r="C7" s="9">
        <f>IF(Tableau3[[#This Row],[CLASSEMENT]]="","",INDEX(BASE[],Tableau3[[#This Row],[CLASSEMENT]],COLUMN(BASE[N° équipe])))</f>
        <v>2</v>
      </c>
      <c r="D7" s="9" t="str">
        <f>IF(Tableau3[[#This Row],[CLASSEMENT]]="","",INDEX(BASE[],Tableau3[[#This Row],[CLASSEMENT]],COLUMN(BASE[Format])))</f>
        <v>0001 - 284G</v>
      </c>
      <c r="E7" s="9" t="str">
        <f>IF(Tableau3[[#This Row],[CLASSEMENT]]="","",INDEX(BASE[],Tableau3[[#This Row],[CLASSEMENT]],COLUMN(BASE[Parfum code])))</f>
        <v>008</v>
      </c>
      <c r="F7" s="9" t="str">
        <f>IF(Tableau3[[#This Row],[CLASSEMENT]]="","",INDEX(BASE[],Tableau3[[#This Row],[CLASSEMENT]],COLUMN(BASE[Parfum lib])))</f>
        <v>FRAMBOISE</v>
      </c>
      <c r="G7" s="9" t="str">
        <f>IF(Tableau3[[#This Row],[CLASSEMENT]]="","",INDEX(BASE[],Tableau3[[#This Row],[CLASSEMENT]],COLUMN(BASE[Format2])))</f>
        <v>0001 - 284G</v>
      </c>
      <c r="H7" s="9">
        <f>IF(Tableau3[[#This Row],[CLASSEMENT]]="","",INDEX(BASE[],Tableau3[[#This Row],[CLASSEMENT]],COLUMN(BASE[Qte réél fab (UEA) 06/05/19])))</f>
        <v>3</v>
      </c>
    </row>
    <row r="8" spans="1:10" x14ac:dyDescent="0.25">
      <c r="A8" s="9">
        <f t="shared" si="1"/>
        <v>5</v>
      </c>
      <c r="B8" s="11">
        <f>IF(Tableau3[[#This Row],[CLASSEMENT]]="","",INDEX(BASE[],Tableau3[[#This Row],[CLASSEMENT]],COLUMN(BASE[Date équipe])))</f>
        <v>43591</v>
      </c>
      <c r="C8" s="9">
        <f>IF(Tableau3[[#This Row],[CLASSEMENT]]="","",INDEX(BASE[],Tableau3[[#This Row],[CLASSEMENT]],COLUMN(BASE[N° équipe])))</f>
        <v>2</v>
      </c>
      <c r="D8" s="9" t="str">
        <f>IF(Tableau3[[#This Row],[CLASSEMENT]]="","",INDEX(BASE[],Tableau3[[#This Row],[CLASSEMENT]],COLUMN(BASE[Format])))</f>
        <v>0006 - 284G ET 28</v>
      </c>
      <c r="E8" s="9" t="str">
        <f>IF(Tableau3[[#This Row],[CLASSEMENT]]="","",INDEX(BASE[],Tableau3[[#This Row],[CLASSEMENT]],COLUMN(BASE[Parfum code])))</f>
        <v>008</v>
      </c>
      <c r="F8" s="9" t="str">
        <f>IF(Tableau3[[#This Row],[CLASSEMENT]]="","",INDEX(BASE[],Tableau3[[#This Row],[CLASSEMENT]],COLUMN(BASE[Parfum lib])))</f>
        <v>FRAMBOISE</v>
      </c>
      <c r="G8" s="9" t="str">
        <f>IF(Tableau3[[#This Row],[CLASSEMENT]]="","",INDEX(BASE[],Tableau3[[#This Row],[CLASSEMENT]],COLUMN(BASE[Format2])))</f>
        <v>0006 - 284G ET 28</v>
      </c>
      <c r="H8" s="9">
        <f>IF(Tableau3[[#This Row],[CLASSEMENT]]="","",INDEX(BASE[],Tableau3[[#This Row],[CLASSEMENT]],COLUMN(BASE[Qte réél fab (UEA) 06/05/19])))</f>
        <v>4</v>
      </c>
    </row>
    <row r="9" spans="1:10" x14ac:dyDescent="0.25">
      <c r="A9" s="9">
        <f t="shared" si="1"/>
        <v>6</v>
      </c>
      <c r="B9" s="11">
        <f>IF(Tableau3[[#This Row],[CLASSEMENT]]="","",INDEX(BASE[],Tableau3[[#This Row],[CLASSEMENT]],COLUMN(BASE[Date équipe])))</f>
        <v>43591</v>
      </c>
      <c r="C9" s="9">
        <f>IF(Tableau3[[#This Row],[CLASSEMENT]]="","",INDEX(BASE[],Tableau3[[#This Row],[CLASSEMENT]],COLUMN(BASE[N° équipe])))</f>
        <v>3</v>
      </c>
      <c r="D9" s="9" t="str">
        <f>IF(Tableau3[[#This Row],[CLASSEMENT]]="","",INDEX(BASE[],Tableau3[[#This Row],[CLASSEMENT]],COLUMN(BASE[Format])))</f>
        <v>0001 - 284G</v>
      </c>
      <c r="E9" s="9" t="str">
        <f>IF(Tableau3[[#This Row],[CLASSEMENT]]="","",INDEX(BASE[],Tableau3[[#This Row],[CLASSEMENT]],COLUMN(BASE[Parfum code])))</f>
        <v>003</v>
      </c>
      <c r="F9" s="9" t="str">
        <f>IF(Tableau3[[#This Row],[CLASSEMENT]]="","",INDEX(BASE[],Tableau3[[#This Row],[CLASSEMENT]],COLUMN(BASE[Parfum lib])))</f>
        <v>ANANAS-MANGUE</v>
      </c>
      <c r="G9" s="9" t="str">
        <f>IF(Tableau3[[#This Row],[CLASSEMENT]]="","",INDEX(BASE[],Tableau3[[#This Row],[CLASSEMENT]],COLUMN(BASE[Format2])))</f>
        <v>0001 - 284G</v>
      </c>
      <c r="H9" s="9">
        <f>IF(Tableau3[[#This Row],[CLASSEMENT]]="","",INDEX(BASE[],Tableau3[[#This Row],[CLASSEMENT]],COLUMN(BASE[Qte réél fab (UEA) 06/05/19])))</f>
        <v>3</v>
      </c>
    </row>
    <row r="10" spans="1:10" x14ac:dyDescent="0.25">
      <c r="A10" s="9">
        <f t="shared" si="1"/>
        <v>7</v>
      </c>
      <c r="B10" s="11">
        <f>IF(Tableau3[[#This Row],[CLASSEMENT]]="","",INDEX(BASE[],Tableau3[[#This Row],[CLASSEMENT]],COLUMN(BASE[Date équipe])))</f>
        <v>43591</v>
      </c>
      <c r="C10" s="9">
        <f>IF(Tableau3[[#This Row],[CLASSEMENT]]="","",INDEX(BASE[],Tableau3[[#This Row],[CLASSEMENT]],COLUMN(BASE[N° équipe])))</f>
        <v>3</v>
      </c>
      <c r="D10" s="9" t="str">
        <f>IF(Tableau3[[#This Row],[CLASSEMENT]]="","",INDEX(BASE[],Tableau3[[#This Row],[CLASSEMENT]],COLUMN(BASE[Format])))</f>
        <v>0001 - 284G</v>
      </c>
      <c r="E10" s="9" t="str">
        <f>IF(Tableau3[[#This Row],[CLASSEMENT]]="","",INDEX(BASE[],Tableau3[[#This Row],[CLASSEMENT]],COLUMN(BASE[Parfum code])))</f>
        <v>008</v>
      </c>
      <c r="F10" s="9" t="str">
        <f>IF(Tableau3[[#This Row],[CLASSEMENT]]="","",INDEX(BASE[],Tableau3[[#This Row],[CLASSEMENT]],COLUMN(BASE[Parfum lib])))</f>
        <v>FRAMBOISE</v>
      </c>
      <c r="G10" s="9" t="str">
        <f>IF(Tableau3[[#This Row],[CLASSEMENT]]="","",INDEX(BASE[],Tableau3[[#This Row],[CLASSEMENT]],COLUMN(BASE[Format2])))</f>
        <v>0001 - 284G</v>
      </c>
      <c r="H10" s="9">
        <f>IF(Tableau3[[#This Row],[CLASSEMENT]]="","",INDEX(BASE[],Tableau3[[#This Row],[CLASSEMENT]],COLUMN(BASE[Qte réél fab (UEA) 06/05/19])))</f>
        <v>17</v>
      </c>
    </row>
    <row r="11" spans="1:10" x14ac:dyDescent="0.25">
      <c r="A11" s="10" t="s">
        <v>16</v>
      </c>
      <c r="B11" s="10"/>
      <c r="C11" s="10"/>
      <c r="D11" s="10"/>
      <c r="E11" s="10"/>
      <c r="F11" s="10"/>
      <c r="G11" s="10"/>
      <c r="H11" s="10">
        <f>SUBTOTAL(109,Tableau3[Qte réél fab (UEA) 06/05/19])</f>
        <v>58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47602-4F82-4179-873B-8AE2053A8E72}">
  <sheetPr codeName="Feuil6"/>
  <dimension ref="A1:H11"/>
  <sheetViews>
    <sheetView workbookViewId="0">
      <selection activeCell="J7" sqref="J7"/>
    </sheetView>
  </sheetViews>
  <sheetFormatPr baseColWidth="10" defaultRowHeight="15" x14ac:dyDescent="0.25"/>
  <cols>
    <col min="1" max="1" width="17.140625" style="1" bestFit="1" customWidth="1"/>
    <col min="2" max="2" width="16.42578125" style="1" bestFit="1" customWidth="1"/>
    <col min="3" max="3" width="14.42578125" style="1" bestFit="1" customWidth="1"/>
    <col min="4" max="4" width="11.85546875" style="1" bestFit="1" customWidth="1"/>
    <col min="5" max="5" width="16.7109375" style="1" bestFit="1" customWidth="1"/>
    <col min="6" max="6" width="18.42578125" style="1" customWidth="1"/>
    <col min="7" max="7" width="12.85546875" style="1" bestFit="1" customWidth="1"/>
    <col min="8" max="8" width="30.140625" style="1" customWidth="1"/>
    <col min="9" max="16384" width="11.42578125" style="1"/>
  </cols>
  <sheetData>
    <row r="1" spans="1:8" x14ac:dyDescent="0.25">
      <c r="A1" s="17" t="s">
        <v>18</v>
      </c>
      <c r="B1" s="17"/>
      <c r="C1" s="17"/>
      <c r="D1" s="16">
        <v>43591</v>
      </c>
      <c r="E1" s="1" t="s">
        <v>20</v>
      </c>
      <c r="F1" s="1">
        <f>_xlfn.MINIFS(BASE[CLASSEMENT],BASE[Date équipe],$D$1)</f>
        <v>1</v>
      </c>
    </row>
    <row r="2" spans="1:8" x14ac:dyDescent="0.25">
      <c r="A2" s="17"/>
      <c r="B2" s="17"/>
      <c r="C2" s="17"/>
      <c r="D2" s="16"/>
      <c r="E2" s="1" t="s">
        <v>21</v>
      </c>
      <c r="F2" s="1">
        <f>_xlfn.MAXIFS(BASE[CLASSEMENT],BASE[Date équipe],$D$1)</f>
        <v>7</v>
      </c>
    </row>
    <row r="3" spans="1:8" x14ac:dyDescent="0.25">
      <c r="A3" s="17" t="s">
        <v>19</v>
      </c>
      <c r="B3" s="17"/>
      <c r="C3" s="17"/>
      <c r="D3" s="16">
        <f>D1+5</f>
        <v>43596</v>
      </c>
      <c r="E3" s="1" t="s">
        <v>20</v>
      </c>
      <c r="F3" s="1">
        <f>_xlfn.MINIFS(BASE[CLASSEMENT],BASE[Date équipe],$D$3)</f>
        <v>0</v>
      </c>
    </row>
    <row r="4" spans="1:8" x14ac:dyDescent="0.25">
      <c r="A4" s="17"/>
      <c r="B4" s="17"/>
      <c r="C4" s="17"/>
      <c r="D4" s="16"/>
      <c r="E4" s="1" t="s">
        <v>21</v>
      </c>
      <c r="F4" s="10">
        <f>IF(_xlfn.MAXIFS(BASE[CLASSEMENT],BASE[Date équipe],$D$3)=0,F2,_xlfn.MAXIFS(BASE[CLASSEMENT],BASE[Date équipe],$D$3))</f>
        <v>7</v>
      </c>
    </row>
    <row r="6" spans="1:8" x14ac:dyDescent="0.25">
      <c r="A6" s="5" t="s">
        <v>15</v>
      </c>
      <c r="B6" s="12" t="s">
        <v>0</v>
      </c>
      <c r="C6" s="5" t="s">
        <v>1</v>
      </c>
      <c r="D6" s="5" t="s">
        <v>2</v>
      </c>
      <c r="E6" s="5" t="s">
        <v>3</v>
      </c>
      <c r="F6" s="5" t="s">
        <v>4</v>
      </c>
      <c r="G6" s="5" t="s">
        <v>14</v>
      </c>
      <c r="H6" s="5" t="s">
        <v>5</v>
      </c>
    </row>
    <row r="7" spans="1:8" x14ac:dyDescent="0.25">
      <c r="A7" s="13">
        <f>IF(A6="CLASSEMENT",$F$1,IF(A6&gt;IF($F$4=0,$F$2,$F$4),"",A6+1))</f>
        <v>1</v>
      </c>
      <c r="B7" s="14">
        <f>INDEX(BASE[],Tableau4[[#This Row],[CLASSEMENT]],COLUMN(BASE[Date équipe]))</f>
        <v>43591</v>
      </c>
      <c r="C7" s="15">
        <f>INDEX(BASE[],Tableau4[[#This Row],[CLASSEMENT]],COLUMN(BASE[N° équipe]))</f>
        <v>1</v>
      </c>
      <c r="D7" s="15" t="str">
        <f>INDEX(BASE[],Tableau4[[#This Row],[CLASSEMENT]],COLUMN(BASE[Format]))</f>
        <v>0001 - 284G</v>
      </c>
      <c r="E7" s="15" t="str">
        <f>INDEX(BASE[],Tableau4[[#This Row],[CLASSEMENT]],COLUMN(BASE[Parfum code]))</f>
        <v>003</v>
      </c>
      <c r="F7" s="15" t="str">
        <f>INDEX(BASE[],Tableau4[[#This Row],[CLASSEMENT]],COLUMN(BASE[Parfum lib]))</f>
        <v>ANANAS-MANGUE</v>
      </c>
      <c r="G7" s="15" t="str">
        <f>INDEX(BASE[],Tableau4[[#This Row],[CLASSEMENT]],COLUMN(BASE[Format2]))</f>
        <v>0001 - 284G</v>
      </c>
      <c r="H7" s="15">
        <f>INDEX(BASE[],Tableau4[[#This Row],[CLASSEMENT]],COLUMN(BASE[Qte réél fab (UEA) 06/05/19]))</f>
        <v>1</v>
      </c>
    </row>
    <row r="8" spans="1:8" x14ac:dyDescent="0.25">
      <c r="A8" s="18">
        <f t="shared" ref="A8:A10" si="0">IF(A7="CLASSEMENT",$F$1,IF(A7&gt;IF($F$4=0,$F$2,$F$4),"",A7+1))</f>
        <v>2</v>
      </c>
      <c r="B8" s="20">
        <f>INDEX(BASE[],Tableau4[[#This Row],[CLASSEMENT]],COLUMN(BASE[Date équipe]))</f>
        <v>43591</v>
      </c>
      <c r="C8" s="22">
        <f>INDEX(BASE[],Tableau4[[#This Row],[CLASSEMENT]],COLUMN(BASE[N° équipe]))</f>
        <v>1</v>
      </c>
      <c r="D8" s="22" t="str">
        <f>INDEX(BASE[],Tableau4[[#This Row],[CLASSEMENT]],COLUMN(BASE[Format]))</f>
        <v>0001 - 284G</v>
      </c>
      <c r="E8" s="22" t="str">
        <f>INDEX(BASE[],Tableau4[[#This Row],[CLASSEMENT]],COLUMN(BASE[Parfum code]))</f>
        <v>007</v>
      </c>
      <c r="F8" s="22" t="str">
        <f>INDEX(BASE[],Tableau4[[#This Row],[CLASSEMENT]],COLUMN(BASE[Parfum lib]))</f>
        <v>FRAISE</v>
      </c>
      <c r="G8" s="22" t="str">
        <f>INDEX(BASE[],Tableau4[[#This Row],[CLASSEMENT]],COLUMN(BASE[Format2]))</f>
        <v>0001 - 284G</v>
      </c>
      <c r="H8" s="22">
        <f>INDEX(BASE[],Tableau4[[#This Row],[CLASSEMENT]],COLUMN(BASE[Qte réél fab (UEA) 06/05/19]))</f>
        <v>16</v>
      </c>
    </row>
    <row r="9" spans="1:8" x14ac:dyDescent="0.25">
      <c r="A9" s="19">
        <f t="shared" si="0"/>
        <v>3</v>
      </c>
      <c r="B9" s="21">
        <f>INDEX(BASE[],Tableau4[[#This Row],[CLASSEMENT]],COLUMN(BASE[Date équipe]))</f>
        <v>43591</v>
      </c>
      <c r="C9" s="23">
        <f>INDEX(BASE[],Tableau4[[#This Row],[CLASSEMENT]],COLUMN(BASE[N° équipe]))</f>
        <v>2</v>
      </c>
      <c r="D9" s="23" t="str">
        <f>INDEX(BASE[],Tableau4[[#This Row],[CLASSEMENT]],COLUMN(BASE[Format]))</f>
        <v>0001 - 284G</v>
      </c>
      <c r="E9" s="23" t="str">
        <f>INDEX(BASE[],Tableau4[[#This Row],[CLASSEMENT]],COLUMN(BASE[Parfum code]))</f>
        <v>007</v>
      </c>
      <c r="F9" s="23" t="str">
        <f>INDEX(BASE[],Tableau4[[#This Row],[CLASSEMENT]],COLUMN(BASE[Parfum lib]))</f>
        <v>FRAISE</v>
      </c>
      <c r="G9" s="23" t="str">
        <f>INDEX(BASE[],Tableau4[[#This Row],[CLASSEMENT]],COLUMN(BASE[Format2]))</f>
        <v>0001 - 284G</v>
      </c>
      <c r="H9" s="23">
        <f>INDEX(BASE[],Tableau4[[#This Row],[CLASSEMENT]],COLUMN(BASE[Qte réél fab (UEA) 06/05/19]))</f>
        <v>14</v>
      </c>
    </row>
    <row r="10" spans="1:8" x14ac:dyDescent="0.25">
      <c r="A10" s="19">
        <f t="shared" si="0"/>
        <v>4</v>
      </c>
      <c r="B10" s="21">
        <f>INDEX(BASE[],Tableau4[[#This Row],[CLASSEMENT]],COLUMN(BASE[Date équipe]))</f>
        <v>43591</v>
      </c>
      <c r="C10" s="23">
        <f>INDEX(BASE[],Tableau4[[#This Row],[CLASSEMENT]],COLUMN(BASE[N° équipe]))</f>
        <v>2</v>
      </c>
      <c r="D10" s="23" t="str">
        <f>INDEX(BASE[],Tableau4[[#This Row],[CLASSEMENT]],COLUMN(BASE[Format]))</f>
        <v>0001 - 284G</v>
      </c>
      <c r="E10" s="23" t="str">
        <f>INDEX(BASE[],Tableau4[[#This Row],[CLASSEMENT]],COLUMN(BASE[Parfum code]))</f>
        <v>008</v>
      </c>
      <c r="F10" s="23" t="str">
        <f>INDEX(BASE[],Tableau4[[#This Row],[CLASSEMENT]],COLUMN(BASE[Parfum lib]))</f>
        <v>FRAMBOISE</v>
      </c>
      <c r="G10" s="23" t="str">
        <f>INDEX(BASE[],Tableau4[[#This Row],[CLASSEMENT]],COLUMN(BASE[Format2]))</f>
        <v>0001 - 284G</v>
      </c>
      <c r="H10" s="23">
        <f>INDEX(BASE[],Tableau4[[#This Row],[CLASSEMENT]],COLUMN(BASE[Qte réél fab (UEA) 06/05/19]))</f>
        <v>3</v>
      </c>
    </row>
    <row r="11" spans="1:8" x14ac:dyDescent="0.25">
      <c r="A11" s="18" t="s">
        <v>16</v>
      </c>
      <c r="B11" s="18"/>
      <c r="C11" s="18"/>
      <c r="D11" s="18"/>
      <c r="E11" s="18"/>
      <c r="F11" s="18"/>
      <c r="G11" s="18"/>
      <c r="H11" s="18">
        <f>SUBTOTAL(109,Tableau4[Qte réél fab (UEA) 06/05/19])</f>
        <v>34</v>
      </c>
    </row>
  </sheetData>
  <mergeCells count="4">
    <mergeCell ref="D1:D2"/>
    <mergeCell ref="A1:C2"/>
    <mergeCell ref="D3:D4"/>
    <mergeCell ref="A3:C4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7DBC9-8A56-427E-A032-F3B9224293BE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CD952-1102-4B99-9D5C-22132148A26D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BDD</vt:lpstr>
      <vt:lpstr>JOURNALIER</vt:lpstr>
      <vt:lpstr>HEBDOMADAIRE</vt:lpstr>
      <vt:lpstr>MENSUEL</vt:lpstr>
      <vt:lpstr>ANNUEL</vt:lpstr>
      <vt:lpstr>critères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Quentin Margot</cp:lastModifiedBy>
  <dcterms:created xsi:type="dcterms:W3CDTF">2019-05-07T15:03:11Z</dcterms:created>
  <dcterms:modified xsi:type="dcterms:W3CDTF">2019-05-16T09:47:59Z</dcterms:modified>
</cp:coreProperties>
</file>