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quent\OneDrive\Personnel\Dépenses\Dépenses type\Tableau vierge\"/>
    </mc:Choice>
  </mc:AlternateContent>
  <xr:revisionPtr revIDLastSave="19" documentId="14_{7044F0F8-59AC-4878-BEA4-EEA1C6366D17}" xr6:coauthVersionLast="43" xr6:coauthVersionMax="43" xr10:uidLastSave="{8CAD4B48-E106-4CBD-9003-C273C9A9567E}"/>
  <bookViews>
    <workbookView xWindow="-120" yWindow="-120" windowWidth="29040" windowHeight="16440" tabRatio="729" activeTab="3" xr2:uid="{00000000-000D-0000-FFFF-FFFF00000000}"/>
  </bookViews>
  <sheets>
    <sheet name="LISTING" sheetId="12" r:id="rId1"/>
    <sheet name="CATEGORIE" sheetId="64" r:id="rId2"/>
    <sheet name="TABLEAU DE COMPTE" sheetId="63" r:id="rId3"/>
    <sheet name="Accueil" sheetId="67" r:id="rId4"/>
    <sheet name="Comptes" sheetId="68" r:id="rId5"/>
    <sheet name="Credits" sheetId="70" r:id="rId6"/>
    <sheet name="Feuil4" sheetId="69" r:id="rId7"/>
  </sheets>
  <externalReferences>
    <externalReference r:id="rId8"/>
  </externalReferences>
  <definedNames>
    <definedName name="_xlnm._FilterDatabase" localSheetId="0" hidden="1">LISTING!#REF!</definedName>
    <definedName name="_xlnm._FilterDatabase" localSheetId="2" hidden="1">'TABLEAU DE COMPTE'!$A$14:$G$160</definedName>
    <definedName name="_xlnm.Criteria" localSheetId="2">'TABLEAU DE COMPTE'!$Y$1:$Y$2</definedName>
    <definedName name="critères">'TABLEAU DE COMPTE'!$Y$1:$Y$2</definedName>
    <definedName name="_xlnm.Extract" localSheetId="2">'TABLEAU DE COMPTE'!$I$14:$O$14</definedName>
    <definedName name="mois">'TABLEAU DE COMPTE'!$X$2</definedName>
    <definedName name="operationscategorie">opérations[CATEGORIE]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15" i="63" l="1"/>
  <c r="B6" i="63" l="1"/>
  <c r="G6" i="63" s="1"/>
  <c r="I20" i="68" s="1"/>
  <c r="R6" i="63"/>
  <c r="A6" i="63" l="1"/>
  <c r="B20" i="68" s="1"/>
  <c r="D6" i="63"/>
  <c r="D20" i="68" s="1"/>
  <c r="F6" i="63"/>
  <c r="H20" i="68" s="1"/>
  <c r="R3" i="63"/>
  <c r="R7" i="63" s="1"/>
  <c r="R8" i="63" s="1"/>
  <c r="R9" i="63" s="1"/>
  <c r="R10" i="63" s="1"/>
  <c r="W6" i="63"/>
  <c r="I32" i="68" s="1"/>
  <c r="AP15" i="63"/>
  <c r="AJ15" i="63"/>
  <c r="AM15" i="63"/>
  <c r="Q6" i="63" l="1"/>
  <c r="B32" i="68" s="1"/>
  <c r="T6" i="63"/>
  <c r="D32" i="68" s="1"/>
  <c r="S6" i="63"/>
  <c r="U6" i="63"/>
  <c r="F32" i="68" s="1"/>
  <c r="V6" i="63"/>
  <c r="H32" i="68" s="1"/>
  <c r="E19" i="63"/>
  <c r="C28" i="63" l="1"/>
  <c r="X3" i="63"/>
  <c r="AM2" i="63"/>
  <c r="J6" i="63"/>
  <c r="AG2" i="63"/>
  <c r="J3" i="63"/>
  <c r="I6" i="63" l="1"/>
  <c r="U7" i="63"/>
  <c r="F33" i="68" s="1"/>
  <c r="W7" i="63"/>
  <c r="I33" i="68" s="1"/>
  <c r="Q7" i="63"/>
  <c r="B33" i="68" s="1"/>
  <c r="S7" i="63"/>
  <c r="T7" i="63"/>
  <c r="D33" i="68" s="1"/>
  <c r="V7" i="63"/>
  <c r="H33" i="68" s="1"/>
  <c r="AG3" i="63"/>
  <c r="AG6" i="63" s="1"/>
  <c r="U8" i="63" l="1"/>
  <c r="F34" i="68" s="1"/>
  <c r="T8" i="63"/>
  <c r="D34" i="68" s="1"/>
  <c r="V8" i="63"/>
  <c r="H34" i="68" s="1"/>
  <c r="Q8" i="63"/>
  <c r="B34" i="68" s="1"/>
  <c r="W8" i="63"/>
  <c r="I34" i="68" s="1"/>
  <c r="S8" i="63"/>
  <c r="J7" i="63"/>
  <c r="L6" i="63"/>
  <c r="N6" i="63"/>
  <c r="M6" i="63"/>
  <c r="O6" i="63"/>
  <c r="K6" i="63"/>
  <c r="S9" i="63" l="1"/>
  <c r="W9" i="63"/>
  <c r="I35" i="68" s="1"/>
  <c r="Q9" i="63"/>
  <c r="B35" i="68" s="1"/>
  <c r="T9" i="63"/>
  <c r="D35" i="68" s="1"/>
  <c r="U9" i="63"/>
  <c r="F35" i="68" s="1"/>
  <c r="V9" i="63"/>
  <c r="H35" i="68" s="1"/>
  <c r="J8" i="63"/>
  <c r="I7" i="63"/>
  <c r="N7" i="63"/>
  <c r="K7" i="63"/>
  <c r="L7" i="63"/>
  <c r="O7" i="63"/>
  <c r="M7" i="63"/>
  <c r="U10" i="63" l="1"/>
  <c r="F36" i="68" s="1"/>
  <c r="S10" i="63"/>
  <c r="V10" i="63"/>
  <c r="H36" i="68" s="1"/>
  <c r="W10" i="63"/>
  <c r="I36" i="68" s="1"/>
  <c r="T10" i="63"/>
  <c r="D36" i="68" s="1"/>
  <c r="Q10" i="63"/>
  <c r="B36" i="68" s="1"/>
  <c r="J9" i="63"/>
  <c r="K8" i="63"/>
  <c r="L8" i="63"/>
  <c r="M8" i="63"/>
  <c r="N8" i="63"/>
  <c r="O8" i="63"/>
  <c r="I8" i="63"/>
  <c r="J10" i="63" l="1"/>
  <c r="K9" i="63"/>
  <c r="M9" i="63"/>
  <c r="I9" i="63"/>
  <c r="L9" i="63"/>
  <c r="N9" i="63"/>
  <c r="O9" i="63"/>
  <c r="A17" i="68"/>
  <c r="L10" i="63" l="1"/>
  <c r="M10" i="63"/>
  <c r="N10" i="63"/>
  <c r="I10" i="63"/>
  <c r="O10" i="63"/>
  <c r="K10" i="63"/>
  <c r="AM3" i="63" l="1"/>
  <c r="AM6" i="63" l="1"/>
  <c r="AP6" i="63" l="1"/>
  <c r="H29" i="68" s="1"/>
  <c r="AL6" i="63"/>
  <c r="B29" i="68" s="1"/>
  <c r="AN6" i="63"/>
  <c r="D29" i="68" s="1"/>
  <c r="AM7" i="63"/>
  <c r="E123" i="12"/>
  <c r="AL7" i="63" l="1"/>
  <c r="AP7" i="63"/>
  <c r="AM8" i="63"/>
  <c r="AN7" i="63"/>
  <c r="AO7" i="63"/>
  <c r="E118" i="12"/>
  <c r="E119" i="12"/>
  <c r="E120" i="12"/>
  <c r="E121" i="12"/>
  <c r="E122" i="12"/>
  <c r="C16" i="63"/>
  <c r="C17" i="63"/>
  <c r="C18" i="63"/>
  <c r="C19" i="63"/>
  <c r="C20" i="63"/>
  <c r="C21" i="63"/>
  <c r="C22" i="63"/>
  <c r="C23" i="63"/>
  <c r="C24" i="63"/>
  <c r="C25" i="63"/>
  <c r="C26" i="63"/>
  <c r="C27" i="63"/>
  <c r="C29" i="63"/>
  <c r="C30" i="63"/>
  <c r="C31" i="63"/>
  <c r="C32" i="63"/>
  <c r="C33" i="63"/>
  <c r="C34" i="63"/>
  <c r="C35" i="63"/>
  <c r="C36" i="63"/>
  <c r="C37" i="63"/>
  <c r="C38" i="63"/>
  <c r="C39" i="63"/>
  <c r="C40" i="63"/>
  <c r="C41" i="63"/>
  <c r="C42" i="63"/>
  <c r="C43" i="63"/>
  <c r="C44" i="63"/>
  <c r="C45" i="63"/>
  <c r="C46" i="63"/>
  <c r="C47" i="63"/>
  <c r="C48" i="63"/>
  <c r="C49" i="63"/>
  <c r="C50" i="63"/>
  <c r="C51" i="63"/>
  <c r="C52" i="63"/>
  <c r="C53" i="63"/>
  <c r="C54" i="63"/>
  <c r="C55" i="63"/>
  <c r="C56" i="63"/>
  <c r="C57" i="63"/>
  <c r="C58" i="63"/>
  <c r="C59" i="63"/>
  <c r="C60" i="63"/>
  <c r="C61" i="63"/>
  <c r="C62" i="63"/>
  <c r="C63" i="63"/>
  <c r="C64" i="63"/>
  <c r="C65" i="63"/>
  <c r="C66" i="63"/>
  <c r="C67" i="63"/>
  <c r="C68" i="63"/>
  <c r="C69" i="63"/>
  <c r="C70" i="63"/>
  <c r="C71" i="63"/>
  <c r="C72" i="63"/>
  <c r="C73" i="63"/>
  <c r="C74" i="63"/>
  <c r="C75" i="63"/>
  <c r="C76" i="63"/>
  <c r="C77" i="63"/>
  <c r="C78" i="63"/>
  <c r="C79" i="63"/>
  <c r="C81" i="63"/>
  <c r="C82" i="63"/>
  <c r="C83" i="63"/>
  <c r="C84" i="63"/>
  <c r="C80" i="63"/>
  <c r="C85" i="63"/>
  <c r="C86" i="63"/>
  <c r="C87" i="63"/>
  <c r="C88" i="63"/>
  <c r="C89" i="63"/>
  <c r="C90" i="63"/>
  <c r="C91" i="63"/>
  <c r="C92" i="63"/>
  <c r="C93" i="63"/>
  <c r="C94" i="63"/>
  <c r="C95" i="63"/>
  <c r="C96" i="63"/>
  <c r="C97" i="63"/>
  <c r="C98" i="63"/>
  <c r="C99" i="63"/>
  <c r="C100" i="63"/>
  <c r="C101" i="63"/>
  <c r="C102" i="63"/>
  <c r="C103" i="63"/>
  <c r="C104" i="63"/>
  <c r="C105" i="63"/>
  <c r="C106" i="63"/>
  <c r="C107" i="63"/>
  <c r="C108" i="63"/>
  <c r="C109" i="63"/>
  <c r="C110" i="63"/>
  <c r="C111" i="63"/>
  <c r="C112" i="63"/>
  <c r="C113" i="63"/>
  <c r="C114" i="63"/>
  <c r="C115" i="63"/>
  <c r="C116" i="63"/>
  <c r="C117" i="63"/>
  <c r="C119" i="63"/>
  <c r="C120" i="63"/>
  <c r="C121" i="63"/>
  <c r="C122" i="63"/>
  <c r="C123" i="63"/>
  <c r="C118" i="63"/>
  <c r="C124" i="63"/>
  <c r="C125" i="63"/>
  <c r="C126" i="63"/>
  <c r="C127" i="63"/>
  <c r="C128" i="63"/>
  <c r="C129" i="63"/>
  <c r="C130" i="63"/>
  <c r="C131" i="63"/>
  <c r="C132" i="63"/>
  <c r="C134" i="63"/>
  <c r="C135" i="63"/>
  <c r="C136" i="63"/>
  <c r="C137" i="63"/>
  <c r="C138" i="63"/>
  <c r="C139" i="63"/>
  <c r="C140" i="63"/>
  <c r="C141" i="63"/>
  <c r="C142" i="63"/>
  <c r="C133" i="63"/>
  <c r="C143" i="63"/>
  <c r="C144" i="63"/>
  <c r="C145" i="63"/>
  <c r="C146" i="63"/>
  <c r="C147" i="63"/>
  <c r="C148" i="63"/>
  <c r="C149" i="63"/>
  <c r="C150" i="63"/>
  <c r="C151" i="63"/>
  <c r="C152" i="63"/>
  <c r="C153" i="63"/>
  <c r="C154" i="63"/>
  <c r="C155" i="63"/>
  <c r="C156" i="63"/>
  <c r="C157" i="63"/>
  <c r="C158" i="63"/>
  <c r="C159" i="63"/>
  <c r="C160" i="63"/>
  <c r="C15" i="63"/>
  <c r="E16" i="63"/>
  <c r="E17" i="63"/>
  <c r="E18" i="63"/>
  <c r="E20" i="63"/>
  <c r="E21" i="63"/>
  <c r="E22" i="63"/>
  <c r="E23" i="63"/>
  <c r="E24" i="63"/>
  <c r="E25" i="63"/>
  <c r="E26" i="63"/>
  <c r="E27" i="63"/>
  <c r="E28" i="63"/>
  <c r="E29" i="63"/>
  <c r="E30" i="63"/>
  <c r="E31" i="63"/>
  <c r="E32" i="63"/>
  <c r="E33" i="63"/>
  <c r="E34" i="63"/>
  <c r="E35" i="63"/>
  <c r="E36" i="63"/>
  <c r="E37" i="63"/>
  <c r="E38" i="63"/>
  <c r="E39" i="63"/>
  <c r="E40" i="63"/>
  <c r="E41" i="63"/>
  <c r="E42" i="63"/>
  <c r="E43" i="63"/>
  <c r="E44" i="63"/>
  <c r="E45" i="63"/>
  <c r="E46" i="63"/>
  <c r="E47" i="63"/>
  <c r="E48" i="63"/>
  <c r="E49" i="63"/>
  <c r="E50" i="63"/>
  <c r="E51" i="63"/>
  <c r="E52" i="63"/>
  <c r="E53" i="63"/>
  <c r="E54" i="63"/>
  <c r="E55" i="63"/>
  <c r="E56" i="63"/>
  <c r="E57" i="63"/>
  <c r="E58" i="63"/>
  <c r="E59" i="63"/>
  <c r="E60" i="63"/>
  <c r="E61" i="63"/>
  <c r="E62" i="63"/>
  <c r="E63" i="63"/>
  <c r="E64" i="63"/>
  <c r="E65" i="63"/>
  <c r="E66" i="63"/>
  <c r="E67" i="63"/>
  <c r="E68" i="63"/>
  <c r="E69" i="63"/>
  <c r="E70" i="63"/>
  <c r="E71" i="63"/>
  <c r="E72" i="63"/>
  <c r="E73" i="63"/>
  <c r="E74" i="63"/>
  <c r="E75" i="63"/>
  <c r="E76" i="63"/>
  <c r="E77" i="63"/>
  <c r="E78" i="63"/>
  <c r="E79" i="63"/>
  <c r="E81" i="63"/>
  <c r="E82" i="63"/>
  <c r="E83" i="63"/>
  <c r="E84" i="63"/>
  <c r="E80" i="63"/>
  <c r="E85" i="63"/>
  <c r="E86" i="63"/>
  <c r="E87" i="63"/>
  <c r="E88" i="63"/>
  <c r="E89" i="63"/>
  <c r="E90" i="63"/>
  <c r="E91" i="63"/>
  <c r="E92" i="63"/>
  <c r="E93" i="63"/>
  <c r="E94" i="63"/>
  <c r="E95" i="63"/>
  <c r="E96" i="63"/>
  <c r="E97" i="63"/>
  <c r="E98" i="63"/>
  <c r="E99" i="63"/>
  <c r="E100" i="63"/>
  <c r="E101" i="63"/>
  <c r="E102" i="63"/>
  <c r="E103" i="63"/>
  <c r="E104" i="63"/>
  <c r="E105" i="63"/>
  <c r="E106" i="63"/>
  <c r="E107" i="63"/>
  <c r="E108" i="63"/>
  <c r="E109" i="63"/>
  <c r="E110" i="63"/>
  <c r="E111" i="63"/>
  <c r="E112" i="63"/>
  <c r="E113" i="63"/>
  <c r="E114" i="63"/>
  <c r="E115" i="63"/>
  <c r="E116" i="63"/>
  <c r="E117" i="63"/>
  <c r="E119" i="63"/>
  <c r="E120" i="63"/>
  <c r="E121" i="63"/>
  <c r="E122" i="63"/>
  <c r="E123" i="63"/>
  <c r="E118" i="63"/>
  <c r="E124" i="63"/>
  <c r="E125" i="63"/>
  <c r="E126" i="63"/>
  <c r="E127" i="63"/>
  <c r="E128" i="63"/>
  <c r="E129" i="63"/>
  <c r="E130" i="63"/>
  <c r="E131" i="63"/>
  <c r="E132" i="63"/>
  <c r="E134" i="63"/>
  <c r="E135" i="63"/>
  <c r="E136" i="63"/>
  <c r="E137" i="63"/>
  <c r="E138" i="63"/>
  <c r="E139" i="63"/>
  <c r="E140" i="63"/>
  <c r="E141" i="63"/>
  <c r="E142" i="63"/>
  <c r="E133" i="63"/>
  <c r="E143" i="63"/>
  <c r="E144" i="63"/>
  <c r="E145" i="63"/>
  <c r="E146" i="63"/>
  <c r="E147" i="63"/>
  <c r="E148" i="63"/>
  <c r="E149" i="63"/>
  <c r="E150" i="63"/>
  <c r="E151" i="63"/>
  <c r="E152" i="63"/>
  <c r="E153" i="63"/>
  <c r="E154" i="63"/>
  <c r="E155" i="63"/>
  <c r="E156" i="63"/>
  <c r="E157" i="63"/>
  <c r="E158" i="63"/>
  <c r="E159" i="63"/>
  <c r="E160" i="63"/>
  <c r="E15" i="63"/>
  <c r="AM9" i="63" l="1"/>
  <c r="AN8" i="63"/>
  <c r="AO8" i="63"/>
  <c r="AP8" i="63"/>
  <c r="AL8" i="63"/>
  <c r="C6" i="63"/>
  <c r="E6" i="63"/>
  <c r="F20" i="68" s="1"/>
  <c r="AS22" i="63"/>
  <c r="BD23" i="63"/>
  <c r="AV23" i="63"/>
  <c r="AW22" i="63"/>
  <c r="AX21" i="63"/>
  <c r="AY20" i="63"/>
  <c r="AZ19" i="63"/>
  <c r="BA18" i="63"/>
  <c r="BB17" i="63"/>
  <c r="BC16" i="63"/>
  <c r="BD15" i="63"/>
  <c r="AV15" i="63"/>
  <c r="AW14" i="63"/>
  <c r="AX13" i="63"/>
  <c r="AY12" i="63"/>
  <c r="BA10" i="63"/>
  <c r="BB9" i="63"/>
  <c r="BD7" i="63"/>
  <c r="AW6" i="63"/>
  <c r="AY4" i="63"/>
  <c r="BD6" i="63"/>
  <c r="AY3" i="63"/>
  <c r="BC6" i="63"/>
  <c r="BB6" i="63"/>
  <c r="BC23" i="63"/>
  <c r="BD22" i="63"/>
  <c r="AV22" i="63"/>
  <c r="AW21" i="63"/>
  <c r="AX20" i="63"/>
  <c r="AY19" i="63"/>
  <c r="AZ18" i="63"/>
  <c r="BA17" i="63"/>
  <c r="BB16" i="63"/>
  <c r="BC15" i="63"/>
  <c r="BD14" i="63"/>
  <c r="AV14" i="63"/>
  <c r="AW13" i="63"/>
  <c r="AX12" i="63"/>
  <c r="AY11" i="63"/>
  <c r="AZ10" i="63"/>
  <c r="BC7" i="63"/>
  <c r="AW5" i="63"/>
  <c r="AV5" i="63"/>
  <c r="BC5" i="63"/>
  <c r="BB23" i="63"/>
  <c r="BC22" i="63"/>
  <c r="BD21" i="63"/>
  <c r="AV21" i="63"/>
  <c r="AW20" i="63"/>
  <c r="AX19" i="63"/>
  <c r="AY18" i="63"/>
  <c r="AZ17" i="63"/>
  <c r="BA16" i="63"/>
  <c r="BB15" i="63"/>
  <c r="BC14" i="63"/>
  <c r="BD13" i="63"/>
  <c r="AV13" i="63"/>
  <c r="AW12" i="63"/>
  <c r="AX11" i="63"/>
  <c r="AY10" i="63"/>
  <c r="AZ9" i="63"/>
  <c r="BA8" i="63"/>
  <c r="AW4" i="63"/>
  <c r="BA23" i="63"/>
  <c r="BB22" i="63"/>
  <c r="BC21" i="63"/>
  <c r="BD20" i="63"/>
  <c r="AV20" i="63"/>
  <c r="AW19" i="63"/>
  <c r="AX18" i="63"/>
  <c r="AY17" i="63"/>
  <c r="AZ16" i="63"/>
  <c r="BA15" i="63"/>
  <c r="BB14" i="63"/>
  <c r="BC13" i="63"/>
  <c r="BD12" i="63"/>
  <c r="AV12" i="63"/>
  <c r="AW11" i="63"/>
  <c r="AX10" i="63"/>
  <c r="AY9" i="63"/>
  <c r="AZ8" i="63"/>
  <c r="BA7" i="63"/>
  <c r="BD4" i="63"/>
  <c r="AZ23" i="63"/>
  <c r="BA22" i="63"/>
  <c r="BB21" i="63"/>
  <c r="BC20" i="63"/>
  <c r="BD19" i="63"/>
  <c r="AV19" i="63"/>
  <c r="AW18" i="63"/>
  <c r="AX17" i="63"/>
  <c r="AY16" i="63"/>
  <c r="AZ15" i="63"/>
  <c r="BA14" i="63"/>
  <c r="BB13" i="63"/>
  <c r="BC12" i="63"/>
  <c r="BD11" i="63"/>
  <c r="AV11" i="63"/>
  <c r="AW10" i="63"/>
  <c r="AX9" i="63"/>
  <c r="AY8" i="63"/>
  <c r="AZ7" i="63"/>
  <c r="BA6" i="63"/>
  <c r="BB5" i="63"/>
  <c r="BC4" i="63"/>
  <c r="BD3" i="63"/>
  <c r="AV3" i="63"/>
  <c r="BB7" i="63"/>
  <c r="AV4" i="63"/>
  <c r="AY23" i="63"/>
  <c r="AZ22" i="63"/>
  <c r="BA21" i="63"/>
  <c r="BB20" i="63"/>
  <c r="BC19" i="63"/>
  <c r="BD18" i="63"/>
  <c r="AV18" i="63"/>
  <c r="AW17" i="63"/>
  <c r="AX16" i="63"/>
  <c r="AY15" i="63"/>
  <c r="AZ14" i="63"/>
  <c r="BA13" i="63"/>
  <c r="BB12" i="63"/>
  <c r="BC11" i="63"/>
  <c r="BD10" i="63"/>
  <c r="AV10" i="63"/>
  <c r="AW9" i="63"/>
  <c r="AX8" i="63"/>
  <c r="AY7" i="63"/>
  <c r="AZ6" i="63"/>
  <c r="BA5" i="63"/>
  <c r="BB4" i="63"/>
  <c r="BC3" i="63"/>
  <c r="AV17" i="63"/>
  <c r="AX15" i="63"/>
  <c r="AZ13" i="63"/>
  <c r="BB11" i="63"/>
  <c r="BD9" i="63"/>
  <c r="AW8" i="63"/>
  <c r="AY6" i="63"/>
  <c r="BA4" i="63"/>
  <c r="AV6" i="63"/>
  <c r="AX4" i="63"/>
  <c r="BD5" i="63"/>
  <c r="AW3" i="63"/>
  <c r="AX23" i="63"/>
  <c r="AY22" i="63"/>
  <c r="AZ21" i="63"/>
  <c r="BA20" i="63"/>
  <c r="BB19" i="63"/>
  <c r="BC18" i="63"/>
  <c r="BD17" i="63"/>
  <c r="AW16" i="63"/>
  <c r="AY14" i="63"/>
  <c r="BA12" i="63"/>
  <c r="BC10" i="63"/>
  <c r="AV9" i="63"/>
  <c r="AX7" i="63"/>
  <c r="AZ5" i="63"/>
  <c r="BB3" i="63"/>
  <c r="BB8" i="63"/>
  <c r="AX3" i="63"/>
  <c r="AW23" i="63"/>
  <c r="AX22" i="63"/>
  <c r="AY21" i="63"/>
  <c r="AZ20" i="63"/>
  <c r="BA19" i="63"/>
  <c r="BB18" i="63"/>
  <c r="BC17" i="63"/>
  <c r="BD16" i="63"/>
  <c r="AV16" i="63"/>
  <c r="AW15" i="63"/>
  <c r="AX14" i="63"/>
  <c r="AY13" i="63"/>
  <c r="AZ12" i="63"/>
  <c r="BA11" i="63"/>
  <c r="BB10" i="63"/>
  <c r="BC9" i="63"/>
  <c r="BD8" i="63"/>
  <c r="AV8" i="63"/>
  <c r="AW7" i="63"/>
  <c r="AX6" i="63"/>
  <c r="AY5" i="63"/>
  <c r="AZ4" i="63"/>
  <c r="BA3" i="63"/>
  <c r="AZ11" i="63"/>
  <c r="BC8" i="63"/>
  <c r="AV7" i="63"/>
  <c r="AX5" i="63"/>
  <c r="AZ3" i="63"/>
  <c r="BA9" i="63"/>
  <c r="AS7" i="63"/>
  <c r="AU18" i="63"/>
  <c r="AU10" i="63"/>
  <c r="AU23" i="63"/>
  <c r="AU15" i="63"/>
  <c r="AU7" i="63"/>
  <c r="AU20" i="63"/>
  <c r="AU12" i="63"/>
  <c r="AU4" i="63"/>
  <c r="AU17" i="63"/>
  <c r="AU9" i="63"/>
  <c r="AU22" i="63"/>
  <c r="AU14" i="63"/>
  <c r="AU6" i="63"/>
  <c r="AU19" i="63"/>
  <c r="AU11" i="63"/>
  <c r="AU3" i="63"/>
  <c r="AU16" i="63"/>
  <c r="AU8" i="63"/>
  <c r="AU21" i="63"/>
  <c r="AU13" i="63"/>
  <c r="AU5" i="63"/>
  <c r="AT21" i="63"/>
  <c r="AT13" i="63"/>
  <c r="AT5" i="63"/>
  <c r="AT18" i="63"/>
  <c r="AT10" i="63"/>
  <c r="AT23" i="63"/>
  <c r="AT15" i="63"/>
  <c r="AT7" i="63"/>
  <c r="AT20" i="63"/>
  <c r="AT12" i="63"/>
  <c r="AT4" i="63"/>
  <c r="AT17" i="63"/>
  <c r="AT9" i="63"/>
  <c r="AT22" i="63"/>
  <c r="AT14" i="63"/>
  <c r="AT6" i="63"/>
  <c r="AT19" i="63"/>
  <c r="AT11" i="63"/>
  <c r="AT3" i="63"/>
  <c r="AT16" i="63"/>
  <c r="AT8" i="63"/>
  <c r="AS19" i="63"/>
  <c r="AS17" i="63"/>
  <c r="AS15" i="63"/>
  <c r="AS12" i="63"/>
  <c r="AS10" i="63"/>
  <c r="AS8" i="63"/>
  <c r="AS6" i="63"/>
  <c r="AS4" i="63"/>
  <c r="AS3" i="63"/>
  <c r="AS21" i="63"/>
  <c r="AS13" i="63"/>
  <c r="AS23" i="63"/>
  <c r="AS20" i="63"/>
  <c r="AS18" i="63"/>
  <c r="AS16" i="63"/>
  <c r="AS14" i="63"/>
  <c r="AS11" i="63"/>
  <c r="AS9" i="63"/>
  <c r="AS5" i="63"/>
  <c r="E2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AO9" i="63" l="1"/>
  <c r="AL9" i="63"/>
  <c r="AP9" i="63"/>
  <c r="AN9" i="63"/>
  <c r="AS25" i="63"/>
  <c r="AT25" i="63" s="1"/>
  <c r="AU25" i="63" s="1"/>
  <c r="AV25" i="63" s="1"/>
  <c r="AW25" i="63" s="1"/>
  <c r="AX25" i="63" s="1"/>
  <c r="AY25" i="63" s="1"/>
  <c r="AZ25" i="63" s="1"/>
  <c r="BA25" i="63" s="1"/>
  <c r="BB25" i="63" s="1"/>
  <c r="BC25" i="63" s="1"/>
  <c r="BD25" i="63" s="1"/>
  <c r="AS24" i="63"/>
  <c r="AT24" i="63" s="1"/>
  <c r="AU24" i="63" l="1"/>
  <c r="AV24" i="63" s="1"/>
  <c r="AW24" i="63" s="1"/>
  <c r="AX24" i="63" s="1"/>
  <c r="AY24" i="63" s="1"/>
  <c r="AZ24" i="63" s="1"/>
  <c r="BA24" i="63" s="1"/>
  <c r="BB24" i="63" s="1"/>
  <c r="BC24" i="63" s="1"/>
  <c r="BD24" i="63" s="1"/>
  <c r="AI15" i="63" s="1"/>
  <c r="AO15" i="63"/>
  <c r="AO6" i="63" s="1"/>
  <c r="F29" i="68" s="1"/>
  <c r="B15" i="63"/>
  <c r="B16" i="63" s="1"/>
  <c r="B17" i="63" s="1"/>
  <c r="B18" i="63" s="1"/>
  <c r="B19" i="63" s="1"/>
  <c r="B20" i="63" s="1"/>
  <c r="B21" i="63" s="1"/>
  <c r="B22" i="63" s="1"/>
  <c r="B23" i="63" s="1"/>
  <c r="B24" i="63" s="1"/>
  <c r="B25" i="63" s="1"/>
  <c r="B26" i="63" s="1"/>
  <c r="B27" i="63" s="1"/>
  <c r="B28" i="63" s="1"/>
  <c r="B29" i="63" s="1"/>
  <c r="B30" i="63" s="1"/>
  <c r="B31" i="63" s="1"/>
  <c r="B32" i="63" s="1"/>
  <c r="B33" i="63" s="1"/>
  <c r="B34" i="63" s="1"/>
  <c r="B35" i="63" s="1"/>
  <c r="B36" i="63" s="1"/>
  <c r="B37" i="63" s="1"/>
  <c r="B38" i="63" s="1"/>
  <c r="B39" i="63" s="1"/>
  <c r="B40" i="63" s="1"/>
  <c r="B41" i="63" s="1"/>
  <c r="B42" i="63" s="1"/>
  <c r="B43" i="63" s="1"/>
  <c r="B44" i="63" s="1"/>
  <c r="B45" i="63" s="1"/>
  <c r="B46" i="63" s="1"/>
  <c r="B47" i="63" s="1"/>
  <c r="B48" i="63" s="1"/>
  <c r="B49" i="63" s="1"/>
  <c r="B50" i="63" s="1"/>
  <c r="B51" i="63" s="1"/>
  <c r="B52" i="63" s="1"/>
  <c r="B53" i="63" s="1"/>
  <c r="B54" i="63" s="1"/>
  <c r="B55" i="63" s="1"/>
  <c r="B56" i="63" s="1"/>
  <c r="B57" i="63" s="1"/>
  <c r="B58" i="63" s="1"/>
  <c r="B59" i="63" s="1"/>
  <c r="B60" i="63" s="1"/>
  <c r="B61" i="63" s="1"/>
  <c r="B62" i="63" s="1"/>
  <c r="B63" i="63" s="1"/>
  <c r="B64" i="63" s="1"/>
  <c r="B65" i="63" s="1"/>
  <c r="B66" i="63" s="1"/>
  <c r="B67" i="63" s="1"/>
  <c r="B68" i="63" s="1"/>
  <c r="B69" i="63" s="1"/>
  <c r="B70" i="63" s="1"/>
  <c r="B71" i="63" s="1"/>
  <c r="B72" i="63" s="1"/>
  <c r="B73" i="63" s="1"/>
  <c r="B74" i="63" s="1"/>
  <c r="B75" i="63" s="1"/>
  <c r="B76" i="63" s="1"/>
  <c r="B77" i="63" s="1"/>
  <c r="B78" i="63" s="1"/>
  <c r="B79" i="63" s="1"/>
  <c r="B80" i="63" s="1"/>
  <c r="B81" i="63" s="1"/>
  <c r="B82" i="63" s="1"/>
  <c r="B83" i="63" s="1"/>
  <c r="B84" i="63" s="1"/>
  <c r="B85" i="63" s="1"/>
  <c r="B86" i="63" s="1"/>
  <c r="B87" i="63" s="1"/>
  <c r="B88" i="63" s="1"/>
  <c r="B89" i="63" s="1"/>
  <c r="B90" i="63" s="1"/>
  <c r="B91" i="63" s="1"/>
  <c r="B92" i="63" s="1"/>
  <c r="B93" i="63" s="1"/>
  <c r="B94" i="63" s="1"/>
  <c r="B95" i="63" s="1"/>
  <c r="B96" i="63" s="1"/>
  <c r="B97" i="63" s="1"/>
  <c r="B98" i="63" s="1"/>
  <c r="B99" i="63" s="1"/>
  <c r="B100" i="63" s="1"/>
  <c r="B101" i="63" s="1"/>
  <c r="B102" i="63" s="1"/>
  <c r="B103" i="63" s="1"/>
  <c r="B104" i="63" s="1"/>
  <c r="B105" i="63" s="1"/>
  <c r="B106" i="63" s="1"/>
  <c r="B107" i="63" s="1"/>
  <c r="B108" i="63" s="1"/>
  <c r="B109" i="63" s="1"/>
  <c r="B110" i="63" s="1"/>
  <c r="B111" i="63" s="1"/>
  <c r="B112" i="63" s="1"/>
  <c r="B113" i="63" s="1"/>
  <c r="B114" i="63" s="1"/>
  <c r="B115" i="63" s="1"/>
  <c r="B116" i="63" s="1"/>
  <c r="B117" i="63" s="1"/>
  <c r="B118" i="63" s="1"/>
  <c r="B119" i="63" s="1"/>
  <c r="B120" i="63" s="1"/>
  <c r="B121" i="63" s="1"/>
  <c r="B122" i="63" s="1"/>
  <c r="B123" i="63" s="1"/>
  <c r="B124" i="63" s="1"/>
  <c r="B125" i="63" s="1"/>
  <c r="B126" i="63" s="1"/>
  <c r="B127" i="63" s="1"/>
  <c r="B128" i="63" s="1"/>
  <c r="B129" i="63" s="1"/>
  <c r="B130" i="63" s="1"/>
  <c r="B131" i="63" s="1"/>
  <c r="B132" i="63" s="1"/>
  <c r="B133" i="63" s="1"/>
  <c r="B134" i="63" s="1"/>
  <c r="B135" i="63" s="1"/>
  <c r="B136" i="63" s="1"/>
  <c r="B137" i="63" s="1"/>
  <c r="B138" i="63" s="1"/>
  <c r="B139" i="63" s="1"/>
  <c r="B140" i="63" s="1"/>
  <c r="B141" i="63" s="1"/>
  <c r="B142" i="63" s="1"/>
  <c r="B143" i="63" s="1"/>
  <c r="B144" i="63" s="1"/>
  <c r="B145" i="63" s="1"/>
  <c r="B146" i="63" s="1"/>
  <c r="B147" i="63" s="1"/>
  <c r="B148" i="63" s="1"/>
  <c r="B149" i="63" s="1"/>
  <c r="B150" i="63" s="1"/>
  <c r="B151" i="63" s="1"/>
  <c r="B152" i="63" s="1"/>
  <c r="B153" i="63" s="1"/>
  <c r="B154" i="63" s="1"/>
  <c r="B155" i="63" s="1"/>
  <c r="B156" i="63" s="1"/>
  <c r="B157" i="63" s="1"/>
  <c r="B158" i="63" s="1"/>
  <c r="B159" i="63" s="1"/>
  <c r="B160" i="63" s="1"/>
  <c r="B3" i="63" l="1"/>
  <c r="B7" i="63" s="1"/>
  <c r="E7" i="63" l="1"/>
  <c r="F21" i="68" s="1"/>
  <c r="A7" i="63"/>
  <c r="B21" i="68" s="1"/>
  <c r="C7" i="63"/>
  <c r="G7" i="63"/>
  <c r="I21" i="68" s="1"/>
  <c r="F7" i="63"/>
  <c r="H21" i="68" s="1"/>
  <c r="B8" i="63"/>
  <c r="D7" i="63"/>
  <c r="D21" i="68" s="1"/>
  <c r="F8" i="63" l="1"/>
  <c r="H22" i="68" s="1"/>
  <c r="G8" i="63"/>
  <c r="I22" i="68" s="1"/>
  <c r="D8" i="63"/>
  <c r="D22" i="68" s="1"/>
  <c r="B9" i="63"/>
  <c r="C8" i="63"/>
  <c r="E8" i="63"/>
  <c r="F22" i="68" s="1"/>
  <c r="A8" i="63"/>
  <c r="B22" i="68" s="1"/>
  <c r="B10" i="63" l="1"/>
  <c r="A9" i="63"/>
  <c r="B23" i="68" s="1"/>
  <c r="F9" i="63"/>
  <c r="H23" i="68" s="1"/>
  <c r="E9" i="63"/>
  <c r="F23" i="68" s="1"/>
  <c r="D9" i="63"/>
  <c r="D23" i="68" s="1"/>
  <c r="C9" i="63"/>
  <c r="G9" i="63"/>
  <c r="I23" i="68" s="1"/>
  <c r="D10" i="63" l="1"/>
  <c r="D24" i="68" s="1"/>
  <c r="G10" i="63"/>
  <c r="I24" i="68" s="1"/>
  <c r="C10" i="63"/>
  <c r="E10" i="63"/>
  <c r="F24" i="68" s="1"/>
  <c r="F10" i="63"/>
  <c r="H24" i="68" s="1"/>
  <c r="A10" i="63"/>
  <c r="B24" i="68" s="1"/>
  <c r="AI6" i="63" l="1"/>
  <c r="F17" i="68" s="1"/>
  <c r="AJ6" i="63"/>
  <c r="H17" i="68" s="1"/>
  <c r="AG7" i="63"/>
  <c r="AJ7" i="63" s="1"/>
  <c r="AF6" i="63"/>
  <c r="B17" i="68" s="1"/>
  <c r="AH6" i="63"/>
  <c r="D17" i="68" s="1"/>
  <c r="AH7" i="63" l="1"/>
  <c r="AI7" i="63"/>
  <c r="AF7" i="63"/>
  <c r="AG8" i="63"/>
  <c r="AJ8" i="63" l="1"/>
  <c r="AI8" i="63"/>
  <c r="AH8" i="63"/>
  <c r="AG9" i="63"/>
  <c r="AF8" i="63"/>
  <c r="AF9" i="63" l="1"/>
  <c r="AJ9" i="63"/>
  <c r="AH9" i="63"/>
  <c r="AI9" i="63"/>
</calcChain>
</file>

<file path=xl/sharedStrings.xml><?xml version="1.0" encoding="utf-8"?>
<sst xmlns="http://schemas.openxmlformats.org/spreadsheetml/2006/main" count="793" uniqueCount="191">
  <si>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</si>
  <si>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</si>
  <si>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</si>
  <si>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</si>
  <si>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</si>
  <si>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</si>
  <si>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</si>
  <si>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</si>
  <si>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</si>
  <si>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</si>
  <si>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</si>
  <si>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</si>
  <si>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</si>
  <si>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RECU</t>
  </si>
  <si>
    <t>RETRAIT</t>
  </si>
  <si>
    <t>RESTAURATION</t>
  </si>
  <si>
    <t>SALAIRE</t>
  </si>
  <si>
    <t>SANTE</t>
  </si>
  <si>
    <t>SOCIAL</t>
  </si>
  <si>
    <t>TRANSPORT</t>
  </si>
  <si>
    <t>VESTIMENTAIRE</t>
  </si>
  <si>
    <t>VIREMENT</t>
  </si>
  <si>
    <t>CATEGORIE</t>
  </si>
  <si>
    <t>MOIS</t>
  </si>
  <si>
    <t>Janvier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</si>
  <si>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</si>
  <si>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</si>
  <si>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</si>
  <si>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</si>
  <si>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</si>
  <si>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</si>
  <si>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</si>
  <si>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</si>
  <si>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</si>
  <si>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</si>
  <si>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</si>
  <si>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</si>
  <si>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VERSEMENT</t>
  </si>
  <si>
    <t>INDEX</t>
  </si>
  <si>
    <t>Zone catégorie</t>
  </si>
  <si>
    <t>Aide départementale</t>
  </si>
  <si>
    <t>Aide régionale</t>
  </si>
  <si>
    <t>Aide transport</t>
  </si>
  <si>
    <t>Amazon</t>
  </si>
  <si>
    <t>Anime Digital Network</t>
  </si>
  <si>
    <t>Anniversaire</t>
  </si>
  <si>
    <t>Assurance pret perso.</t>
  </si>
  <si>
    <t>Assurance Tout Mobile</t>
  </si>
  <si>
    <t>Bar</t>
  </si>
  <si>
    <t>Bershka</t>
  </si>
  <si>
    <t>Best Secret</t>
  </si>
  <si>
    <t>Billard</t>
  </si>
  <si>
    <t>Bistro Boheme</t>
  </si>
  <si>
    <t>Blablacar</t>
  </si>
  <si>
    <t>Blablacar remboursement</t>
  </si>
  <si>
    <t>Boulangerie</t>
  </si>
  <si>
    <t>Burger King</t>
  </si>
  <si>
    <t>Câble</t>
  </si>
  <si>
    <t>Cadeau</t>
  </si>
  <si>
    <t>Campo Verde</t>
  </si>
  <si>
    <t>Carrefour</t>
  </si>
  <si>
    <t>Carte sans contact</t>
  </si>
  <si>
    <t>Celio</t>
  </si>
  <si>
    <t>Chinois</t>
  </si>
  <si>
    <t>Cinéma</t>
  </si>
  <si>
    <t>Coiffeur</t>
  </si>
  <si>
    <t>Composants</t>
  </si>
  <si>
    <t>Compte à composer</t>
  </si>
  <si>
    <t>Compte en négatif</t>
  </si>
  <si>
    <t>Cotisation carte banquaire</t>
  </si>
  <si>
    <t>Crescendo</t>
  </si>
  <si>
    <t>Dentiste</t>
  </si>
  <si>
    <t>Distri Center</t>
  </si>
  <si>
    <t>Docteur</t>
  </si>
  <si>
    <t>Easy Cash</t>
  </si>
  <si>
    <t>Ebay</t>
  </si>
  <si>
    <t>Enchere VIP</t>
  </si>
  <si>
    <t>Espace Culturel</t>
  </si>
  <si>
    <t>Essence</t>
  </si>
  <si>
    <t>Fast Food</t>
  </si>
  <si>
    <t>Flunch</t>
  </si>
  <si>
    <t>Fortnite</t>
  </si>
  <si>
    <t>Forum Food</t>
  </si>
  <si>
    <t>Fournil 113</t>
  </si>
  <si>
    <t>Fournil Gascon</t>
  </si>
  <si>
    <t>Frais d'irr.et incident</t>
  </si>
  <si>
    <t>Géant Casino</t>
  </si>
  <si>
    <t>GearBest</t>
  </si>
  <si>
    <t>Gémo</t>
  </si>
  <si>
    <t>Google Play</t>
  </si>
  <si>
    <t>H&amp;M</t>
  </si>
  <si>
    <t>HFC</t>
  </si>
  <si>
    <t>HP OMEN</t>
  </si>
  <si>
    <t>Impôts</t>
  </si>
  <si>
    <t>Imprimerie</t>
  </si>
  <si>
    <t>Indigo Weel</t>
  </si>
  <si>
    <t>Instant Gaming</t>
  </si>
  <si>
    <t>Intermarché</t>
  </si>
  <si>
    <t>iOffer</t>
  </si>
  <si>
    <t>Jump Arena</t>
  </si>
  <si>
    <t>Just Eat</t>
  </si>
  <si>
    <t>Kebab</t>
  </si>
  <si>
    <t>KFC</t>
  </si>
  <si>
    <t>Le Bistro Régent</t>
  </si>
  <si>
    <t>Le Bon Coin</t>
  </si>
  <si>
    <t>Leclerc</t>
  </si>
  <si>
    <t>Lidl</t>
  </si>
  <si>
    <t>Lineage II</t>
  </si>
  <si>
    <t>Loyer</t>
  </si>
  <si>
    <t>Macdonald's</t>
  </si>
  <si>
    <t>Netflix</t>
  </si>
  <si>
    <t>Noël</t>
  </si>
  <si>
    <t>Onedrive</t>
  </si>
  <si>
    <t>Ophtalmologue</t>
  </si>
  <si>
    <t>Opticien</t>
  </si>
  <si>
    <t>Orange</t>
  </si>
  <si>
    <t>O'Tacos</t>
  </si>
  <si>
    <t>Part sociale</t>
  </si>
  <si>
    <t>Patinoire</t>
  </si>
  <si>
    <t>Péage</t>
  </si>
  <si>
    <t>Permis 1€</t>
  </si>
  <si>
    <t>Pharmacie</t>
  </si>
  <si>
    <t>Photomaton</t>
  </si>
  <si>
    <t>Pièces</t>
  </si>
  <si>
    <t>Pièces Moto</t>
  </si>
  <si>
    <t>Remise de chèque</t>
  </si>
  <si>
    <t>Réparation Moto</t>
  </si>
  <si>
    <t>Repas</t>
  </si>
  <si>
    <t>Restitution de fonds</t>
  </si>
  <si>
    <t>Retrait Artigues</t>
  </si>
  <si>
    <t>Retrait Bazeille</t>
  </si>
  <si>
    <t>Retrait Cocumont</t>
  </si>
  <si>
    <t>Retrait Marmande</t>
  </si>
  <si>
    <t>Retrait Talence</t>
  </si>
  <si>
    <t>Salaire</t>
  </si>
  <si>
    <t>Spotify</t>
  </si>
  <si>
    <t>Steam</t>
  </si>
  <si>
    <t>Super U</t>
  </si>
  <si>
    <t>Taxe foncière</t>
  </si>
  <si>
    <t>Train</t>
  </si>
  <si>
    <t>Transport Bordeaux</t>
  </si>
  <si>
    <t>Uber Eat</t>
  </si>
  <si>
    <t>Virement Julie -</t>
  </si>
  <si>
    <t>Virement Julie +</t>
  </si>
  <si>
    <t>Virement Laurent +</t>
  </si>
  <si>
    <t>Virement Maman -</t>
  </si>
  <si>
    <t>Virement Maman +</t>
  </si>
  <si>
    <t>Wakanim</t>
  </si>
  <si>
    <t>Wish</t>
  </si>
  <si>
    <t>Wish remboursement</t>
  </si>
  <si>
    <t>Youtube</t>
  </si>
  <si>
    <t>Zara</t>
  </si>
  <si>
    <t>Divers</t>
  </si>
  <si>
    <t>Restaurant</t>
  </si>
  <si>
    <t>Piece HP OMEN</t>
  </si>
  <si>
    <t>Remboursement E-assiste</t>
  </si>
  <si>
    <t>E-assiste</t>
  </si>
  <si>
    <t>Versement espèce</t>
  </si>
  <si>
    <t>Centrakor</t>
  </si>
  <si>
    <t>Joom</t>
  </si>
  <si>
    <t>DATE</t>
  </si>
  <si>
    <t>DESCRIPTION</t>
  </si>
  <si>
    <t>ccccc</t>
  </si>
  <si>
    <t>DEBIT</t>
  </si>
  <si>
    <t>Date de la dernière mise à jour :</t>
  </si>
  <si>
    <t>Margot Quentin</t>
  </si>
  <si>
    <t>Créateur :</t>
  </si>
  <si>
    <t>TYPES DE COMPTE</t>
  </si>
  <si>
    <t>N° DE COMPTE</t>
  </si>
  <si>
    <t>OPERATION</t>
  </si>
  <si>
    <t>DEVISE</t>
  </si>
  <si>
    <t>TYPE DE COMPTE</t>
  </si>
  <si>
    <t>N° DE COMTE</t>
  </si>
  <si>
    <t>COMPTE COURANT</t>
  </si>
  <si>
    <t>COMPTE EPARGNE</t>
  </si>
  <si>
    <t>ACCEUIL</t>
  </si>
  <si>
    <t>INDEX SCROLLBAR</t>
  </si>
  <si>
    <t>MAX TAB INDEX</t>
  </si>
  <si>
    <t>MIN TAB INDEX</t>
  </si>
  <si>
    <t>ETAT</t>
  </si>
  <si>
    <t>Virement LJMO +</t>
  </si>
  <si>
    <t>RETRAIT LJMO</t>
  </si>
  <si>
    <t>Placement LJMO</t>
  </si>
  <si>
    <t>PLACEMENT LJMO</t>
  </si>
  <si>
    <t>TOTAUX CCHQ</t>
  </si>
  <si>
    <t>TOTAUX LJMO</t>
  </si>
  <si>
    <t>TABLEAU DE COMPTE COURANT</t>
  </si>
  <si>
    <t>TABLEAU DE COMPTE EPARGNE</t>
  </si>
  <si>
    <t>TABLEAU D'OPERATION TOTAL</t>
  </si>
  <si>
    <t>TABLEAU DE COMPTABILITE LJMO</t>
  </si>
  <si>
    <t>TABLEAU DE COMPTABILITE CCHQ/MOIS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</si>
</sst>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mmmm"/>
    <numFmt numFmtId="166" formatCode="_-* #,##0.00\ [$€-40C]_-;\-* #,##0.00\ [$€-40C]_-;_-* &quot;-&quot;??\ [$€-40C]_-;_-@_-"/>
    <numFmt numFmtId="167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badi"/>
      <family val="2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name val="Abadi"/>
      <family val="2"/>
    </font>
    <font>
      <b/>
      <sz val="14"/>
      <color rgb="FF3F3F3F"/>
      <name val="Abadi"/>
      <family val="2"/>
    </font>
    <font>
      <sz val="14"/>
      <color theme="1"/>
      <name val="Abad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A5A5A5"/>
      </patternFill>
    </fill>
    <fill>
      <patternFill patternType="solid">
        <fgColor theme="9" tint="0.79998168889431442"/>
        <bgColor indexed="65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/>
      <top/>
      <bottom style="thin">
        <color theme="9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/>
      <right/>
      <top/>
      <bottom style="thin">
        <color rgb="FF3F3F3F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9" tint="0.59999389629810485"/>
      </left>
      <right/>
      <top/>
      <bottom/>
      <diagonal/>
    </border>
    <border>
      <left/>
      <right style="thin">
        <color theme="9" tint="0.59999389629810485"/>
      </right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ck">
        <color theme="6" tint="-0.24994659260841701"/>
      </left>
      <right style="double">
        <color rgb="FF3F3F3F"/>
      </right>
      <top style="thick">
        <color theme="6" tint="-0.24994659260841701"/>
      </top>
      <bottom style="double">
        <color rgb="FF3F3F3F"/>
      </bottom>
      <diagonal/>
    </border>
    <border>
      <left style="double">
        <color rgb="FF3F3F3F"/>
      </left>
      <right style="thick">
        <color theme="6" tint="-0.24994659260841701"/>
      </right>
      <top style="thick">
        <color theme="6" tint="-0.24994659260841701"/>
      </top>
      <bottom style="double">
        <color rgb="FF3F3F3F"/>
      </bottom>
      <diagonal/>
    </border>
    <border>
      <left style="thick">
        <color theme="6" tint="-0.24994659260841701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thick">
        <color theme="6" tint="-0.24994659260841701"/>
      </right>
      <top style="double">
        <color rgb="FF3F3F3F"/>
      </top>
      <bottom style="double">
        <color rgb="FF3F3F3F"/>
      </bottom>
      <diagonal/>
    </border>
    <border>
      <left style="thick">
        <color theme="6" tint="-0.24994659260841701"/>
      </left>
      <right style="double">
        <color rgb="FF3F3F3F"/>
      </right>
      <top style="double">
        <color rgb="FF3F3F3F"/>
      </top>
      <bottom style="thick">
        <color theme="6" tint="-0.24994659260841701"/>
      </bottom>
      <diagonal/>
    </border>
    <border>
      <left style="double">
        <color rgb="FF3F3F3F"/>
      </left>
      <right style="thick">
        <color theme="6" tint="-0.24994659260841701"/>
      </right>
      <top style="double">
        <color rgb="FF3F3F3F"/>
      </top>
      <bottom style="thick">
        <color theme="6" tint="-0.24994659260841701"/>
      </bottom>
      <diagonal/>
    </border>
    <border>
      <left style="thick">
        <color theme="6" tint="-0.24994659260841701"/>
      </left>
      <right style="thick">
        <color theme="6" tint="-0.24994659260841701"/>
      </right>
      <top style="thick">
        <color theme="6" tint="-0.24994659260841701"/>
      </top>
      <bottom style="double">
        <color rgb="FF3F3F3F"/>
      </bottom>
      <diagonal/>
    </border>
    <border>
      <left style="thick">
        <color theme="6" tint="-0.24994659260841701"/>
      </left>
      <right style="thick">
        <color theme="6" tint="-0.24994659260841701"/>
      </right>
      <top style="double">
        <color rgb="FF3F3F3F"/>
      </top>
      <bottom style="double">
        <color rgb="FF3F3F3F"/>
      </bottom>
      <diagonal/>
    </border>
    <border>
      <left style="thick">
        <color theme="6" tint="-0.24994659260841701"/>
      </left>
      <right style="thick">
        <color theme="6" tint="-0.24994659260841701"/>
      </right>
      <top style="double">
        <color rgb="FF3F3F3F"/>
      </top>
      <bottom style="thick">
        <color theme="6" tint="-0.24994659260841701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6" fillId="3" borderId="0" applyNumberFormat="0" applyBorder="0" applyAlignment="0" applyProtection="0"/>
    <xf numFmtId="0" fontId="7" fillId="4" borderId="11" applyNumberFormat="0" applyAlignment="0" applyProtection="0"/>
    <xf numFmtId="0" fontId="2" fillId="8" borderId="19" applyNumberFormat="0" applyAlignment="0" applyProtection="0"/>
    <xf numFmtId="0" fontId="1" fillId="9" borderId="0" applyNumberFormat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2" borderId="10" xfId="0" applyFont="1" applyFill="1" applyBorder="1" applyAlignment="1">
      <alignment horizontal="left" vertical="center"/>
    </xf>
    <xf numFmtId="0" fontId="0" fillId="2" borderId="0" xfId="0" applyFill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2" borderId="10" xfId="0" applyFill="1" applyBorder="1"/>
    <xf numFmtId="14" fontId="3" fillId="2" borderId="12" xfId="0" applyNumberFormat="1" applyFont="1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2" borderId="6" xfId="0" applyNumberFormat="1" applyFill="1" applyBorder="1" applyAlignment="1">
      <alignment horizontal="center" vertical="center"/>
    </xf>
    <xf numFmtId="164" fontId="0" fillId="5" borderId="8" xfId="1" applyNumberFormat="1" applyFont="1" applyFill="1" applyBorder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14" fontId="0" fillId="5" borderId="8" xfId="0" applyNumberFormat="1" applyFont="1" applyFill="1" applyBorder="1" applyAlignment="1">
      <alignment horizontal="center" vertical="center"/>
    </xf>
    <xf numFmtId="0" fontId="0" fillId="5" borderId="8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4" fontId="0" fillId="0" borderId="8" xfId="1" applyNumberFormat="1" applyFon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1" applyNumberFormat="1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164" fontId="14" fillId="0" borderId="5" xfId="0" applyNumberFormat="1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0" fillId="7" borderId="4" xfId="0" applyFont="1" applyFill="1" applyBorder="1" applyAlignment="1">
      <alignment horizontal="center" vertical="center"/>
    </xf>
    <xf numFmtId="164" fontId="0" fillId="7" borderId="4" xfId="0" applyNumberFormat="1" applyFont="1" applyFill="1" applyBorder="1" applyAlignment="1">
      <alignment horizontal="center" vertical="center"/>
    </xf>
    <xf numFmtId="14" fontId="0" fillId="7" borderId="15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4" fontId="0" fillId="7" borderId="0" xfId="0" applyNumberFormat="1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164" fontId="0" fillId="7" borderId="16" xfId="0" applyNumberFormat="1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17" xfId="0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1" fillId="9" borderId="27" xfId="5" applyNumberFormat="1" applyBorder="1" applyAlignment="1">
      <alignment horizontal="center" vertical="center"/>
    </xf>
    <xf numFmtId="164" fontId="1" fillId="9" borderId="28" xfId="5" applyNumberFormat="1" applyBorder="1" applyAlignment="1">
      <alignment horizontal="center" vertical="center"/>
    </xf>
    <xf numFmtId="0" fontId="15" fillId="8" borderId="26" xfId="4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3" fillId="2" borderId="10" xfId="0" applyFont="1" applyFill="1" applyBorder="1" applyAlignment="1">
      <alignment horizontal="right" vertical="center"/>
    </xf>
    <xf numFmtId="167" fontId="3" fillId="2" borderId="9" xfId="0" applyNumberFormat="1" applyFont="1" applyFill="1" applyBorder="1" applyAlignment="1">
      <alignment horizontal="right" vertical="center"/>
    </xf>
    <xf numFmtId="14" fontId="0" fillId="2" borderId="6" xfId="0" applyNumberFormat="1" applyFill="1" applyBorder="1" applyAlignment="1">
      <alignment horizontal="center" vertical="center"/>
    </xf>
    <xf numFmtId="0" fontId="1" fillId="9" borderId="24" xfId="5" applyBorder="1" applyAlignment="1">
      <alignment horizontal="center" vertical="center"/>
    </xf>
    <xf numFmtId="0" fontId="1" fillId="9" borderId="25" xfId="5" applyBorder="1" applyAlignment="1">
      <alignment horizontal="center" vertical="center"/>
    </xf>
    <xf numFmtId="0" fontId="1" fillId="9" borderId="22" xfId="5" applyBorder="1" applyAlignment="1">
      <alignment horizontal="center" vertical="center"/>
    </xf>
    <xf numFmtId="0" fontId="1" fillId="9" borderId="23" xfId="5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10" fillId="4" borderId="11" xfId="3" applyFont="1" applyAlignment="1">
      <alignment horizontal="center" vertical="center"/>
    </xf>
    <xf numFmtId="0" fontId="9" fillId="3" borderId="0" xfId="2" applyFont="1" applyAlignment="1">
      <alignment horizontal="center" vertical="center"/>
    </xf>
    <xf numFmtId="164" fontId="9" fillId="3" borderId="0" xfId="2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15" fillId="8" borderId="20" xfId="4" applyFont="1" applyBorder="1" applyAlignment="1">
      <alignment horizontal="center" vertical="center"/>
    </xf>
    <xf numFmtId="0" fontId="15" fillId="8" borderId="21" xfId="4" applyFont="1" applyBorder="1" applyAlignment="1">
      <alignment horizontal="center" vertical="center"/>
    </xf>
    <xf numFmtId="14" fontId="1" fillId="9" borderId="22" xfId="5" applyNumberFormat="1" applyBorder="1" applyAlignment="1">
      <alignment horizontal="center" vertical="center"/>
    </xf>
    <xf numFmtId="0" fontId="11" fillId="2" borderId="0" xfId="0" applyFont="1" applyFill="1" applyAlignment="1">
      <alignment horizontal="center"/>
    </xf>
    <xf numFmtId="0" fontId="11" fillId="2" borderId="10" xfId="0" applyFont="1" applyFill="1" applyBorder="1" applyAlignment="1">
      <alignment horizontal="center"/>
    </xf>
    <xf numFmtId="14" fontId="1" fillId="9" borderId="24" xfId="5" applyNumberFormat="1" applyBorder="1" applyAlignment="1">
      <alignment horizontal="center" vertical="center"/>
    </xf>
  </cellXfs>
  <cellStyles count="6">
    <cellStyle name="20 % - Accent6" xfId="5" builtinId="50"/>
    <cellStyle name="Monétaire" xfId="1" builtinId="4"/>
    <cellStyle name="Normal" xfId="0" builtinId="0"/>
    <cellStyle name="Satisfaisant" xfId="2" builtinId="26"/>
    <cellStyle name="Sortie" xfId="3" builtinId="21"/>
    <cellStyle name="Vérification" xfId="4" builtinId="23"/>
  </cellStyles>
  <dxfs count="84">
    <dxf>
      <fill>
        <patternFill>
          <bgColor rgb="FFFF0000"/>
        </patternFill>
      </fill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16"/>
        <color auto="1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Drop" dropLines="12" dropStyle="combo" dx="22" fmlaLink="'TABLEAU DE COMPTE'!$X$2" fmlaRange="LISTING!$I$2:$I$13" sel="2" val="0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omptes!A1"/><Relationship Id="rId2" Type="http://schemas.openxmlformats.org/officeDocument/2006/relationships/image" Target="../media/image4.svg"/><Relationship Id="rId1" Type="http://schemas.openxmlformats.org/officeDocument/2006/relationships/image" Target="../media/image3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hyperlink" Target="#Credits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svg"/><Relationship Id="rId3" Type="http://schemas.openxmlformats.org/officeDocument/2006/relationships/image" Target="../media/image3.png"/><Relationship Id="rId7" Type="http://schemas.openxmlformats.org/officeDocument/2006/relationships/image" Target="../media/image10.png"/><Relationship Id="rId12" Type="http://schemas.openxmlformats.org/officeDocument/2006/relationships/image" Target="../media/image15.svg"/><Relationship Id="rId2" Type="http://schemas.openxmlformats.org/officeDocument/2006/relationships/image" Target="../media/image9.svg"/><Relationship Id="rId1" Type="http://schemas.openxmlformats.org/officeDocument/2006/relationships/image" Target="../media/image8.png"/><Relationship Id="rId6" Type="http://schemas.openxmlformats.org/officeDocument/2006/relationships/hyperlink" Target="#Accueil!A1"/><Relationship Id="rId11" Type="http://schemas.openxmlformats.org/officeDocument/2006/relationships/image" Target="../media/image14.png"/><Relationship Id="rId5" Type="http://schemas.openxmlformats.org/officeDocument/2006/relationships/hyperlink" Target="#Credits!A1"/><Relationship Id="rId10" Type="http://schemas.openxmlformats.org/officeDocument/2006/relationships/image" Target="../media/image13.svg"/><Relationship Id="rId4" Type="http://schemas.openxmlformats.org/officeDocument/2006/relationships/image" Target="../media/image4.svg"/><Relationship Id="rId9" Type="http://schemas.openxmlformats.org/officeDocument/2006/relationships/image" Target="../media/image12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Comptes!A1"/><Relationship Id="rId3" Type="http://schemas.openxmlformats.org/officeDocument/2006/relationships/image" Target="../media/image8.png"/><Relationship Id="rId7" Type="http://schemas.openxmlformats.org/officeDocument/2006/relationships/image" Target="../media/image11.svg"/><Relationship Id="rId2" Type="http://schemas.openxmlformats.org/officeDocument/2006/relationships/image" Target="../media/image4.svg"/><Relationship Id="rId1" Type="http://schemas.openxmlformats.org/officeDocument/2006/relationships/image" Target="../media/image3.png"/><Relationship Id="rId6" Type="http://schemas.openxmlformats.org/officeDocument/2006/relationships/image" Target="../media/image10.png"/><Relationship Id="rId5" Type="http://schemas.openxmlformats.org/officeDocument/2006/relationships/hyperlink" Target="#Accueil!A1"/><Relationship Id="rId4" Type="http://schemas.openxmlformats.org/officeDocument/2006/relationships/image" Target="../media/image9.sv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svg"/><Relationship Id="rId13" Type="http://schemas.openxmlformats.org/officeDocument/2006/relationships/image" Target="../media/image22.png"/><Relationship Id="rId18" Type="http://schemas.openxmlformats.org/officeDocument/2006/relationships/image" Target="../media/image25.svg"/><Relationship Id="rId3" Type="http://schemas.openxmlformats.org/officeDocument/2006/relationships/image" Target="../media/image18.png"/><Relationship Id="rId7" Type="http://schemas.openxmlformats.org/officeDocument/2006/relationships/image" Target="../media/image14.png"/><Relationship Id="rId12" Type="http://schemas.openxmlformats.org/officeDocument/2006/relationships/image" Target="../media/image11.svg"/><Relationship Id="rId17" Type="http://schemas.openxmlformats.org/officeDocument/2006/relationships/image" Target="../media/image24.png"/><Relationship Id="rId2" Type="http://schemas.openxmlformats.org/officeDocument/2006/relationships/image" Target="../media/image17.svg"/><Relationship Id="rId16" Type="http://schemas.openxmlformats.org/officeDocument/2006/relationships/image" Target="../media/image9.svg"/><Relationship Id="rId1" Type="http://schemas.openxmlformats.org/officeDocument/2006/relationships/image" Target="../media/image16.png"/><Relationship Id="rId6" Type="http://schemas.openxmlformats.org/officeDocument/2006/relationships/image" Target="../media/image21.svg"/><Relationship Id="rId11" Type="http://schemas.openxmlformats.org/officeDocument/2006/relationships/image" Target="../media/image10.png"/><Relationship Id="rId5" Type="http://schemas.openxmlformats.org/officeDocument/2006/relationships/image" Target="../media/image20.png"/><Relationship Id="rId15" Type="http://schemas.openxmlformats.org/officeDocument/2006/relationships/image" Target="../media/image8.png"/><Relationship Id="rId10" Type="http://schemas.openxmlformats.org/officeDocument/2006/relationships/image" Target="../media/image13.svg"/><Relationship Id="rId4" Type="http://schemas.openxmlformats.org/officeDocument/2006/relationships/image" Target="../media/image19.svg"/><Relationship Id="rId9" Type="http://schemas.openxmlformats.org/officeDocument/2006/relationships/image" Target="../media/image12.png"/><Relationship Id="rId14" Type="http://schemas.openxmlformats.org/officeDocument/2006/relationships/image" Target="../media/image23.sv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38100</xdr:colOff>
          <xdr:row>5</xdr:row>
          <xdr:rowOff>9525</xdr:rowOff>
        </xdr:from>
        <xdr:to>
          <xdr:col>23</xdr:col>
          <xdr:colOff>276225</xdr:colOff>
          <xdr:row>11</xdr:row>
          <xdr:rowOff>0</xdr:rowOff>
        </xdr:to>
        <xdr:sp macro="" textlink="">
          <xdr:nvSpPr>
            <xdr:cNvPr id="21514" name="ScrollBar1" hidden="1">
              <a:extLst>
                <a:ext uri="{63B3BB69-23CF-44E3-9099-C40C66FF867C}">
                  <a14:compatExt spid="_x0000_s21514"/>
                </a:ext>
                <a:ext uri="{FF2B5EF4-FFF2-40B4-BE49-F238E27FC236}">
                  <a16:creationId xmlns:a16="http://schemas.microsoft.com/office/drawing/2014/main" id="{00000000-0008-0000-0200-00000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4</xdr:row>
          <xdr:rowOff>47625</xdr:rowOff>
        </xdr:from>
        <xdr:to>
          <xdr:col>15</xdr:col>
          <xdr:colOff>200025</xdr:colOff>
          <xdr:row>10</xdr:row>
          <xdr:rowOff>9525</xdr:rowOff>
        </xdr:to>
        <xdr:sp macro="" textlink="">
          <xdr:nvSpPr>
            <xdr:cNvPr id="21515" name="ScrollBar2" hidden="1">
              <a:extLst>
                <a:ext uri="{63B3BB69-23CF-44E3-9099-C40C66FF867C}">
                  <a14:compatExt spid="_x0000_s21515"/>
                </a:ext>
                <a:ext uri="{FF2B5EF4-FFF2-40B4-BE49-F238E27FC236}">
                  <a16:creationId xmlns:a16="http://schemas.microsoft.com/office/drawing/2014/main" id="{00000000-0008-0000-0200-00000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3</xdr:row>
      <xdr:rowOff>19050</xdr:rowOff>
    </xdr:from>
    <xdr:ext cx="1514475" cy="1495425"/>
    <xdr:pic>
      <xdr:nvPicPr>
        <xdr:cNvPr id="2" name="Graphique 1" descr="Domicile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86000" y="1162050"/>
          <a:ext cx="1514475" cy="1495425"/>
        </a:xfrm>
        <a:prstGeom prst="rect">
          <a:avLst/>
        </a:prstGeom>
      </xdr:spPr>
    </xdr:pic>
    <xdr:clientData/>
  </xdr:oneCellAnchor>
  <xdr:twoCellAnchor>
    <xdr:from>
      <xdr:col>3</xdr:col>
      <xdr:colOff>295275</xdr:colOff>
      <xdr:row>11</xdr:row>
      <xdr:rowOff>180975</xdr:rowOff>
    </xdr:from>
    <xdr:to>
      <xdr:col>8</xdr:col>
      <xdr:colOff>295275</xdr:colOff>
      <xdr:row>11</xdr:row>
      <xdr:rowOff>180975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CxnSpPr/>
      </xdr:nvCxnSpPr>
      <xdr:spPr>
        <a:xfrm>
          <a:off x="2581275" y="2657475"/>
          <a:ext cx="3810000" cy="0"/>
        </a:xfrm>
        <a:prstGeom prst="line">
          <a:avLst/>
        </a:prstGeom>
        <a:ln w="19050">
          <a:solidFill>
            <a:schemeClr val="accent6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8</xdr:row>
      <xdr:rowOff>142876</xdr:rowOff>
    </xdr:from>
    <xdr:to>
      <xdr:col>8</xdr:col>
      <xdr:colOff>609600</xdr:colOff>
      <xdr:row>12</xdr:row>
      <xdr:rowOff>66676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3848100" y="1666876"/>
          <a:ext cx="2895600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>
              <a:latin typeface="Abadi" panose="020B0604020104020204" pitchFamily="34" charset="0"/>
            </a:rPr>
            <a:t>ACCUEIL</a:t>
          </a:r>
        </a:p>
      </xdr:txBody>
    </xdr:sp>
    <xdr:clientData/>
  </xdr:twoCellAnchor>
  <xdr:twoCellAnchor>
    <xdr:from>
      <xdr:col>3</xdr:col>
      <xdr:colOff>628650</xdr:colOff>
      <xdr:row>13</xdr:row>
      <xdr:rowOff>180976</xdr:rowOff>
    </xdr:from>
    <xdr:to>
      <xdr:col>6</xdr:col>
      <xdr:colOff>381000</xdr:colOff>
      <xdr:row>17</xdr:row>
      <xdr:rowOff>104776</xdr:rowOff>
    </xdr:to>
    <xdr:sp macro="" textlink="">
      <xdr:nvSpPr>
        <xdr:cNvPr id="32" name="ZoneTexte 3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 txBox="1"/>
      </xdr:nvSpPr>
      <xdr:spPr>
        <a:xfrm>
          <a:off x="2847975" y="2657476"/>
          <a:ext cx="2143125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l"/>
          <a:r>
            <a:rPr lang="fr-FR" sz="3600" baseline="0">
              <a:latin typeface="Abadi" panose="020B0604020104020204" pitchFamily="34" charset="0"/>
            </a:rPr>
            <a:t>COMPTES</a:t>
          </a:r>
        </a:p>
      </xdr:txBody>
    </xdr:sp>
    <xdr:clientData/>
  </xdr:twoCellAnchor>
  <xdr:twoCellAnchor>
    <xdr:from>
      <xdr:col>3</xdr:col>
      <xdr:colOff>619125</xdr:colOff>
      <xdr:row>16</xdr:row>
      <xdr:rowOff>95251</xdr:rowOff>
    </xdr:from>
    <xdr:to>
      <xdr:col>6</xdr:col>
      <xdr:colOff>209549</xdr:colOff>
      <xdr:row>20</xdr:row>
      <xdr:rowOff>19051</xdr:rowOff>
    </xdr:to>
    <xdr:sp macro="" textlink="">
      <xdr:nvSpPr>
        <xdr:cNvPr id="33" name="ZoneTexte 3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 txBox="1"/>
      </xdr:nvSpPr>
      <xdr:spPr>
        <a:xfrm>
          <a:off x="2838450" y="3143251"/>
          <a:ext cx="1981199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l"/>
          <a:r>
            <a:rPr lang="fr-FR" sz="3600" baseline="0">
              <a:latin typeface="Abadi" panose="020B0604020104020204" pitchFamily="34" charset="0"/>
            </a:rPr>
            <a:t>CREDITS</a:t>
          </a:r>
        </a:p>
      </xdr:txBody>
    </xdr:sp>
    <xdr:clientData/>
  </xdr:twoCellAnchor>
  <xdr:twoCellAnchor>
    <xdr:from>
      <xdr:col>3</xdr:col>
      <xdr:colOff>323850</xdr:colOff>
      <xdr:row>18</xdr:row>
      <xdr:rowOff>180976</xdr:rowOff>
    </xdr:from>
    <xdr:to>
      <xdr:col>7</xdr:col>
      <xdr:colOff>66675</xdr:colOff>
      <xdr:row>22</xdr:row>
      <xdr:rowOff>104776</xdr:rowOff>
    </xdr:to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 txBox="1"/>
      </xdr:nvSpPr>
      <xdr:spPr>
        <a:xfrm>
          <a:off x="2543175" y="3609976"/>
          <a:ext cx="2895600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 baseline="0">
              <a:latin typeface="Abadi" panose="020B0604020104020204" pitchFamily="34" charset="0"/>
            </a:rPr>
            <a:t>EPARGNES</a:t>
          </a:r>
        </a:p>
      </xdr:txBody>
    </xdr:sp>
    <xdr:clientData/>
  </xdr:twoCellAnchor>
  <xdr:twoCellAnchor>
    <xdr:from>
      <xdr:col>3</xdr:col>
      <xdr:colOff>561974</xdr:colOff>
      <xdr:row>21</xdr:row>
      <xdr:rowOff>47626</xdr:rowOff>
    </xdr:from>
    <xdr:to>
      <xdr:col>7</xdr:col>
      <xdr:colOff>285750</xdr:colOff>
      <xdr:row>24</xdr:row>
      <xdr:rowOff>161926</xdr:rowOff>
    </xdr:to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SpPr txBox="1"/>
      </xdr:nvSpPr>
      <xdr:spPr>
        <a:xfrm>
          <a:off x="2781299" y="4048126"/>
          <a:ext cx="2876551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 baseline="0">
              <a:latin typeface="Abadi" panose="020B0604020104020204" pitchFamily="34" charset="0"/>
            </a:rPr>
            <a:t>ASSURANCES</a:t>
          </a:r>
        </a:p>
      </xdr:txBody>
    </xdr:sp>
    <xdr:clientData/>
  </xdr:twoCellAnchor>
  <xdr:twoCellAnchor>
    <xdr:from>
      <xdr:col>3</xdr:col>
      <xdr:colOff>561974</xdr:colOff>
      <xdr:row>23</xdr:row>
      <xdr:rowOff>152401</xdr:rowOff>
    </xdr:from>
    <xdr:to>
      <xdr:col>7</xdr:col>
      <xdr:colOff>304799</xdr:colOff>
      <xdr:row>27</xdr:row>
      <xdr:rowOff>76201</xdr:rowOff>
    </xdr:to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 txBox="1"/>
      </xdr:nvSpPr>
      <xdr:spPr>
        <a:xfrm>
          <a:off x="2781299" y="4533901"/>
          <a:ext cx="2895600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 baseline="0">
              <a:latin typeface="Abadi" panose="020B0604020104020204" pitchFamily="34" charset="0"/>
            </a:rPr>
            <a:t>E-DOCUMENT</a:t>
          </a:r>
        </a:p>
      </xdr:txBody>
    </xdr:sp>
    <xdr:clientData/>
  </xdr:twoCellAnchor>
  <xdr:twoCellAnchor>
    <xdr:from>
      <xdr:col>3</xdr:col>
      <xdr:colOff>200024</xdr:colOff>
      <xdr:row>26</xdr:row>
      <xdr:rowOff>66676</xdr:rowOff>
    </xdr:from>
    <xdr:to>
      <xdr:col>7</xdr:col>
      <xdr:colOff>409575</xdr:colOff>
      <xdr:row>29</xdr:row>
      <xdr:rowOff>180976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 txBox="1"/>
      </xdr:nvSpPr>
      <xdr:spPr>
        <a:xfrm>
          <a:off x="2419349" y="5019676"/>
          <a:ext cx="3362326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 baseline="0">
              <a:latin typeface="Abadi" panose="020B0604020104020204" pitchFamily="34" charset="0"/>
            </a:rPr>
            <a:t>PARAMÈTRE </a:t>
          </a:r>
        </a:p>
      </xdr:txBody>
    </xdr:sp>
    <xdr:clientData/>
  </xdr:twoCellAnchor>
  <xdr:oneCellAnchor>
    <xdr:from>
      <xdr:col>0</xdr:col>
      <xdr:colOff>161926</xdr:colOff>
      <xdr:row>0</xdr:row>
      <xdr:rowOff>0</xdr:rowOff>
    </xdr:from>
    <xdr:ext cx="441158" cy="419100"/>
    <xdr:pic>
      <xdr:nvPicPr>
        <xdr:cNvPr id="8" name="Graphique 7" descr="Employé(e) de bureau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61926" y="0"/>
          <a:ext cx="441158" cy="41910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9</xdr:row>
      <xdr:rowOff>85725</xdr:rowOff>
    </xdr:from>
    <xdr:to>
      <xdr:col>6</xdr:col>
      <xdr:colOff>95250</xdr:colOff>
      <xdr:row>9</xdr:row>
      <xdr:rowOff>85725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CxnSpPr/>
      </xdr:nvCxnSpPr>
      <xdr:spPr>
        <a:xfrm>
          <a:off x="266700" y="1800225"/>
          <a:ext cx="3762375" cy="0"/>
        </a:xfrm>
        <a:prstGeom prst="line">
          <a:avLst/>
        </a:prstGeom>
        <a:ln w="19050">
          <a:solidFill>
            <a:schemeClr val="accent6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361950</xdr:colOff>
      <xdr:row>7</xdr:row>
      <xdr:rowOff>57150</xdr:rowOff>
    </xdr:from>
    <xdr:to>
      <xdr:col>6</xdr:col>
      <xdr:colOff>19050</xdr:colOff>
      <xdr:row>9</xdr:row>
      <xdr:rowOff>85725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 txBox="1"/>
      </xdr:nvSpPr>
      <xdr:spPr>
        <a:xfrm>
          <a:off x="2543175" y="1390650"/>
          <a:ext cx="19431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latin typeface="Abadi" panose="020B0604020104020204" pitchFamily="34" charset="0"/>
            </a:rPr>
            <a:t>COMPTES</a:t>
          </a:r>
        </a:p>
      </xdr:txBody>
    </xdr:sp>
    <xdr:clientData/>
  </xdr:twoCellAnchor>
  <xdr:oneCellAnchor>
    <xdr:from>
      <xdr:col>1</xdr:col>
      <xdr:colOff>133350</xdr:colOff>
      <xdr:row>2</xdr:row>
      <xdr:rowOff>68355</xdr:rowOff>
    </xdr:from>
    <xdr:ext cx="1533525" cy="1533525"/>
    <xdr:pic>
      <xdr:nvPicPr>
        <xdr:cNvPr id="31" name="Graphique 30" descr="Portefeuille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33350" y="449355"/>
          <a:ext cx="1533525" cy="1533525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742950</xdr:colOff>
          <xdr:row>4</xdr:row>
          <xdr:rowOff>114300</xdr:rowOff>
        </xdr:from>
        <xdr:to>
          <xdr:col>19</xdr:col>
          <xdr:colOff>457200</xdr:colOff>
          <xdr:row>7</xdr:row>
          <xdr:rowOff>28575</xdr:rowOff>
        </xdr:to>
        <xdr:sp macro="" textlink="">
          <xdr:nvSpPr>
            <xdr:cNvPr id="18433" name="Drop Dow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4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0</xdr:col>
      <xdr:colOff>0</xdr:colOff>
      <xdr:row>0</xdr:row>
      <xdr:rowOff>1</xdr:rowOff>
    </xdr:from>
    <xdr:ext cx="390525" cy="385612"/>
    <xdr:pic>
      <xdr:nvPicPr>
        <xdr:cNvPr id="32" name="Graphique 31" descr="Domicile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0" y="1"/>
          <a:ext cx="390525" cy="385612"/>
        </a:xfrm>
        <a:prstGeom prst="rect">
          <a:avLst/>
        </a:prstGeom>
      </xdr:spPr>
    </xdr:pic>
    <xdr:clientData/>
  </xdr:oneCellAnchor>
  <xdr:twoCellAnchor>
    <xdr:from>
      <xdr:col>2</xdr:col>
      <xdr:colOff>19050</xdr:colOff>
      <xdr:row>0</xdr:row>
      <xdr:rowOff>9525</xdr:rowOff>
    </xdr:from>
    <xdr:to>
      <xdr:col>3</xdr:col>
      <xdr:colOff>342900</xdr:colOff>
      <xdr:row>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219200" y="9525"/>
          <a:ext cx="1304925" cy="371475"/>
        </a:xfrm>
        <a:prstGeom prst="rect">
          <a:avLst/>
        </a:prstGeom>
        <a:solidFill>
          <a:schemeClr val="bg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r"/>
          <a:r>
            <a:rPr lang="fr-FR" sz="1400">
              <a:latin typeface="Abadi" panose="020B0604020104020204" pitchFamily="34" charset="0"/>
            </a:rPr>
            <a:t>COMPTE</a:t>
          </a:r>
        </a:p>
      </xdr:txBody>
    </xdr:sp>
    <xdr:clientData/>
  </xdr:twoCellAnchor>
  <xdr:oneCellAnchor>
    <xdr:from>
      <xdr:col>2</xdr:col>
      <xdr:colOff>1</xdr:colOff>
      <xdr:row>0</xdr:row>
      <xdr:rowOff>0</xdr:rowOff>
    </xdr:from>
    <xdr:ext cx="390524" cy="390524"/>
    <xdr:pic>
      <xdr:nvPicPr>
        <xdr:cNvPr id="33" name="Graphique 32" descr="Portefeuille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504951" y="0"/>
          <a:ext cx="390524" cy="390524"/>
        </a:xfrm>
        <a:prstGeom prst="rect">
          <a:avLst/>
        </a:prstGeom>
      </xdr:spPr>
    </xdr:pic>
    <xdr:clientData/>
  </xdr:oneCellAnchor>
  <xdr:twoCellAnchor>
    <xdr:from>
      <xdr:col>3</xdr:col>
      <xdr:colOff>342899</xdr:colOff>
      <xdr:row>0</xdr:row>
      <xdr:rowOff>9525</xdr:rowOff>
    </xdr:from>
    <xdr:to>
      <xdr:col>4</xdr:col>
      <xdr:colOff>733425</xdr:colOff>
      <xdr:row>2</xdr:row>
      <xdr:rowOff>0</xdr:rowOff>
    </xdr:to>
    <xdr:sp macro="" textlink="">
      <xdr:nvSpPr>
        <xdr:cNvPr id="34" name="ZoneTexte 3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22000000}"/>
            </a:ext>
          </a:extLst>
        </xdr:cNvPr>
        <xdr:cNvSpPr txBox="1"/>
      </xdr:nvSpPr>
      <xdr:spPr>
        <a:xfrm>
          <a:off x="2524124" y="9525"/>
          <a:ext cx="1390651" cy="371475"/>
        </a:xfrm>
        <a:prstGeom prst="rect">
          <a:avLst/>
        </a:prstGeom>
        <a:solidFill>
          <a:sysClr val="window" lastClr="FFFF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r"/>
          <a:r>
            <a:rPr lang="fr-FR" sz="1400">
              <a:latin typeface="Abadi" panose="020B0604020104020204" pitchFamily="34" charset="0"/>
            </a:rPr>
            <a:t>CREDIT</a:t>
          </a:r>
        </a:p>
      </xdr:txBody>
    </xdr:sp>
    <xdr:clientData/>
  </xdr:twoCellAnchor>
  <xdr:twoCellAnchor>
    <xdr:from>
      <xdr:col>0</xdr:col>
      <xdr:colOff>19050</xdr:colOff>
      <xdr:row>0</xdr:row>
      <xdr:rowOff>19050</xdr:rowOff>
    </xdr:from>
    <xdr:to>
      <xdr:col>1</xdr:col>
      <xdr:colOff>723900</xdr:colOff>
      <xdr:row>1</xdr:row>
      <xdr:rowOff>171450</xdr:rowOff>
    </xdr:to>
    <xdr:sp macro="" textlink="">
      <xdr:nvSpPr>
        <xdr:cNvPr id="3" name="Rectangle 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9050" y="19050"/>
          <a:ext cx="1162050" cy="3429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409575</xdr:colOff>
      <xdr:row>0</xdr:row>
      <xdr:rowOff>0</xdr:rowOff>
    </xdr:from>
    <xdr:ext cx="409575" cy="409575"/>
    <xdr:pic>
      <xdr:nvPicPr>
        <xdr:cNvPr id="36" name="Graphique 35" descr="Argent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590800" y="0"/>
          <a:ext cx="409575" cy="409575"/>
        </a:xfrm>
        <a:prstGeom prst="rect">
          <a:avLst/>
        </a:prstGeom>
      </xdr:spPr>
    </xdr:pic>
    <xdr:clientData/>
  </xdr:oneCellAnchor>
  <xdr:oneCellAnchor>
    <xdr:from>
      <xdr:col>1</xdr:col>
      <xdr:colOff>152400</xdr:colOff>
      <xdr:row>11</xdr:row>
      <xdr:rowOff>85725</xdr:rowOff>
    </xdr:from>
    <xdr:ext cx="647775" cy="647775"/>
    <xdr:pic>
      <xdr:nvPicPr>
        <xdr:cNvPr id="35" name="Graphique 34" descr="Pièces">
          <a:extLst>
            <a:ext uri="{FF2B5EF4-FFF2-40B4-BE49-F238E27FC236}">
              <a16:creationId xmlns:a16="http://schemas.microsoft.com/office/drawing/2014/main" id="{00000000-0008-0000-04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609600" y="2171700"/>
          <a:ext cx="647775" cy="647775"/>
        </a:xfrm>
        <a:prstGeom prst="rect">
          <a:avLst/>
        </a:prstGeom>
      </xdr:spPr>
    </xdr:pic>
    <xdr:clientData/>
  </xdr:oneCellAnchor>
  <xdr:oneCellAnchor>
    <xdr:from>
      <xdr:col>1</xdr:col>
      <xdr:colOff>123825</xdr:colOff>
      <xdr:row>23</xdr:row>
      <xdr:rowOff>123825</xdr:rowOff>
    </xdr:from>
    <xdr:ext cx="619125" cy="619125"/>
    <xdr:pic>
      <xdr:nvPicPr>
        <xdr:cNvPr id="37" name="Graphique 36" descr="Tirelire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581025" y="4619625"/>
          <a:ext cx="619125" cy="619125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18</xdr:row>
          <xdr:rowOff>0</xdr:rowOff>
        </xdr:from>
        <xdr:to>
          <xdr:col>9</xdr:col>
          <xdr:colOff>142875</xdr:colOff>
          <xdr:row>24</xdr:row>
          <xdr:rowOff>0</xdr:rowOff>
        </xdr:to>
        <xdr:sp macro="" textlink="">
          <xdr:nvSpPr>
            <xdr:cNvPr id="18435" name="ScrollBar1" hidden="1">
              <a:extLst>
                <a:ext uri="{63B3BB69-23CF-44E3-9099-C40C66FF867C}">
                  <a14:compatExt spid="_x0000_s18435"/>
                </a:ext>
                <a:ext uri="{FF2B5EF4-FFF2-40B4-BE49-F238E27FC236}">
                  <a16:creationId xmlns:a16="http://schemas.microsoft.com/office/drawing/2014/main" id="{00000000-0008-0000-0400-00000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</xdr:rowOff>
    </xdr:from>
    <xdr:ext cx="390525" cy="385612"/>
    <xdr:pic>
      <xdr:nvPicPr>
        <xdr:cNvPr id="2" name="Graphique 1" descr="Domicile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0" y="1"/>
          <a:ext cx="390525" cy="385612"/>
        </a:xfrm>
        <a:prstGeom prst="rect">
          <a:avLst/>
        </a:prstGeom>
      </xdr:spPr>
    </xdr:pic>
    <xdr:clientData/>
  </xdr:oneCellAnchor>
  <xdr:oneCellAnchor>
    <xdr:from>
      <xdr:col>2</xdr:col>
      <xdr:colOff>1</xdr:colOff>
      <xdr:row>0</xdr:row>
      <xdr:rowOff>0</xdr:rowOff>
    </xdr:from>
    <xdr:ext cx="390524" cy="390524"/>
    <xdr:pic>
      <xdr:nvPicPr>
        <xdr:cNvPr id="4" name="Graphique 3" descr="Portefeuille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200151" y="0"/>
          <a:ext cx="390524" cy="390524"/>
        </a:xfrm>
        <a:prstGeom prst="rect">
          <a:avLst/>
        </a:prstGeom>
      </xdr:spPr>
    </xdr:pic>
    <xdr:clientData/>
  </xdr:oneCellAnchor>
  <xdr:twoCellAnchor>
    <xdr:from>
      <xdr:col>3</xdr:col>
      <xdr:colOff>542925</xdr:colOff>
      <xdr:row>0</xdr:row>
      <xdr:rowOff>9525</xdr:rowOff>
    </xdr:from>
    <xdr:to>
      <xdr:col>5</xdr:col>
      <xdr:colOff>323850</xdr:colOff>
      <xdr:row>2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2828925" y="9525"/>
          <a:ext cx="1304925" cy="371475"/>
        </a:xfrm>
        <a:prstGeom prst="rect">
          <a:avLst/>
        </a:prstGeom>
        <a:solidFill>
          <a:schemeClr val="bg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r"/>
          <a:r>
            <a:rPr lang="fr-FR" sz="1400">
              <a:latin typeface="Abadi" panose="020B0604020104020204" pitchFamily="34" charset="0"/>
            </a:rPr>
            <a:t>CREDIT</a:t>
          </a:r>
        </a:p>
      </xdr:txBody>
    </xdr:sp>
    <xdr:clientData/>
  </xdr:twoCellAnchor>
  <xdr:twoCellAnchor>
    <xdr:from>
      <xdr:col>0</xdr:col>
      <xdr:colOff>19050</xdr:colOff>
      <xdr:row>0</xdr:row>
      <xdr:rowOff>19050</xdr:rowOff>
    </xdr:from>
    <xdr:to>
      <xdr:col>1</xdr:col>
      <xdr:colOff>723900</xdr:colOff>
      <xdr:row>1</xdr:row>
      <xdr:rowOff>171450</xdr:rowOff>
    </xdr:to>
    <xdr:sp macro="" textlink="">
      <xdr:nvSpPr>
        <xdr:cNvPr id="6" name="Rectangle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19050" y="19050"/>
          <a:ext cx="1162050" cy="3429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571500</xdr:colOff>
      <xdr:row>0</xdr:row>
      <xdr:rowOff>0</xdr:rowOff>
    </xdr:from>
    <xdr:ext cx="409575" cy="409575"/>
    <xdr:pic>
      <xdr:nvPicPr>
        <xdr:cNvPr id="7" name="Graphique 6" descr="Argent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2857500" y="0"/>
          <a:ext cx="409575" cy="409575"/>
        </a:xfrm>
        <a:prstGeom prst="rect">
          <a:avLst/>
        </a:prstGeom>
      </xdr:spPr>
    </xdr:pic>
    <xdr:clientData/>
  </xdr:oneCellAnchor>
  <xdr:twoCellAnchor>
    <xdr:from>
      <xdr:col>2</xdr:col>
      <xdr:colOff>19049</xdr:colOff>
      <xdr:row>0</xdr:row>
      <xdr:rowOff>9525</xdr:rowOff>
    </xdr:from>
    <xdr:to>
      <xdr:col>3</xdr:col>
      <xdr:colOff>542925</xdr:colOff>
      <xdr:row>2</xdr:row>
      <xdr:rowOff>0</xdr:rowOff>
    </xdr:to>
    <xdr:sp macro="" textlink="">
      <xdr:nvSpPr>
        <xdr:cNvPr id="3" name="ZoneTexte 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1543049" y="9525"/>
          <a:ext cx="1285876" cy="3714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r"/>
          <a:r>
            <a:rPr lang="fr-FR" sz="1400">
              <a:latin typeface="Abadi" panose="020B0604020104020204" pitchFamily="34" charset="0"/>
            </a:rPr>
            <a:t>COMPTE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0</xdr:row>
      <xdr:rowOff>47625</xdr:rowOff>
    </xdr:from>
    <xdr:ext cx="914400" cy="914400"/>
    <xdr:pic>
      <xdr:nvPicPr>
        <xdr:cNvPr id="2" name="Graphique 1" descr="Euro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9944100" y="2333625"/>
          <a:ext cx="914400" cy="914400"/>
        </a:xfrm>
        <a:prstGeom prst="rect">
          <a:avLst/>
        </a:prstGeom>
      </xdr:spPr>
    </xdr:pic>
    <xdr:clientData/>
  </xdr:oneCellAnchor>
  <xdr:twoCellAnchor>
    <xdr:from>
      <xdr:col>11</xdr:col>
      <xdr:colOff>209550</xdr:colOff>
      <xdr:row>5</xdr:row>
      <xdr:rowOff>47625</xdr:rowOff>
    </xdr:from>
    <xdr:to>
      <xdr:col>16</xdr:col>
      <xdr:colOff>209550</xdr:colOff>
      <xdr:row>5</xdr:row>
      <xdr:rowOff>47625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CxnSpPr/>
      </xdr:nvCxnSpPr>
      <xdr:spPr>
        <a:xfrm>
          <a:off x="10153650" y="3286125"/>
          <a:ext cx="3810000" cy="0"/>
        </a:xfrm>
        <a:prstGeom prst="line">
          <a:avLst/>
        </a:prstGeom>
        <a:ln w="19050">
          <a:solidFill>
            <a:schemeClr val="accent6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11</xdr:col>
      <xdr:colOff>619125</xdr:colOff>
      <xdr:row>15</xdr:row>
      <xdr:rowOff>57150</xdr:rowOff>
    </xdr:from>
    <xdr:ext cx="914400" cy="914400"/>
    <xdr:pic>
      <xdr:nvPicPr>
        <xdr:cNvPr id="4" name="Graphique 3" descr="Transférer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9001125" y="2914650"/>
          <a:ext cx="914400" cy="914400"/>
        </a:xfrm>
        <a:prstGeom prst="rect">
          <a:avLst/>
        </a:prstGeom>
      </xdr:spPr>
    </xdr:pic>
    <xdr:clientData/>
  </xdr:oneCellAnchor>
  <xdr:twoCellAnchor>
    <xdr:from>
      <xdr:col>12</xdr:col>
      <xdr:colOff>200026</xdr:colOff>
      <xdr:row>3</xdr:row>
      <xdr:rowOff>104775</xdr:rowOff>
    </xdr:from>
    <xdr:to>
      <xdr:col>16</xdr:col>
      <xdr:colOff>247650</xdr:colOff>
      <xdr:row>5</xdr:row>
      <xdr:rowOff>133350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10906126" y="2962275"/>
          <a:ext cx="3095624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400">
              <a:latin typeface="Abadi" panose="020B0604020104020204" pitchFamily="34" charset="0"/>
            </a:rPr>
            <a:t>DEPENSES</a:t>
          </a:r>
          <a:r>
            <a:rPr lang="fr-FR" sz="2400" baseline="0">
              <a:latin typeface="Abadi" panose="020B0604020104020204" pitchFamily="34" charset="0"/>
            </a:rPr>
            <a:t> MENSUELS</a:t>
          </a:r>
          <a:endParaRPr lang="fr-FR" sz="2400">
            <a:latin typeface="Abadi" panose="020B0604020104020204" pitchFamily="34" charset="0"/>
          </a:endParaRPr>
        </a:p>
      </xdr:txBody>
    </xdr:sp>
    <xdr:clientData/>
  </xdr:twoCellAnchor>
  <xdr:twoCellAnchor>
    <xdr:from>
      <xdr:col>1</xdr:col>
      <xdr:colOff>180975</xdr:colOff>
      <xdr:row>5</xdr:row>
      <xdr:rowOff>66675</xdr:rowOff>
    </xdr:from>
    <xdr:to>
      <xdr:col>4</xdr:col>
      <xdr:colOff>190500</xdr:colOff>
      <xdr:row>8</xdr:row>
      <xdr:rowOff>19050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/>
      </xdr:nvSpPr>
      <xdr:spPr>
        <a:xfrm>
          <a:off x="2400300" y="3305175"/>
          <a:ext cx="2400300" cy="523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r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AIDES </a:t>
          </a:r>
          <a:r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FINANCIERES</a:t>
          </a:r>
          <a:endParaRPr lang="en-US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9</xdr:row>
      <xdr:rowOff>161925</xdr:rowOff>
    </xdr:from>
    <xdr:to>
      <xdr:col>2</xdr:col>
      <xdr:colOff>457200</xdr:colOff>
      <xdr:row>12</xdr:row>
      <xdr:rowOff>0</xdr:rowOff>
    </xdr:to>
    <xdr:sp macro="" textlink="'[1]TEST 1'!L16">
      <xdr:nvSpPr>
        <xdr:cNvPr id="7" name="ZoneText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/>
      </xdr:nvSpPr>
      <xdr:spPr>
        <a:xfrm>
          <a:off x="2219325" y="4162425"/>
          <a:ext cx="13239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EAEC7416-8A34-4820-8077-73AB5FA737E5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COURSE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352425</xdr:colOff>
      <xdr:row>7</xdr:row>
      <xdr:rowOff>9525</xdr:rowOff>
    </xdr:from>
    <xdr:to>
      <xdr:col>6</xdr:col>
      <xdr:colOff>28575</xdr:colOff>
      <xdr:row>9</xdr:row>
      <xdr:rowOff>114300</xdr:rowOff>
    </xdr:to>
    <xdr:sp macro="" textlink="'[1]TEST 1'!L17">
      <xdr:nvSpPr>
        <xdr:cNvPr id="8" name="ZoneText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 txBox="1"/>
      </xdr:nvSpPr>
      <xdr:spPr>
        <a:xfrm>
          <a:off x="4962525" y="3629025"/>
          <a:ext cx="1200150" cy="485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l"/>
          <a:fld id="{57151133-EF8D-41E9-9F5E-27E16468AAA0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l"/>
            <a:t>CREDIT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219075</xdr:colOff>
      <xdr:row>12</xdr:row>
      <xdr:rowOff>161925</xdr:rowOff>
    </xdr:from>
    <xdr:to>
      <xdr:col>4</xdr:col>
      <xdr:colOff>657225</xdr:colOff>
      <xdr:row>15</xdr:row>
      <xdr:rowOff>0</xdr:rowOff>
    </xdr:to>
    <xdr:sp macro="" textlink="'[1]TEST 1'!L18">
      <xdr:nvSpPr>
        <xdr:cNvPr id="9" name="ZoneText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 txBox="1"/>
      </xdr:nvSpPr>
      <xdr:spPr>
        <a:xfrm>
          <a:off x="4067175" y="4733925"/>
          <a:ext cx="120015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C3806A9-35E8-4173-B667-7674B3ACA0D5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DIVERS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742949</xdr:colOff>
      <xdr:row>17</xdr:row>
      <xdr:rowOff>123825</xdr:rowOff>
    </xdr:from>
    <xdr:to>
      <xdr:col>5</xdr:col>
      <xdr:colOff>19050</xdr:colOff>
      <xdr:row>19</xdr:row>
      <xdr:rowOff>152400</xdr:rowOff>
    </xdr:to>
    <xdr:sp macro="" textlink="'[1]TEST 1'!L19">
      <xdr:nvSpPr>
        <xdr:cNvPr id="10" name="ZoneText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 txBox="1"/>
      </xdr:nvSpPr>
      <xdr:spPr>
        <a:xfrm>
          <a:off x="3829049" y="5648325"/>
          <a:ext cx="1562101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F4DCAE2-9371-4809-BC9F-7F29A33F979D}" type="TxLink">
            <a:rPr lang="en-US" sz="2800" b="0" i="0" u="none" strike="noStrike">
              <a:solidFill>
                <a:schemeClr val="accent3">
                  <a:lumMod val="75000"/>
                </a:schemeClr>
              </a:solidFill>
              <a:latin typeface="Abadi"/>
              <a:ea typeface="+mn-ea"/>
              <a:cs typeface="+mn-cs"/>
            </a:rPr>
            <a:pPr marL="0" indent="0" algn="r"/>
            <a:t>FACTURE</a:t>
          </a:fld>
          <a:endParaRPr lang="fr-FR" sz="2800" b="0" i="0" u="none" strike="noStrike">
            <a:solidFill>
              <a:schemeClr val="accent3">
                <a:lumMod val="75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19050</xdr:colOff>
      <xdr:row>10</xdr:row>
      <xdr:rowOff>47625</xdr:rowOff>
    </xdr:from>
    <xdr:to>
      <xdr:col>4</xdr:col>
      <xdr:colOff>619125</xdr:colOff>
      <xdr:row>12</xdr:row>
      <xdr:rowOff>76200</xdr:rowOff>
    </xdr:to>
    <xdr:sp macro="" textlink="'[1]TEST 1'!L20">
      <xdr:nvSpPr>
        <xdr:cNvPr id="11" name="ZoneTexte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 txBox="1"/>
      </xdr:nvSpPr>
      <xdr:spPr>
        <a:xfrm>
          <a:off x="3867150" y="4238625"/>
          <a:ext cx="13620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A97FCCFA-4D7B-4996-83BB-92DD676B467F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FAMILIALE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514350</xdr:colOff>
      <xdr:row>14</xdr:row>
      <xdr:rowOff>66675</xdr:rowOff>
    </xdr:from>
    <xdr:to>
      <xdr:col>4</xdr:col>
      <xdr:colOff>19050</xdr:colOff>
      <xdr:row>16</xdr:row>
      <xdr:rowOff>95250</xdr:rowOff>
    </xdr:to>
    <xdr:sp macro="" textlink="'[1]TEST 1'!L21">
      <xdr:nvSpPr>
        <xdr:cNvPr id="12" name="ZoneTexte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 txBox="1"/>
      </xdr:nvSpPr>
      <xdr:spPr>
        <a:xfrm>
          <a:off x="2733675" y="5019675"/>
          <a:ext cx="18954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959B4216-D7A0-4458-AADA-1E2AC7A457C0}" type="TxLink">
            <a:rPr lang="en-US" sz="1800" b="0" i="0" u="none" strike="noStrike">
              <a:solidFill>
                <a:srgbClr val="00B050"/>
              </a:solidFill>
              <a:latin typeface="Abadi"/>
              <a:ea typeface="+mn-ea"/>
              <a:cs typeface="+mn-cs"/>
            </a:rPr>
            <a:pPr marL="0" indent="0" algn="r"/>
            <a:t>INFORMATIQUE</a:t>
          </a:fld>
          <a:endParaRPr lang="fr-FR" sz="1800" b="0" i="0" u="none" strike="noStrike">
            <a:solidFill>
              <a:srgbClr val="00B05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95250</xdr:colOff>
      <xdr:row>18</xdr:row>
      <xdr:rowOff>152400</xdr:rowOff>
    </xdr:from>
    <xdr:to>
      <xdr:col>3</xdr:col>
      <xdr:colOff>361950</xdr:colOff>
      <xdr:row>20</xdr:row>
      <xdr:rowOff>180975</xdr:rowOff>
    </xdr:to>
    <xdr:sp macro="" textlink="'[1]TEST 1'!L22">
      <xdr:nvSpPr>
        <xdr:cNvPr id="13" name="ZoneText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 txBox="1"/>
      </xdr:nvSpPr>
      <xdr:spPr>
        <a:xfrm>
          <a:off x="2314575" y="5867400"/>
          <a:ext cx="18954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5B3740BC-CE5C-42E4-AAB1-295EACD393CB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LOISIRS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19050</xdr:colOff>
      <xdr:row>8</xdr:row>
      <xdr:rowOff>114300</xdr:rowOff>
    </xdr:from>
    <xdr:to>
      <xdr:col>5</xdr:col>
      <xdr:colOff>409575</xdr:colOff>
      <xdr:row>10</xdr:row>
      <xdr:rowOff>142875</xdr:rowOff>
    </xdr:to>
    <xdr:sp macro="" textlink="'[1]TEST 1'!L23">
      <xdr:nvSpPr>
        <xdr:cNvPr id="14" name="ZoneText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 txBox="1"/>
      </xdr:nvSpPr>
      <xdr:spPr>
        <a:xfrm>
          <a:off x="3867150" y="3924300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6FF8394D-604A-46FC-AA04-D4B3C1264139}" type="TxLink">
            <a:rPr lang="en-US" sz="1600" b="0" i="0" u="none" strike="noStrike">
              <a:solidFill>
                <a:schemeClr val="accent3">
                  <a:lumMod val="60000"/>
                  <a:lumOff val="40000"/>
                </a:schemeClr>
              </a:solidFill>
              <a:latin typeface="Abadi"/>
              <a:ea typeface="+mn-ea"/>
              <a:cs typeface="+mn-cs"/>
            </a:rPr>
            <a:pPr marL="0" indent="0" algn="r"/>
            <a:t>PERSONNEL</a:t>
          </a:fld>
          <a:endParaRPr lang="fr-FR" sz="1600" b="0" i="0" u="none" strike="noStrike">
            <a:solidFill>
              <a:schemeClr val="accent3">
                <a:lumMod val="60000"/>
                <a:lumOff val="40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514350</xdr:colOff>
      <xdr:row>11</xdr:row>
      <xdr:rowOff>104775</xdr:rowOff>
    </xdr:from>
    <xdr:to>
      <xdr:col>4</xdr:col>
      <xdr:colOff>19050</xdr:colOff>
      <xdr:row>13</xdr:row>
      <xdr:rowOff>133350</xdr:rowOff>
    </xdr:to>
    <xdr:sp macro="" textlink="'[1]TEST 1'!L24">
      <xdr:nvSpPr>
        <xdr:cNvPr id="15" name="ZoneTexte 1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 txBox="1"/>
      </xdr:nvSpPr>
      <xdr:spPr>
        <a:xfrm>
          <a:off x="2733675" y="4486275"/>
          <a:ext cx="18954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5D102F6D-5528-46EF-B386-9CCE58E68E32}" type="TxLink">
            <a:rPr lang="en-US" sz="24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PLACEMENT</a:t>
          </a:fld>
          <a:endParaRPr lang="fr-FR" sz="24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142876</xdr:colOff>
      <xdr:row>6</xdr:row>
      <xdr:rowOff>47625</xdr:rowOff>
    </xdr:from>
    <xdr:to>
      <xdr:col>5</xdr:col>
      <xdr:colOff>609600</xdr:colOff>
      <xdr:row>8</xdr:row>
      <xdr:rowOff>76200</xdr:rowOff>
    </xdr:to>
    <xdr:sp macro="" textlink="'[1]TEST 1'!L25">
      <xdr:nvSpPr>
        <xdr:cNvPr id="16" name="ZoneTexte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 txBox="1"/>
      </xdr:nvSpPr>
      <xdr:spPr>
        <a:xfrm>
          <a:off x="3990976" y="3476625"/>
          <a:ext cx="1990724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fld id="{6A538FFA-9EE1-49A8-B004-B8E13DDF4530}" type="TxLink"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ctr"/>
            <a:t>RECU</a:t>
          </a:fld>
          <a:endParaRPr lang="fr-FR" sz="16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16</xdr:row>
      <xdr:rowOff>0</xdr:rowOff>
    </xdr:from>
    <xdr:to>
      <xdr:col>3</xdr:col>
      <xdr:colOff>219075</xdr:colOff>
      <xdr:row>18</xdr:row>
      <xdr:rowOff>28575</xdr:rowOff>
    </xdr:to>
    <xdr:sp macro="" textlink="'[1]TEST 1'!L26">
      <xdr:nvSpPr>
        <xdr:cNvPr id="17" name="ZoneTexte 16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 txBox="1"/>
      </xdr:nvSpPr>
      <xdr:spPr>
        <a:xfrm>
          <a:off x="2219325" y="5334000"/>
          <a:ext cx="184785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A2C9AFEB-7741-4887-9FB2-FCA5E6BB6982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RETRAIT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447675</xdr:colOff>
      <xdr:row>19</xdr:row>
      <xdr:rowOff>104775</xdr:rowOff>
    </xdr:from>
    <xdr:to>
      <xdr:col>6</xdr:col>
      <xdr:colOff>76200</xdr:colOff>
      <xdr:row>21</xdr:row>
      <xdr:rowOff>133350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 txBox="1"/>
      </xdr:nvSpPr>
      <xdr:spPr>
        <a:xfrm>
          <a:off x="4295775" y="6010275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r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RETRAIT LIVRET</a:t>
          </a:r>
        </a:p>
      </xdr:txBody>
    </xdr:sp>
    <xdr:clientData/>
  </xdr:twoCellAnchor>
  <xdr:twoCellAnchor>
    <xdr:from>
      <xdr:col>3</xdr:col>
      <xdr:colOff>276225</xdr:colOff>
      <xdr:row>15</xdr:row>
      <xdr:rowOff>152400</xdr:rowOff>
    </xdr:from>
    <xdr:to>
      <xdr:col>5</xdr:col>
      <xdr:colOff>666750</xdr:colOff>
      <xdr:row>17</xdr:row>
      <xdr:rowOff>180975</xdr:rowOff>
    </xdr:to>
    <xdr:sp macro="" textlink="'[1]TEST 1'!L28">
      <xdr:nvSpPr>
        <xdr:cNvPr id="19" name="ZoneTexte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 txBox="1"/>
      </xdr:nvSpPr>
      <xdr:spPr>
        <a:xfrm>
          <a:off x="4124325" y="5295900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ED38266-BAD3-41AE-BC74-F88E4BF7DBA4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RESTAURATION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561976</xdr:colOff>
      <xdr:row>7</xdr:row>
      <xdr:rowOff>95249</xdr:rowOff>
    </xdr:from>
    <xdr:to>
      <xdr:col>4</xdr:col>
      <xdr:colOff>342901</xdr:colOff>
      <xdr:row>10</xdr:row>
      <xdr:rowOff>0</xdr:rowOff>
    </xdr:to>
    <xdr:sp macro="" textlink="'[1]TEST 1'!L29">
      <xdr:nvSpPr>
        <xdr:cNvPr id="20" name="ZoneTexte 19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 txBox="1"/>
      </xdr:nvSpPr>
      <xdr:spPr>
        <a:xfrm>
          <a:off x="2781301" y="3714749"/>
          <a:ext cx="2171700" cy="4762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fld id="{5FE5A1D2-F52D-44E3-9685-D0FD878C695F}" type="TxLink">
            <a:rPr lang="en-US" sz="2000" b="0" i="0" u="none" strike="noStrike">
              <a:solidFill>
                <a:schemeClr val="accent4">
                  <a:lumMod val="60000"/>
                  <a:lumOff val="40000"/>
                </a:schemeClr>
              </a:solidFill>
              <a:latin typeface="Abadi"/>
              <a:ea typeface="+mn-ea"/>
              <a:cs typeface="+mn-cs"/>
            </a:rPr>
            <a:pPr marL="0" indent="0" algn="ctr"/>
            <a:t>SALAIRE</a:t>
          </a:fld>
          <a:endParaRPr lang="fr-FR" sz="2000" b="0" i="0" u="none" strike="noStrike">
            <a:solidFill>
              <a:schemeClr val="accent4">
                <a:lumMod val="60000"/>
                <a:lumOff val="40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57150</xdr:colOff>
      <xdr:row>4</xdr:row>
      <xdr:rowOff>142875</xdr:rowOff>
    </xdr:from>
    <xdr:to>
      <xdr:col>5</xdr:col>
      <xdr:colOff>285750</xdr:colOff>
      <xdr:row>6</xdr:row>
      <xdr:rowOff>171450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 txBox="1"/>
      </xdr:nvSpPr>
      <xdr:spPr>
        <a:xfrm>
          <a:off x="3143250" y="3190875"/>
          <a:ext cx="25146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400">
              <a:solidFill>
                <a:schemeClr val="accent6"/>
              </a:solidFill>
              <a:latin typeface="Abadi" panose="020B0604020104020204" pitchFamily="34" charset="0"/>
            </a:rPr>
            <a:t>VERSEMENT</a:t>
          </a:r>
        </a:p>
      </xdr:txBody>
    </xdr:sp>
    <xdr:clientData/>
  </xdr:twoCellAnchor>
  <xdr:twoCellAnchor>
    <xdr:from>
      <xdr:col>1</xdr:col>
      <xdr:colOff>0</xdr:colOff>
      <xdr:row>2</xdr:row>
      <xdr:rowOff>95250</xdr:rowOff>
    </xdr:from>
    <xdr:to>
      <xdr:col>4</xdr:col>
      <xdr:colOff>76200</xdr:colOff>
      <xdr:row>4</xdr:row>
      <xdr:rowOff>123825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 txBox="1"/>
      </xdr:nvSpPr>
      <xdr:spPr>
        <a:xfrm>
          <a:off x="2219325" y="2762250"/>
          <a:ext cx="24669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800">
              <a:latin typeface="Abadi" panose="020B0604020104020204" pitchFamily="34" charset="0"/>
            </a:rPr>
            <a:t>DEBIT</a:t>
          </a:r>
        </a:p>
      </xdr:txBody>
    </xdr:sp>
    <xdr:clientData/>
  </xdr:twoCellAnchor>
  <xdr:oneCellAnchor>
    <xdr:from>
      <xdr:col>14</xdr:col>
      <xdr:colOff>57150</xdr:colOff>
      <xdr:row>6</xdr:row>
      <xdr:rowOff>115980</xdr:rowOff>
    </xdr:from>
    <xdr:ext cx="1485900" cy="1605570"/>
    <xdr:pic>
      <xdr:nvPicPr>
        <xdr:cNvPr id="23" name="Graphique 22" descr="Liste de vérification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2287250" y="3544980"/>
          <a:ext cx="1485900" cy="1605570"/>
        </a:xfrm>
        <a:prstGeom prst="rect">
          <a:avLst/>
        </a:prstGeom>
      </xdr:spPr>
    </xdr:pic>
    <xdr:clientData/>
  </xdr:oneCellAnchor>
  <xdr:twoCellAnchor>
    <xdr:from>
      <xdr:col>14</xdr:col>
      <xdr:colOff>266700</xdr:colOff>
      <xdr:row>15</xdr:row>
      <xdr:rowOff>85725</xdr:rowOff>
    </xdr:from>
    <xdr:to>
      <xdr:col>20</xdr:col>
      <xdr:colOff>19050</xdr:colOff>
      <xdr:row>15</xdr:row>
      <xdr:rowOff>85725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CxnSpPr/>
      </xdr:nvCxnSpPr>
      <xdr:spPr>
        <a:xfrm>
          <a:off x="12496800" y="5229225"/>
          <a:ext cx="4333875" cy="0"/>
        </a:xfrm>
        <a:prstGeom prst="line">
          <a:avLst/>
        </a:prstGeom>
        <a:ln w="19050">
          <a:solidFill>
            <a:schemeClr val="accent6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542925</xdr:colOff>
      <xdr:row>13</xdr:row>
      <xdr:rowOff>133350</xdr:rowOff>
    </xdr:from>
    <xdr:to>
      <xdr:col>20</xdr:col>
      <xdr:colOff>628650</xdr:colOff>
      <xdr:row>15</xdr:row>
      <xdr:rowOff>161925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 txBox="1"/>
      </xdr:nvSpPr>
      <xdr:spPr>
        <a:xfrm>
          <a:off x="13535025" y="4895850"/>
          <a:ext cx="390525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400">
              <a:latin typeface="Abadi" panose="020B0604020104020204" pitchFamily="34" charset="0"/>
            </a:rPr>
            <a:t>CONSTAT</a:t>
          </a:r>
          <a:r>
            <a:rPr lang="fr-FR" sz="2400" baseline="0">
              <a:latin typeface="Abadi" panose="020B0604020104020204" pitchFamily="34" charset="0"/>
            </a:rPr>
            <a:t> MENSUEL</a:t>
          </a:r>
          <a:endParaRPr lang="fr-FR" sz="2400">
            <a:latin typeface="Abadi" panose="020B0604020104020204" pitchFamily="34" charset="0"/>
          </a:endParaRPr>
        </a:p>
      </xdr:txBody>
    </xdr:sp>
    <xdr:clientData/>
  </xdr:twoCellAnchor>
  <xdr:oneCellAnchor>
    <xdr:from>
      <xdr:col>17</xdr:col>
      <xdr:colOff>514350</xdr:colOff>
      <xdr:row>15</xdr:row>
      <xdr:rowOff>95250</xdr:rowOff>
    </xdr:from>
    <xdr:ext cx="1533525" cy="1533525"/>
    <xdr:pic>
      <xdr:nvPicPr>
        <xdr:cNvPr id="26" name="Graphique 25" descr="Tirelire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5030450" y="5238750"/>
          <a:ext cx="1533525" cy="1533525"/>
        </a:xfrm>
        <a:prstGeom prst="rect">
          <a:avLst/>
        </a:prstGeom>
      </xdr:spPr>
    </xdr:pic>
    <xdr:clientData/>
  </xdr:oneCellAnchor>
  <xdr:oneCellAnchor>
    <xdr:from>
      <xdr:col>8</xdr:col>
      <xdr:colOff>243000</xdr:colOff>
      <xdr:row>2</xdr:row>
      <xdr:rowOff>180974</xdr:rowOff>
    </xdr:from>
    <xdr:ext cx="1533525" cy="1533525"/>
    <xdr:pic>
      <xdr:nvPicPr>
        <xdr:cNvPr id="27" name="Graphique 26" descr="Pièces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6339000" y="561974"/>
          <a:ext cx="1533525" cy="1533525"/>
        </a:xfrm>
        <a:prstGeom prst="rect">
          <a:avLst/>
        </a:prstGeom>
      </xdr:spPr>
    </xdr:pic>
    <xdr:clientData/>
  </xdr:oneCellAnchor>
  <xdr:oneCellAnchor>
    <xdr:from>
      <xdr:col>11</xdr:col>
      <xdr:colOff>78675</xdr:colOff>
      <xdr:row>6</xdr:row>
      <xdr:rowOff>140474</xdr:rowOff>
    </xdr:from>
    <xdr:ext cx="1533525" cy="1533525"/>
    <xdr:pic>
      <xdr:nvPicPr>
        <xdr:cNvPr id="28" name="Graphique 27" descr="Argent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8460675" y="1283474"/>
          <a:ext cx="1533525" cy="1533525"/>
        </a:xfrm>
        <a:prstGeom prst="rect">
          <a:avLst/>
        </a:prstGeom>
      </xdr:spPr>
    </xdr:pic>
    <xdr:clientData/>
  </xdr:oneCellAnchor>
  <xdr:oneCellAnchor>
    <xdr:from>
      <xdr:col>8</xdr:col>
      <xdr:colOff>381075</xdr:colOff>
      <xdr:row>11</xdr:row>
      <xdr:rowOff>23774</xdr:rowOff>
    </xdr:from>
    <xdr:ext cx="1533525" cy="1533525"/>
    <xdr:pic>
      <xdr:nvPicPr>
        <xdr:cNvPr id="29" name="Graphique 28" descr="Carte de crédit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6477075" y="2119274"/>
          <a:ext cx="1533525" cy="1533525"/>
        </a:xfrm>
        <a:prstGeom prst="rect">
          <a:avLst/>
        </a:prstGeom>
      </xdr:spPr>
    </xdr:pic>
    <xdr:clientData/>
  </xdr:oneCellAnchor>
  <xdr:oneCellAnchor>
    <xdr:from>
      <xdr:col>9</xdr:col>
      <xdr:colOff>740625</xdr:colOff>
      <xdr:row>19</xdr:row>
      <xdr:rowOff>145199</xdr:rowOff>
    </xdr:from>
    <xdr:ext cx="1533525" cy="1533525"/>
    <xdr:pic>
      <xdr:nvPicPr>
        <xdr:cNvPr id="30" name="Graphique 29" descr="Portefeuille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7598625" y="3764699"/>
          <a:ext cx="1533525" cy="1533525"/>
        </a:xfrm>
        <a:prstGeom prst="rect">
          <a:avLst/>
        </a:prstGeom>
      </xdr:spPr>
    </xdr:pic>
    <xdr:clientData/>
  </xdr:oneCellAnchor>
  <xdr:oneCellAnchor>
    <xdr:from>
      <xdr:col>13</xdr:col>
      <xdr:colOff>557250</xdr:colOff>
      <xdr:row>15</xdr:row>
      <xdr:rowOff>85649</xdr:rowOff>
    </xdr:from>
    <xdr:ext cx="1533525" cy="1533525"/>
    <xdr:pic>
      <xdr:nvPicPr>
        <xdr:cNvPr id="31" name="Graphique 30" descr="Tirelire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0463250" y="2943149"/>
          <a:ext cx="1533525" cy="1533525"/>
        </a:xfrm>
        <a:prstGeom prst="rect">
          <a:avLst/>
        </a:prstGeom>
      </xdr:spPr>
    </xdr:pic>
    <xdr:clientData/>
  </xdr:oneCellAnchor>
  <xdr:oneCellAnchor>
    <xdr:from>
      <xdr:col>12</xdr:col>
      <xdr:colOff>371475</xdr:colOff>
      <xdr:row>22</xdr:row>
      <xdr:rowOff>118949</xdr:rowOff>
    </xdr:from>
    <xdr:ext cx="1533525" cy="1533525"/>
    <xdr:pic>
      <xdr:nvPicPr>
        <xdr:cNvPr id="32" name="Graphique 31" descr="Badge d'employé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8"/>
            </a:ext>
          </a:extLst>
        </a:blip>
        <a:stretch>
          <a:fillRect/>
        </a:stretch>
      </xdr:blipFill>
      <xdr:spPr>
        <a:xfrm>
          <a:off x="9515475" y="4309949"/>
          <a:ext cx="1533525" cy="1533525"/>
        </a:xfrm>
        <a:prstGeom prst="rect">
          <a:avLst/>
        </a:prstGeom>
      </xdr:spPr>
    </xdr:pic>
    <xdr:clientData/>
  </xdr:oneCellAnchor>
  <xdr:twoCellAnchor>
    <xdr:from>
      <xdr:col>1</xdr:col>
      <xdr:colOff>180975</xdr:colOff>
      <xdr:row>24</xdr:row>
      <xdr:rowOff>66675</xdr:rowOff>
    </xdr:from>
    <xdr:to>
      <xdr:col>4</xdr:col>
      <xdr:colOff>190500</xdr:colOff>
      <xdr:row>29</xdr:row>
      <xdr:rowOff>19050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 txBox="1"/>
      </xdr:nvSpPr>
      <xdr:spPr>
        <a:xfrm>
          <a:off x="12982575" y="1781175"/>
          <a:ext cx="2295525" cy="1019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r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AIDES</a:t>
          </a:r>
          <a:r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 </a:t>
          </a:r>
          <a:r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FINANCIERES</a:t>
          </a:r>
          <a:endParaRPr lang="en-US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30</xdr:row>
      <xdr:rowOff>161925</xdr:rowOff>
    </xdr:from>
    <xdr:to>
      <xdr:col>2</xdr:col>
      <xdr:colOff>457200</xdr:colOff>
      <xdr:row>33</xdr:row>
      <xdr:rowOff>0</xdr:rowOff>
    </xdr:to>
    <xdr:sp macro="" textlink="'[1]TEST 1'!L16">
      <xdr:nvSpPr>
        <xdr:cNvPr id="34" name="ZoneTexte 33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 txBox="1"/>
      </xdr:nvSpPr>
      <xdr:spPr>
        <a:xfrm>
          <a:off x="12801600" y="3133725"/>
          <a:ext cx="12192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EAEC7416-8A34-4820-8077-73AB5FA737E5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COURSE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352425</xdr:colOff>
      <xdr:row>28</xdr:row>
      <xdr:rowOff>9525</xdr:rowOff>
    </xdr:from>
    <xdr:to>
      <xdr:col>6</xdr:col>
      <xdr:colOff>28575</xdr:colOff>
      <xdr:row>30</xdr:row>
      <xdr:rowOff>114300</xdr:rowOff>
    </xdr:to>
    <xdr:sp macro="" textlink="'[1]TEST 1'!L17">
      <xdr:nvSpPr>
        <xdr:cNvPr id="35" name="ZoneTexte 34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SpPr txBox="1"/>
      </xdr:nvSpPr>
      <xdr:spPr>
        <a:xfrm>
          <a:off x="15440025" y="2600325"/>
          <a:ext cx="1200150" cy="485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l"/>
          <a:fld id="{57151133-EF8D-41E9-9F5E-27E16468AAA0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l"/>
            <a:t>CREDIT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219075</xdr:colOff>
      <xdr:row>33</xdr:row>
      <xdr:rowOff>161925</xdr:rowOff>
    </xdr:from>
    <xdr:to>
      <xdr:col>4</xdr:col>
      <xdr:colOff>657225</xdr:colOff>
      <xdr:row>36</xdr:row>
      <xdr:rowOff>0</xdr:rowOff>
    </xdr:to>
    <xdr:sp macro="" textlink="'[1]TEST 1'!L18">
      <xdr:nvSpPr>
        <xdr:cNvPr id="36" name="ZoneTexte 35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SpPr txBox="1"/>
      </xdr:nvSpPr>
      <xdr:spPr>
        <a:xfrm>
          <a:off x="14544675" y="3705225"/>
          <a:ext cx="120015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C3806A9-35E8-4173-B667-7674B3ACA0D5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DIVERS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742949</xdr:colOff>
      <xdr:row>38</xdr:row>
      <xdr:rowOff>123825</xdr:rowOff>
    </xdr:from>
    <xdr:to>
      <xdr:col>5</xdr:col>
      <xdr:colOff>123825</xdr:colOff>
      <xdr:row>40</xdr:row>
      <xdr:rowOff>152400</xdr:rowOff>
    </xdr:to>
    <xdr:sp macro="" textlink="'[1]TEST 1'!L19">
      <xdr:nvSpPr>
        <xdr:cNvPr id="37" name="ZoneTexte 36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SpPr txBox="1"/>
      </xdr:nvSpPr>
      <xdr:spPr>
        <a:xfrm>
          <a:off x="14306549" y="4619625"/>
          <a:ext cx="1666876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F4DCAE2-9371-4809-BC9F-7F29A33F979D}" type="TxLink">
            <a:rPr lang="en-US" sz="2800" b="0" i="0" u="none" strike="noStrike">
              <a:solidFill>
                <a:schemeClr val="accent3">
                  <a:lumMod val="75000"/>
                </a:schemeClr>
              </a:solidFill>
              <a:latin typeface="Abadi"/>
              <a:ea typeface="+mn-ea"/>
              <a:cs typeface="+mn-cs"/>
            </a:rPr>
            <a:pPr marL="0" indent="0" algn="r"/>
            <a:t>FACTURE</a:t>
          </a:fld>
          <a:endParaRPr lang="fr-FR" sz="2800" b="0" i="0" u="none" strike="noStrike">
            <a:solidFill>
              <a:schemeClr val="accent3">
                <a:lumMod val="75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19050</xdr:colOff>
      <xdr:row>31</xdr:row>
      <xdr:rowOff>47625</xdr:rowOff>
    </xdr:from>
    <xdr:to>
      <xdr:col>4</xdr:col>
      <xdr:colOff>619125</xdr:colOff>
      <xdr:row>33</xdr:row>
      <xdr:rowOff>76200</xdr:rowOff>
    </xdr:to>
    <xdr:sp macro="" textlink="'[1]TEST 1'!L20">
      <xdr:nvSpPr>
        <xdr:cNvPr id="38" name="ZoneTexte 37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SpPr txBox="1"/>
      </xdr:nvSpPr>
      <xdr:spPr>
        <a:xfrm>
          <a:off x="14344650" y="3209925"/>
          <a:ext cx="13620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A97FCCFA-4D7B-4996-83BB-92DD676B467F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FAMILIALE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514350</xdr:colOff>
      <xdr:row>35</xdr:row>
      <xdr:rowOff>66675</xdr:rowOff>
    </xdr:from>
    <xdr:to>
      <xdr:col>4</xdr:col>
      <xdr:colOff>19050</xdr:colOff>
      <xdr:row>37</xdr:row>
      <xdr:rowOff>95250</xdr:rowOff>
    </xdr:to>
    <xdr:sp macro="" textlink="'[1]TEST 1'!L21">
      <xdr:nvSpPr>
        <xdr:cNvPr id="39" name="ZoneTexte 38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SpPr txBox="1"/>
      </xdr:nvSpPr>
      <xdr:spPr>
        <a:xfrm>
          <a:off x="13315950" y="3990975"/>
          <a:ext cx="17907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959B4216-D7A0-4458-AADA-1E2AC7A457C0}" type="TxLink">
            <a:rPr lang="en-US" sz="1800" b="0" i="0" u="none" strike="noStrike">
              <a:solidFill>
                <a:srgbClr val="00B050"/>
              </a:solidFill>
              <a:latin typeface="Abadi"/>
              <a:ea typeface="+mn-ea"/>
              <a:cs typeface="+mn-cs"/>
            </a:rPr>
            <a:pPr marL="0" indent="0" algn="r"/>
            <a:t>INFORMATIQUE</a:t>
          </a:fld>
          <a:endParaRPr lang="fr-FR" sz="1800" b="0" i="0" u="none" strike="noStrike">
            <a:solidFill>
              <a:srgbClr val="00B05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95250</xdr:colOff>
      <xdr:row>39</xdr:row>
      <xdr:rowOff>152400</xdr:rowOff>
    </xdr:from>
    <xdr:to>
      <xdr:col>3</xdr:col>
      <xdr:colOff>361950</xdr:colOff>
      <xdr:row>41</xdr:row>
      <xdr:rowOff>180975</xdr:rowOff>
    </xdr:to>
    <xdr:sp macro="" textlink="'[1]TEST 1'!L22">
      <xdr:nvSpPr>
        <xdr:cNvPr id="40" name="ZoneTexte 39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SpPr txBox="1"/>
      </xdr:nvSpPr>
      <xdr:spPr>
        <a:xfrm>
          <a:off x="12896850" y="4838700"/>
          <a:ext cx="17907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5B3740BC-CE5C-42E4-AAB1-295EACD393CB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LOISIRS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19050</xdr:colOff>
      <xdr:row>29</xdr:row>
      <xdr:rowOff>114300</xdr:rowOff>
    </xdr:from>
    <xdr:to>
      <xdr:col>5</xdr:col>
      <xdr:colOff>409575</xdr:colOff>
      <xdr:row>31</xdr:row>
      <xdr:rowOff>142875</xdr:rowOff>
    </xdr:to>
    <xdr:sp macro="" textlink="'[1]TEST 1'!L23">
      <xdr:nvSpPr>
        <xdr:cNvPr id="41" name="ZoneTexte 40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SpPr txBox="1"/>
      </xdr:nvSpPr>
      <xdr:spPr>
        <a:xfrm>
          <a:off x="14344650" y="2895600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6FF8394D-604A-46FC-AA04-D4B3C1264139}" type="TxLink">
            <a:rPr lang="en-US" sz="1600" b="0" i="0" u="none" strike="noStrike">
              <a:solidFill>
                <a:schemeClr val="accent3">
                  <a:lumMod val="60000"/>
                  <a:lumOff val="40000"/>
                </a:schemeClr>
              </a:solidFill>
              <a:latin typeface="Abadi"/>
              <a:ea typeface="+mn-ea"/>
              <a:cs typeface="+mn-cs"/>
            </a:rPr>
            <a:pPr marL="0" indent="0" algn="r"/>
            <a:t>PERSONNEL</a:t>
          </a:fld>
          <a:endParaRPr lang="fr-FR" sz="1600" b="0" i="0" u="none" strike="noStrike">
            <a:solidFill>
              <a:schemeClr val="accent3">
                <a:lumMod val="60000"/>
                <a:lumOff val="40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514349</xdr:colOff>
      <xdr:row>32</xdr:row>
      <xdr:rowOff>104775</xdr:rowOff>
    </xdr:from>
    <xdr:to>
      <xdr:col>4</xdr:col>
      <xdr:colOff>104774</xdr:colOff>
      <xdr:row>34</xdr:row>
      <xdr:rowOff>133350</xdr:rowOff>
    </xdr:to>
    <xdr:sp macro="" textlink="'[1]TEST 1'!L24">
      <xdr:nvSpPr>
        <xdr:cNvPr id="42" name="ZoneTexte 41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SpPr txBox="1"/>
      </xdr:nvSpPr>
      <xdr:spPr>
        <a:xfrm>
          <a:off x="13315949" y="3457575"/>
          <a:ext cx="18764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5D102F6D-5528-46EF-B386-9CCE58E68E32}" type="TxLink">
            <a:rPr lang="en-US" sz="24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PLACEMENT</a:t>
          </a:fld>
          <a:endParaRPr lang="fr-FR" sz="24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142876</xdr:colOff>
      <xdr:row>27</xdr:row>
      <xdr:rowOff>47625</xdr:rowOff>
    </xdr:from>
    <xdr:to>
      <xdr:col>5</xdr:col>
      <xdr:colOff>609600</xdr:colOff>
      <xdr:row>29</xdr:row>
      <xdr:rowOff>76200</xdr:rowOff>
    </xdr:to>
    <xdr:sp macro="" textlink="'[1]TEST 1'!L25">
      <xdr:nvSpPr>
        <xdr:cNvPr id="43" name="ZoneTexte 42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SpPr txBox="1"/>
      </xdr:nvSpPr>
      <xdr:spPr>
        <a:xfrm>
          <a:off x="14468476" y="2314575"/>
          <a:ext cx="1990724" cy="542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fld id="{6A538FFA-9EE1-49A8-B004-B8E13DDF4530}" type="TxLink"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ctr"/>
            <a:t>RECU</a:t>
          </a:fld>
          <a:endParaRPr lang="fr-FR" sz="16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37</xdr:row>
      <xdr:rowOff>0</xdr:rowOff>
    </xdr:from>
    <xdr:to>
      <xdr:col>3</xdr:col>
      <xdr:colOff>219075</xdr:colOff>
      <xdr:row>39</xdr:row>
      <xdr:rowOff>28575</xdr:rowOff>
    </xdr:to>
    <xdr:sp macro="" textlink="'[1]TEST 1'!L26">
      <xdr:nvSpPr>
        <xdr:cNvPr id="44" name="ZoneTexte 43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SpPr txBox="1"/>
      </xdr:nvSpPr>
      <xdr:spPr>
        <a:xfrm>
          <a:off x="12801600" y="4305300"/>
          <a:ext cx="17430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A2C9AFEB-7741-4887-9FB2-FCA5E6BB6982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RETRAIT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447675</xdr:colOff>
      <xdr:row>40</xdr:row>
      <xdr:rowOff>104775</xdr:rowOff>
    </xdr:from>
    <xdr:to>
      <xdr:col>6</xdr:col>
      <xdr:colOff>76200</xdr:colOff>
      <xdr:row>42</xdr:row>
      <xdr:rowOff>133350</xdr:rowOff>
    </xdr:to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SpPr txBox="1"/>
      </xdr:nvSpPr>
      <xdr:spPr>
        <a:xfrm>
          <a:off x="14773275" y="4981575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r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RETRAIT LIVRET</a:t>
          </a:r>
        </a:p>
      </xdr:txBody>
    </xdr:sp>
    <xdr:clientData/>
  </xdr:twoCellAnchor>
  <xdr:twoCellAnchor>
    <xdr:from>
      <xdr:col>3</xdr:col>
      <xdr:colOff>276225</xdr:colOff>
      <xdr:row>36</xdr:row>
      <xdr:rowOff>152400</xdr:rowOff>
    </xdr:from>
    <xdr:to>
      <xdr:col>5</xdr:col>
      <xdr:colOff>666750</xdr:colOff>
      <xdr:row>38</xdr:row>
      <xdr:rowOff>180975</xdr:rowOff>
    </xdr:to>
    <xdr:sp macro="" textlink="'[1]TEST 1'!L28">
      <xdr:nvSpPr>
        <xdr:cNvPr id="46" name="ZoneTexte 45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SpPr txBox="1"/>
      </xdr:nvSpPr>
      <xdr:spPr>
        <a:xfrm>
          <a:off x="14601825" y="4267200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ED38266-BAD3-41AE-BC74-F88E4BF7DBA4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RESTAURATION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561976</xdr:colOff>
      <xdr:row>28</xdr:row>
      <xdr:rowOff>95249</xdr:rowOff>
    </xdr:from>
    <xdr:to>
      <xdr:col>4</xdr:col>
      <xdr:colOff>342901</xdr:colOff>
      <xdr:row>31</xdr:row>
      <xdr:rowOff>0</xdr:rowOff>
    </xdr:to>
    <xdr:sp macro="" textlink="'[1]TEST 1'!L29">
      <xdr:nvSpPr>
        <xdr:cNvPr id="47" name="ZoneTexte 46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SpPr txBox="1"/>
      </xdr:nvSpPr>
      <xdr:spPr>
        <a:xfrm>
          <a:off x="13363576" y="2686049"/>
          <a:ext cx="2066925" cy="4762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fld id="{5FE5A1D2-F52D-44E3-9685-D0FD878C695F}" type="TxLink">
            <a:rPr lang="en-US" sz="2000" b="0" i="0" u="none" strike="noStrike">
              <a:solidFill>
                <a:schemeClr val="accent4">
                  <a:lumMod val="60000"/>
                  <a:lumOff val="40000"/>
                </a:schemeClr>
              </a:solidFill>
              <a:latin typeface="Abadi"/>
              <a:ea typeface="+mn-ea"/>
              <a:cs typeface="+mn-cs"/>
            </a:rPr>
            <a:pPr marL="0" indent="0" algn="ctr"/>
            <a:t>SALAIRE</a:t>
          </a:fld>
          <a:endParaRPr lang="fr-FR" sz="2000" b="0" i="0" u="none" strike="noStrike">
            <a:solidFill>
              <a:schemeClr val="accent4">
                <a:lumMod val="60000"/>
                <a:lumOff val="40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57150</xdr:colOff>
      <xdr:row>23</xdr:row>
      <xdr:rowOff>142875</xdr:rowOff>
    </xdr:from>
    <xdr:to>
      <xdr:col>5</xdr:col>
      <xdr:colOff>285750</xdr:colOff>
      <xdr:row>27</xdr:row>
      <xdr:rowOff>171450</xdr:rowOff>
    </xdr:to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SpPr txBox="1"/>
      </xdr:nvSpPr>
      <xdr:spPr>
        <a:xfrm>
          <a:off x="13620750" y="1666875"/>
          <a:ext cx="2514600" cy="771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400">
              <a:solidFill>
                <a:schemeClr val="accent6"/>
              </a:solidFill>
              <a:latin typeface="Abadi" panose="020B0604020104020204" pitchFamily="34" charset="0"/>
            </a:rPr>
            <a:t>VERSEMENT</a:t>
          </a:r>
        </a:p>
      </xdr:txBody>
    </xdr:sp>
    <xdr:clientData/>
  </xdr:twoCellAnchor>
  <xdr:twoCellAnchor>
    <xdr:from>
      <xdr:col>1</xdr:col>
      <xdr:colOff>47625</xdr:colOff>
      <xdr:row>23</xdr:row>
      <xdr:rowOff>95250</xdr:rowOff>
    </xdr:from>
    <xdr:to>
      <xdr:col>4</xdr:col>
      <xdr:colOff>123825</xdr:colOff>
      <xdr:row>25</xdr:row>
      <xdr:rowOff>123825</xdr:rowOff>
    </xdr:to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SpPr txBox="1"/>
      </xdr:nvSpPr>
      <xdr:spPr>
        <a:xfrm>
          <a:off x="12849225" y="1619250"/>
          <a:ext cx="23622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800">
              <a:latin typeface="Abadi" panose="020B0604020104020204" pitchFamily="34" charset="0"/>
            </a:rPr>
            <a:t>DEBIT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quent\Downloads\tes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"/>
      <sheetName val="CATEGORIE"/>
      <sheetName val="TEST 1"/>
      <sheetName val="Accueil"/>
      <sheetName val="Feuil2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LISTE" displayName="LISTE" comment="Base de donnée pour liste déroulante automatique" ref="A1:E123" totalsRowShown="0" headerRowDxfId="83" dataDxfId="81" headerRowBorderDxfId="82" tableBorderDxfId="80" totalsRowBorderDxfId="79">
  <autoFilter ref="A1:E123" xr:uid="{C5877B9C-598E-4F6D-9F81-789FEA04F64E}"/>
  <sortState xmlns:xlrd2="http://schemas.microsoft.com/office/spreadsheetml/2017/richdata2" ref="A2:E123">
    <sortCondition ref="A1:A123"/>
  </sortState>
  <tableColumns count="5">
    <tableColumn id="1" xr3:uid="{00000000-0010-0000-0100-000001000000}" name="Description" dataDxfId="78"/>
    <tableColumn id="5" xr3:uid="{00000000-0010-0000-0100-000005000000}" name="Zone catégorie" dataDxfId="77"/>
    <tableColumn id="3" xr3:uid="{00000000-0010-0000-0100-000003000000}" name="Anticipation débit" dataDxfId="76"/>
    <tableColumn id="4" xr3:uid="{00000000-0010-0000-0100-000004000000}" name="Anticipation versement" dataDxfId="75"/>
    <tableColumn id="2" xr3:uid="{00000000-0010-0000-0100-000002000000}" name="Assignation" dataDxfId="74">
      <calculatedColumnFormula>IF(AND(COUNTIF(BASE_DONNEE[],LISTE[[#This Row],[Description]])&gt;0,COUNTIF(BASE_DONNEE[],LISTE[[#This Row],[Description]])&lt;2),"Valide","Non assigné")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EE" displayName="DONNEE" ref="G1:I22" totalsRowShown="0" headerRowDxfId="73" dataDxfId="72">
  <autoFilter ref="G1:I22" xr:uid="{00000000-0009-0000-0100-000001000000}"/>
  <tableColumns count="3">
    <tableColumn id="1" xr3:uid="{00000000-0010-0000-0000-000001000000}" name="CATEGORIE" dataDxfId="71"/>
    <tableColumn id="2" xr3:uid="{00000000-0010-0000-0000-000002000000}" name="INDEX" dataDxfId="70"/>
    <tableColumn id="3" xr3:uid="{00000000-0010-0000-0000-000003000000}" name="MOIS" dataDxfId="6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2000000}" name="BASE_DONNEE" displayName="BASE_DONNEE" ref="A1:T21" totalsRowShown="0" headerRowDxfId="68" dataDxfId="66" headerRowBorderDxfId="67" tableBorderDxfId="65" totalsRowBorderDxfId="64">
  <autoFilter ref="A1:T21" xr:uid="{00000000-0009-0000-0100-000020000000}"/>
  <tableColumns count="20">
    <tableColumn id="1" xr3:uid="{00000000-0010-0000-0200-000001000000}" name="AIDE" dataDxfId="63"/>
    <tableColumn id="2" xr3:uid="{00000000-0010-0000-0200-000002000000}" name="COURSE" dataDxfId="62"/>
    <tableColumn id="3" xr3:uid="{00000000-0010-0000-0200-000003000000}" name="CREDIT" dataDxfId="61"/>
    <tableColumn id="4" xr3:uid="{00000000-0010-0000-0200-000004000000}" name="DIVERS" dataDxfId="60"/>
    <tableColumn id="5" xr3:uid="{00000000-0010-0000-0200-000005000000}" name="FACTURE" dataDxfId="59"/>
    <tableColumn id="6" xr3:uid="{00000000-0010-0000-0200-000006000000}" name="FAMILIALE" dataDxfId="58"/>
    <tableColumn id="7" xr3:uid="{00000000-0010-0000-0200-000007000000}" name="INFORMATIQUE" dataDxfId="57"/>
    <tableColumn id="8" xr3:uid="{00000000-0010-0000-0200-000008000000}" name="LOISIRS" dataDxfId="56"/>
    <tableColumn id="9" xr3:uid="{00000000-0010-0000-0200-000009000000}" name="PERSONNEL" dataDxfId="55"/>
    <tableColumn id="10" xr3:uid="{00000000-0010-0000-0200-00000A000000}" name="PLACEMENT LJMO" dataDxfId="54"/>
    <tableColumn id="11" xr3:uid="{00000000-0010-0000-0200-00000B000000}" name="RECU" dataDxfId="53"/>
    <tableColumn id="12" xr3:uid="{00000000-0010-0000-0200-00000C000000}" name="RETRAIT" dataDxfId="52"/>
    <tableColumn id="13" xr3:uid="{00000000-0010-0000-0200-00000D000000}" name="RETRAIT LJMO" dataDxfId="51"/>
    <tableColumn id="14" xr3:uid="{00000000-0010-0000-0200-00000E000000}" name="RESTAURATION" dataDxfId="50"/>
    <tableColumn id="15" xr3:uid="{00000000-0010-0000-0200-00000F000000}" name="SALAIRE" dataDxfId="49"/>
    <tableColumn id="16" xr3:uid="{00000000-0010-0000-0200-000010000000}" name="SANTE" dataDxfId="48"/>
    <tableColumn id="17" xr3:uid="{00000000-0010-0000-0200-000011000000}" name="SOCIAL" dataDxfId="47"/>
    <tableColumn id="18" xr3:uid="{00000000-0010-0000-0200-000012000000}" name="TRANSPORT" dataDxfId="46"/>
    <tableColumn id="19" xr3:uid="{00000000-0010-0000-0200-000013000000}" name="VESTIMENTAIRE" dataDxfId="45"/>
    <tableColumn id="20" xr3:uid="{00000000-0010-0000-0200-000014000000}" name="VIREMENT" dataDxfId="4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résultat" displayName="résultat" ref="I14:O67" totalsRowShown="0" headerRowDxfId="43">
  <autoFilter ref="I14:O67" xr:uid="{34ED58E5-669F-4E4D-8F3A-B148ADE967E5}"/>
  <sortState xmlns:xlrd2="http://schemas.microsoft.com/office/spreadsheetml/2017/richdata2" ref="I15:O67">
    <sortCondition descending="1" ref="J14:J67"/>
  </sortState>
  <tableColumns count="7">
    <tableColumn id="1" xr3:uid="{00000000-0010-0000-0400-000001000000}" name="DATE"/>
    <tableColumn id="2" xr3:uid="{00000000-0010-0000-0400-000002000000}" name="INDEX"/>
    <tableColumn id="3" xr3:uid="{00000000-0010-0000-0400-000003000000}" name="MOIS"/>
    <tableColumn id="4" xr3:uid="{00000000-0010-0000-0400-000004000000}" name="DESCRIPTION"/>
    <tableColumn id="5" xr3:uid="{00000000-0010-0000-0400-000005000000}" name="CATEGORIE"/>
    <tableColumn id="6" xr3:uid="{00000000-0010-0000-0400-000006000000}" name="DEBIT"/>
    <tableColumn id="7" xr3:uid="{00000000-0010-0000-0400-000007000000}" name="VERSEMENT"/>
  </tableColumns>
  <tableStyleInfo name="TableStyleMedium2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opérations" displayName="opérations" ref="A14:G160" totalsRowShown="0" headerRowDxfId="42" dataDxfId="41" tableBorderDxfId="40">
  <sortState xmlns:xlrd2="http://schemas.microsoft.com/office/spreadsheetml/2017/richdata2" ref="A15:G160">
    <sortCondition ref="A15"/>
  </sortState>
  <tableColumns count="7">
    <tableColumn id="1" xr3:uid="{00000000-0010-0000-0300-000001000000}" name="DATE" dataDxfId="39"/>
    <tableColumn id="2" xr3:uid="{00000000-0010-0000-0300-000002000000}" name="INDEX" dataDxfId="38">
      <calculatedColumnFormula>IF(opérations[[#This Row],[DATE]]="","",IF(B14="INDEX",1,B14+1))</calculatedColumnFormula>
    </tableColumn>
    <tableColumn id="3" xr3:uid="{00000000-0010-0000-0300-000003000000}" name="MOIS" dataDxfId="37">
      <calculatedColumnFormula>IF(opérations[[#This Row],[DATE]]="","",MONTH(opérations[[#This Row],[DATE]]))</calculatedColumnFormula>
    </tableColumn>
    <tableColumn id="4" xr3:uid="{00000000-0010-0000-0300-000004000000}" name="DESCRIPTION" dataDxfId="36"/>
    <tableColumn id="5" xr3:uid="{00000000-0010-0000-0300-000005000000}" name="CATEGORIE" dataDxfId="35">
      <calculatedColumnFormula>IF(opérations[[#This Row],[DESCRIPTION]]="","",IFERROR(VLOOKUP(opérations[[#This Row],[DESCRIPTION]],LISTE[],2,FALSE),""))</calculatedColumnFormula>
    </tableColumn>
    <tableColumn id="6" xr3:uid="{00000000-0010-0000-0300-000006000000}" name="DEBIT" dataDxfId="34" dataCellStyle="Monétaire"/>
    <tableColumn id="7" xr3:uid="{00000000-0010-0000-0300-000007000000}" name="VERSEMENT" dataDxfId="33" dataCellStyle="Monétaire"/>
  </tableColumns>
  <tableStyleInfo name="TableStyleMedium2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DD6C8E5-4EAE-4E26-82A7-E66CAF43DF8B}" name="COMPTEEPARGNE" displayName="COMPTEEPARGNE" ref="AL14:AP15" totalsRowShown="0" headerRowDxfId="32" dataDxfId="30" headerRowBorderDxfId="31" tableBorderDxfId="29" totalsRowBorderDxfId="28">
  <autoFilter ref="AL14:AP15" xr:uid="{41F74C3F-50E2-4351-9A02-4CD4E621396D}"/>
  <tableColumns count="5">
    <tableColumn id="1" xr3:uid="{75F17CDB-1B41-4AE7-A594-946D07D68643}" name="TYPE DE COMPTE" dataDxfId="27"/>
    <tableColumn id="5" xr3:uid="{DE27E5D0-7060-409D-B72A-E4C411BC7B7A}" name="INDEX" dataDxfId="26">
      <calculatedColumnFormula>IF(COMPTEEPARGNE[TYPE DE COMPTE]="","",IF(AM14="","",IF(AM14="INDEX",1,AM14+1)))</calculatedColumnFormula>
    </tableColumn>
    <tableColumn id="2" xr3:uid="{441EA815-B0EE-42EC-BF34-F0191BA1968C}" name="N° DE COMTE" dataDxfId="25"/>
    <tableColumn id="3" xr3:uid="{9EE0EA7D-34BA-48AC-BBEC-6969E360ADCE}" name="OPERATION" dataDxfId="24">
      <calculatedColumnFormula>BD25</calculatedColumnFormula>
    </tableColumn>
    <tableColumn id="4" xr3:uid="{9CE856BD-FB64-4231-98CE-57E56FB13810}" name="DEVISE" dataDxfId="23">
      <calculatedColumnFormula>IF(COMPTEEPARGNE[[#This Row],[TYPE DE COMPTE]]="","","EUR")</calculatedColumnFormula>
    </tableColumn>
  </tableColumns>
  <tableStyleInfo name="TableStyleMedium2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E287F7C-50FA-4A39-BEA5-0EAE870AB0F5}" name="COMPTECOURANT" displayName="COMPTECOURANT" ref="AF14:AJ15" headerRowDxfId="22" dataDxfId="21" totalsRowDxfId="19" tableBorderDxfId="20">
  <autoFilter ref="AF14:AJ15" xr:uid="{93EF29B3-69F8-48B1-AE01-7EDBCA40981C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CDF88ECB-C827-47CB-BBE5-74722A441D49}" name="TYPE DE COMPTE" totalsRowLabel="Total" dataDxfId="18"/>
    <tableColumn id="1" xr3:uid="{AD03EB06-46E5-416B-AD89-79C3F7F40B9A}" name="INDEX" dataDxfId="17">
      <calculatedColumnFormula>IF(COMPTECOURANT[[#This Row],[TYPE DE COMPTE]]="","",IF(AG14="","",IF(AG14="INDEX",1,AG14+1)))</calculatedColumnFormula>
    </tableColumn>
    <tableColumn id="3" xr3:uid="{A12F1769-4F2F-451E-900C-6ADE2066B905}" name="N° DE COMTE" dataDxfId="16" totalsRowDxfId="15"/>
    <tableColumn id="4" xr3:uid="{7144FF99-20F2-4391-B57B-B9D05C816D3F}" name="OPERATION" dataDxfId="14">
      <calculatedColumnFormula>BD24</calculatedColumnFormula>
    </tableColumn>
    <tableColumn id="5" xr3:uid="{992354B9-F49D-4AA5-BB5E-6ED716C1DEED}" name="DEVISE" totalsRowFunction="count" dataDxfId="13" totalsRowDxfId="12">
      <calculatedColumnFormula>IF(COMPTECOURANT[[#This Row],[TYPE DE COMPTE]]="","","EUR")</calculatedColumnFormula>
    </tableColumn>
  </tableColumns>
  <tableStyleInfo name="TableStyleMedium2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2645EC9-C49E-436F-9A75-F7E0D8EF41B3}" name="TABLEAUEPARGNE" displayName="TABLEAUEPARGNE" ref="Q14:W20" totalsRowShown="0" headerRowDxfId="11" dataDxfId="10" tableBorderDxfId="9">
  <autoFilter ref="Q14:W20" xr:uid="{90DCA153-2113-46A9-8592-C8856149FA90}"/>
  <sortState xmlns:xlrd2="http://schemas.microsoft.com/office/spreadsheetml/2017/richdata2" ref="Q15:W20">
    <sortCondition descending="1" ref="Q14:Q20"/>
  </sortState>
  <tableColumns count="7">
    <tableColumn id="1" xr3:uid="{565624C2-7CAE-4447-AC19-ECB0ABFD056B}" name="DATE" dataDxfId="8"/>
    <tableColumn id="2" xr3:uid="{45A3DE40-A368-4EB7-B4AC-BEA2DE814DE1}" name="INDEX" dataDxfId="7"/>
    <tableColumn id="3" xr3:uid="{36A53C7F-AE01-42EB-B910-D128C2B8E684}" name="MOIS" dataDxfId="6"/>
    <tableColumn id="4" xr3:uid="{97BD2258-122C-41A7-BE27-5E4E2B45BB92}" name="DESCRIPTION" dataDxfId="5"/>
    <tableColumn id="5" xr3:uid="{C95BA94B-E12E-4593-BDCF-FCDD37E2F7E0}" name="CATEGORIE" dataDxfId="4"/>
    <tableColumn id="6" xr3:uid="{56707A5A-ADAC-4338-9EA0-3903C394E480}" name="DEBIT" dataDxfId="3"/>
    <tableColumn id="7" xr3:uid="{C6DDA827-7F48-4EE2-B790-0F1F3E1D2E1C}" name="VERSEMEN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8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table" Target="../tables/table7.xml"/><Relationship Id="rId5" Type="http://schemas.openxmlformats.org/officeDocument/2006/relationships/image" Target="../media/image1.emf"/><Relationship Id="rId10" Type="http://schemas.openxmlformats.org/officeDocument/2006/relationships/table" Target="../tables/table6.xml"/><Relationship Id="rId4" Type="http://schemas.openxmlformats.org/officeDocument/2006/relationships/control" Target="../activeX/activeX1.xml"/><Relationship Id="rId9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.xml"/><Relationship Id="rId5" Type="http://schemas.openxmlformats.org/officeDocument/2006/relationships/image" Target="../media/image7.emf"/><Relationship Id="rId4" Type="http://schemas.openxmlformats.org/officeDocument/2006/relationships/control" Target="../activeX/activeX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242"/>
  <sheetViews>
    <sheetView topLeftCell="A103" zoomScaleNormal="100" workbookViewId="0">
      <selection activeCell="C123" sqref="C2:D123"/>
    </sheetView>
  </sheetViews>
  <sheetFormatPr baseColWidth="10" defaultColWidth="11.42578125" defaultRowHeight="15" x14ac:dyDescent="0.25"/>
  <cols>
    <col min="1" max="1" width="26.42578125" style="1" bestFit="1" customWidth="1"/>
    <col min="2" max="2" width="25.28515625" style="1" bestFit="1" customWidth="1"/>
    <col min="3" max="3" width="28.28515625" style="1" bestFit="1" customWidth="1"/>
    <col min="4" max="4" width="34.5703125" style="1" bestFit="1" customWidth="1"/>
    <col min="5" max="5" width="21.5703125" style="1" bestFit="1" customWidth="1"/>
    <col min="6" max="6" width="11.42578125" style="1"/>
    <col min="7" max="7" width="20" style="1" bestFit="1" customWidth="1"/>
    <col min="8" max="8" width="13.7109375" style="1" bestFit="1" customWidth="1"/>
    <col min="9" max="9" width="20" style="1" bestFit="1" customWidth="1"/>
    <col min="10" max="10" width="21.42578125" style="1" bestFit="1" customWidth="1"/>
    <col min="11" max="11" width="24.5703125" style="1" bestFit="1" customWidth="1"/>
    <col min="12" max="12" width="14.85546875" style="1" bestFit="1" customWidth="1"/>
    <col min="13" max="13" width="19.7109375" style="1" bestFit="1" customWidth="1"/>
    <col min="14" max="14" width="14.5703125" style="1" bestFit="1" customWidth="1"/>
    <col min="15" max="15" width="16" style="1" bestFit="1" customWidth="1"/>
    <col min="16" max="16" width="18.28515625" style="1" bestFit="1" customWidth="1"/>
    <col min="17" max="17" width="24.140625" style="1" bestFit="1" customWidth="1"/>
    <col min="18" max="18" width="17.140625" style="1" bestFit="1" customWidth="1"/>
    <col min="19" max="19" width="19" style="1" bestFit="1" customWidth="1"/>
    <col min="20" max="20" width="19.28515625" style="1" bestFit="1" customWidth="1"/>
    <col min="21" max="21" width="12.7109375" style="1" bestFit="1" customWidth="1"/>
    <col min="22" max="22" width="14.85546875" style="1" bestFit="1" customWidth="1"/>
    <col min="23" max="23" width="11.85546875" style="1" bestFit="1" customWidth="1"/>
    <col min="24" max="24" width="18.42578125" style="1" bestFit="1" customWidth="1"/>
    <col min="25" max="25" width="19.7109375" style="1" bestFit="1" customWidth="1"/>
    <col min="26" max="26" width="18.28515625" style="1" bestFit="1" customWidth="1"/>
    <col min="27" max="27" width="12.42578125" style="1" customWidth="1"/>
    <col min="28" max="16384" width="11.42578125" style="1"/>
  </cols>
  <sheetData>
    <row r="1" spans="1:9" ht="21" x14ac:dyDescent="0.25">
      <c r="A1" s="4" t="s">
        <v>0</v>
      </c>
      <c r="B1" s="4" t="s">
        <v>39</v>
      </c>
      <c r="C1" s="4" t="s">
        <v>1</v>
      </c>
      <c r="D1" s="4" t="s">
        <v>2</v>
      </c>
      <c r="E1" s="3" t="s">
        <v>3</v>
      </c>
      <c r="G1" s="17" t="s">
        <v>22</v>
      </c>
      <c r="H1" s="17" t="s">
        <v>38</v>
      </c>
      <c r="I1" s="17" t="s">
        <v>23</v>
      </c>
    </row>
    <row r="2" spans="1:9" ht="28.5" x14ac:dyDescent="0.25">
      <c r="A2" s="4" t="s">
        <v>40</v>
      </c>
      <c r="B2" s="4" t="s">
        <v>4</v>
      </c>
      <c r="C2" s="19"/>
      <c r="D2" s="6"/>
      <c r="E2" s="7" t="str">
        <f>IF(AND(COUNTIF(BASE_DONNEE[],LISTE[[#This Row],[Description]])&gt;0,COUNTIF(BASE_DONNEE[],LISTE[[#This Row],[Description]])&lt;2),"Valide","Non assigné")</f>
        <v>Valide</v>
      </c>
      <c r="G2" s="1" t="s">
        <v>4</v>
      </c>
      <c r="H2" s="1">
        <v>1</v>
      </c>
      <c r="I2" s="18" t="s">
        <v>24</v>
      </c>
    </row>
    <row r="3" spans="1:9" ht="28.5" x14ac:dyDescent="0.25">
      <c r="A3" s="7" t="s">
        <v>41</v>
      </c>
      <c r="B3" s="7" t="s">
        <v>4</v>
      </c>
      <c r="C3" s="6"/>
      <c r="D3" s="6"/>
      <c r="E3" s="7" t="str">
        <f>IF(AND(COUNTIF(BASE_DONNEE[],LISTE[[#This Row],[Description]])&gt;0,COUNTIF(BASE_DONNEE[],LISTE[[#This Row],[Description]])&lt;2),"Valide","Non assigné")</f>
        <v>Valide</v>
      </c>
      <c r="G3" s="1" t="s">
        <v>5</v>
      </c>
      <c r="H3" s="1">
        <v>2</v>
      </c>
      <c r="I3" s="18" t="s">
        <v>25</v>
      </c>
    </row>
    <row r="4" spans="1:9" ht="28.5" x14ac:dyDescent="0.25">
      <c r="A4" s="7" t="s">
        <v>42</v>
      </c>
      <c r="B4" s="7" t="s">
        <v>4</v>
      </c>
      <c r="C4" s="6"/>
      <c r="D4" s="6"/>
      <c r="E4" s="7" t="str">
        <f>IF(AND(COUNTIF(BASE_DONNEE[],LISTE[[#This Row],[Description]])&gt;0,COUNTIF(BASE_DONNEE[],LISTE[[#This Row],[Description]])&lt;2),"Valide","Non assigné")</f>
        <v>Valide</v>
      </c>
      <c r="G4" s="1" t="s">
        <v>6</v>
      </c>
      <c r="H4" s="1">
        <v>3</v>
      </c>
      <c r="I4" s="18" t="s">
        <v>26</v>
      </c>
    </row>
    <row r="5" spans="1:9" ht="28.5" x14ac:dyDescent="0.25">
      <c r="A5" s="7" t="s">
        <v>43</v>
      </c>
      <c r="B5" s="7" t="s">
        <v>7</v>
      </c>
      <c r="C5" s="6"/>
      <c r="D5" s="6"/>
      <c r="E5" s="7" t="str">
        <f>IF(AND(COUNTIF(BASE_DONNEE[],LISTE[[#This Row],[Description]])&gt;0,COUNTIF(BASE_DONNEE[],LISTE[[#This Row],[Description]])&lt;2),"Valide","Non assigné")</f>
        <v>Valide</v>
      </c>
      <c r="G5" s="1" t="s">
        <v>7</v>
      </c>
      <c r="H5" s="1">
        <v>4</v>
      </c>
      <c r="I5" s="18" t="s">
        <v>27</v>
      </c>
    </row>
    <row r="6" spans="1:9" ht="28.5" x14ac:dyDescent="0.25">
      <c r="A6" s="7" t="s">
        <v>44</v>
      </c>
      <c r="B6" s="7" t="s">
        <v>8</v>
      </c>
      <c r="C6" s="6"/>
      <c r="D6" s="6"/>
      <c r="E6" s="7" t="str">
        <f>IF(AND(COUNTIF(BASE_DONNEE[],LISTE[[#This Row],[Description]])&gt;0,COUNTIF(BASE_DONNEE[],LISTE[[#This Row],[Description]])&lt;2),"Valide","Non assigné")</f>
        <v>Valide</v>
      </c>
      <c r="G6" s="1" t="s">
        <v>28</v>
      </c>
      <c r="H6" s="1">
        <v>5</v>
      </c>
      <c r="I6" s="18" t="s">
        <v>29</v>
      </c>
    </row>
    <row r="7" spans="1:9" ht="28.5" x14ac:dyDescent="0.25">
      <c r="A7" s="7" t="s">
        <v>45</v>
      </c>
      <c r="B7" s="7" t="s">
        <v>11</v>
      </c>
      <c r="C7" s="6"/>
      <c r="D7" s="6"/>
      <c r="E7" s="7" t="str">
        <f>IF(AND(COUNTIF(BASE_DONNEE[],LISTE[[#This Row],[Description]])&gt;0,COUNTIF(BASE_DONNEE[],LISTE[[#This Row],[Description]])&lt;2),"Valide","Non assigné")</f>
        <v>Valide</v>
      </c>
      <c r="G7" s="1" t="s">
        <v>8</v>
      </c>
      <c r="H7" s="1">
        <v>6</v>
      </c>
      <c r="I7" s="18" t="s">
        <v>30</v>
      </c>
    </row>
    <row r="8" spans="1:9" ht="28.5" x14ac:dyDescent="0.25">
      <c r="A8" s="7" t="s">
        <v>46</v>
      </c>
      <c r="B8" s="7" t="s">
        <v>8</v>
      </c>
      <c r="C8" s="6"/>
      <c r="D8" s="6"/>
      <c r="E8" s="7" t="str">
        <f>IF(AND(COUNTIF(BASE_DONNEE[],LISTE[[#This Row],[Description]])&gt;0,COUNTIF(BASE_DONNEE[],LISTE[[#This Row],[Description]])&lt;2),"Valide","Non assigné")</f>
        <v>Valide</v>
      </c>
      <c r="G8" s="1" t="s">
        <v>9</v>
      </c>
      <c r="H8" s="1">
        <v>7</v>
      </c>
      <c r="I8" s="18" t="s">
        <v>31</v>
      </c>
    </row>
    <row r="9" spans="1:9" ht="28.5" x14ac:dyDescent="0.25">
      <c r="A9" s="7" t="s">
        <v>47</v>
      </c>
      <c r="B9" s="7" t="s">
        <v>8</v>
      </c>
      <c r="C9" s="6"/>
      <c r="D9" s="6"/>
      <c r="E9" s="7" t="str">
        <f>IF(AND(COUNTIF(BASE_DONNEE[],LISTE[[#This Row],[Description]])&gt;0,COUNTIF(BASE_DONNEE[],LISTE[[#This Row],[Description]])&lt;2),"Valide","Non assigné")</f>
        <v>Valide</v>
      </c>
      <c r="G9" s="1" t="s">
        <v>10</v>
      </c>
      <c r="H9" s="1">
        <v>8</v>
      </c>
      <c r="I9" s="18" t="s">
        <v>32</v>
      </c>
    </row>
    <row r="10" spans="1:9" ht="28.5" x14ac:dyDescent="0.25">
      <c r="A10" s="7" t="s">
        <v>48</v>
      </c>
      <c r="B10" s="7" t="s">
        <v>11</v>
      </c>
      <c r="C10" s="6"/>
      <c r="D10" s="6"/>
      <c r="E10" s="7" t="str">
        <f>IF(AND(COUNTIF(BASE_DONNEE[],LISTE[[#This Row],[Description]])&gt;0,COUNTIF(BASE_DONNEE[],LISTE[[#This Row],[Description]])&lt;2),"Valide","Non assigné")</f>
        <v>Valide</v>
      </c>
      <c r="G10" s="1" t="s">
        <v>11</v>
      </c>
      <c r="H10" s="1">
        <v>9</v>
      </c>
      <c r="I10" s="18" t="s">
        <v>33</v>
      </c>
    </row>
    <row r="11" spans="1:9" ht="28.5" x14ac:dyDescent="0.25">
      <c r="A11" s="7" t="s">
        <v>49</v>
      </c>
      <c r="B11" s="7" t="s">
        <v>20</v>
      </c>
      <c r="C11" s="6"/>
      <c r="D11" s="6"/>
      <c r="E11" s="7" t="str">
        <f>IF(AND(COUNTIF(BASE_DONNEE[],LISTE[[#This Row],[Description]])&gt;0,COUNTIF(BASE_DONNEE[],LISTE[[#This Row],[Description]])&lt;2),"Valide","Non assigné")</f>
        <v>Valide</v>
      </c>
      <c r="G11" s="1" t="s">
        <v>12</v>
      </c>
      <c r="H11" s="1">
        <v>10</v>
      </c>
      <c r="I11" s="18" t="s">
        <v>34</v>
      </c>
    </row>
    <row r="12" spans="1:9" ht="28.5" x14ac:dyDescent="0.25">
      <c r="A12" s="7" t="s">
        <v>50</v>
      </c>
      <c r="B12" s="7" t="s">
        <v>20</v>
      </c>
      <c r="C12" s="6"/>
      <c r="D12" s="6"/>
      <c r="E12" s="7" t="str">
        <f>IF(AND(COUNTIF(BASE_DONNEE[],LISTE[[#This Row],[Description]])&gt;0,COUNTIF(BASE_DONNEE[],LISTE[[#This Row],[Description]])&lt;2),"Valide","Non assigné")</f>
        <v>Valide</v>
      </c>
      <c r="G12" s="1" t="s">
        <v>13</v>
      </c>
      <c r="H12" s="1">
        <v>11</v>
      </c>
      <c r="I12" s="18" t="s">
        <v>35</v>
      </c>
    </row>
    <row r="13" spans="1:9" ht="28.5" x14ac:dyDescent="0.25">
      <c r="A13" s="7" t="s">
        <v>51</v>
      </c>
      <c r="B13" s="7" t="s">
        <v>11</v>
      </c>
      <c r="C13" s="6"/>
      <c r="D13" s="6"/>
      <c r="E13" s="7" t="str">
        <f>IF(AND(COUNTIF(BASE_DONNEE[],LISTE[[#This Row],[Description]])&gt;0,COUNTIF(BASE_DONNEE[],LISTE[[#This Row],[Description]])&lt;2),"Valide","Non assigné")</f>
        <v>Valide</v>
      </c>
      <c r="G13" s="1" t="s">
        <v>14</v>
      </c>
      <c r="H13" s="1">
        <v>12</v>
      </c>
      <c r="I13" s="18" t="s">
        <v>36</v>
      </c>
    </row>
    <row r="14" spans="1:9" x14ac:dyDescent="0.25">
      <c r="A14" s="7" t="s">
        <v>52</v>
      </c>
      <c r="B14" s="7" t="s">
        <v>15</v>
      </c>
      <c r="C14" s="6"/>
      <c r="D14" s="6"/>
      <c r="E14" s="7" t="str">
        <f>IF(AND(COUNTIF(BASE_DONNEE[],LISTE[[#This Row],[Description]])&gt;0,COUNTIF(BASE_DONNEE[],LISTE[[#This Row],[Description]])&lt;2),"Valide","Non assigné")</f>
        <v>Valide</v>
      </c>
      <c r="G14" s="1" t="s">
        <v>15</v>
      </c>
    </row>
    <row r="15" spans="1:9" x14ac:dyDescent="0.25">
      <c r="A15" s="7" t="s">
        <v>53</v>
      </c>
      <c r="B15" s="7" t="s">
        <v>19</v>
      </c>
      <c r="C15" s="6"/>
      <c r="D15" s="6"/>
      <c r="E15" s="7" t="str">
        <f>IF(AND(COUNTIF(BASE_DONNEE[],LISTE[[#This Row],[Description]])&gt;0,COUNTIF(BASE_DONNEE[],LISTE[[#This Row],[Description]])&lt;2),"Valide","Non assigné")</f>
        <v>Valide</v>
      </c>
      <c r="G15" s="1" t="s">
        <v>17</v>
      </c>
    </row>
    <row r="16" spans="1:9" x14ac:dyDescent="0.25">
      <c r="A16" s="7" t="s">
        <v>54</v>
      </c>
      <c r="B16" s="7" t="s">
        <v>13</v>
      </c>
      <c r="C16" s="6"/>
      <c r="D16" s="6"/>
      <c r="E16" s="7" t="str">
        <f>IF(AND(COUNTIF(BASE_DONNEE[],LISTE[[#This Row],[Description]])&gt;0,COUNTIF(BASE_DONNEE[],LISTE[[#This Row],[Description]])&lt;2),"Valide","Non assigné")</f>
        <v>Valide</v>
      </c>
      <c r="G16" s="1" t="s">
        <v>18</v>
      </c>
    </row>
    <row r="17" spans="1:7" x14ac:dyDescent="0.25">
      <c r="A17" s="7" t="s">
        <v>55</v>
      </c>
      <c r="B17" s="7" t="s">
        <v>15</v>
      </c>
      <c r="C17" s="6"/>
      <c r="D17" s="6"/>
      <c r="E17" s="7" t="str">
        <f>IF(AND(COUNTIF(BASE_DONNEE[],LISTE[[#This Row],[Description]])&gt;0,COUNTIF(BASE_DONNEE[],LISTE[[#This Row],[Description]])&lt;2),"Valide","Non assigné")</f>
        <v>Valide</v>
      </c>
      <c r="G17" s="1" t="s">
        <v>19</v>
      </c>
    </row>
    <row r="18" spans="1:7" x14ac:dyDescent="0.25">
      <c r="A18" s="7" t="s">
        <v>56</v>
      </c>
      <c r="B18" s="7" t="s">
        <v>15</v>
      </c>
      <c r="C18" s="6"/>
      <c r="D18" s="6"/>
      <c r="E18" s="7" t="str">
        <f>IF(AND(COUNTIF(BASE_DONNEE[],LISTE[[#This Row],[Description]])&gt;0,COUNTIF(BASE_DONNEE[],LISTE[[#This Row],[Description]])&lt;2),"Valide","Non assigné")</f>
        <v>Valide</v>
      </c>
      <c r="G18" s="1" t="s">
        <v>20</v>
      </c>
    </row>
    <row r="19" spans="1:7" x14ac:dyDescent="0.25">
      <c r="A19" s="7" t="s">
        <v>57</v>
      </c>
      <c r="B19" s="7" t="s">
        <v>10</v>
      </c>
      <c r="C19" s="6"/>
      <c r="D19" s="6"/>
      <c r="E19" s="7" t="str">
        <f>IF(AND(COUNTIF(BASE_DONNEE[],LISTE[[#This Row],[Description]])&gt;0,COUNTIF(BASE_DONNEE[],LISTE[[#This Row],[Description]])&lt;2),"Valide","Non assigné")</f>
        <v>Valide</v>
      </c>
      <c r="G19" s="1" t="s">
        <v>21</v>
      </c>
    </row>
    <row r="20" spans="1:7" x14ac:dyDescent="0.25">
      <c r="A20" s="7" t="s">
        <v>58</v>
      </c>
      <c r="B20" s="7" t="s">
        <v>9</v>
      </c>
      <c r="C20" s="6"/>
      <c r="D20" s="6"/>
      <c r="E20" s="7" t="str">
        <f>IF(AND(COUNTIF(BASE_DONNEE[],LISTE[[#This Row],[Description]])&gt;0,COUNTIF(BASE_DONNEE[],LISTE[[#This Row],[Description]])&lt;2),"Valide","Non assigné")</f>
        <v>Valide</v>
      </c>
      <c r="G20" s="1" t="s">
        <v>16</v>
      </c>
    </row>
    <row r="21" spans="1:7" x14ac:dyDescent="0.25">
      <c r="A21" s="7" t="s">
        <v>59</v>
      </c>
      <c r="B21" s="7" t="s">
        <v>15</v>
      </c>
      <c r="C21" s="6"/>
      <c r="D21" s="6"/>
      <c r="E21" s="7" t="str">
        <f>IF(AND(COUNTIF(BASE_DONNEE[],LISTE[[#This Row],[Description]])&gt;0,COUNTIF(BASE_DONNEE[],LISTE[[#This Row],[Description]])&lt;2),"Valide","Non assigné")</f>
        <v>Valide</v>
      </c>
      <c r="G21" s="1" t="s">
        <v>183</v>
      </c>
    </row>
    <row r="22" spans="1:7" x14ac:dyDescent="0.25">
      <c r="A22" s="7" t="s">
        <v>60</v>
      </c>
      <c r="B22" s="7" t="s">
        <v>5</v>
      </c>
      <c r="C22" s="6"/>
      <c r="D22" s="6"/>
      <c r="E22" s="7" t="str">
        <f>IF(AND(COUNTIF(BASE_DONNEE[],LISTE[[#This Row],[Description]])&gt;0,COUNTIF(BASE_DONNEE[],LISTE[[#This Row],[Description]])&lt;2),"Valide","Non assigné")</f>
        <v>Valide</v>
      </c>
      <c r="G22" s="1" t="s">
        <v>181</v>
      </c>
    </row>
    <row r="23" spans="1:7" x14ac:dyDescent="0.25">
      <c r="A23" s="7" t="s">
        <v>61</v>
      </c>
      <c r="B23" s="7" t="s">
        <v>8</v>
      </c>
      <c r="C23" s="6"/>
      <c r="D23" s="6"/>
      <c r="E23" s="7" t="str">
        <f>IF(AND(COUNTIF(BASE_DONNEE[],LISTE[[#This Row],[Description]])&gt;0,COUNTIF(BASE_DONNEE[],LISTE[[#This Row],[Description]])&lt;2),"Valide","Non assigné")</f>
        <v>Valide</v>
      </c>
    </row>
    <row r="24" spans="1:7" x14ac:dyDescent="0.25">
      <c r="A24" s="7" t="s">
        <v>62</v>
      </c>
      <c r="B24" s="7" t="s">
        <v>20</v>
      </c>
      <c r="C24" s="6"/>
      <c r="D24" s="6"/>
      <c r="E24" s="7" t="str">
        <f>IF(AND(COUNTIF(BASE_DONNEE[],LISTE[[#This Row],[Description]])&gt;0,COUNTIF(BASE_DONNEE[],LISTE[[#This Row],[Description]])&lt;2),"Valide","Non assigné")</f>
        <v>Valide</v>
      </c>
    </row>
    <row r="25" spans="1:7" x14ac:dyDescent="0.25">
      <c r="A25" s="7" t="s">
        <v>158</v>
      </c>
      <c r="B25" s="7" t="s">
        <v>7</v>
      </c>
      <c r="C25" s="6"/>
      <c r="D25" s="6"/>
      <c r="E25" s="7" t="str">
        <f>IF(AND(COUNTIF(BASE_DONNEE[],LISTE[[#This Row],[Description]])&gt;0,COUNTIF(BASE_DONNEE[],LISTE[[#This Row],[Description]])&lt;2),"Valide","Non assigné")</f>
        <v>Valide</v>
      </c>
    </row>
    <row r="26" spans="1:7" x14ac:dyDescent="0.25">
      <c r="A26" s="7" t="s">
        <v>63</v>
      </c>
      <c r="B26" s="7" t="s">
        <v>15</v>
      </c>
      <c r="C26" s="6"/>
      <c r="D26" s="6"/>
      <c r="E26" s="7" t="str">
        <f>IF(AND(COUNTIF(BASE_DONNEE[],LISTE[[#This Row],[Description]])&gt;0,COUNTIF(BASE_DONNEE[],LISTE[[#This Row],[Description]])&lt;2),"Valide","Non assigné")</f>
        <v>Valide</v>
      </c>
    </row>
    <row r="27" spans="1:7" x14ac:dyDescent="0.25">
      <c r="A27" s="7" t="s">
        <v>64</v>
      </c>
      <c r="B27" s="7" t="s">
        <v>11</v>
      </c>
      <c r="C27" s="6"/>
      <c r="D27" s="6"/>
      <c r="E27" s="7" t="str">
        <f>IF(AND(COUNTIF(BASE_DONNEE[],LISTE[[#This Row],[Description]])&gt;0,COUNTIF(BASE_DONNEE[],LISTE[[#This Row],[Description]])&lt;2),"Valide","Non assigné")</f>
        <v>Valide</v>
      </c>
    </row>
    <row r="28" spans="1:7" x14ac:dyDescent="0.25">
      <c r="A28" s="7" t="s">
        <v>65</v>
      </c>
      <c r="B28" s="7" t="s">
        <v>12</v>
      </c>
      <c r="C28" s="6"/>
      <c r="D28" s="6"/>
      <c r="E28" s="7" t="str">
        <f>IF(AND(COUNTIF(BASE_DONNEE[],LISTE[[#This Row],[Description]])&gt;0,COUNTIF(BASE_DONNEE[],LISTE[[#This Row],[Description]])&lt;2),"Valide","Non assigné")</f>
        <v>Valide</v>
      </c>
    </row>
    <row r="29" spans="1:7" x14ac:dyDescent="0.25">
      <c r="A29" s="7" t="s">
        <v>66</v>
      </c>
      <c r="B29" s="7" t="s">
        <v>10</v>
      </c>
      <c r="C29" s="6"/>
      <c r="D29" s="6"/>
      <c r="E29" s="7" t="str">
        <f>IF(AND(COUNTIF(BASE_DONNEE[],LISTE[[#This Row],[Description]])&gt;0,COUNTIF(BASE_DONNEE[],LISTE[[#This Row],[Description]])&lt;2),"Valide","Non assigné")</f>
        <v>Valide</v>
      </c>
    </row>
    <row r="30" spans="1:7" x14ac:dyDescent="0.25">
      <c r="A30" s="7" t="s">
        <v>67</v>
      </c>
      <c r="B30" s="7" t="s">
        <v>8</v>
      </c>
      <c r="C30" s="6"/>
      <c r="D30" s="6"/>
      <c r="E30" s="7" t="str">
        <f>IF(AND(COUNTIF(BASE_DONNEE[],LISTE[[#This Row],[Description]])&gt;0,COUNTIF(BASE_DONNEE[],LISTE[[#This Row],[Description]])&lt;2),"Valide","Non assigné")</f>
        <v>Valide</v>
      </c>
    </row>
    <row r="31" spans="1:7" x14ac:dyDescent="0.25">
      <c r="A31" s="7" t="s">
        <v>68</v>
      </c>
      <c r="B31" s="7" t="s">
        <v>8</v>
      </c>
      <c r="C31" s="6"/>
      <c r="D31" s="6"/>
      <c r="E31" s="7" t="str">
        <f>IF(AND(COUNTIF(BASE_DONNEE[],LISTE[[#This Row],[Description]])&gt;0,COUNTIF(BASE_DONNEE[],LISTE[[#This Row],[Description]])&lt;2),"Valide","Non assigné")</f>
        <v>Valide</v>
      </c>
    </row>
    <row r="32" spans="1:7" x14ac:dyDescent="0.25">
      <c r="A32" s="7" t="s">
        <v>69</v>
      </c>
      <c r="B32" s="7" t="s">
        <v>8</v>
      </c>
      <c r="C32" s="6"/>
      <c r="D32" s="6"/>
      <c r="E32" s="7" t="str">
        <f>IF(AND(COUNTIF(BASE_DONNEE[],LISTE[[#This Row],[Description]])&gt;0,COUNTIF(BASE_DONNEE[],LISTE[[#This Row],[Description]])&lt;2),"Valide","Non assigné")</f>
        <v>Valide</v>
      </c>
    </row>
    <row r="33" spans="1:5" x14ac:dyDescent="0.25">
      <c r="A33" s="7" t="s">
        <v>70</v>
      </c>
      <c r="B33" s="7" t="s">
        <v>15</v>
      </c>
      <c r="C33" s="6"/>
      <c r="D33" s="6"/>
      <c r="E33" s="7" t="str">
        <f>IF(AND(COUNTIF(BASE_DONNEE[],LISTE[[#This Row],[Description]])&gt;0,COUNTIF(BASE_DONNEE[],LISTE[[#This Row],[Description]])&lt;2),"Valide","Non assigné")</f>
        <v>Valide</v>
      </c>
    </row>
    <row r="34" spans="1:5" x14ac:dyDescent="0.25">
      <c r="A34" s="7" t="s">
        <v>71</v>
      </c>
      <c r="B34" s="7" t="s">
        <v>17</v>
      </c>
      <c r="C34" s="6"/>
      <c r="D34" s="6"/>
      <c r="E34" s="7" t="str">
        <f>IF(AND(COUNTIF(BASE_DONNEE[],LISTE[[#This Row],[Description]])&gt;0,COUNTIF(BASE_DONNEE[],LISTE[[#This Row],[Description]])&lt;2),"Valide","Non assigné")</f>
        <v>Valide</v>
      </c>
    </row>
    <row r="35" spans="1:5" x14ac:dyDescent="0.25">
      <c r="A35" s="7" t="s">
        <v>72</v>
      </c>
      <c r="B35" s="7" t="s">
        <v>20</v>
      </c>
      <c r="C35" s="6"/>
      <c r="D35" s="6"/>
      <c r="E35" s="7" t="str">
        <f>IF(AND(COUNTIF(BASE_DONNEE[],LISTE[[#This Row],[Description]])&gt;0,COUNTIF(BASE_DONNEE[],LISTE[[#This Row],[Description]])&lt;2),"Valide","Non assigné")</f>
        <v>Valide</v>
      </c>
    </row>
    <row r="36" spans="1:5" x14ac:dyDescent="0.25">
      <c r="A36" s="7" t="s">
        <v>152</v>
      </c>
      <c r="B36" s="7" t="s">
        <v>7</v>
      </c>
      <c r="C36" s="6"/>
      <c r="D36" s="6"/>
      <c r="E36" s="7" t="str">
        <f>IF(AND(COUNTIF(BASE_DONNEE[],LISTE[[#This Row],[Description]])&gt;0,COUNTIF(BASE_DONNEE[],LISTE[[#This Row],[Description]])&lt;2),"Valide","Non assigné")</f>
        <v>Valide</v>
      </c>
    </row>
    <row r="37" spans="1:5" x14ac:dyDescent="0.25">
      <c r="A37" s="7" t="s">
        <v>73</v>
      </c>
      <c r="B37" s="7" t="s">
        <v>17</v>
      </c>
      <c r="C37" s="6"/>
      <c r="D37" s="6"/>
      <c r="E37" s="7" t="str">
        <f>IF(AND(COUNTIF(BASE_DONNEE[],LISTE[[#This Row],[Description]])&gt;0,COUNTIF(BASE_DONNEE[],LISTE[[#This Row],[Description]])&lt;2),"Valide","Non assigné")</f>
        <v>Valide</v>
      </c>
    </row>
    <row r="38" spans="1:5" x14ac:dyDescent="0.25">
      <c r="A38" s="7" t="s">
        <v>156</v>
      </c>
      <c r="B38" s="7" t="s">
        <v>7</v>
      </c>
      <c r="C38" s="6"/>
      <c r="D38" s="6"/>
      <c r="E38" s="7" t="str">
        <f>IF(AND(COUNTIF(BASE_DONNEE[],LISTE[[#This Row],[Description]])&gt;0,COUNTIF(BASE_DONNEE[],LISTE[[#This Row],[Description]])&lt;2),"Valide","Non assigné")</f>
        <v>Valide</v>
      </c>
    </row>
    <row r="39" spans="1:5" x14ac:dyDescent="0.25">
      <c r="A39" s="7" t="s">
        <v>74</v>
      </c>
      <c r="B39" s="7" t="s">
        <v>7</v>
      </c>
      <c r="C39" s="6"/>
      <c r="D39" s="6"/>
      <c r="E39" s="7" t="str">
        <f>IF(AND(COUNTIF(BASE_DONNEE[],LISTE[[#This Row],[Description]])&gt;0,COUNTIF(BASE_DONNEE[],LISTE[[#This Row],[Description]])&lt;2),"Valide","Non assigné")</f>
        <v>Valide</v>
      </c>
    </row>
    <row r="40" spans="1:5" x14ac:dyDescent="0.25">
      <c r="A40" s="7" t="s">
        <v>75</v>
      </c>
      <c r="B40" s="7" t="s">
        <v>11</v>
      </c>
      <c r="C40" s="6"/>
      <c r="D40" s="6"/>
      <c r="E40" s="7" t="str">
        <f>IF(AND(COUNTIF(BASE_DONNEE[],LISTE[[#This Row],[Description]])&gt;0,COUNTIF(BASE_DONNEE[],LISTE[[#This Row],[Description]])&lt;2),"Valide","Non assigné")</f>
        <v>Valide</v>
      </c>
    </row>
    <row r="41" spans="1:5" x14ac:dyDescent="0.25">
      <c r="A41" s="7" t="s">
        <v>76</v>
      </c>
      <c r="B41" s="7" t="s">
        <v>7</v>
      </c>
      <c r="C41" s="6"/>
      <c r="D41" s="6"/>
      <c r="E41" s="7" t="str">
        <f>IF(AND(COUNTIF(BASE_DONNEE[],LISTE[[#This Row],[Description]])&gt;0,COUNTIF(BASE_DONNEE[],LISTE[[#This Row],[Description]])&lt;2),"Valide","Non assigné")</f>
        <v>Valide</v>
      </c>
    </row>
    <row r="42" spans="1:5" x14ac:dyDescent="0.25">
      <c r="A42" s="7" t="s">
        <v>77</v>
      </c>
      <c r="B42" s="7" t="s">
        <v>11</v>
      </c>
      <c r="C42" s="6"/>
      <c r="D42" s="6"/>
      <c r="E42" s="7" t="str">
        <f>IF(AND(COUNTIF(BASE_DONNEE[],LISTE[[#This Row],[Description]])&gt;0,COUNTIF(BASE_DONNEE[],LISTE[[#This Row],[Description]])&lt;2),"Valide","Non assigné")</f>
        <v>Valide</v>
      </c>
    </row>
    <row r="43" spans="1:5" x14ac:dyDescent="0.25">
      <c r="A43" s="7" t="s">
        <v>78</v>
      </c>
      <c r="B43" s="7" t="s">
        <v>19</v>
      </c>
      <c r="C43" s="6"/>
      <c r="D43" s="6"/>
      <c r="E43" s="7" t="str">
        <f>IF(AND(COUNTIF(BASE_DONNEE[],LISTE[[#This Row],[Description]])&gt;0,COUNTIF(BASE_DONNEE[],LISTE[[#This Row],[Description]])&lt;2),"Valide","Non assigné")</f>
        <v>Valide</v>
      </c>
    </row>
    <row r="44" spans="1:5" x14ac:dyDescent="0.25">
      <c r="A44" s="7" t="s">
        <v>79</v>
      </c>
      <c r="B44" s="7" t="s">
        <v>15</v>
      </c>
      <c r="C44" s="6"/>
      <c r="D44" s="6"/>
      <c r="E44" s="7" t="str">
        <f>IF(AND(COUNTIF(BASE_DONNEE[],LISTE[[#This Row],[Description]])&gt;0,COUNTIF(BASE_DONNEE[],LISTE[[#This Row],[Description]])&lt;2),"Valide","Non assigné")</f>
        <v>Valide</v>
      </c>
    </row>
    <row r="45" spans="1:5" x14ac:dyDescent="0.25">
      <c r="A45" s="7" t="s">
        <v>80</v>
      </c>
      <c r="B45" s="7" t="s">
        <v>15</v>
      </c>
      <c r="C45" s="6"/>
      <c r="D45" s="6"/>
      <c r="E45" s="7" t="str">
        <f>IF(AND(COUNTIF(BASE_DONNEE[],LISTE[[#This Row],[Description]])&gt;0,COUNTIF(BASE_DONNEE[],LISTE[[#This Row],[Description]])&lt;2),"Valide","Non assigné")</f>
        <v>Valide</v>
      </c>
    </row>
    <row r="46" spans="1:5" x14ac:dyDescent="0.25">
      <c r="A46" s="7" t="s">
        <v>81</v>
      </c>
      <c r="B46" s="7" t="s">
        <v>11</v>
      </c>
      <c r="C46" s="6"/>
      <c r="D46" s="6"/>
      <c r="E46" s="7" t="str">
        <f>IF(AND(COUNTIF(BASE_DONNEE[],LISTE[[#This Row],[Description]])&gt;0,COUNTIF(BASE_DONNEE[],LISTE[[#This Row],[Description]])&lt;2),"Valide","Non assigné")</f>
        <v>Valide</v>
      </c>
    </row>
    <row r="47" spans="1:5" x14ac:dyDescent="0.25">
      <c r="A47" s="7" t="s">
        <v>82</v>
      </c>
      <c r="B47" s="7" t="s">
        <v>15</v>
      </c>
      <c r="C47" s="6"/>
      <c r="D47" s="6"/>
      <c r="E47" s="7" t="str">
        <f>IF(AND(COUNTIF(BASE_DONNEE[],LISTE[[#This Row],[Description]])&gt;0,COUNTIF(BASE_DONNEE[],LISTE[[#This Row],[Description]])&lt;2),"Valide","Non assigné")</f>
        <v>Valide</v>
      </c>
    </row>
    <row r="48" spans="1:5" x14ac:dyDescent="0.25">
      <c r="A48" s="7" t="s">
        <v>83</v>
      </c>
      <c r="B48" s="7" t="s">
        <v>15</v>
      </c>
      <c r="C48" s="6"/>
      <c r="D48" s="6"/>
      <c r="E48" s="7" t="str">
        <f>IF(AND(COUNTIF(BASE_DONNEE[],LISTE[[#This Row],[Description]])&gt;0,COUNTIF(BASE_DONNEE[],LISTE[[#This Row],[Description]])&lt;2),"Valide","Non assigné")</f>
        <v>Valide</v>
      </c>
    </row>
    <row r="49" spans="1:5" x14ac:dyDescent="0.25">
      <c r="A49" s="7" t="s">
        <v>84</v>
      </c>
      <c r="B49" s="7" t="s">
        <v>15</v>
      </c>
      <c r="C49" s="6"/>
      <c r="D49" s="6"/>
      <c r="E49" s="7" t="str">
        <f>IF(AND(COUNTIF(BASE_DONNEE[],LISTE[[#This Row],[Description]])&gt;0,COUNTIF(BASE_DONNEE[],LISTE[[#This Row],[Description]])&lt;2),"Valide","Non assigné")</f>
        <v>Valide</v>
      </c>
    </row>
    <row r="50" spans="1:5" x14ac:dyDescent="0.25">
      <c r="A50" s="7" t="s">
        <v>85</v>
      </c>
      <c r="B50" s="7" t="s">
        <v>8</v>
      </c>
      <c r="C50" s="6"/>
      <c r="D50" s="6"/>
      <c r="E50" s="7" t="str">
        <f>IF(AND(COUNTIF(BASE_DONNEE[],LISTE[[#This Row],[Description]])&gt;0,COUNTIF(BASE_DONNEE[],LISTE[[#This Row],[Description]])&lt;2),"Valide","Non assigné")</f>
        <v>Valide</v>
      </c>
    </row>
    <row r="51" spans="1:5" x14ac:dyDescent="0.25">
      <c r="A51" s="7" t="s">
        <v>86</v>
      </c>
      <c r="B51" s="7" t="s">
        <v>5</v>
      </c>
      <c r="C51" s="6"/>
      <c r="D51" s="6"/>
      <c r="E51" s="7" t="str">
        <f>IF(AND(COUNTIF(BASE_DONNEE[],LISTE[[#This Row],[Description]])&gt;0,COUNTIF(BASE_DONNEE[],LISTE[[#This Row],[Description]])&lt;2),"Valide","Non assigné")</f>
        <v>Valide</v>
      </c>
    </row>
    <row r="52" spans="1:5" x14ac:dyDescent="0.25">
      <c r="A52" s="7" t="s">
        <v>87</v>
      </c>
      <c r="B52" s="7" t="s">
        <v>7</v>
      </c>
      <c r="C52" s="6"/>
      <c r="D52" s="6"/>
      <c r="E52" s="7" t="str">
        <f>IF(AND(COUNTIF(BASE_DONNEE[],LISTE[[#This Row],[Description]])&gt;0,COUNTIF(BASE_DONNEE[],LISTE[[#This Row],[Description]])&lt;2),"Valide","Non assigné")</f>
        <v>Valide</v>
      </c>
    </row>
    <row r="53" spans="1:5" x14ac:dyDescent="0.25">
      <c r="A53" s="7" t="s">
        <v>88</v>
      </c>
      <c r="B53" s="7" t="s">
        <v>20</v>
      </c>
      <c r="C53" s="6"/>
      <c r="D53" s="6"/>
      <c r="E53" s="7" t="str">
        <f>IF(AND(COUNTIF(BASE_DONNEE[],LISTE[[#This Row],[Description]])&gt;0,COUNTIF(BASE_DONNEE[],LISTE[[#This Row],[Description]])&lt;2),"Valide","Non assigné")</f>
        <v>Valide</v>
      </c>
    </row>
    <row r="54" spans="1:5" x14ac:dyDescent="0.25">
      <c r="A54" s="7" t="s">
        <v>89</v>
      </c>
      <c r="B54" s="7" t="s">
        <v>11</v>
      </c>
      <c r="C54" s="6"/>
      <c r="D54" s="6"/>
      <c r="E54" s="7" t="str">
        <f>IF(AND(COUNTIF(BASE_DONNEE[],LISTE[[#This Row],[Description]])&gt;0,COUNTIF(BASE_DONNEE[],LISTE[[#This Row],[Description]])&lt;2),"Valide","Non assigné")</f>
        <v>Valide</v>
      </c>
    </row>
    <row r="55" spans="1:5" x14ac:dyDescent="0.25">
      <c r="A55" s="7" t="s">
        <v>90</v>
      </c>
      <c r="B55" s="7" t="s">
        <v>20</v>
      </c>
      <c r="C55" s="6"/>
      <c r="D55" s="6"/>
      <c r="E55" s="7" t="str">
        <f>IF(AND(COUNTIF(BASE_DONNEE[],LISTE[[#This Row],[Description]])&gt;0,COUNTIF(BASE_DONNEE[],LISTE[[#This Row],[Description]])&lt;2),"Valide","Non assigné")</f>
        <v>Valide</v>
      </c>
    </row>
    <row r="56" spans="1:5" x14ac:dyDescent="0.25">
      <c r="A56" s="7" t="s">
        <v>91</v>
      </c>
      <c r="B56" s="7" t="s">
        <v>15</v>
      </c>
      <c r="C56" s="6"/>
      <c r="D56" s="6"/>
      <c r="E56" s="7" t="str">
        <f>IF(AND(COUNTIF(BASE_DONNEE[],LISTE[[#This Row],[Description]])&gt;0,COUNTIF(BASE_DONNEE[],LISTE[[#This Row],[Description]])&lt;2),"Valide","Non assigné")</f>
        <v>Valide</v>
      </c>
    </row>
    <row r="57" spans="1:5" x14ac:dyDescent="0.25">
      <c r="A57" s="7" t="s">
        <v>92</v>
      </c>
      <c r="B57" s="7" t="s">
        <v>6</v>
      </c>
      <c r="C57" s="6"/>
      <c r="D57" s="6"/>
      <c r="E57" s="7" t="str">
        <f>IF(AND(COUNTIF(BASE_DONNEE[],LISTE[[#This Row],[Description]])&gt;0,COUNTIF(BASE_DONNEE[],LISTE[[#This Row],[Description]])&lt;2),"Valide","Non assigné")</f>
        <v>Valide</v>
      </c>
    </row>
    <row r="58" spans="1:5" x14ac:dyDescent="0.25">
      <c r="A58" s="7" t="s">
        <v>93</v>
      </c>
      <c r="B58" s="7" t="s">
        <v>8</v>
      </c>
      <c r="C58" s="6"/>
      <c r="D58" s="6"/>
      <c r="E58" s="7" t="str">
        <f>IF(AND(COUNTIF(BASE_DONNEE[],LISTE[[#This Row],[Description]])&gt;0,COUNTIF(BASE_DONNEE[],LISTE[[#This Row],[Description]])&lt;2),"Valide","Non assigné")</f>
        <v>Valide</v>
      </c>
    </row>
    <row r="59" spans="1:5" x14ac:dyDescent="0.25">
      <c r="A59" s="7" t="s">
        <v>94</v>
      </c>
      <c r="B59" s="7" t="s">
        <v>7</v>
      </c>
      <c r="C59" s="6"/>
      <c r="D59" s="6"/>
      <c r="E59" s="7" t="str">
        <f>IF(AND(COUNTIF(BASE_DONNEE[],LISTE[[#This Row],[Description]])&gt;0,COUNTIF(BASE_DONNEE[],LISTE[[#This Row],[Description]])&lt;2),"Valide","Non assigné")</f>
        <v>Valide</v>
      </c>
    </row>
    <row r="60" spans="1:5" x14ac:dyDescent="0.25">
      <c r="A60" s="7" t="s">
        <v>95</v>
      </c>
      <c r="B60" s="7" t="s">
        <v>19</v>
      </c>
      <c r="C60" s="6"/>
      <c r="D60" s="6"/>
      <c r="E60" s="7" t="str">
        <f>IF(AND(COUNTIF(BASE_DONNEE[],LISTE[[#This Row],[Description]])&gt;0,COUNTIF(BASE_DONNEE[],LISTE[[#This Row],[Description]])&lt;2),"Valide","Non assigné")</f>
        <v>Valide</v>
      </c>
    </row>
    <row r="61" spans="1:5" x14ac:dyDescent="0.25">
      <c r="A61" s="7" t="s">
        <v>96</v>
      </c>
      <c r="B61" s="7" t="s">
        <v>11</v>
      </c>
      <c r="C61" s="6"/>
      <c r="D61" s="6"/>
      <c r="E61" s="7" t="str">
        <f>IF(AND(COUNTIF(BASE_DONNEE[],LISTE[[#This Row],[Description]])&gt;0,COUNTIF(BASE_DONNEE[],LISTE[[#This Row],[Description]])&lt;2),"Valide","Non assigné")</f>
        <v>Valide</v>
      </c>
    </row>
    <row r="62" spans="1:5" x14ac:dyDescent="0.25">
      <c r="A62" s="7" t="s">
        <v>97</v>
      </c>
      <c r="B62" s="7" t="s">
        <v>5</v>
      </c>
      <c r="C62" s="6"/>
      <c r="D62" s="6"/>
      <c r="E62" s="7" t="str">
        <f>IF(AND(COUNTIF(BASE_DONNEE[],LISTE[[#This Row],[Description]])&gt;0,COUNTIF(BASE_DONNEE[],LISTE[[#This Row],[Description]])&lt;2),"Valide","Non assigné")</f>
        <v>Valide</v>
      </c>
    </row>
    <row r="63" spans="1:5" x14ac:dyDescent="0.25">
      <c r="A63" s="7" t="s">
        <v>98</v>
      </c>
      <c r="B63" s="7" t="s">
        <v>20</v>
      </c>
      <c r="C63" s="6"/>
      <c r="D63" s="6"/>
      <c r="E63" s="7" t="str">
        <f>IF(AND(COUNTIF(BASE_DONNEE[],LISTE[[#This Row],[Description]])&gt;0,COUNTIF(BASE_DONNEE[],LISTE[[#This Row],[Description]])&lt;2),"Valide","Non assigné")</f>
        <v>Valide</v>
      </c>
    </row>
    <row r="64" spans="1:5" x14ac:dyDescent="0.25">
      <c r="A64" s="7" t="s">
        <v>159</v>
      </c>
      <c r="B64" s="7" t="s">
        <v>7</v>
      </c>
      <c r="C64" s="6"/>
      <c r="D64" s="6"/>
      <c r="E64" s="7" t="str">
        <f>IF(AND(COUNTIF(BASE_DONNEE[],LISTE[[#This Row],[Description]])&gt;0,COUNTIF(BASE_DONNEE[],LISTE[[#This Row],[Description]])&lt;2),"Valide","Non assigné")</f>
        <v>Valide</v>
      </c>
    </row>
    <row r="65" spans="1:5" x14ac:dyDescent="0.25">
      <c r="A65" s="7" t="s">
        <v>99</v>
      </c>
      <c r="B65" s="7" t="s">
        <v>11</v>
      </c>
      <c r="C65" s="6"/>
      <c r="D65" s="6"/>
      <c r="E65" s="7" t="str">
        <f>IF(AND(COUNTIF(BASE_DONNEE[],LISTE[[#This Row],[Description]])&gt;0,COUNTIF(BASE_DONNEE[],LISTE[[#This Row],[Description]])&lt;2),"Valide","Non assigné")</f>
        <v>Valide</v>
      </c>
    </row>
    <row r="66" spans="1:5" x14ac:dyDescent="0.25">
      <c r="A66" s="7" t="s">
        <v>100</v>
      </c>
      <c r="B66" s="7" t="s">
        <v>15</v>
      </c>
      <c r="C66" s="6"/>
      <c r="D66" s="6"/>
      <c r="E66" s="7" t="str">
        <f>IF(AND(COUNTIF(BASE_DONNEE[],LISTE[[#This Row],[Description]])&gt;0,COUNTIF(BASE_DONNEE[],LISTE[[#This Row],[Description]])&lt;2),"Valide","Non assigné")</f>
        <v>Valide</v>
      </c>
    </row>
    <row r="67" spans="1:5" x14ac:dyDescent="0.25">
      <c r="A67" s="7" t="s">
        <v>101</v>
      </c>
      <c r="B67" s="7" t="s">
        <v>15</v>
      </c>
      <c r="C67" s="6"/>
      <c r="D67" s="6"/>
      <c r="E67" s="7" t="str">
        <f>IF(AND(COUNTIF(BASE_DONNEE[],LISTE[[#This Row],[Description]])&gt;0,COUNTIF(BASE_DONNEE[],LISTE[[#This Row],[Description]])&lt;2),"Valide","Non assigné")</f>
        <v>Valide</v>
      </c>
    </row>
    <row r="68" spans="1:5" x14ac:dyDescent="0.25">
      <c r="A68" s="7" t="s">
        <v>102</v>
      </c>
      <c r="B68" s="7" t="s">
        <v>15</v>
      </c>
      <c r="C68" s="6"/>
      <c r="D68" s="6"/>
      <c r="E68" s="7" t="str">
        <f>IF(AND(COUNTIF(BASE_DONNEE[],LISTE[[#This Row],[Description]])&gt;0,COUNTIF(BASE_DONNEE[],LISTE[[#This Row],[Description]])&lt;2),"Valide","Non assigné")</f>
        <v>Valide</v>
      </c>
    </row>
    <row r="69" spans="1:5" x14ac:dyDescent="0.25">
      <c r="A69" s="7" t="s">
        <v>103</v>
      </c>
      <c r="B69" s="7" t="s">
        <v>15</v>
      </c>
      <c r="C69" s="6"/>
      <c r="D69" s="6"/>
      <c r="E69" s="7" t="str">
        <f>IF(AND(COUNTIF(BASE_DONNEE[],LISTE[[#This Row],[Description]])&gt;0,COUNTIF(BASE_DONNEE[],LISTE[[#This Row],[Description]])&lt;2),"Valide","Non assigné")</f>
        <v>Valide</v>
      </c>
    </row>
    <row r="70" spans="1:5" x14ac:dyDescent="0.25">
      <c r="A70" s="7" t="s">
        <v>104</v>
      </c>
      <c r="B70" s="7" t="s">
        <v>7</v>
      </c>
      <c r="C70" s="6"/>
      <c r="D70" s="6"/>
      <c r="E70" s="7" t="str">
        <f>IF(AND(COUNTIF(BASE_DONNEE[],LISTE[[#This Row],[Description]])&gt;0,COUNTIF(BASE_DONNEE[],LISTE[[#This Row],[Description]])&lt;2),"Valide","Non assigné")</f>
        <v>Valide</v>
      </c>
    </row>
    <row r="71" spans="1:5" x14ac:dyDescent="0.25">
      <c r="A71" s="7" t="s">
        <v>105</v>
      </c>
      <c r="B71" s="7" t="s">
        <v>5</v>
      </c>
      <c r="C71" s="6"/>
      <c r="D71" s="6"/>
      <c r="E71" s="7" t="str">
        <f>IF(AND(COUNTIF(BASE_DONNEE[],LISTE[[#This Row],[Description]])&gt;0,COUNTIF(BASE_DONNEE[],LISTE[[#This Row],[Description]])&lt;2),"Valide","Non assigné")</f>
        <v>Valide</v>
      </c>
    </row>
    <row r="72" spans="1:5" x14ac:dyDescent="0.25">
      <c r="A72" s="7" t="s">
        <v>106</v>
      </c>
      <c r="B72" s="7" t="s">
        <v>5</v>
      </c>
      <c r="C72" s="6"/>
      <c r="D72" s="6"/>
      <c r="E72" s="7" t="str">
        <f>IF(AND(COUNTIF(BASE_DONNEE[],LISTE[[#This Row],[Description]])&gt;0,COUNTIF(BASE_DONNEE[],LISTE[[#This Row],[Description]])&lt;2),"Valide","Non assigné")</f>
        <v>Valide</v>
      </c>
    </row>
    <row r="73" spans="1:5" x14ac:dyDescent="0.25">
      <c r="A73" s="7" t="s">
        <v>107</v>
      </c>
      <c r="B73" s="7" t="s">
        <v>11</v>
      </c>
      <c r="C73" s="6"/>
      <c r="D73" s="6"/>
      <c r="E73" s="7" t="str">
        <f>IF(AND(COUNTIF(BASE_DONNEE[],LISTE[[#This Row],[Description]])&gt;0,COUNTIF(BASE_DONNEE[],LISTE[[#This Row],[Description]])&lt;2),"Valide","Non assigné")</f>
        <v>Valide</v>
      </c>
    </row>
    <row r="74" spans="1:5" x14ac:dyDescent="0.25">
      <c r="A74" s="7" t="s">
        <v>108</v>
      </c>
      <c r="B74" s="7" t="s">
        <v>8</v>
      </c>
      <c r="C74" s="6"/>
      <c r="D74" s="6"/>
      <c r="E74" s="7" t="str">
        <f>IF(AND(COUNTIF(BASE_DONNEE[],LISTE[[#This Row],[Description]])&gt;0,COUNTIF(BASE_DONNEE[],LISTE[[#This Row],[Description]])&lt;2),"Valide","Non assigné")</f>
        <v>Valide</v>
      </c>
    </row>
    <row r="75" spans="1:5" x14ac:dyDescent="0.25">
      <c r="A75" s="7" t="s">
        <v>109</v>
      </c>
      <c r="B75" s="7" t="s">
        <v>15</v>
      </c>
      <c r="C75" s="6"/>
      <c r="D75" s="6"/>
      <c r="E75" s="7" t="str">
        <f>IF(AND(COUNTIF(BASE_DONNEE[],LISTE[[#This Row],[Description]])&gt;0,COUNTIF(BASE_DONNEE[],LISTE[[#This Row],[Description]])&lt;2),"Valide","Non assigné")</f>
        <v>Valide</v>
      </c>
    </row>
    <row r="76" spans="1:5" x14ac:dyDescent="0.25">
      <c r="A76" s="7" t="s">
        <v>110</v>
      </c>
      <c r="B76" s="7" t="s">
        <v>8</v>
      </c>
      <c r="C76" s="6"/>
      <c r="D76" s="6"/>
      <c r="E76" s="7" t="str">
        <f>IF(AND(COUNTIF(BASE_DONNEE[],LISTE[[#This Row],[Description]])&gt;0,COUNTIF(BASE_DONNEE[],LISTE[[#This Row],[Description]])&lt;2),"Valide","Non assigné")</f>
        <v>Valide</v>
      </c>
    </row>
    <row r="77" spans="1:5" x14ac:dyDescent="0.25">
      <c r="A77" s="7" t="s">
        <v>111</v>
      </c>
      <c r="B77" s="7" t="s">
        <v>9</v>
      </c>
      <c r="C77" s="6"/>
      <c r="D77" s="6"/>
      <c r="E77" s="7" t="str">
        <f>IF(AND(COUNTIF(BASE_DONNEE[],LISTE[[#This Row],[Description]])&gt;0,COUNTIF(BASE_DONNEE[],LISTE[[#This Row],[Description]])&lt;2),"Valide","Non assigné")</f>
        <v>Valide</v>
      </c>
    </row>
    <row r="78" spans="1:5" x14ac:dyDescent="0.25">
      <c r="A78" s="7" t="s">
        <v>112</v>
      </c>
      <c r="B78" s="7" t="s">
        <v>8</v>
      </c>
      <c r="C78" s="6"/>
      <c r="D78" s="6"/>
      <c r="E78" s="7" t="str">
        <f>IF(AND(COUNTIF(BASE_DONNEE[],LISTE[[#This Row],[Description]])&gt;0,COUNTIF(BASE_DONNEE[],LISTE[[#This Row],[Description]])&lt;2),"Valide","Non assigné")</f>
        <v>Valide</v>
      </c>
    </row>
    <row r="79" spans="1:5" x14ac:dyDescent="0.25">
      <c r="A79" s="7" t="s">
        <v>113</v>
      </c>
      <c r="B79" s="7" t="s">
        <v>17</v>
      </c>
      <c r="C79" s="6"/>
      <c r="D79" s="6"/>
      <c r="E79" s="7" t="str">
        <f>IF(AND(COUNTIF(BASE_DONNEE[],LISTE[[#This Row],[Description]])&gt;0,COUNTIF(BASE_DONNEE[],LISTE[[#This Row],[Description]])&lt;2),"Valide","Non assigné")</f>
        <v>Valide</v>
      </c>
    </row>
    <row r="80" spans="1:5" x14ac:dyDescent="0.25">
      <c r="A80" s="7" t="s">
        <v>114</v>
      </c>
      <c r="B80" s="7" t="s">
        <v>17</v>
      </c>
      <c r="C80" s="6"/>
      <c r="D80" s="6"/>
      <c r="E80" s="7" t="str">
        <f>IF(AND(COUNTIF(BASE_DONNEE[],LISTE[[#This Row],[Description]])&gt;0,COUNTIF(BASE_DONNEE[],LISTE[[#This Row],[Description]])&lt;2),"Valide","Non assigné")</f>
        <v>Valide</v>
      </c>
    </row>
    <row r="81" spans="1:5" x14ac:dyDescent="0.25">
      <c r="A81" s="7" t="s">
        <v>115</v>
      </c>
      <c r="B81" s="7" t="s">
        <v>8</v>
      </c>
      <c r="C81" s="6"/>
      <c r="D81" s="6"/>
      <c r="E81" s="7" t="str">
        <f>IF(AND(COUNTIF(BASE_DONNEE[],LISTE[[#This Row],[Description]])&gt;0,COUNTIF(BASE_DONNEE[],LISTE[[#This Row],[Description]])&lt;2),"Valide","Non assigné")</f>
        <v>Valide</v>
      </c>
    </row>
    <row r="82" spans="1:5" x14ac:dyDescent="0.25">
      <c r="A82" s="7" t="s">
        <v>116</v>
      </c>
      <c r="B82" s="7" t="s">
        <v>15</v>
      </c>
      <c r="C82" s="6"/>
      <c r="D82" s="6"/>
      <c r="E82" s="7" t="str">
        <f>IF(AND(COUNTIF(BASE_DONNEE[],LISTE[[#This Row],[Description]])&gt;0,COUNTIF(BASE_DONNEE[],LISTE[[#This Row],[Description]])&lt;2),"Valide","Non assigné")</f>
        <v>Valide</v>
      </c>
    </row>
    <row r="83" spans="1:5" x14ac:dyDescent="0.25">
      <c r="A83" s="8" t="s">
        <v>117</v>
      </c>
      <c r="B83" s="7" t="s">
        <v>8</v>
      </c>
      <c r="C83" s="6"/>
      <c r="D83" s="6"/>
      <c r="E83" s="7" t="str">
        <f>IF(AND(COUNTIF(BASE_DONNEE[],LISTE[[#This Row],[Description]])&gt;0,COUNTIF(BASE_DONNEE[],LISTE[[#This Row],[Description]])&lt;2),"Valide","Non assigné")</f>
        <v>Valide</v>
      </c>
    </row>
    <row r="84" spans="1:5" x14ac:dyDescent="0.25">
      <c r="A84" s="7" t="s">
        <v>118</v>
      </c>
      <c r="B84" s="7" t="s">
        <v>11</v>
      </c>
      <c r="C84" s="6"/>
      <c r="D84" s="6"/>
      <c r="E84" s="7" t="str">
        <f>IF(AND(COUNTIF(BASE_DONNEE[],LISTE[[#This Row],[Description]])&gt;0,COUNTIF(BASE_DONNEE[],LISTE[[#This Row],[Description]])&lt;2),"Valide","Non assigné")</f>
        <v>Valide</v>
      </c>
    </row>
    <row r="85" spans="1:5" x14ac:dyDescent="0.25">
      <c r="A85" s="7" t="s">
        <v>119</v>
      </c>
      <c r="B85" s="7" t="s">
        <v>19</v>
      </c>
      <c r="C85" s="6"/>
      <c r="D85" s="6"/>
      <c r="E85" s="7" t="str">
        <f>IF(AND(COUNTIF(BASE_DONNEE[],LISTE[[#This Row],[Description]])&gt;0,COUNTIF(BASE_DONNEE[],LISTE[[#This Row],[Description]])&lt;2),"Valide","Non assigné")</f>
        <v>Valide</v>
      </c>
    </row>
    <row r="86" spans="1:5" x14ac:dyDescent="0.25">
      <c r="A86" s="7" t="s">
        <v>120</v>
      </c>
      <c r="B86" s="7" t="s">
        <v>6</v>
      </c>
      <c r="C86" s="6"/>
      <c r="D86" s="6"/>
      <c r="E86" s="7" t="str">
        <f>IF(AND(COUNTIF(BASE_DONNEE[],LISTE[[#This Row],[Description]])&gt;0,COUNTIF(BASE_DONNEE[],LISTE[[#This Row],[Description]])&lt;2),"Valide","Non assigné")</f>
        <v>Valide</v>
      </c>
    </row>
    <row r="87" spans="1:5" x14ac:dyDescent="0.25">
      <c r="A87" s="7" t="s">
        <v>121</v>
      </c>
      <c r="B87" s="7" t="s">
        <v>17</v>
      </c>
      <c r="C87" s="6"/>
      <c r="D87" s="6"/>
      <c r="E87" s="7" t="str">
        <f>IF(AND(COUNTIF(BASE_DONNEE[],LISTE[[#This Row],[Description]])&gt;0,COUNTIF(BASE_DONNEE[],LISTE[[#This Row],[Description]])&lt;2),"Valide","Non assigné")</f>
        <v>Valide</v>
      </c>
    </row>
    <row r="88" spans="1:5" x14ac:dyDescent="0.25">
      <c r="A88" s="7" t="s">
        <v>122</v>
      </c>
      <c r="B88" s="7" t="s">
        <v>7</v>
      </c>
      <c r="C88" s="6"/>
      <c r="D88" s="6"/>
      <c r="E88" s="7" t="str">
        <f>IF(AND(COUNTIF(BASE_DONNEE[],LISTE[[#This Row],[Description]])&gt;0,COUNTIF(BASE_DONNEE[],LISTE[[#This Row],[Description]])&lt;2),"Valide","Non assigné")</f>
        <v>Valide</v>
      </c>
    </row>
    <row r="89" spans="1:5" x14ac:dyDescent="0.25">
      <c r="A89" s="7" t="s">
        <v>154</v>
      </c>
      <c r="B89" s="7" t="s">
        <v>6</v>
      </c>
      <c r="C89" s="6"/>
      <c r="D89" s="6"/>
      <c r="E89" s="7" t="str">
        <f>IF(AND(COUNTIF(BASE_DONNEE[],LISTE[[#This Row],[Description]])&gt;0,COUNTIF(BASE_DONNEE[],LISTE[[#This Row],[Description]])&lt;2),"Valide","Non assigné")</f>
        <v>Valide</v>
      </c>
    </row>
    <row r="90" spans="1:5" x14ac:dyDescent="0.25">
      <c r="A90" s="7" t="s">
        <v>123</v>
      </c>
      <c r="B90" s="7" t="s">
        <v>10</v>
      </c>
      <c r="C90" s="6"/>
      <c r="D90" s="6"/>
      <c r="E90" s="7" t="str">
        <f>IF(AND(COUNTIF(BASE_DONNEE[],LISTE[[#This Row],[Description]])&gt;0,COUNTIF(BASE_DONNEE[],LISTE[[#This Row],[Description]])&lt;2),"Valide","Non assigné")</f>
        <v>Valide</v>
      </c>
    </row>
    <row r="91" spans="1:5" x14ac:dyDescent="0.25">
      <c r="A91" s="7" t="s">
        <v>124</v>
      </c>
      <c r="B91" s="7" t="s">
        <v>7</v>
      </c>
      <c r="C91" s="6"/>
      <c r="D91" s="6"/>
      <c r="E91" s="7" t="str">
        <f>IF(AND(COUNTIF(BASE_DONNEE[],LISTE[[#This Row],[Description]])&gt;0,COUNTIF(BASE_DONNEE[],LISTE[[#This Row],[Description]])&lt;2),"Valide","Non assigné")</f>
        <v>Valide</v>
      </c>
    </row>
    <row r="92" spans="1:5" x14ac:dyDescent="0.25">
      <c r="A92" s="7" t="s">
        <v>182</v>
      </c>
      <c r="B92" s="7" t="s">
        <v>183</v>
      </c>
      <c r="C92" s="6"/>
      <c r="D92" s="6"/>
      <c r="E92" s="7" t="str">
        <f>IF(AND(COUNTIF(BASE_DONNEE[],LISTE[[#This Row],[Description]])&gt;0,COUNTIF(BASE_DONNEE[],LISTE[[#This Row],[Description]])&lt;2),"Valide","Non assigné")</f>
        <v>Valide</v>
      </c>
    </row>
    <row r="93" spans="1:5" x14ac:dyDescent="0.25">
      <c r="A93" s="7" t="s">
        <v>155</v>
      </c>
      <c r="B93" s="7" t="s">
        <v>13</v>
      </c>
      <c r="C93" s="6"/>
      <c r="D93" s="6"/>
      <c r="E93" s="7" t="str">
        <f>IF(AND(COUNTIF(BASE_DONNEE[],LISTE[[#This Row],[Description]])&gt;0,COUNTIF(BASE_DONNEE[],LISTE[[#This Row],[Description]])&lt;2),"Valide","Non assigné")</f>
        <v>Valide</v>
      </c>
    </row>
    <row r="94" spans="1:5" x14ac:dyDescent="0.25">
      <c r="A94" s="7" t="s">
        <v>125</v>
      </c>
      <c r="B94" s="7" t="s">
        <v>13</v>
      </c>
      <c r="C94" s="6"/>
      <c r="D94" s="6"/>
      <c r="E94" s="7" t="str">
        <f>IF(AND(COUNTIF(BASE_DONNEE[],LISTE[[#This Row],[Description]])&gt;0,COUNTIF(BASE_DONNEE[],LISTE[[#This Row],[Description]])&lt;2),"Valide","Non assigné")</f>
        <v>Valide</v>
      </c>
    </row>
    <row r="95" spans="1:5" x14ac:dyDescent="0.25">
      <c r="A95" s="7" t="s">
        <v>126</v>
      </c>
      <c r="B95" s="7" t="s">
        <v>7</v>
      </c>
      <c r="C95" s="6"/>
      <c r="D95" s="6"/>
      <c r="E95" s="7" t="str">
        <f>IF(AND(COUNTIF(BASE_DONNEE[],LISTE[[#This Row],[Description]])&gt;0,COUNTIF(BASE_DONNEE[],LISTE[[#This Row],[Description]])&lt;2),"Valide","Non assigné")</f>
        <v>Valide</v>
      </c>
    </row>
    <row r="96" spans="1:5" x14ac:dyDescent="0.25">
      <c r="A96" s="7" t="s">
        <v>127</v>
      </c>
      <c r="B96" s="7" t="s">
        <v>9</v>
      </c>
      <c r="C96" s="6"/>
      <c r="D96" s="6"/>
      <c r="E96" s="7" t="str">
        <f>IF(AND(COUNTIF(BASE_DONNEE[],LISTE[[#This Row],[Description]])&gt;0,COUNTIF(BASE_DONNEE[],LISTE[[#This Row],[Description]])&lt;2),"Valide","Non assigné")</f>
        <v>Valide</v>
      </c>
    </row>
    <row r="97" spans="1:5" x14ac:dyDescent="0.25">
      <c r="A97" s="7" t="s">
        <v>153</v>
      </c>
      <c r="B97" s="7" t="s">
        <v>15</v>
      </c>
      <c r="C97" s="6"/>
      <c r="D97" s="6"/>
      <c r="E97" s="7" t="str">
        <f>IF(AND(COUNTIF(BASE_DONNEE[],LISTE[[#This Row],[Description]])&gt;0,COUNTIF(BASE_DONNEE[],LISTE[[#This Row],[Description]])&lt;2),"Valide","Non assigné")</f>
        <v>Valide</v>
      </c>
    </row>
    <row r="98" spans="1:5" x14ac:dyDescent="0.25">
      <c r="A98" s="7" t="s">
        <v>128</v>
      </c>
      <c r="B98" s="7" t="s">
        <v>13</v>
      </c>
      <c r="C98" s="6"/>
      <c r="D98" s="6"/>
      <c r="E98" s="7" t="str">
        <f>IF(AND(COUNTIF(BASE_DONNEE[],LISTE[[#This Row],[Description]])&gt;0,COUNTIF(BASE_DONNEE[],LISTE[[#This Row],[Description]])&lt;2),"Valide","Non assigné")</f>
        <v>Valide</v>
      </c>
    </row>
    <row r="99" spans="1:5" x14ac:dyDescent="0.25">
      <c r="A99" s="7" t="s">
        <v>129</v>
      </c>
      <c r="B99" s="7" t="s">
        <v>14</v>
      </c>
      <c r="C99" s="6"/>
      <c r="D99" s="6"/>
      <c r="E99" s="7" t="str">
        <f>IF(AND(COUNTIF(BASE_DONNEE[],LISTE[[#This Row],[Description]])&gt;0,COUNTIF(BASE_DONNEE[],LISTE[[#This Row],[Description]])&lt;2),"Valide","Non assigné")</f>
        <v>Valide</v>
      </c>
    </row>
    <row r="100" spans="1:5" x14ac:dyDescent="0.25">
      <c r="A100" s="7" t="s">
        <v>130</v>
      </c>
      <c r="B100" s="7" t="s">
        <v>14</v>
      </c>
      <c r="C100" s="6"/>
      <c r="D100" s="6"/>
      <c r="E100" s="7" t="str">
        <f>IF(AND(COUNTIF(BASE_DONNEE[],LISTE[[#This Row],[Description]])&gt;0,COUNTIF(BASE_DONNEE[],LISTE[[#This Row],[Description]])&lt;2),"Valide","Non assigné")</f>
        <v>Valide</v>
      </c>
    </row>
    <row r="101" spans="1:5" x14ac:dyDescent="0.25">
      <c r="A101" s="7" t="s">
        <v>131</v>
      </c>
      <c r="B101" s="7" t="s">
        <v>14</v>
      </c>
      <c r="C101" s="6"/>
      <c r="D101" s="6"/>
      <c r="E101" s="7" t="str">
        <f>IF(AND(COUNTIF(BASE_DONNEE[],LISTE[[#This Row],[Description]])&gt;0,COUNTIF(BASE_DONNEE[],LISTE[[#This Row],[Description]])&lt;2),"Valide","Non assigné")</f>
        <v>Valide</v>
      </c>
    </row>
    <row r="102" spans="1:5" x14ac:dyDescent="0.25">
      <c r="A102" s="7" t="s">
        <v>132</v>
      </c>
      <c r="B102" s="7" t="s">
        <v>14</v>
      </c>
      <c r="C102" s="6"/>
      <c r="D102" s="6"/>
      <c r="E102" s="7" t="str">
        <f>IF(AND(COUNTIF(BASE_DONNEE[],LISTE[[#This Row],[Description]])&gt;0,COUNTIF(BASE_DONNEE[],LISTE[[#This Row],[Description]])&lt;2),"Valide","Non assigné")</f>
        <v>Valide</v>
      </c>
    </row>
    <row r="103" spans="1:5" x14ac:dyDescent="0.25">
      <c r="A103" s="7" t="s">
        <v>133</v>
      </c>
      <c r="B103" s="7" t="s">
        <v>14</v>
      </c>
      <c r="C103" s="6"/>
      <c r="D103" s="6"/>
      <c r="E103" s="7" t="str">
        <f>IF(AND(COUNTIF(BASE_DONNEE[],LISTE[[#This Row],[Description]])&gt;0,COUNTIF(BASE_DONNEE[],LISTE[[#This Row],[Description]])&lt;2),"Valide","Non assigné")</f>
        <v>Valide</v>
      </c>
    </row>
    <row r="104" spans="1:5" x14ac:dyDescent="0.25">
      <c r="A104" s="7" t="s">
        <v>134</v>
      </c>
      <c r="B104" s="7" t="s">
        <v>16</v>
      </c>
      <c r="C104" s="6"/>
      <c r="D104" s="6"/>
      <c r="E104" s="7" t="str">
        <f>IF(AND(COUNTIF(BASE_DONNEE[],LISTE[[#This Row],[Description]])&gt;0,COUNTIF(BASE_DONNEE[],LISTE[[#This Row],[Description]])&lt;2),"Valide","Non assigné")</f>
        <v>Valide</v>
      </c>
    </row>
    <row r="105" spans="1:5" x14ac:dyDescent="0.25">
      <c r="A105" s="7" t="s">
        <v>135</v>
      </c>
      <c r="B105" s="7" t="s">
        <v>8</v>
      </c>
      <c r="C105" s="6"/>
      <c r="D105" s="6"/>
      <c r="E105" s="7" t="str">
        <f>IF(AND(COUNTIF(BASE_DONNEE[],LISTE[[#This Row],[Description]])&gt;0,COUNTIF(BASE_DONNEE[],LISTE[[#This Row],[Description]])&lt;2),"Valide","Non assigné")</f>
        <v>Valide</v>
      </c>
    </row>
    <row r="106" spans="1:5" x14ac:dyDescent="0.25">
      <c r="A106" s="7" t="s">
        <v>136</v>
      </c>
      <c r="B106" s="7" t="s">
        <v>11</v>
      </c>
      <c r="C106" s="6"/>
      <c r="D106" s="6"/>
      <c r="E106" s="7" t="str">
        <f>IF(AND(COUNTIF(BASE_DONNEE[],LISTE[[#This Row],[Description]])&gt;0,COUNTIF(BASE_DONNEE[],LISTE[[#This Row],[Description]])&lt;2),"Valide","Non assigné")</f>
        <v>Valide</v>
      </c>
    </row>
    <row r="107" spans="1:5" x14ac:dyDescent="0.25">
      <c r="A107" s="7" t="s">
        <v>137</v>
      </c>
      <c r="B107" s="7" t="s">
        <v>5</v>
      </c>
      <c r="C107" s="6"/>
      <c r="D107" s="6"/>
      <c r="E107" s="7" t="str">
        <f>IF(AND(COUNTIF(BASE_DONNEE[],LISTE[[#This Row],[Description]])&gt;0,COUNTIF(BASE_DONNEE[],LISTE[[#This Row],[Description]])&lt;2),"Valide","Non assigné")</f>
        <v>Valide</v>
      </c>
    </row>
    <row r="108" spans="1:5" x14ac:dyDescent="0.25">
      <c r="A108" s="7" t="s">
        <v>138</v>
      </c>
      <c r="B108" s="7" t="s">
        <v>8</v>
      </c>
      <c r="C108" s="6"/>
      <c r="D108" s="6"/>
      <c r="E108" s="7" t="str">
        <f>IF(AND(COUNTIF(BASE_DONNEE[],LISTE[[#This Row],[Description]])&gt;0,COUNTIF(BASE_DONNEE[],LISTE[[#This Row],[Description]])&lt;2),"Valide","Non assigné")</f>
        <v>Valide</v>
      </c>
    </row>
    <row r="109" spans="1:5" x14ac:dyDescent="0.25">
      <c r="A109" s="7" t="s">
        <v>139</v>
      </c>
      <c r="B109" s="7" t="s">
        <v>19</v>
      </c>
      <c r="C109" s="6"/>
      <c r="D109" s="6"/>
      <c r="E109" s="7" t="str">
        <f>IF(AND(COUNTIF(BASE_DONNEE[],LISTE[[#This Row],[Description]])&gt;0,COUNTIF(BASE_DONNEE[],LISTE[[#This Row],[Description]])&lt;2),"Valide","Non assigné")</f>
        <v>Valide</v>
      </c>
    </row>
    <row r="110" spans="1:5" x14ac:dyDescent="0.25">
      <c r="A110" s="7" t="s">
        <v>140</v>
      </c>
      <c r="B110" s="7" t="s">
        <v>19</v>
      </c>
      <c r="C110" s="6"/>
      <c r="D110" s="6"/>
      <c r="E110" s="7" t="str">
        <f>IF(AND(COUNTIF(BASE_DONNEE[],LISTE[[#This Row],[Description]])&gt;0,COUNTIF(BASE_DONNEE[],LISTE[[#This Row],[Description]])&lt;2),"Valide","Non assigné")</f>
        <v>Valide</v>
      </c>
    </row>
    <row r="111" spans="1:5" x14ac:dyDescent="0.25">
      <c r="A111" s="7" t="s">
        <v>141</v>
      </c>
      <c r="B111" s="7" t="s">
        <v>15</v>
      </c>
      <c r="C111" s="6"/>
      <c r="D111" s="6"/>
      <c r="E111" s="7" t="str">
        <f>IF(AND(COUNTIF(BASE_DONNEE[],LISTE[[#This Row],[Description]])&gt;0,COUNTIF(BASE_DONNEE[],LISTE[[#This Row],[Description]])&lt;2),"Valide","Non assigné")</f>
        <v>Valide</v>
      </c>
    </row>
    <row r="112" spans="1:5" x14ac:dyDescent="0.25">
      <c r="A112" s="7" t="s">
        <v>157</v>
      </c>
      <c r="B112" s="7" t="s">
        <v>13</v>
      </c>
      <c r="C112" s="6"/>
      <c r="D112" s="6"/>
      <c r="E112" s="7" t="str">
        <f>IF(AND(COUNTIF(BASE_DONNEE[],LISTE[[#This Row],[Description]])&gt;0,COUNTIF(BASE_DONNEE[],LISTE[[#This Row],[Description]])&lt;2),"Valide","Non assigné")</f>
        <v>Valide</v>
      </c>
    </row>
    <row r="113" spans="1:5" x14ac:dyDescent="0.25">
      <c r="A113" s="7" t="s">
        <v>142</v>
      </c>
      <c r="B113" s="7" t="s">
        <v>21</v>
      </c>
      <c r="C113" s="6"/>
      <c r="D113" s="6"/>
      <c r="E113" s="7" t="str">
        <f>IF(AND(COUNTIF(BASE_DONNEE[],LISTE[[#This Row],[Description]])&gt;0,COUNTIF(BASE_DONNEE[],LISTE[[#This Row],[Description]])&lt;2),"Valide","Non assigné")</f>
        <v>Valide</v>
      </c>
    </row>
    <row r="114" spans="1:5" x14ac:dyDescent="0.25">
      <c r="A114" s="7" t="s">
        <v>143</v>
      </c>
      <c r="B114" s="7" t="s">
        <v>13</v>
      </c>
      <c r="C114" s="6"/>
      <c r="D114" s="6"/>
      <c r="E114" s="7" t="str">
        <f>IF(AND(COUNTIF(BASE_DONNEE[],LISTE[[#This Row],[Description]])&gt;0,COUNTIF(BASE_DONNEE[],LISTE[[#This Row],[Description]])&lt;2),"Valide","Non assigné")</f>
        <v>Valide</v>
      </c>
    </row>
    <row r="115" spans="1:5" x14ac:dyDescent="0.25">
      <c r="A115" s="7" t="s">
        <v>144</v>
      </c>
      <c r="B115" s="7" t="s">
        <v>13</v>
      </c>
      <c r="C115" s="6"/>
      <c r="D115" s="6"/>
      <c r="E115" s="7" t="str">
        <f>IF(AND(COUNTIF(BASE_DONNEE[],LISTE[[#This Row],[Description]])&gt;0,COUNTIF(BASE_DONNEE[],LISTE[[#This Row],[Description]])&lt;2),"Valide","Non assigné")</f>
        <v>Valide</v>
      </c>
    </row>
    <row r="116" spans="1:5" x14ac:dyDescent="0.25">
      <c r="A116" s="7" t="s">
        <v>180</v>
      </c>
      <c r="B116" s="7" t="s">
        <v>181</v>
      </c>
      <c r="C116" s="6"/>
      <c r="D116" s="6"/>
      <c r="E116" s="7" t="str">
        <f>IF(AND(COUNTIF(BASE_DONNEE[],LISTE[[#This Row],[Description]])&gt;0,COUNTIF(BASE_DONNEE[],LISTE[[#This Row],[Description]])&lt;2),"Valide","Non assigné")</f>
        <v>Valide</v>
      </c>
    </row>
    <row r="117" spans="1:5" x14ac:dyDescent="0.25">
      <c r="A117" s="7" t="s">
        <v>145</v>
      </c>
      <c r="B117" s="7" t="s">
        <v>21</v>
      </c>
      <c r="C117" s="6"/>
      <c r="D117" s="6"/>
      <c r="E117" s="7" t="str">
        <f>IF(AND(COUNTIF(BASE_DONNEE[],LISTE[[#This Row],[Description]])&gt;0,COUNTIF(BASE_DONNEE[],LISTE[[#This Row],[Description]])&lt;2),"Valide","Non assigné")</f>
        <v>Valide</v>
      </c>
    </row>
    <row r="118" spans="1:5" x14ac:dyDescent="0.25">
      <c r="A118" s="7" t="s">
        <v>146</v>
      </c>
      <c r="B118" s="7" t="s">
        <v>13</v>
      </c>
      <c r="C118" s="6"/>
      <c r="D118" s="6"/>
      <c r="E118" s="7" t="str">
        <f>IF(AND(COUNTIF(BASE_DONNEE[],LISTE[[#This Row],[Description]])&gt;0,COUNTIF(BASE_DONNEE[],LISTE[[#This Row],[Description]])&lt;2),"Valide","Non assigné")</f>
        <v>Valide</v>
      </c>
    </row>
    <row r="119" spans="1:5" x14ac:dyDescent="0.25">
      <c r="A119" s="7" t="s">
        <v>147</v>
      </c>
      <c r="B119" s="7" t="s">
        <v>8</v>
      </c>
      <c r="C119" s="6"/>
      <c r="D119" s="6"/>
      <c r="E119" s="7" t="str">
        <f>IF(AND(COUNTIF(BASE_DONNEE[],LISTE[[#This Row],[Description]])&gt;0,COUNTIF(BASE_DONNEE[],LISTE[[#This Row],[Description]])&lt;2),"Valide","Non assigné")</f>
        <v>Valide</v>
      </c>
    </row>
    <row r="120" spans="1:5" x14ac:dyDescent="0.25">
      <c r="A120" s="7" t="s">
        <v>148</v>
      </c>
      <c r="B120" s="7" t="s">
        <v>7</v>
      </c>
      <c r="C120" s="6"/>
      <c r="D120" s="6"/>
      <c r="E120" s="7" t="str">
        <f>IF(AND(COUNTIF(BASE_DONNEE[],LISTE[[#This Row],[Description]])&gt;0,COUNTIF(BASE_DONNEE[],LISTE[[#This Row],[Description]])&lt;2),"Valide","Non assigné")</f>
        <v>Valide</v>
      </c>
    </row>
    <row r="121" spans="1:5" x14ac:dyDescent="0.25">
      <c r="A121" s="7" t="s">
        <v>149</v>
      </c>
      <c r="B121" s="7" t="s">
        <v>13</v>
      </c>
      <c r="C121" s="6"/>
      <c r="D121" s="6"/>
      <c r="E121" s="7" t="str">
        <f>IF(AND(COUNTIF(BASE_DONNEE[],LISTE[[#This Row],[Description]])&gt;0,COUNTIF(BASE_DONNEE[],LISTE[[#This Row],[Description]])&lt;2),"Valide","Non assigné")</f>
        <v>Valide</v>
      </c>
    </row>
    <row r="122" spans="1:5" x14ac:dyDescent="0.25">
      <c r="A122" s="7" t="s">
        <v>150</v>
      </c>
      <c r="B122" s="7" t="s">
        <v>8</v>
      </c>
      <c r="C122" s="6"/>
      <c r="D122" s="6"/>
      <c r="E122" s="7" t="str">
        <f>IF(AND(COUNTIF(BASE_DONNEE[],LISTE[[#This Row],[Description]])&gt;0,COUNTIF(BASE_DONNEE[],LISTE[[#This Row],[Description]])&lt;2),"Valide","Non assigné")</f>
        <v>Valide</v>
      </c>
    </row>
    <row r="123" spans="1:5" x14ac:dyDescent="0.25">
      <c r="A123" s="12" t="s">
        <v>151</v>
      </c>
      <c r="B123" s="12" t="s">
        <v>20</v>
      </c>
      <c r="C123" s="13"/>
      <c r="D123" s="13"/>
      <c r="E123" s="12" t="str">
        <f>IF(AND(COUNTIF(BASE_DONNEE[],LISTE[[#This Row],[Description]])&gt;0,COUNTIF(BASE_DONNEE[],LISTE[[#This Row],[Description]])&lt;2),"Valide","Non assigné")</f>
        <v>Valide</v>
      </c>
    </row>
    <row r="124" spans="1:5" x14ac:dyDescent="0.25">
      <c r="A124"/>
      <c r="B124"/>
      <c r="C124"/>
      <c r="D124"/>
      <c r="E124"/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6" x14ac:dyDescent="0.25">
      <c r="A129"/>
      <c r="B129"/>
      <c r="C129"/>
      <c r="D129"/>
      <c r="E129"/>
    </row>
    <row r="130" spans="1:6" x14ac:dyDescent="0.25">
      <c r="A130"/>
      <c r="B130"/>
      <c r="C130"/>
      <c r="D130"/>
      <c r="E130"/>
    </row>
    <row r="131" spans="1:6" x14ac:dyDescent="0.25">
      <c r="A131"/>
      <c r="B131"/>
      <c r="C131"/>
      <c r="D131"/>
      <c r="E131"/>
    </row>
    <row r="132" spans="1:6" x14ac:dyDescent="0.25">
      <c r="A132"/>
      <c r="B132"/>
      <c r="C132"/>
      <c r="D132"/>
      <c r="E132"/>
    </row>
    <row r="133" spans="1:6" x14ac:dyDescent="0.25">
      <c r="A133"/>
      <c r="B133"/>
      <c r="C133"/>
      <c r="D133"/>
      <c r="E133"/>
      <c r="F133" s="5"/>
    </row>
    <row r="134" spans="1:6" x14ac:dyDescent="0.25">
      <c r="A134"/>
      <c r="B134"/>
      <c r="C134"/>
      <c r="D134"/>
      <c r="E134"/>
    </row>
    <row r="135" spans="1:6" x14ac:dyDescent="0.25">
      <c r="A135"/>
      <c r="B135"/>
      <c r="C135"/>
      <c r="D135"/>
      <c r="E135"/>
    </row>
    <row r="136" spans="1:6" x14ac:dyDescent="0.25">
      <c r="A136"/>
      <c r="B136"/>
      <c r="C136"/>
      <c r="D136"/>
      <c r="E136"/>
    </row>
    <row r="137" spans="1:6" x14ac:dyDescent="0.25">
      <c r="A137"/>
      <c r="B137"/>
      <c r="C137"/>
      <c r="D137"/>
      <c r="E137"/>
    </row>
    <row r="138" spans="1:6" x14ac:dyDescent="0.25">
      <c r="A138"/>
      <c r="B138"/>
      <c r="C138"/>
      <c r="D138"/>
      <c r="E138"/>
    </row>
    <row r="139" spans="1:6" x14ac:dyDescent="0.25">
      <c r="A139"/>
      <c r="B139"/>
      <c r="C139"/>
      <c r="D139"/>
      <c r="E139"/>
    </row>
    <row r="140" spans="1:6" x14ac:dyDescent="0.25">
      <c r="A140"/>
      <c r="B140"/>
      <c r="C140"/>
      <c r="D140"/>
      <c r="E140"/>
    </row>
    <row r="141" spans="1:6" x14ac:dyDescent="0.25">
      <c r="A141"/>
      <c r="B141"/>
      <c r="C141"/>
      <c r="D141"/>
      <c r="E141"/>
    </row>
    <row r="142" spans="1:6" x14ac:dyDescent="0.25">
      <c r="A142"/>
      <c r="B142"/>
      <c r="C142"/>
      <c r="D142"/>
      <c r="E142"/>
    </row>
    <row r="143" spans="1:6" x14ac:dyDescent="0.25">
      <c r="A143"/>
      <c r="B143"/>
      <c r="C143"/>
      <c r="D143"/>
      <c r="E143"/>
    </row>
    <row r="144" spans="1:6" x14ac:dyDescent="0.25">
      <c r="A144"/>
      <c r="B144"/>
      <c r="C144"/>
      <c r="D144"/>
      <c r="E144"/>
    </row>
    <row r="145" spans="1:5" x14ac:dyDescent="0.25">
      <c r="A145"/>
      <c r="B145"/>
      <c r="C145"/>
      <c r="D145"/>
      <c r="E145"/>
    </row>
    <row r="146" spans="1:5" x14ac:dyDescent="0.25">
      <c r="A146"/>
      <c r="B146"/>
      <c r="C146"/>
      <c r="D146"/>
      <c r="E146"/>
    </row>
    <row r="147" spans="1:5" x14ac:dyDescent="0.25">
      <c r="A147"/>
      <c r="B147"/>
      <c r="C147"/>
      <c r="D147"/>
      <c r="E147"/>
    </row>
    <row r="148" spans="1:5" x14ac:dyDescent="0.25">
      <c r="A148"/>
      <c r="B148"/>
      <c r="C148"/>
      <c r="D148"/>
      <c r="E148"/>
    </row>
    <row r="149" spans="1:5" x14ac:dyDescent="0.25">
      <c r="A149"/>
      <c r="B149"/>
      <c r="C149"/>
      <c r="D149"/>
      <c r="E149"/>
    </row>
    <row r="150" spans="1:5" x14ac:dyDescent="0.25">
      <c r="A150"/>
      <c r="B150"/>
      <c r="C150"/>
      <c r="D150"/>
      <c r="E150"/>
    </row>
    <row r="151" spans="1:5" x14ac:dyDescent="0.25">
      <c r="A151"/>
      <c r="B151"/>
      <c r="C151"/>
      <c r="D151"/>
      <c r="E151"/>
    </row>
    <row r="152" spans="1:5" x14ac:dyDescent="0.25">
      <c r="A152"/>
      <c r="B152"/>
      <c r="C152"/>
      <c r="D152"/>
      <c r="E152"/>
    </row>
    <row r="153" spans="1:5" x14ac:dyDescent="0.25">
      <c r="A153"/>
      <c r="B153"/>
      <c r="C153"/>
      <c r="D153"/>
      <c r="E153"/>
    </row>
    <row r="154" spans="1:5" x14ac:dyDescent="0.25">
      <c r="A154"/>
      <c r="B154"/>
      <c r="C154"/>
      <c r="D154"/>
      <c r="E154"/>
    </row>
    <row r="155" spans="1:5" x14ac:dyDescent="0.25">
      <c r="A155"/>
      <c r="B155"/>
      <c r="C155"/>
      <c r="D155"/>
      <c r="E155"/>
    </row>
    <row r="156" spans="1:5" x14ac:dyDescent="0.25">
      <c r="A156"/>
      <c r="B156"/>
      <c r="C156"/>
      <c r="D156"/>
      <c r="E156"/>
    </row>
    <row r="157" spans="1:5" x14ac:dyDescent="0.25">
      <c r="A157"/>
      <c r="B157"/>
      <c r="C157"/>
      <c r="D157"/>
      <c r="E157"/>
    </row>
    <row r="158" spans="1:5" x14ac:dyDescent="0.25">
      <c r="A158"/>
      <c r="B158"/>
      <c r="C158"/>
      <c r="D158"/>
      <c r="E158"/>
    </row>
    <row r="159" spans="1:5" x14ac:dyDescent="0.25">
      <c r="A159"/>
      <c r="B159"/>
      <c r="C159"/>
      <c r="D159"/>
      <c r="E159"/>
    </row>
    <row r="160" spans="1:5" x14ac:dyDescent="0.25">
      <c r="A160"/>
      <c r="B160"/>
      <c r="C160"/>
      <c r="D160"/>
      <c r="E160"/>
    </row>
    <row r="161" spans="1:5" x14ac:dyDescent="0.25">
      <c r="A161"/>
      <c r="B161"/>
      <c r="C161"/>
      <c r="D161"/>
      <c r="E161"/>
    </row>
    <row r="162" spans="1:5" x14ac:dyDescent="0.25">
      <c r="A162"/>
      <c r="B162"/>
      <c r="C162"/>
      <c r="D162"/>
      <c r="E162"/>
    </row>
    <row r="163" spans="1:5" x14ac:dyDescent="0.25">
      <c r="A163"/>
      <c r="B163"/>
      <c r="C163"/>
      <c r="D163"/>
      <c r="E163"/>
    </row>
    <row r="164" spans="1:5" x14ac:dyDescent="0.25">
      <c r="A164"/>
      <c r="B164"/>
      <c r="C164"/>
      <c r="D164"/>
      <c r="E164"/>
    </row>
    <row r="165" spans="1:5" x14ac:dyDescent="0.25">
      <c r="A165"/>
      <c r="B165"/>
      <c r="C165"/>
      <c r="D165"/>
      <c r="E165"/>
    </row>
    <row r="166" spans="1:5" x14ac:dyDescent="0.25">
      <c r="A166"/>
      <c r="B166"/>
      <c r="C166"/>
      <c r="D166"/>
      <c r="E166"/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x14ac:dyDescent="0.25">
      <c r="A169"/>
      <c r="B169"/>
      <c r="C169"/>
      <c r="D169"/>
      <c r="E169"/>
    </row>
    <row r="170" spans="1:5" x14ac:dyDescent="0.25">
      <c r="A170"/>
      <c r="B170"/>
      <c r="C170"/>
      <c r="D170"/>
      <c r="E170"/>
    </row>
    <row r="171" spans="1:5" x14ac:dyDescent="0.25">
      <c r="A171"/>
      <c r="B171"/>
      <c r="C171"/>
      <c r="D171"/>
      <c r="E171"/>
    </row>
    <row r="172" spans="1:5" x14ac:dyDescent="0.25">
      <c r="A172"/>
      <c r="B172"/>
      <c r="C172"/>
      <c r="D172"/>
      <c r="E172"/>
    </row>
    <row r="173" spans="1:5" x14ac:dyDescent="0.25">
      <c r="A173"/>
      <c r="B173"/>
      <c r="C173"/>
      <c r="D173"/>
      <c r="E173"/>
    </row>
    <row r="174" spans="1:5" x14ac:dyDescent="0.25">
      <c r="A174"/>
      <c r="B174"/>
      <c r="C174"/>
      <c r="D174"/>
      <c r="E174"/>
    </row>
    <row r="175" spans="1:5" x14ac:dyDescent="0.25">
      <c r="A175"/>
      <c r="B175"/>
      <c r="C175"/>
      <c r="D175"/>
      <c r="E175"/>
    </row>
    <row r="176" spans="1:5" x14ac:dyDescent="0.25">
      <c r="A176"/>
      <c r="B176"/>
      <c r="C176"/>
      <c r="D176"/>
      <c r="E176"/>
    </row>
    <row r="177" spans="1:5" x14ac:dyDescent="0.25">
      <c r="A177"/>
      <c r="B177"/>
      <c r="C177"/>
      <c r="D177"/>
      <c r="E177"/>
    </row>
    <row r="178" spans="1:5" x14ac:dyDescent="0.25">
      <c r="A178"/>
      <c r="B178"/>
      <c r="C178"/>
      <c r="D178"/>
      <c r="E178"/>
    </row>
    <row r="179" spans="1:5" x14ac:dyDescent="0.25">
      <c r="A179"/>
      <c r="B179"/>
      <c r="C179"/>
      <c r="D179"/>
      <c r="E179"/>
    </row>
    <row r="180" spans="1:5" x14ac:dyDescent="0.25">
      <c r="A180"/>
      <c r="B180"/>
      <c r="C180"/>
      <c r="D180"/>
      <c r="E180"/>
    </row>
    <row r="181" spans="1:5" x14ac:dyDescent="0.25">
      <c r="A181"/>
      <c r="B181"/>
      <c r="C181"/>
      <c r="D181"/>
      <c r="E181"/>
    </row>
    <row r="182" spans="1:5" x14ac:dyDescent="0.25">
      <c r="A182"/>
      <c r="B182"/>
      <c r="C182"/>
      <c r="D182"/>
      <c r="E182"/>
    </row>
    <row r="183" spans="1:5" x14ac:dyDescent="0.25">
      <c r="A183"/>
      <c r="B183"/>
      <c r="C183"/>
      <c r="D183"/>
      <c r="E183"/>
    </row>
    <row r="184" spans="1:5" x14ac:dyDescent="0.25">
      <c r="A184"/>
      <c r="B184"/>
      <c r="C184"/>
      <c r="D184"/>
      <c r="E184"/>
    </row>
    <row r="185" spans="1:5" x14ac:dyDescent="0.25">
      <c r="A185"/>
      <c r="B185"/>
      <c r="C185"/>
      <c r="D185"/>
      <c r="E185"/>
    </row>
    <row r="186" spans="1:5" x14ac:dyDescent="0.25">
      <c r="A186"/>
      <c r="B186"/>
      <c r="C186"/>
      <c r="D186"/>
      <c r="E186"/>
    </row>
    <row r="187" spans="1:5" x14ac:dyDescent="0.25">
      <c r="A187"/>
      <c r="B187"/>
      <c r="C187"/>
      <c r="D187"/>
      <c r="E187"/>
    </row>
    <row r="188" spans="1:5" x14ac:dyDescent="0.25">
      <c r="A188"/>
      <c r="B188"/>
      <c r="C188"/>
      <c r="D188"/>
      <c r="E188"/>
    </row>
    <row r="189" spans="1:5" x14ac:dyDescent="0.25">
      <c r="A189"/>
      <c r="B189"/>
      <c r="C189"/>
      <c r="D189"/>
      <c r="E189"/>
    </row>
    <row r="190" spans="1:5" x14ac:dyDescent="0.25">
      <c r="A190"/>
      <c r="B190"/>
      <c r="C190"/>
      <c r="D190"/>
      <c r="E190"/>
    </row>
    <row r="191" spans="1:5" x14ac:dyDescent="0.25">
      <c r="A191"/>
      <c r="B191"/>
      <c r="C191"/>
      <c r="D191"/>
      <c r="E191"/>
    </row>
    <row r="192" spans="1:5" x14ac:dyDescent="0.25">
      <c r="A192"/>
      <c r="B192"/>
      <c r="C192"/>
      <c r="D192"/>
      <c r="E192"/>
    </row>
    <row r="193" spans="1:5" x14ac:dyDescent="0.25">
      <c r="A193"/>
      <c r="B193"/>
      <c r="C193"/>
      <c r="D193"/>
      <c r="E193"/>
    </row>
    <row r="194" spans="1:5" x14ac:dyDescent="0.25">
      <c r="A194"/>
      <c r="B194"/>
      <c r="C194"/>
      <c r="D194"/>
      <c r="E194"/>
    </row>
    <row r="195" spans="1:5" x14ac:dyDescent="0.25">
      <c r="A195"/>
      <c r="B195"/>
      <c r="C195"/>
      <c r="D195"/>
      <c r="E195"/>
    </row>
    <row r="196" spans="1:5" x14ac:dyDescent="0.25">
      <c r="A196"/>
      <c r="B196"/>
      <c r="C196"/>
      <c r="D196"/>
      <c r="E196"/>
    </row>
    <row r="197" spans="1:5" x14ac:dyDescent="0.25">
      <c r="A197"/>
      <c r="B197"/>
      <c r="C197"/>
      <c r="D197"/>
      <c r="E197"/>
    </row>
    <row r="198" spans="1:5" x14ac:dyDescent="0.25">
      <c r="A198"/>
      <c r="B198"/>
      <c r="C198"/>
      <c r="D198"/>
      <c r="E198"/>
    </row>
    <row r="199" spans="1:5" x14ac:dyDescent="0.25">
      <c r="A199"/>
      <c r="B199"/>
      <c r="C199"/>
      <c r="D199"/>
      <c r="E199"/>
    </row>
    <row r="200" spans="1:5" x14ac:dyDescent="0.25">
      <c r="A200"/>
      <c r="B200"/>
      <c r="C200"/>
      <c r="D200"/>
      <c r="E200"/>
    </row>
    <row r="201" spans="1:5" x14ac:dyDescent="0.25">
      <c r="A201"/>
      <c r="B201"/>
      <c r="C201"/>
      <c r="D201"/>
      <c r="E201"/>
    </row>
    <row r="202" spans="1:5" x14ac:dyDescent="0.25">
      <c r="A202"/>
      <c r="B202"/>
      <c r="C202"/>
      <c r="D202"/>
      <c r="E202"/>
    </row>
    <row r="203" spans="1:5" x14ac:dyDescent="0.25">
      <c r="A203"/>
      <c r="B203"/>
      <c r="C203"/>
      <c r="D203"/>
      <c r="E203"/>
    </row>
    <row r="204" spans="1:5" x14ac:dyDescent="0.25">
      <c r="A204"/>
      <c r="B204"/>
      <c r="C204"/>
      <c r="D204"/>
      <c r="E204"/>
    </row>
    <row r="205" spans="1:5" x14ac:dyDescent="0.25">
      <c r="A205"/>
      <c r="B205"/>
      <c r="C205"/>
      <c r="D205"/>
      <c r="E205"/>
    </row>
    <row r="206" spans="1:5" x14ac:dyDescent="0.25">
      <c r="A206"/>
      <c r="B206"/>
      <c r="C206"/>
      <c r="D206"/>
      <c r="E206"/>
    </row>
    <row r="207" spans="1:5" x14ac:dyDescent="0.25">
      <c r="A207"/>
      <c r="B207"/>
      <c r="C207"/>
      <c r="D207"/>
      <c r="E207"/>
    </row>
    <row r="208" spans="1:5" x14ac:dyDescent="0.25">
      <c r="A208"/>
      <c r="B208"/>
      <c r="C208"/>
      <c r="D208"/>
      <c r="E208"/>
    </row>
    <row r="209" spans="1:5" x14ac:dyDescent="0.25">
      <c r="A209"/>
      <c r="B209"/>
      <c r="C209"/>
      <c r="D209"/>
      <c r="E209"/>
    </row>
    <row r="210" spans="1:5" x14ac:dyDescent="0.25">
      <c r="A210"/>
      <c r="B210"/>
      <c r="C210"/>
      <c r="D210"/>
      <c r="E210"/>
    </row>
    <row r="211" spans="1:5" x14ac:dyDescent="0.25">
      <c r="A211"/>
      <c r="B211"/>
      <c r="C211"/>
      <c r="D211"/>
      <c r="E211"/>
    </row>
    <row r="212" spans="1:5" x14ac:dyDescent="0.25">
      <c r="A212"/>
      <c r="B212"/>
      <c r="C212"/>
      <c r="D212"/>
      <c r="E212"/>
    </row>
    <row r="213" spans="1:5" x14ac:dyDescent="0.25">
      <c r="A213"/>
      <c r="B213"/>
      <c r="C213"/>
      <c r="D213"/>
      <c r="E213"/>
    </row>
    <row r="214" spans="1:5" x14ac:dyDescent="0.25">
      <c r="A214"/>
      <c r="B214"/>
      <c r="C214"/>
      <c r="D214"/>
      <c r="E214"/>
    </row>
    <row r="215" spans="1:5" x14ac:dyDescent="0.25">
      <c r="A215"/>
      <c r="B215"/>
      <c r="C215"/>
      <c r="D215"/>
      <c r="E215"/>
    </row>
    <row r="216" spans="1:5" x14ac:dyDescent="0.25">
      <c r="A216"/>
      <c r="B216"/>
      <c r="C216"/>
      <c r="D216"/>
      <c r="E216"/>
    </row>
    <row r="217" spans="1:5" x14ac:dyDescent="0.25">
      <c r="A217"/>
      <c r="B217"/>
      <c r="C217"/>
      <c r="D217"/>
      <c r="E217"/>
    </row>
    <row r="218" spans="1:5" x14ac:dyDescent="0.25">
      <c r="A218"/>
      <c r="B218"/>
      <c r="C218"/>
      <c r="D218"/>
      <c r="E218"/>
    </row>
    <row r="219" spans="1:5" x14ac:dyDescent="0.25">
      <c r="A219"/>
      <c r="B219"/>
      <c r="C219"/>
      <c r="D219"/>
      <c r="E219"/>
    </row>
    <row r="220" spans="1:5" x14ac:dyDescent="0.25">
      <c r="A220"/>
      <c r="B220"/>
      <c r="C220"/>
      <c r="D220"/>
      <c r="E220"/>
    </row>
    <row r="221" spans="1:5" x14ac:dyDescent="0.25">
      <c r="A221"/>
      <c r="B221"/>
      <c r="C221"/>
      <c r="D221"/>
      <c r="E221"/>
    </row>
    <row r="222" spans="1:5" x14ac:dyDescent="0.25">
      <c r="A222"/>
      <c r="B222"/>
      <c r="C222"/>
      <c r="D222"/>
      <c r="E222"/>
    </row>
    <row r="223" spans="1:5" x14ac:dyDescent="0.25">
      <c r="A223"/>
      <c r="B223"/>
      <c r="C223"/>
      <c r="D223"/>
      <c r="E223"/>
    </row>
    <row r="224" spans="1:5" x14ac:dyDescent="0.25">
      <c r="A224"/>
      <c r="B224"/>
      <c r="C224"/>
      <c r="D224"/>
      <c r="E224"/>
    </row>
    <row r="225" spans="1:5" x14ac:dyDescent="0.25">
      <c r="A225"/>
      <c r="B225"/>
      <c r="C225"/>
      <c r="D225"/>
      <c r="E225"/>
    </row>
    <row r="226" spans="1:5" x14ac:dyDescent="0.25">
      <c r="A226"/>
      <c r="B226"/>
      <c r="C226"/>
      <c r="D226"/>
      <c r="E226"/>
    </row>
    <row r="227" spans="1:5" x14ac:dyDescent="0.25">
      <c r="A227"/>
      <c r="B227"/>
      <c r="C227"/>
      <c r="D227"/>
      <c r="E227"/>
    </row>
    <row r="228" spans="1:5" x14ac:dyDescent="0.25">
      <c r="A228"/>
      <c r="B228"/>
      <c r="C228"/>
      <c r="D228"/>
      <c r="E228"/>
    </row>
    <row r="229" spans="1:5" x14ac:dyDescent="0.25">
      <c r="A229"/>
      <c r="B229"/>
      <c r="C229"/>
      <c r="D229"/>
      <c r="E229"/>
    </row>
    <row r="230" spans="1:5" x14ac:dyDescent="0.25">
      <c r="A230"/>
      <c r="B230"/>
      <c r="C230"/>
      <c r="D230"/>
      <c r="E230"/>
    </row>
    <row r="231" spans="1:5" x14ac:dyDescent="0.25">
      <c r="A231"/>
      <c r="B231"/>
      <c r="C231"/>
      <c r="D231"/>
      <c r="E231"/>
    </row>
    <row r="232" spans="1:5" x14ac:dyDescent="0.25">
      <c r="A232"/>
      <c r="B232"/>
      <c r="C232"/>
      <c r="D232"/>
      <c r="E232"/>
    </row>
    <row r="233" spans="1:5" x14ac:dyDescent="0.25">
      <c r="A233"/>
      <c r="B233"/>
      <c r="C233"/>
      <c r="D233"/>
      <c r="E233"/>
    </row>
    <row r="234" spans="1:5" x14ac:dyDescent="0.25">
      <c r="A234"/>
      <c r="B234"/>
      <c r="C234"/>
      <c r="D234"/>
      <c r="E234"/>
    </row>
    <row r="235" spans="1:5" x14ac:dyDescent="0.25">
      <c r="A235"/>
      <c r="B235"/>
      <c r="C235"/>
      <c r="D235"/>
      <c r="E235"/>
    </row>
    <row r="236" spans="1:5" x14ac:dyDescent="0.25">
      <c r="A236"/>
      <c r="B236"/>
      <c r="C236"/>
      <c r="D236"/>
      <c r="E236"/>
    </row>
    <row r="237" spans="1:5" x14ac:dyDescent="0.25">
      <c r="A237"/>
      <c r="B237"/>
      <c r="C237"/>
      <c r="D237"/>
      <c r="E237"/>
    </row>
    <row r="238" spans="1:5" x14ac:dyDescent="0.25">
      <c r="A238"/>
      <c r="B238"/>
      <c r="C238"/>
      <c r="D238"/>
      <c r="E238"/>
    </row>
    <row r="239" spans="1:5" x14ac:dyDescent="0.25">
      <c r="A239"/>
      <c r="B239"/>
      <c r="C239"/>
      <c r="D239"/>
      <c r="E239"/>
    </row>
    <row r="240" spans="1:5" x14ac:dyDescent="0.25">
      <c r="A240"/>
      <c r="B240"/>
      <c r="C240"/>
      <c r="D240"/>
      <c r="E240"/>
    </row>
    <row r="241" spans="1:5" x14ac:dyDescent="0.25">
      <c r="A241"/>
      <c r="B241"/>
      <c r="C241"/>
      <c r="D241"/>
      <c r="E241"/>
    </row>
    <row r="242" spans="1:5" x14ac:dyDescent="0.25">
      <c r="A242"/>
      <c r="B242"/>
      <c r="C242"/>
      <c r="D242"/>
      <c r="E242"/>
    </row>
  </sheetData>
  <conditionalFormatting sqref="E2:E123">
    <cfRule type="containsText" dxfId="1" priority="1" stopIfTrue="1" operator="containsText" text="Valide">
      <formula>NOT(ISERROR(SEARCH("Valide",E2)))</formula>
    </cfRule>
    <cfRule type="containsText" dxfId="0" priority="3" stopIfTrue="1" operator="containsText" text="Non assigné">
      <formula>NOT(ISERROR(SEARCH("Non assigné",E2)))</formula>
    </cfRule>
  </conditionalFormatting>
  <dataValidations count="1">
    <dataValidation type="list" allowBlank="1" showInputMessage="1" showErrorMessage="1" sqref="B2:B123" xr:uid="{00000000-0002-0000-0100-000000000000}">
      <formula1>$G$2:$G$22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958"/>
  <sheetViews>
    <sheetView workbookViewId="0">
      <selection activeCell="T1" sqref="T1"/>
    </sheetView>
  </sheetViews>
  <sheetFormatPr baseColWidth="10" defaultRowHeight="15" x14ac:dyDescent="0.25"/>
  <cols>
    <col min="1" max="1" width="20.140625" bestFit="1" customWidth="1"/>
    <col min="2" max="2" width="12.7109375" bestFit="1" customWidth="1"/>
    <col min="3" max="3" width="14.7109375" bestFit="1" customWidth="1"/>
    <col min="4" max="4" width="15.85546875" bestFit="1" customWidth="1"/>
    <col min="5" max="5" width="24.5703125" bestFit="1" customWidth="1"/>
    <col min="6" max="6" width="14.85546875" bestFit="1" customWidth="1"/>
    <col min="7" max="7" width="19.7109375" bestFit="1" customWidth="1"/>
    <col min="8" max="8" width="14.5703125" bestFit="1" customWidth="1"/>
    <col min="9" max="9" width="16" bestFit="1" customWidth="1"/>
    <col min="10" max="10" width="18.28515625" bestFit="1" customWidth="1"/>
    <col min="11" max="11" width="24.28515625" bestFit="1" customWidth="1"/>
    <col min="12" max="12" width="17.140625" bestFit="1" customWidth="1"/>
    <col min="13" max="13" width="18.5703125" bestFit="1" customWidth="1"/>
    <col min="14" max="14" width="19.28515625" bestFit="1" customWidth="1"/>
    <col min="15" max="15" width="12.7109375" bestFit="1" customWidth="1"/>
    <col min="16" max="16" width="14.85546875" bestFit="1" customWidth="1"/>
    <col min="17" max="17" width="11.85546875" bestFit="1" customWidth="1"/>
    <col min="18" max="18" width="18.42578125" bestFit="1" customWidth="1"/>
    <col min="19" max="19" width="19.7109375" bestFit="1" customWidth="1"/>
    <col min="20" max="20" width="17.7109375" bestFit="1" customWidth="1"/>
  </cols>
  <sheetData>
    <row r="1" spans="1:20" x14ac:dyDescent="0.25">
      <c r="A1" s="2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4" t="s">
        <v>10</v>
      </c>
      <c r="H1" s="4" t="s">
        <v>11</v>
      </c>
      <c r="I1" s="4" t="s">
        <v>12</v>
      </c>
      <c r="J1" s="4" t="s">
        <v>183</v>
      </c>
      <c r="K1" s="4" t="s">
        <v>13</v>
      </c>
      <c r="L1" s="4" t="s">
        <v>14</v>
      </c>
      <c r="M1" s="4" t="s">
        <v>181</v>
      </c>
      <c r="N1" s="4" t="s">
        <v>15</v>
      </c>
      <c r="O1" s="4" t="s">
        <v>16</v>
      </c>
      <c r="P1" s="4" t="s">
        <v>17</v>
      </c>
      <c r="Q1" s="4" t="s">
        <v>18</v>
      </c>
      <c r="R1" s="4" t="s">
        <v>19</v>
      </c>
      <c r="S1" s="4" t="s">
        <v>20</v>
      </c>
      <c r="T1" s="3" t="s">
        <v>21</v>
      </c>
    </row>
    <row r="2" spans="1:20" x14ac:dyDescent="0.25">
      <c r="A2" s="4" t="s">
        <v>40</v>
      </c>
      <c r="B2" s="7" t="s">
        <v>60</v>
      </c>
      <c r="C2" s="7" t="s">
        <v>92</v>
      </c>
      <c r="D2" s="7" t="s">
        <v>43</v>
      </c>
      <c r="E2" s="7" t="s">
        <v>44</v>
      </c>
      <c r="F2" s="7" t="s">
        <v>58</v>
      </c>
      <c r="G2" s="7" t="s">
        <v>57</v>
      </c>
      <c r="H2" s="7" t="s">
        <v>45</v>
      </c>
      <c r="I2" s="7" t="s">
        <v>65</v>
      </c>
      <c r="J2" s="7" t="s">
        <v>182</v>
      </c>
      <c r="K2" s="7" t="s">
        <v>54</v>
      </c>
      <c r="L2" s="7" t="s">
        <v>129</v>
      </c>
      <c r="M2" s="7" t="s">
        <v>180</v>
      </c>
      <c r="N2" s="7" t="s">
        <v>52</v>
      </c>
      <c r="O2" s="7" t="s">
        <v>134</v>
      </c>
      <c r="P2" s="7" t="s">
        <v>71</v>
      </c>
      <c r="Q2" s="8"/>
      <c r="R2" s="7" t="s">
        <v>53</v>
      </c>
      <c r="S2" s="7" t="s">
        <v>49</v>
      </c>
      <c r="T2" s="7" t="s">
        <v>142</v>
      </c>
    </row>
    <row r="3" spans="1:20" s="1" customFormat="1" x14ac:dyDescent="0.25">
      <c r="A3" s="7" t="s">
        <v>41</v>
      </c>
      <c r="B3" s="7" t="s">
        <v>86</v>
      </c>
      <c r="C3" s="7" t="s">
        <v>120</v>
      </c>
      <c r="D3" s="7" t="s">
        <v>158</v>
      </c>
      <c r="E3" s="7" t="s">
        <v>46</v>
      </c>
      <c r="F3" s="7" t="s">
        <v>111</v>
      </c>
      <c r="G3" s="7" t="s">
        <v>66</v>
      </c>
      <c r="H3" s="7" t="s">
        <v>48</v>
      </c>
      <c r="I3" s="8"/>
      <c r="J3" s="8"/>
      <c r="K3" s="7" t="s">
        <v>155</v>
      </c>
      <c r="L3" s="7" t="s">
        <v>130</v>
      </c>
      <c r="M3" s="7"/>
      <c r="N3" s="7" t="s">
        <v>55</v>
      </c>
      <c r="O3" s="8"/>
      <c r="P3" s="7" t="s">
        <v>73</v>
      </c>
      <c r="Q3" s="8"/>
      <c r="R3" s="7" t="s">
        <v>78</v>
      </c>
      <c r="S3" s="7" t="s">
        <v>50</v>
      </c>
      <c r="T3" s="7" t="s">
        <v>145</v>
      </c>
    </row>
    <row r="4" spans="1:20" s="1" customFormat="1" x14ac:dyDescent="0.25">
      <c r="A4" s="7" t="s">
        <v>42</v>
      </c>
      <c r="B4" s="7" t="s">
        <v>97</v>
      </c>
      <c r="C4" s="7" t="s">
        <v>154</v>
      </c>
      <c r="D4" s="7" t="s">
        <v>152</v>
      </c>
      <c r="E4" s="7" t="s">
        <v>47</v>
      </c>
      <c r="F4" s="7" t="s">
        <v>127</v>
      </c>
      <c r="G4" s="7" t="s">
        <v>123</v>
      </c>
      <c r="H4" s="7" t="s">
        <v>51</v>
      </c>
      <c r="I4" s="8"/>
      <c r="J4" s="8"/>
      <c r="K4" s="7" t="s">
        <v>125</v>
      </c>
      <c r="L4" s="7" t="s">
        <v>131</v>
      </c>
      <c r="M4" s="8"/>
      <c r="N4" s="7" t="s">
        <v>56</v>
      </c>
      <c r="O4" s="8"/>
      <c r="P4" s="7" t="s">
        <v>113</v>
      </c>
      <c r="Q4" s="8"/>
      <c r="R4" s="7" t="s">
        <v>95</v>
      </c>
      <c r="S4" s="7" t="s">
        <v>62</v>
      </c>
      <c r="T4" s="9"/>
    </row>
    <row r="5" spans="1:20" s="1" customFormat="1" x14ac:dyDescent="0.25">
      <c r="A5" s="7" t="s">
        <v>162</v>
      </c>
      <c r="B5" s="7" t="s">
        <v>105</v>
      </c>
      <c r="C5" s="7"/>
      <c r="D5" s="7" t="s">
        <v>156</v>
      </c>
      <c r="E5" s="7" t="s">
        <v>61</v>
      </c>
      <c r="F5" s="8"/>
      <c r="G5" s="8"/>
      <c r="H5" s="7" t="s">
        <v>64</v>
      </c>
      <c r="I5" s="8"/>
      <c r="J5" s="8"/>
      <c r="K5" s="7" t="s">
        <v>128</v>
      </c>
      <c r="L5" s="7" t="s">
        <v>132</v>
      </c>
      <c r="M5" s="8"/>
      <c r="N5" s="7" t="s">
        <v>59</v>
      </c>
      <c r="O5" s="8"/>
      <c r="P5" s="7" t="s">
        <v>114</v>
      </c>
      <c r="Q5" s="8"/>
      <c r="R5" s="7" t="s">
        <v>119</v>
      </c>
      <c r="S5" s="7" t="s">
        <v>72</v>
      </c>
      <c r="T5" s="9"/>
    </row>
    <row r="6" spans="1:20" s="1" customFormat="1" x14ac:dyDescent="0.25">
      <c r="A6" s="10"/>
      <c r="B6" s="7" t="s">
        <v>106</v>
      </c>
      <c r="C6" s="7"/>
      <c r="D6" s="7" t="s">
        <v>74</v>
      </c>
      <c r="E6" s="7" t="s">
        <v>67</v>
      </c>
      <c r="F6" s="10"/>
      <c r="G6" s="10"/>
      <c r="H6" s="7" t="s">
        <v>75</v>
      </c>
      <c r="I6" s="10"/>
      <c r="J6" s="10"/>
      <c r="K6" s="7" t="s">
        <v>157</v>
      </c>
      <c r="L6" s="7" t="s">
        <v>133</v>
      </c>
      <c r="M6" s="10"/>
      <c r="N6" s="7" t="s">
        <v>63</v>
      </c>
      <c r="O6" s="10"/>
      <c r="P6" s="7" t="s">
        <v>121</v>
      </c>
      <c r="Q6" s="10"/>
      <c r="R6" s="7" t="s">
        <v>139</v>
      </c>
      <c r="S6" s="7" t="s">
        <v>88</v>
      </c>
      <c r="T6" s="11"/>
    </row>
    <row r="7" spans="1:20" s="1" customFormat="1" x14ac:dyDescent="0.25">
      <c r="A7" s="10"/>
      <c r="B7" s="7" t="s">
        <v>137</v>
      </c>
      <c r="C7" s="10"/>
      <c r="D7" s="7" t="s">
        <v>76</v>
      </c>
      <c r="E7" s="7" t="s">
        <v>68</v>
      </c>
      <c r="F7" s="10"/>
      <c r="G7" s="10"/>
      <c r="H7" s="7" t="s">
        <v>77</v>
      </c>
      <c r="I7" s="10"/>
      <c r="J7" s="10"/>
      <c r="K7" s="7" t="s">
        <v>143</v>
      </c>
      <c r="L7" s="10"/>
      <c r="M7" s="10"/>
      <c r="N7" s="7" t="s">
        <v>70</v>
      </c>
      <c r="O7" s="10"/>
      <c r="P7" s="10"/>
      <c r="Q7" s="10"/>
      <c r="R7" s="7" t="s">
        <v>140</v>
      </c>
      <c r="S7" s="7" t="s">
        <v>90</v>
      </c>
      <c r="T7" s="11"/>
    </row>
    <row r="8" spans="1:20" s="1" customFormat="1" x14ac:dyDescent="0.25">
      <c r="A8" s="10"/>
      <c r="B8" s="7"/>
      <c r="C8" s="10"/>
      <c r="D8" s="7" t="s">
        <v>87</v>
      </c>
      <c r="E8" s="7" t="s">
        <v>69</v>
      </c>
      <c r="F8" s="10"/>
      <c r="G8" s="10"/>
      <c r="H8" s="7" t="s">
        <v>81</v>
      </c>
      <c r="I8" s="10"/>
      <c r="J8" s="10"/>
      <c r="K8" s="7" t="s">
        <v>144</v>
      </c>
      <c r="L8" s="10"/>
      <c r="M8" s="10"/>
      <c r="N8" s="7" t="s">
        <v>79</v>
      </c>
      <c r="O8" s="10"/>
      <c r="P8" s="10"/>
      <c r="Q8" s="10"/>
      <c r="R8" s="10"/>
      <c r="S8" s="7" t="s">
        <v>98</v>
      </c>
      <c r="T8" s="11"/>
    </row>
    <row r="9" spans="1:20" x14ac:dyDescent="0.25">
      <c r="A9" s="10"/>
      <c r="B9" s="10"/>
      <c r="C9" s="10"/>
      <c r="D9" s="7" t="s">
        <v>94</v>
      </c>
      <c r="E9" s="7" t="s">
        <v>85</v>
      </c>
      <c r="F9" s="10"/>
      <c r="G9" s="10"/>
      <c r="H9" s="7" t="s">
        <v>89</v>
      </c>
      <c r="I9" s="10"/>
      <c r="J9" s="10"/>
      <c r="K9" s="7" t="s">
        <v>146</v>
      </c>
      <c r="L9" s="10"/>
      <c r="M9" s="10"/>
      <c r="N9" s="7" t="s">
        <v>80</v>
      </c>
      <c r="O9" s="10"/>
      <c r="P9" s="10"/>
      <c r="Q9" s="10"/>
      <c r="R9" s="10"/>
      <c r="S9" s="12" t="s">
        <v>151</v>
      </c>
      <c r="T9" s="11"/>
    </row>
    <row r="10" spans="1:20" x14ac:dyDescent="0.25">
      <c r="A10" s="10"/>
      <c r="B10" s="10"/>
      <c r="C10" s="10"/>
      <c r="D10" s="7" t="s">
        <v>159</v>
      </c>
      <c r="E10" s="7" t="s">
        <v>93</v>
      </c>
      <c r="F10" s="10"/>
      <c r="G10" s="10"/>
      <c r="H10" s="7" t="s">
        <v>96</v>
      </c>
      <c r="I10" s="10"/>
      <c r="J10" s="10"/>
      <c r="K10" s="7" t="s">
        <v>149</v>
      </c>
      <c r="L10" s="10"/>
      <c r="M10" s="10"/>
      <c r="N10" s="7" t="s">
        <v>82</v>
      </c>
      <c r="O10" s="10"/>
      <c r="P10" s="10"/>
      <c r="Q10" s="10"/>
      <c r="R10" s="10"/>
      <c r="S10" s="10"/>
      <c r="T10" s="11"/>
    </row>
    <row r="11" spans="1:20" x14ac:dyDescent="0.25">
      <c r="A11" s="10"/>
      <c r="B11" s="10"/>
      <c r="C11" s="10"/>
      <c r="D11" s="7" t="s">
        <v>104</v>
      </c>
      <c r="E11" s="7" t="s">
        <v>108</v>
      </c>
      <c r="F11" s="10"/>
      <c r="G11" s="10"/>
      <c r="H11" s="7" t="s">
        <v>99</v>
      </c>
      <c r="I11" s="10"/>
      <c r="J11" s="10"/>
      <c r="K11" s="10"/>
      <c r="L11" s="10"/>
      <c r="M11" s="10"/>
      <c r="N11" s="7" t="s">
        <v>83</v>
      </c>
      <c r="O11" s="10"/>
      <c r="P11" s="10"/>
      <c r="Q11" s="10"/>
      <c r="R11" s="10"/>
      <c r="S11" s="10"/>
      <c r="T11" s="11"/>
    </row>
    <row r="12" spans="1:20" x14ac:dyDescent="0.25">
      <c r="A12" s="10"/>
      <c r="B12" s="10"/>
      <c r="C12" s="10"/>
      <c r="D12" s="7" t="s">
        <v>122</v>
      </c>
      <c r="E12" s="7" t="s">
        <v>110</v>
      </c>
      <c r="F12" s="10"/>
      <c r="G12" s="10"/>
      <c r="H12" s="7" t="s">
        <v>107</v>
      </c>
      <c r="I12" s="10"/>
      <c r="J12" s="10"/>
      <c r="K12" s="10"/>
      <c r="L12" s="10"/>
      <c r="M12" s="10"/>
      <c r="N12" s="7" t="s">
        <v>84</v>
      </c>
      <c r="O12" s="10"/>
      <c r="P12" s="10"/>
      <c r="Q12" s="10"/>
      <c r="R12" s="10"/>
      <c r="S12" s="10"/>
      <c r="T12" s="11"/>
    </row>
    <row r="13" spans="1:20" x14ac:dyDescent="0.25">
      <c r="A13" s="10"/>
      <c r="B13" s="10"/>
      <c r="C13" s="10"/>
      <c r="D13" s="7" t="s">
        <v>124</v>
      </c>
      <c r="E13" s="7" t="s">
        <v>112</v>
      </c>
      <c r="F13" s="10"/>
      <c r="G13" s="10"/>
      <c r="H13" s="7" t="s">
        <v>118</v>
      </c>
      <c r="I13" s="10"/>
      <c r="J13" s="10"/>
      <c r="K13" s="10"/>
      <c r="L13" s="10"/>
      <c r="M13" s="10"/>
      <c r="N13" s="7" t="s">
        <v>91</v>
      </c>
      <c r="O13" s="10"/>
      <c r="P13" s="10"/>
      <c r="Q13" s="10"/>
      <c r="R13" s="10"/>
      <c r="S13" s="10"/>
      <c r="T13" s="11"/>
    </row>
    <row r="14" spans="1:20" x14ac:dyDescent="0.25">
      <c r="A14" s="10"/>
      <c r="B14" s="10"/>
      <c r="C14" s="10"/>
      <c r="D14" s="7" t="s">
        <v>126</v>
      </c>
      <c r="E14" s="7" t="s">
        <v>115</v>
      </c>
      <c r="F14" s="10"/>
      <c r="G14" s="10"/>
      <c r="H14" s="7" t="s">
        <v>136</v>
      </c>
      <c r="I14" s="10"/>
      <c r="J14" s="10"/>
      <c r="K14" s="10"/>
      <c r="L14" s="10"/>
      <c r="M14" s="10"/>
      <c r="N14" s="7" t="s">
        <v>100</v>
      </c>
      <c r="O14" s="10"/>
      <c r="P14" s="10"/>
      <c r="Q14" s="10"/>
      <c r="R14" s="10"/>
      <c r="S14" s="10"/>
      <c r="T14" s="11"/>
    </row>
    <row r="15" spans="1:20" x14ac:dyDescent="0.25">
      <c r="A15" s="10"/>
      <c r="B15" s="10"/>
      <c r="C15" s="10"/>
      <c r="D15" s="7" t="s">
        <v>148</v>
      </c>
      <c r="E15" s="8" t="s">
        <v>117</v>
      </c>
      <c r="F15" s="10"/>
      <c r="G15" s="10"/>
      <c r="H15" s="10"/>
      <c r="I15" s="10"/>
      <c r="J15" s="10"/>
      <c r="K15" s="10"/>
      <c r="L15" s="10"/>
      <c r="M15" s="10"/>
      <c r="N15" s="7" t="s">
        <v>101</v>
      </c>
      <c r="O15" s="10"/>
      <c r="P15" s="10"/>
      <c r="Q15" s="10"/>
      <c r="R15" s="10"/>
      <c r="S15" s="10"/>
      <c r="T15" s="11"/>
    </row>
    <row r="16" spans="1:20" x14ac:dyDescent="0.25">
      <c r="A16" s="10"/>
      <c r="B16" s="10"/>
      <c r="C16" s="10"/>
      <c r="D16" s="10"/>
      <c r="E16" s="7" t="s">
        <v>135</v>
      </c>
      <c r="F16" s="10"/>
      <c r="G16" s="10"/>
      <c r="H16" s="10"/>
      <c r="I16" s="10"/>
      <c r="J16" s="10"/>
      <c r="K16" s="10"/>
      <c r="L16" s="10"/>
      <c r="M16" s="10"/>
      <c r="N16" s="7" t="s">
        <v>102</v>
      </c>
      <c r="O16" s="10"/>
      <c r="P16" s="10"/>
      <c r="Q16" s="10"/>
      <c r="R16" s="10"/>
      <c r="S16" s="10"/>
      <c r="T16" s="11"/>
    </row>
    <row r="17" spans="1:20" x14ac:dyDescent="0.25">
      <c r="A17" s="10"/>
      <c r="B17" s="10"/>
      <c r="C17" s="10"/>
      <c r="D17" s="10"/>
      <c r="E17" s="7" t="s">
        <v>138</v>
      </c>
      <c r="F17" s="10"/>
      <c r="G17" s="10"/>
      <c r="H17" s="10"/>
      <c r="I17" s="10"/>
      <c r="J17" s="10"/>
      <c r="K17" s="10"/>
      <c r="L17" s="10"/>
      <c r="M17" s="10"/>
      <c r="N17" s="7" t="s">
        <v>103</v>
      </c>
      <c r="O17" s="10"/>
      <c r="P17" s="10"/>
      <c r="Q17" s="10"/>
      <c r="R17" s="10"/>
      <c r="S17" s="10"/>
      <c r="T17" s="11"/>
    </row>
    <row r="18" spans="1:20" x14ac:dyDescent="0.25">
      <c r="A18" s="10"/>
      <c r="B18" s="10"/>
      <c r="C18" s="10"/>
      <c r="D18" s="10"/>
      <c r="E18" s="7" t="s">
        <v>147</v>
      </c>
      <c r="F18" s="10"/>
      <c r="G18" s="10"/>
      <c r="H18" s="10"/>
      <c r="I18" s="10"/>
      <c r="J18" s="10"/>
      <c r="K18" s="10"/>
      <c r="L18" s="10"/>
      <c r="M18" s="10"/>
      <c r="N18" s="7" t="s">
        <v>109</v>
      </c>
      <c r="O18" s="10"/>
      <c r="P18" s="10"/>
      <c r="Q18" s="10"/>
      <c r="R18" s="10"/>
      <c r="S18" s="10"/>
      <c r="T18" s="11"/>
    </row>
    <row r="19" spans="1:20" x14ac:dyDescent="0.25">
      <c r="A19" s="10"/>
      <c r="B19" s="10"/>
      <c r="C19" s="10"/>
      <c r="D19" s="10"/>
      <c r="E19" s="7" t="s">
        <v>150</v>
      </c>
      <c r="F19" s="10"/>
      <c r="G19" s="10"/>
      <c r="H19" s="10"/>
      <c r="I19" s="10"/>
      <c r="J19" s="10"/>
      <c r="K19" s="10"/>
      <c r="L19" s="10"/>
      <c r="M19" s="10"/>
      <c r="N19" s="7" t="s">
        <v>116</v>
      </c>
      <c r="O19" s="10"/>
      <c r="P19" s="10"/>
      <c r="Q19" s="10"/>
      <c r="R19" s="10"/>
      <c r="S19" s="10"/>
      <c r="T19" s="11"/>
    </row>
    <row r="20" spans="1:20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7" t="s">
        <v>153</v>
      </c>
      <c r="O20" s="10"/>
      <c r="P20" s="10"/>
      <c r="Q20" s="10"/>
      <c r="R20" s="10"/>
      <c r="S20" s="10"/>
      <c r="T20" s="11"/>
    </row>
    <row r="21" spans="1:20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7" t="s">
        <v>141</v>
      </c>
      <c r="O21" s="10"/>
      <c r="P21" s="10"/>
      <c r="Q21" s="10"/>
      <c r="R21" s="10"/>
      <c r="S21" s="10"/>
      <c r="T21" s="1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2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2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2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1:20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</row>
    <row r="117" spans="1:20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</row>
    <row r="118" spans="1:20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</row>
    <row r="119" spans="1:20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</row>
    <row r="120" spans="1:20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</row>
    <row r="121" spans="1:20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</row>
    <row r="122" spans="1:20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</row>
    <row r="123" spans="1:20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</row>
    <row r="124" spans="1:20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</row>
    <row r="125" spans="1:20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</row>
    <row r="126" spans="1:20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</row>
    <row r="127" spans="1:20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</row>
    <row r="128" spans="1:20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</row>
    <row r="129" spans="1:20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</row>
    <row r="130" spans="1:20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</row>
    <row r="131" spans="1:20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</row>
    <row r="132" spans="1:20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</row>
    <row r="133" spans="1:20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</row>
    <row r="134" spans="1:20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</row>
    <row r="135" spans="1:20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</row>
    <row r="136" spans="1:20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</row>
    <row r="137" spans="1:20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</row>
    <row r="138" spans="1:20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</row>
    <row r="139" spans="1:20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</row>
    <row r="140" spans="1:20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</row>
    <row r="141" spans="1:20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</row>
    <row r="142" spans="1:20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</row>
    <row r="143" spans="1:20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</row>
    <row r="144" spans="1:20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</row>
    <row r="145" spans="1:20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</row>
    <row r="146" spans="1:20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</row>
    <row r="147" spans="1:20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</row>
    <row r="148" spans="1:20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</row>
    <row r="149" spans="1:20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</row>
    <row r="150" spans="1:20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</row>
    <row r="151" spans="1:20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</row>
    <row r="152" spans="1:20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</row>
    <row r="153" spans="1:20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</row>
    <row r="154" spans="1:20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</row>
    <row r="155" spans="1:20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</row>
    <row r="156" spans="1:20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</row>
    <row r="157" spans="1:20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</row>
    <row r="158" spans="1:20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</row>
    <row r="159" spans="1:20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</row>
    <row r="160" spans="1:20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</row>
    <row r="161" spans="1:20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</row>
    <row r="162" spans="1:20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</row>
    <row r="163" spans="1:20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</row>
    <row r="164" spans="1:20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</row>
    <row r="165" spans="1:20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</row>
    <row r="166" spans="1:20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</row>
    <row r="167" spans="1:20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</row>
    <row r="168" spans="1:20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</row>
    <row r="169" spans="1:20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</row>
    <row r="170" spans="1:20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</row>
    <row r="171" spans="1:20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</row>
    <row r="172" spans="1:20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</row>
    <row r="173" spans="1:20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</row>
    <row r="174" spans="1:20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</row>
    <row r="175" spans="1:20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</row>
    <row r="176" spans="1:20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</row>
    <row r="177" spans="1:20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</row>
    <row r="178" spans="1:20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</row>
    <row r="179" spans="1:20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</row>
    <row r="180" spans="1:20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</row>
    <row r="181" spans="1:20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</row>
    <row r="182" spans="1:20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</row>
    <row r="183" spans="1:20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</row>
    <row r="184" spans="1:20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</row>
    <row r="185" spans="1:20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</row>
    <row r="186" spans="1:20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</row>
    <row r="187" spans="1:20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</row>
    <row r="188" spans="1:20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</row>
    <row r="189" spans="1:20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</row>
    <row r="190" spans="1:20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</row>
    <row r="191" spans="1:20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</row>
    <row r="192" spans="1:2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</row>
    <row r="193" spans="1:2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</row>
    <row r="194" spans="1:2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</row>
    <row r="195" spans="1:2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</row>
    <row r="196" spans="1:2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</row>
    <row r="197" spans="1:2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</row>
    <row r="198" spans="1:2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</row>
    <row r="199" spans="1:2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</row>
    <row r="200" spans="1:2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</row>
    <row r="201" spans="1:2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</row>
    <row r="202" spans="1:2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</row>
    <row r="203" spans="1:2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</row>
    <row r="204" spans="1:2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</row>
    <row r="205" spans="1:2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</row>
    <row r="206" spans="1:2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</row>
    <row r="207" spans="1:2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</row>
    <row r="208" spans="1:2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</row>
    <row r="209" spans="1:2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</row>
    <row r="210" spans="1:2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</row>
    <row r="211" spans="1:2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</row>
    <row r="212" spans="1:2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</row>
    <row r="213" spans="1:2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</row>
    <row r="214" spans="1:20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</row>
    <row r="215" spans="1:20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</row>
    <row r="216" spans="1:20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</row>
    <row r="217" spans="1:20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</row>
    <row r="218" spans="1:20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</row>
    <row r="219" spans="1:20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</row>
    <row r="220" spans="1:20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</row>
    <row r="221" spans="1:20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</row>
    <row r="222" spans="1:20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</row>
    <row r="223" spans="1:20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</row>
    <row r="224" spans="1:20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</row>
    <row r="225" spans="1:20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</row>
    <row r="226" spans="1:20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</row>
    <row r="227" spans="1:20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</row>
    <row r="228" spans="1:20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</row>
    <row r="229" spans="1:20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</row>
    <row r="230" spans="1:20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</row>
    <row r="231" spans="1:20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</row>
    <row r="232" spans="1:20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</row>
    <row r="233" spans="1:20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</row>
    <row r="234" spans="1:20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</row>
    <row r="235" spans="1:20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</row>
    <row r="236" spans="1:20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</row>
    <row r="237" spans="1:20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</row>
    <row r="238" spans="1:20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</row>
    <row r="239" spans="1:20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</row>
    <row r="240" spans="1:20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</row>
    <row r="241" spans="1:20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</row>
    <row r="242" spans="1:20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</row>
    <row r="243" spans="1:20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</row>
    <row r="244" spans="1:20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</row>
    <row r="245" spans="1:20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</row>
    <row r="246" spans="1:20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</row>
    <row r="247" spans="1:20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</row>
    <row r="248" spans="1:20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</row>
    <row r="249" spans="1:20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</row>
    <row r="250" spans="1:20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</row>
    <row r="251" spans="1:20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</row>
    <row r="252" spans="1:20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</row>
    <row r="253" spans="1:20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</row>
    <row r="254" spans="1:20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</row>
    <row r="255" spans="1:20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</row>
    <row r="256" spans="1:20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</row>
    <row r="257" spans="1:20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</row>
    <row r="258" spans="1:20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</row>
    <row r="259" spans="1:20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</row>
    <row r="260" spans="1:20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</row>
    <row r="261" spans="1:20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</row>
    <row r="262" spans="1:20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</row>
    <row r="263" spans="1:20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</row>
    <row r="264" spans="1:20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</row>
    <row r="265" spans="1:20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</row>
    <row r="266" spans="1:20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</row>
    <row r="267" spans="1:20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</row>
    <row r="268" spans="1:20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</row>
    <row r="269" spans="1:20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</row>
    <row r="270" spans="1:20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</row>
    <row r="271" spans="1:20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</row>
    <row r="272" spans="1:20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</row>
    <row r="273" spans="1:20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</row>
    <row r="274" spans="1:20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</row>
    <row r="275" spans="1:20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</row>
    <row r="276" spans="1:20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</row>
    <row r="277" spans="1:20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</row>
    <row r="278" spans="1:20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</row>
    <row r="279" spans="1:20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</row>
    <row r="280" spans="1:20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</row>
    <row r="281" spans="1:20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</row>
    <row r="282" spans="1:20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</row>
    <row r="283" spans="1:20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</row>
    <row r="284" spans="1:20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</row>
    <row r="285" spans="1:20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</row>
    <row r="286" spans="1:20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</row>
    <row r="287" spans="1:20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</row>
    <row r="288" spans="1:20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</row>
    <row r="289" spans="1:20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</row>
    <row r="290" spans="1:20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</row>
    <row r="291" spans="1:20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</row>
    <row r="292" spans="1:20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</row>
    <row r="293" spans="1:20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</row>
    <row r="294" spans="1:20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</row>
    <row r="295" spans="1:20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</row>
    <row r="296" spans="1:20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</row>
    <row r="297" spans="1:20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</row>
    <row r="298" spans="1:20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</row>
    <row r="299" spans="1:20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</row>
    <row r="300" spans="1:20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</row>
    <row r="301" spans="1:20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</row>
    <row r="302" spans="1:20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</row>
    <row r="303" spans="1:20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</row>
    <row r="304" spans="1:20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</row>
    <row r="305" spans="1:20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</row>
    <row r="306" spans="1:20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</row>
    <row r="307" spans="1:20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</row>
    <row r="308" spans="1:20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</row>
    <row r="309" spans="1:20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</row>
    <row r="310" spans="1:20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</row>
    <row r="311" spans="1:20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</row>
    <row r="312" spans="1:20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</row>
    <row r="313" spans="1:20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</row>
    <row r="314" spans="1:20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</row>
    <row r="315" spans="1:20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</row>
    <row r="316" spans="1:20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</row>
    <row r="317" spans="1:20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</row>
    <row r="318" spans="1:20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</row>
    <row r="319" spans="1:20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</row>
    <row r="320" spans="1:20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</row>
    <row r="321" spans="1:20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</row>
    <row r="322" spans="1:20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</row>
    <row r="323" spans="1:20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</row>
    <row r="324" spans="1:20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</row>
    <row r="325" spans="1:20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</row>
    <row r="326" spans="1:20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</row>
    <row r="327" spans="1:20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</row>
    <row r="328" spans="1:20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</row>
    <row r="329" spans="1:20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</row>
    <row r="330" spans="1:20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</row>
    <row r="331" spans="1:20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</row>
    <row r="332" spans="1:20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</row>
    <row r="333" spans="1:20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</row>
    <row r="334" spans="1:20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</row>
    <row r="335" spans="1:20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</row>
    <row r="336" spans="1:20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</row>
    <row r="337" spans="1:20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</row>
    <row r="338" spans="1:20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</row>
    <row r="339" spans="1:20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</row>
    <row r="340" spans="1:20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</row>
    <row r="341" spans="1:20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</row>
    <row r="342" spans="1:20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</row>
    <row r="343" spans="1:20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</row>
    <row r="344" spans="1:20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</row>
    <row r="345" spans="1:20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</row>
    <row r="346" spans="1:20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</row>
    <row r="347" spans="1:20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</row>
    <row r="348" spans="1:20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</row>
    <row r="349" spans="1:20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</row>
    <row r="350" spans="1:20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</row>
    <row r="351" spans="1:20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</row>
    <row r="352" spans="1:20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</row>
    <row r="353" spans="1:20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</row>
    <row r="354" spans="1:20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</row>
    <row r="355" spans="1:20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</row>
    <row r="356" spans="1:20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</row>
    <row r="357" spans="1:20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</row>
    <row r="358" spans="1:20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</row>
    <row r="359" spans="1:20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</row>
    <row r="360" spans="1:20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</row>
    <row r="361" spans="1:20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</row>
    <row r="362" spans="1:20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</row>
    <row r="363" spans="1:20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</row>
    <row r="364" spans="1:20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</row>
    <row r="365" spans="1:20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</row>
    <row r="366" spans="1:20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</row>
    <row r="367" spans="1:20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</row>
    <row r="368" spans="1:20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</row>
    <row r="369" spans="1:20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</row>
    <row r="370" spans="1:20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</row>
    <row r="371" spans="1:20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</row>
    <row r="372" spans="1:20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</row>
    <row r="373" spans="1:20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</row>
    <row r="374" spans="1:20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</row>
    <row r="375" spans="1:20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</row>
    <row r="376" spans="1:20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</row>
    <row r="377" spans="1:20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</row>
    <row r="378" spans="1:20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</row>
    <row r="379" spans="1:20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</row>
    <row r="380" spans="1:20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</row>
    <row r="381" spans="1:20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</row>
    <row r="382" spans="1:20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</row>
    <row r="383" spans="1:20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</row>
    <row r="384" spans="1:20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</row>
    <row r="385" spans="1:20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</row>
    <row r="386" spans="1:20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</row>
    <row r="387" spans="1:20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</row>
    <row r="388" spans="1:20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</row>
    <row r="389" spans="1:20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</row>
    <row r="390" spans="1:20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</row>
    <row r="391" spans="1:20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</row>
    <row r="392" spans="1:20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</row>
    <row r="393" spans="1:20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</row>
    <row r="394" spans="1:20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</row>
    <row r="395" spans="1:20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</row>
    <row r="396" spans="1:20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</row>
    <row r="397" spans="1:20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</row>
    <row r="398" spans="1:20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</row>
    <row r="399" spans="1:20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</row>
    <row r="400" spans="1:20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</row>
    <row r="401" spans="1:20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</row>
    <row r="402" spans="1:20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</row>
    <row r="403" spans="1:20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</row>
    <row r="404" spans="1:20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</row>
    <row r="405" spans="1:20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</row>
    <row r="406" spans="1:20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</row>
    <row r="407" spans="1:20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</row>
    <row r="408" spans="1:20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</row>
    <row r="409" spans="1:20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</row>
    <row r="410" spans="1:20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</row>
    <row r="411" spans="1:20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</row>
    <row r="412" spans="1:20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</row>
    <row r="413" spans="1:20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</row>
    <row r="414" spans="1:20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</row>
    <row r="415" spans="1:20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</row>
    <row r="416" spans="1:20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</row>
    <row r="417" spans="1:20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</row>
    <row r="418" spans="1:20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</row>
    <row r="419" spans="1:20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</row>
    <row r="420" spans="1:20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</row>
    <row r="421" spans="1:20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</row>
    <row r="422" spans="1:20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</row>
    <row r="423" spans="1:20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</row>
    <row r="424" spans="1:20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</row>
    <row r="425" spans="1:20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</row>
    <row r="426" spans="1:20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</row>
    <row r="427" spans="1:20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</row>
    <row r="428" spans="1:20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</row>
    <row r="429" spans="1:20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</row>
    <row r="430" spans="1:20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</row>
    <row r="431" spans="1:20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</row>
    <row r="432" spans="1:20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</row>
    <row r="433" spans="1:20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</row>
    <row r="434" spans="1:20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</row>
    <row r="435" spans="1:20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</row>
    <row r="436" spans="1:20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</row>
    <row r="437" spans="1:20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</row>
    <row r="438" spans="1:20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</row>
    <row r="439" spans="1:20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</row>
    <row r="440" spans="1:20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</row>
    <row r="441" spans="1:20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</row>
    <row r="442" spans="1:20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</row>
    <row r="443" spans="1:20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</row>
    <row r="444" spans="1:20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</row>
    <row r="445" spans="1:20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</row>
    <row r="446" spans="1:20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</row>
    <row r="447" spans="1:20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</row>
    <row r="448" spans="1:20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</row>
    <row r="449" spans="1:20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</row>
    <row r="450" spans="1:20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</row>
    <row r="451" spans="1:20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</row>
    <row r="452" spans="1:20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</row>
    <row r="453" spans="1:20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</row>
    <row r="454" spans="1:20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</row>
    <row r="455" spans="1:20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</row>
    <row r="456" spans="1:20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</row>
    <row r="457" spans="1:20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</row>
    <row r="458" spans="1:20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</row>
    <row r="459" spans="1:20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</row>
    <row r="460" spans="1:20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</row>
    <row r="461" spans="1:20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</row>
    <row r="462" spans="1:20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</row>
    <row r="463" spans="1:20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</row>
    <row r="464" spans="1:20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</row>
    <row r="465" spans="1:20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</row>
    <row r="466" spans="1:20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</row>
    <row r="467" spans="1:20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</row>
    <row r="468" spans="1:20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</row>
    <row r="469" spans="1:20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</row>
    <row r="470" spans="1:20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</row>
    <row r="471" spans="1:20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</row>
    <row r="472" spans="1:20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</row>
    <row r="473" spans="1:20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</row>
    <row r="474" spans="1:20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</row>
    <row r="475" spans="1:20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</row>
    <row r="476" spans="1:20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</row>
    <row r="477" spans="1:20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</row>
    <row r="478" spans="1:20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</row>
    <row r="479" spans="1:20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</row>
    <row r="480" spans="1:20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</row>
    <row r="481" spans="1:20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</row>
    <row r="482" spans="1:20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</row>
    <row r="483" spans="1:20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</row>
    <row r="484" spans="1:20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</row>
    <row r="485" spans="1:20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</row>
    <row r="486" spans="1:20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</row>
    <row r="487" spans="1:20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</row>
    <row r="488" spans="1:20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</row>
    <row r="489" spans="1:20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</row>
    <row r="490" spans="1:20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</row>
    <row r="491" spans="1:20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</row>
    <row r="492" spans="1:20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</row>
    <row r="493" spans="1:20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</row>
    <row r="494" spans="1:20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</row>
    <row r="495" spans="1:20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</row>
    <row r="496" spans="1:20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</row>
    <row r="497" spans="1:20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</row>
    <row r="498" spans="1:20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</row>
    <row r="499" spans="1:20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</row>
    <row r="500" spans="1:20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</row>
    <row r="501" spans="1:20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</row>
    <row r="502" spans="1:20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</row>
    <row r="503" spans="1:20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</row>
    <row r="504" spans="1:20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</row>
    <row r="505" spans="1:20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</row>
    <row r="506" spans="1:20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</row>
    <row r="507" spans="1:20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</row>
    <row r="508" spans="1:20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</row>
    <row r="509" spans="1:20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</row>
    <row r="510" spans="1:20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</row>
    <row r="511" spans="1:20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</row>
    <row r="512" spans="1:20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</row>
    <row r="513" spans="1:20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</row>
    <row r="514" spans="1:20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</row>
    <row r="515" spans="1:20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</row>
    <row r="516" spans="1:20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</row>
    <row r="517" spans="1:20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</row>
    <row r="518" spans="1:20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</row>
    <row r="519" spans="1:20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</row>
    <row r="520" spans="1:20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</row>
    <row r="521" spans="1:20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</row>
    <row r="522" spans="1:20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</row>
    <row r="523" spans="1:20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</row>
    <row r="524" spans="1:20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</row>
    <row r="525" spans="1:20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</row>
    <row r="526" spans="1:20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</row>
    <row r="527" spans="1:20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</row>
    <row r="528" spans="1:20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</row>
    <row r="529" spans="1:20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</row>
    <row r="530" spans="1:20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</row>
    <row r="531" spans="1:20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</row>
    <row r="532" spans="1:20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</row>
    <row r="533" spans="1:20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</row>
    <row r="534" spans="1:20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</row>
    <row r="535" spans="1:20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</row>
    <row r="536" spans="1:20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</row>
    <row r="537" spans="1:20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</row>
    <row r="538" spans="1:20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</row>
    <row r="539" spans="1:20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</row>
    <row r="540" spans="1:20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</row>
    <row r="541" spans="1:20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</row>
    <row r="542" spans="1:20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</row>
    <row r="543" spans="1:20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</row>
    <row r="544" spans="1:20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</row>
    <row r="545" spans="1:20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</row>
    <row r="546" spans="1:20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</row>
    <row r="547" spans="1:20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</row>
    <row r="548" spans="1:20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</row>
    <row r="549" spans="1:20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</row>
    <row r="550" spans="1:20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</row>
    <row r="551" spans="1:20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</row>
    <row r="552" spans="1:20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</row>
    <row r="553" spans="1:20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</row>
    <row r="554" spans="1:20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</row>
    <row r="555" spans="1:20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</row>
    <row r="556" spans="1:20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</row>
    <row r="557" spans="1:20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</row>
    <row r="558" spans="1:20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</row>
    <row r="559" spans="1:20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</row>
    <row r="560" spans="1:20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</row>
    <row r="561" spans="1:20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</row>
    <row r="562" spans="1:20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</row>
    <row r="563" spans="1:20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</row>
    <row r="564" spans="1:20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</row>
    <row r="565" spans="1:20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</row>
    <row r="566" spans="1:20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</row>
    <row r="567" spans="1:20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</row>
    <row r="568" spans="1:20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</row>
    <row r="569" spans="1:20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</row>
    <row r="570" spans="1:20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</row>
    <row r="571" spans="1:20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</row>
    <row r="572" spans="1:20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</row>
    <row r="573" spans="1:20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</row>
    <row r="574" spans="1:20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</row>
    <row r="575" spans="1:20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</row>
    <row r="576" spans="1:20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</row>
    <row r="577" spans="1:20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</row>
    <row r="578" spans="1:20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</row>
    <row r="579" spans="1:20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</row>
    <row r="580" spans="1:20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</row>
    <row r="581" spans="1:20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</row>
    <row r="582" spans="1:20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</row>
    <row r="583" spans="1:20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</row>
    <row r="584" spans="1:20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</row>
    <row r="585" spans="1:20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</row>
    <row r="586" spans="1:20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</row>
    <row r="587" spans="1:20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</row>
    <row r="588" spans="1:20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</row>
    <row r="589" spans="1:20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</row>
    <row r="590" spans="1:20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</row>
    <row r="591" spans="1:20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</row>
    <row r="592" spans="1:20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</row>
    <row r="593" spans="1:20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</row>
    <row r="594" spans="1:20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</row>
    <row r="595" spans="1:20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</row>
    <row r="596" spans="1:20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</row>
    <row r="597" spans="1:20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</row>
    <row r="598" spans="1:20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</row>
    <row r="599" spans="1:20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</row>
    <row r="600" spans="1:20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</row>
    <row r="601" spans="1:20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</row>
    <row r="602" spans="1:20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</row>
    <row r="603" spans="1:20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</row>
    <row r="604" spans="1:20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</row>
    <row r="605" spans="1:20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</row>
    <row r="606" spans="1:20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</row>
    <row r="607" spans="1:20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</row>
    <row r="608" spans="1:20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</row>
    <row r="609" spans="1:20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</row>
    <row r="610" spans="1:20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</row>
    <row r="611" spans="1:20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</row>
    <row r="612" spans="1:20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</row>
    <row r="613" spans="1:20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</row>
    <row r="614" spans="1:20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</row>
    <row r="615" spans="1:20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</row>
    <row r="616" spans="1:20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</row>
    <row r="617" spans="1:20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</row>
    <row r="618" spans="1:20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</row>
    <row r="619" spans="1:20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</row>
    <row r="620" spans="1:20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</row>
    <row r="621" spans="1:20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</row>
    <row r="622" spans="1:20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</row>
    <row r="623" spans="1:20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</row>
    <row r="624" spans="1:20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</row>
    <row r="625" spans="1:20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</row>
    <row r="626" spans="1:20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</row>
    <row r="627" spans="1:20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</row>
    <row r="628" spans="1:20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</row>
    <row r="629" spans="1:20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</row>
    <row r="630" spans="1:20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</row>
    <row r="631" spans="1:20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</row>
    <row r="632" spans="1:20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</row>
    <row r="633" spans="1:20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</row>
    <row r="634" spans="1:20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</row>
    <row r="635" spans="1:20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</row>
    <row r="636" spans="1:20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</row>
    <row r="637" spans="1:20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</row>
    <row r="638" spans="1:20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</row>
    <row r="639" spans="1:20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</row>
    <row r="640" spans="1:20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</row>
    <row r="641" spans="1:20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</row>
    <row r="642" spans="1:20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</row>
    <row r="643" spans="1:20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</row>
    <row r="644" spans="1:20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</row>
    <row r="645" spans="1:20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</row>
    <row r="646" spans="1:20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</row>
    <row r="647" spans="1:20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</row>
    <row r="648" spans="1:20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</row>
    <row r="649" spans="1:20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</row>
    <row r="650" spans="1:20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</row>
    <row r="651" spans="1:20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</row>
    <row r="652" spans="1:20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</row>
    <row r="653" spans="1:20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</row>
    <row r="654" spans="1:20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</row>
    <row r="655" spans="1:20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</row>
    <row r="656" spans="1:20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</row>
    <row r="657" spans="1:20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</row>
    <row r="658" spans="1:20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</row>
    <row r="659" spans="1:20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</row>
    <row r="660" spans="1:20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</row>
    <row r="661" spans="1:20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</row>
    <row r="662" spans="1:20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</row>
    <row r="663" spans="1:20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</row>
    <row r="664" spans="1:20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</row>
    <row r="665" spans="1:20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</row>
    <row r="666" spans="1:20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</row>
    <row r="667" spans="1:20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</row>
    <row r="668" spans="1:20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</row>
    <row r="669" spans="1:20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</row>
    <row r="670" spans="1:20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</row>
    <row r="671" spans="1:20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</row>
    <row r="672" spans="1:20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</row>
    <row r="673" spans="1:20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</row>
    <row r="674" spans="1:20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</row>
    <row r="675" spans="1:20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</row>
    <row r="676" spans="1:20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</row>
    <row r="677" spans="1:20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</row>
    <row r="678" spans="1:20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</row>
    <row r="679" spans="1:20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</row>
    <row r="680" spans="1:20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</row>
    <row r="681" spans="1:20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</row>
    <row r="682" spans="1:20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</row>
    <row r="683" spans="1:20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</row>
    <row r="684" spans="1:20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</row>
    <row r="685" spans="1:20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</row>
    <row r="686" spans="1:20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</row>
    <row r="687" spans="1:20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</row>
    <row r="688" spans="1:20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</row>
    <row r="689" spans="1:20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</row>
    <row r="690" spans="1:20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</row>
    <row r="691" spans="1:20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</row>
    <row r="692" spans="1:20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</row>
    <row r="693" spans="1:20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</row>
    <row r="694" spans="1:20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</row>
    <row r="695" spans="1:20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</row>
    <row r="696" spans="1:20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</row>
    <row r="697" spans="1:20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</row>
    <row r="698" spans="1:20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</row>
    <row r="699" spans="1:20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</row>
    <row r="700" spans="1:20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</row>
    <row r="701" spans="1:20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</row>
    <row r="702" spans="1:20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</row>
    <row r="703" spans="1:20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</row>
    <row r="704" spans="1:20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</row>
    <row r="705" spans="1:20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</row>
    <row r="706" spans="1:20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</row>
    <row r="707" spans="1:20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</row>
    <row r="708" spans="1:20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</row>
    <row r="709" spans="1:20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</row>
    <row r="710" spans="1:20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</row>
    <row r="711" spans="1:20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</row>
    <row r="712" spans="1:20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</row>
    <row r="713" spans="1:20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</row>
    <row r="714" spans="1:20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</row>
    <row r="715" spans="1:20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</row>
    <row r="716" spans="1:20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</row>
    <row r="717" spans="1:20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</row>
    <row r="718" spans="1:20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</row>
    <row r="719" spans="1:20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</row>
    <row r="720" spans="1:20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</row>
    <row r="721" spans="1:20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</row>
    <row r="722" spans="1:20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</row>
    <row r="723" spans="1:20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</row>
    <row r="724" spans="1:20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</row>
    <row r="725" spans="1:20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</row>
    <row r="726" spans="1:20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</row>
    <row r="727" spans="1:20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</row>
    <row r="728" spans="1:20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</row>
    <row r="729" spans="1:20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</row>
    <row r="730" spans="1:20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</row>
    <row r="731" spans="1:20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</row>
    <row r="732" spans="1:20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</row>
    <row r="733" spans="1:20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</row>
    <row r="734" spans="1:20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</row>
    <row r="735" spans="1:20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</row>
    <row r="736" spans="1:20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</row>
    <row r="737" spans="1:20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</row>
    <row r="738" spans="1:20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</row>
    <row r="739" spans="1:20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</row>
    <row r="740" spans="1:20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</row>
    <row r="741" spans="1:20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</row>
    <row r="742" spans="1:20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</row>
    <row r="743" spans="1:20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</row>
    <row r="744" spans="1:20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</row>
    <row r="745" spans="1:20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</row>
    <row r="746" spans="1:20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</row>
    <row r="747" spans="1:20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</row>
    <row r="748" spans="1:20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</row>
    <row r="749" spans="1:20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</row>
    <row r="750" spans="1:20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</row>
    <row r="751" spans="1:20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</row>
    <row r="752" spans="1:20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</row>
    <row r="753" spans="1:20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</row>
    <row r="754" spans="1:20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</row>
    <row r="755" spans="1:20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</row>
    <row r="756" spans="1:20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</row>
    <row r="757" spans="1:20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</row>
    <row r="758" spans="1:20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</row>
    <row r="759" spans="1:20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</row>
    <row r="760" spans="1:20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</row>
    <row r="761" spans="1:20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</row>
    <row r="762" spans="1:20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</row>
    <row r="763" spans="1:20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</row>
    <row r="764" spans="1:20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</row>
    <row r="765" spans="1:20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</row>
    <row r="766" spans="1:20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</row>
    <row r="767" spans="1:20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</row>
    <row r="768" spans="1:20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</row>
    <row r="769" spans="1:20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</row>
    <row r="770" spans="1:20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</row>
    <row r="771" spans="1:20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</row>
    <row r="772" spans="1:20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</row>
    <row r="773" spans="1:20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</row>
    <row r="774" spans="1:20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</row>
    <row r="775" spans="1:20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</row>
    <row r="776" spans="1:20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</row>
    <row r="777" spans="1:20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</row>
    <row r="778" spans="1:20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</row>
    <row r="779" spans="1:20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</row>
    <row r="780" spans="1:20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</row>
    <row r="781" spans="1:20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</row>
    <row r="782" spans="1:20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</row>
    <row r="783" spans="1:20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</row>
    <row r="784" spans="1:20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</row>
    <row r="785" spans="1:20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</row>
    <row r="786" spans="1:20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</row>
    <row r="787" spans="1:20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</row>
    <row r="788" spans="1:20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</row>
    <row r="789" spans="1:20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</row>
    <row r="790" spans="1:20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</row>
    <row r="791" spans="1:20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</row>
    <row r="792" spans="1:20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</row>
    <row r="793" spans="1:20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</row>
    <row r="794" spans="1:20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</row>
    <row r="795" spans="1:20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</row>
    <row r="796" spans="1:20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</row>
    <row r="797" spans="1:20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</row>
    <row r="798" spans="1:20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</row>
    <row r="799" spans="1:20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</row>
    <row r="800" spans="1:20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</row>
    <row r="801" spans="1:20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</row>
    <row r="802" spans="1:20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</row>
    <row r="803" spans="1:20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</row>
    <row r="804" spans="1:20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</row>
    <row r="805" spans="1:20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</row>
    <row r="806" spans="1:20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</row>
    <row r="807" spans="1:20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</row>
    <row r="808" spans="1:20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</row>
    <row r="809" spans="1:20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</row>
    <row r="810" spans="1:20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</row>
    <row r="811" spans="1:20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</row>
    <row r="812" spans="1:20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</row>
    <row r="813" spans="1:20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</row>
    <row r="814" spans="1:20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</row>
    <row r="815" spans="1:20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</row>
    <row r="816" spans="1:20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</row>
    <row r="817" spans="1:20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</row>
    <row r="818" spans="1:20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</row>
    <row r="819" spans="1:20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</row>
    <row r="820" spans="1:20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</row>
    <row r="821" spans="1:20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</row>
    <row r="822" spans="1:20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</row>
    <row r="823" spans="1:20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</row>
    <row r="824" spans="1:20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</row>
    <row r="825" spans="1:20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</row>
    <row r="826" spans="1:20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</row>
    <row r="827" spans="1:20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</row>
    <row r="828" spans="1:20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</row>
    <row r="829" spans="1:20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</row>
    <row r="830" spans="1:20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</row>
    <row r="831" spans="1:20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</row>
    <row r="832" spans="1:20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</row>
    <row r="833" spans="1:20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</row>
    <row r="834" spans="1:20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</row>
    <row r="835" spans="1:20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</row>
    <row r="836" spans="1:20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</row>
    <row r="837" spans="1:20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</row>
    <row r="838" spans="1:20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</row>
    <row r="839" spans="1:20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</row>
    <row r="840" spans="1:20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</row>
    <row r="841" spans="1:20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</row>
    <row r="842" spans="1:20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</row>
    <row r="843" spans="1:20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</row>
    <row r="844" spans="1:20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</row>
    <row r="845" spans="1:20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</row>
    <row r="846" spans="1:20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</row>
    <row r="847" spans="1:20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</row>
    <row r="848" spans="1:20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</row>
    <row r="849" spans="1:20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</row>
    <row r="850" spans="1:20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</row>
    <row r="851" spans="1:20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</row>
    <row r="852" spans="1:20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</row>
    <row r="853" spans="1:20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</row>
    <row r="854" spans="1:20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</row>
    <row r="855" spans="1:20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</row>
    <row r="856" spans="1:20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</row>
    <row r="857" spans="1:20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</row>
    <row r="858" spans="1:20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</row>
    <row r="859" spans="1:20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</row>
    <row r="860" spans="1:20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</row>
    <row r="861" spans="1:20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</row>
    <row r="862" spans="1:20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</row>
    <row r="863" spans="1:20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</row>
    <row r="864" spans="1:20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</row>
    <row r="865" spans="1:20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</row>
    <row r="866" spans="1:20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</row>
    <row r="867" spans="1:20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</row>
    <row r="868" spans="1:20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</row>
    <row r="869" spans="1:20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</row>
    <row r="870" spans="1:20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</row>
    <row r="871" spans="1:20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</row>
    <row r="872" spans="1:20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</row>
    <row r="873" spans="1:20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</row>
    <row r="874" spans="1:20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</row>
    <row r="875" spans="1:20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</row>
    <row r="876" spans="1:20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</row>
    <row r="877" spans="1:20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</row>
    <row r="878" spans="1:20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</row>
    <row r="879" spans="1:20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</row>
    <row r="880" spans="1:20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</row>
    <row r="881" spans="1:20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</row>
    <row r="882" spans="1:20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</row>
    <row r="883" spans="1:20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</row>
    <row r="884" spans="1:20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</row>
    <row r="885" spans="1:20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</row>
    <row r="886" spans="1:20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</row>
    <row r="887" spans="1:20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</row>
    <row r="888" spans="1:20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</row>
    <row r="889" spans="1:20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</row>
    <row r="890" spans="1:20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</row>
    <row r="891" spans="1:20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</row>
    <row r="892" spans="1:20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</row>
    <row r="893" spans="1:20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</row>
    <row r="894" spans="1:20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</row>
    <row r="895" spans="1:20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</row>
    <row r="896" spans="1:20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</row>
    <row r="897" spans="1:20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</row>
    <row r="898" spans="1:20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</row>
    <row r="899" spans="1:20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</row>
    <row r="900" spans="1:20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</row>
    <row r="901" spans="1:20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</row>
    <row r="902" spans="1:20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</row>
    <row r="903" spans="1:20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</row>
    <row r="904" spans="1:20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</row>
    <row r="905" spans="1:20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</row>
    <row r="906" spans="1:20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</row>
    <row r="907" spans="1:20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</row>
    <row r="908" spans="1:20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</row>
    <row r="909" spans="1:20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</row>
    <row r="910" spans="1:20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</row>
    <row r="911" spans="1:20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</row>
    <row r="912" spans="1:20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</row>
    <row r="913" spans="1:20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</row>
    <row r="914" spans="1:20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</row>
    <row r="915" spans="1:20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</row>
    <row r="916" spans="1:20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</row>
    <row r="917" spans="1:20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</row>
    <row r="918" spans="1:20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</row>
    <row r="919" spans="1:20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</row>
    <row r="920" spans="1:20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</row>
    <row r="921" spans="1:20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</row>
    <row r="922" spans="1:20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</row>
    <row r="923" spans="1:20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</row>
    <row r="924" spans="1:20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</row>
    <row r="925" spans="1:20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</row>
    <row r="926" spans="1:20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</row>
    <row r="927" spans="1:20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</row>
    <row r="928" spans="1:20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</row>
    <row r="929" spans="1:20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</row>
    <row r="930" spans="1:20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</row>
    <row r="931" spans="1:20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</row>
    <row r="932" spans="1:20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</row>
    <row r="933" spans="1:20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</row>
    <row r="934" spans="1:20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</row>
    <row r="935" spans="1:20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</row>
    <row r="936" spans="1:20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</row>
    <row r="937" spans="1:20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</row>
    <row r="938" spans="1:20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</row>
    <row r="939" spans="1:20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</row>
    <row r="940" spans="1:20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</row>
    <row r="941" spans="1:20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</row>
    <row r="942" spans="1:20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</row>
    <row r="943" spans="1:20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</row>
    <row r="944" spans="1:20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</row>
    <row r="945" spans="1:20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</row>
    <row r="946" spans="1:20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</row>
    <row r="947" spans="1:20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</row>
    <row r="948" spans="1:20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</row>
    <row r="949" spans="1:20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</row>
    <row r="950" spans="1:20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</row>
    <row r="951" spans="1:20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</row>
    <row r="952" spans="1:20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</row>
    <row r="953" spans="1:20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</row>
    <row r="954" spans="1:20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</row>
    <row r="955" spans="1:20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</row>
    <row r="956" spans="1:20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</row>
    <row r="957" spans="1:20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</row>
    <row r="958" spans="1:20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D161"/>
  <sheetViews>
    <sheetView zoomScale="80" zoomScaleNormal="80" workbookViewId="0">
      <selection activeCell="V15" sqref="V15:W20"/>
    </sheetView>
  </sheetViews>
  <sheetFormatPr baseColWidth="10" defaultRowHeight="15" x14ac:dyDescent="0.25"/>
  <cols>
    <col min="1" max="1" width="18" style="14" bestFit="1" customWidth="1"/>
    <col min="2" max="2" width="7" style="14" bestFit="1" customWidth="1"/>
    <col min="3" max="3" width="6" style="14" bestFit="1" customWidth="1"/>
    <col min="4" max="4" width="27.140625" style="14" bestFit="1" customWidth="1"/>
    <col min="5" max="5" width="17.42578125" style="14" bestFit="1" customWidth="1"/>
    <col min="6" max="6" width="10.28515625" style="14" bestFit="1" customWidth="1"/>
    <col min="7" max="7" width="12.28515625" style="14" bestFit="1" customWidth="1"/>
    <col min="8" max="8" width="4.140625" style="14" customWidth="1"/>
    <col min="9" max="9" width="18" style="14" bestFit="1" customWidth="1"/>
    <col min="10" max="10" width="12.7109375" style="14" bestFit="1" customWidth="1"/>
    <col min="11" max="11" width="11.7109375" style="14" bestFit="1" customWidth="1"/>
    <col min="12" max="12" width="23.85546875" style="14" bestFit="1" customWidth="1"/>
    <col min="13" max="13" width="17.42578125" style="14" bestFit="1" customWidth="1"/>
    <col min="14" max="14" width="12.28515625" style="14" bestFit="1" customWidth="1"/>
    <col min="15" max="15" width="18" style="14" bestFit="1" customWidth="1"/>
    <col min="16" max="16" width="5.42578125" style="14" customWidth="1"/>
    <col min="17" max="17" width="18" style="14" bestFit="1" customWidth="1"/>
    <col min="18" max="18" width="12.7109375" style="14" bestFit="1" customWidth="1"/>
    <col min="19" max="19" width="11.7109375" style="14" bestFit="1" customWidth="1"/>
    <col min="20" max="20" width="18.85546875" style="14" bestFit="1" customWidth="1"/>
    <col min="21" max="21" width="17.42578125" style="14" bestFit="1" customWidth="1"/>
    <col min="22" max="22" width="12.28515625" style="14" bestFit="1" customWidth="1"/>
    <col min="23" max="23" width="18" style="14" bestFit="1" customWidth="1"/>
    <col min="24" max="28" width="15.5703125" style="14" customWidth="1"/>
    <col min="29" max="29" width="17.42578125" style="14" bestFit="1" customWidth="1"/>
    <col min="30" max="30" width="16.5703125" style="14" customWidth="1"/>
    <col min="31" max="31" width="9.7109375" style="14" customWidth="1"/>
    <col min="32" max="32" width="18" style="14" bestFit="1" customWidth="1"/>
    <col min="33" max="33" width="7" style="14" bestFit="1" customWidth="1"/>
    <col min="34" max="34" width="19.42578125" style="14" bestFit="1" customWidth="1"/>
    <col min="35" max="35" width="12.7109375" style="14" bestFit="1" customWidth="1"/>
    <col min="36" max="36" width="7.7109375" style="14" bestFit="1" customWidth="1"/>
    <col min="37" max="37" width="13.42578125" style="14" bestFit="1" customWidth="1"/>
    <col min="38" max="38" width="22.28515625" style="14" bestFit="1" customWidth="1"/>
    <col min="39" max="39" width="12.7109375" style="14" bestFit="1" customWidth="1"/>
    <col min="40" max="40" width="19.140625" style="14" customWidth="1"/>
    <col min="41" max="41" width="17.42578125" style="14" bestFit="1" customWidth="1"/>
    <col min="42" max="43" width="13.42578125" style="14" bestFit="1" customWidth="1"/>
    <col min="44" max="44" width="17.42578125" style="14" bestFit="1" customWidth="1"/>
    <col min="45" max="56" width="12.140625" style="14" customWidth="1"/>
    <col min="57" max="16384" width="11.42578125" style="14"/>
  </cols>
  <sheetData>
    <row r="1" spans="1:56" x14ac:dyDescent="0.25">
      <c r="A1" s="63" t="s">
        <v>176</v>
      </c>
      <c r="B1" s="63">
        <v>1</v>
      </c>
      <c r="I1" s="25" t="s">
        <v>176</v>
      </c>
      <c r="J1" s="25">
        <v>1</v>
      </c>
      <c r="Q1" s="29" t="s">
        <v>176</v>
      </c>
      <c r="R1" s="29">
        <v>1</v>
      </c>
      <c r="X1" s="14" t="s">
        <v>23</v>
      </c>
      <c r="Y1" s="14" t="s">
        <v>23</v>
      </c>
      <c r="AF1" s="25" t="s">
        <v>176</v>
      </c>
      <c r="AG1" s="25">
        <v>1</v>
      </c>
      <c r="AL1" s="25" t="s">
        <v>176</v>
      </c>
      <c r="AM1" s="25">
        <v>1</v>
      </c>
    </row>
    <row r="2" spans="1:56" ht="21.75" customHeight="1" x14ac:dyDescent="0.25">
      <c r="A2" s="63" t="s">
        <v>178</v>
      </c>
      <c r="B2" s="63">
        <v>1</v>
      </c>
      <c r="I2" s="25" t="s">
        <v>178</v>
      </c>
      <c r="J2" s="25">
        <v>1</v>
      </c>
      <c r="Q2" s="29" t="s">
        <v>178</v>
      </c>
      <c r="R2" s="29">
        <v>1</v>
      </c>
      <c r="X2" s="14">
        <v>2</v>
      </c>
      <c r="Y2" s="14">
        <v>2</v>
      </c>
      <c r="AF2" s="25" t="s">
        <v>178</v>
      </c>
      <c r="AG2" s="25">
        <f>1</f>
        <v>1</v>
      </c>
      <c r="AL2" s="25" t="s">
        <v>178</v>
      </c>
      <c r="AM2" s="25">
        <f>1</f>
        <v>1</v>
      </c>
      <c r="AR2" s="25"/>
      <c r="AS2" s="25">
        <v>1</v>
      </c>
      <c r="AT2" s="25">
        <v>2</v>
      </c>
      <c r="AU2" s="25">
        <v>3</v>
      </c>
      <c r="AV2" s="25">
        <v>4</v>
      </c>
      <c r="AW2" s="25">
        <v>5</v>
      </c>
      <c r="AX2" s="25">
        <v>6</v>
      </c>
      <c r="AY2" s="25">
        <v>7</v>
      </c>
      <c r="AZ2" s="25">
        <v>8</v>
      </c>
      <c r="BA2" s="25">
        <v>9</v>
      </c>
      <c r="BB2" s="25">
        <v>10</v>
      </c>
      <c r="BC2" s="25">
        <v>11</v>
      </c>
      <c r="BD2" s="25">
        <v>12</v>
      </c>
    </row>
    <row r="3" spans="1:56" ht="21.75" customHeight="1" x14ac:dyDescent="0.25">
      <c r="A3" s="63" t="s">
        <v>177</v>
      </c>
      <c r="B3" s="63">
        <f>COUNT(opérations[INDEX])</f>
        <v>146</v>
      </c>
      <c r="I3" s="25" t="s">
        <v>177</v>
      </c>
      <c r="J3" s="25">
        <f>COUNT(résultat[INDEX])</f>
        <v>53</v>
      </c>
      <c r="Q3" s="29" t="s">
        <v>177</v>
      </c>
      <c r="R3" s="29">
        <f>COUNT(TABLEAUEPARGNE[INDEX])</f>
        <v>6</v>
      </c>
      <c r="X3" s="26">
        <f>DATE(1900,$X$2,1)</f>
        <v>32</v>
      </c>
      <c r="AF3" s="25" t="s">
        <v>177</v>
      </c>
      <c r="AG3" s="25">
        <f>COUNT(COMPTECOURANT[INDEX])</f>
        <v>0</v>
      </c>
      <c r="AL3" s="25" t="s">
        <v>177</v>
      </c>
      <c r="AM3" s="25">
        <f>COUNT(COMPTEEPARGNE[INDEX])</f>
        <v>0</v>
      </c>
      <c r="AR3" s="25" t="s">
        <v>4</v>
      </c>
      <c r="AS3" s="27">
        <f>SUMIFS(opérations[VERSEMENT],opérations[MOIS],AS$2,opérations[CATEGORIE],$AR3)</f>
        <v>0</v>
      </c>
      <c r="AT3" s="27">
        <f>SUMIFS(opérations[VERSEMENT],opérations[MOIS],AT$2,opérations[CATEGORIE],$AR3)</f>
        <v>0</v>
      </c>
      <c r="AU3" s="27">
        <f>SUMIFS(opérations[VERSEMENT],opérations[MOIS],AU$2,opérations[CATEGORIE],$AR3)</f>
        <v>0</v>
      </c>
      <c r="AV3" s="27">
        <f>SUMIFS(opérations[VERSEMENT],opérations[MOIS],AV$2,opérations[CATEGORIE],$AR3)</f>
        <v>0</v>
      </c>
      <c r="AW3" s="27">
        <f>SUMIFS(opérations[VERSEMENT],opérations[MOIS],AW$2,opérations[CATEGORIE],$AR3)</f>
        <v>0</v>
      </c>
      <c r="AX3" s="27">
        <f>SUMIFS(opérations[VERSEMENT],opérations[MOIS],AX$2,opérations[CATEGORIE],$AR3)</f>
        <v>0</v>
      </c>
      <c r="AY3" s="27">
        <f>SUMIFS(opérations[VERSEMENT],opérations[MOIS],AY$2,opérations[CATEGORIE],$AR3)</f>
        <v>0</v>
      </c>
      <c r="AZ3" s="27">
        <f>SUMIFS(opérations[VERSEMENT],opérations[MOIS],AZ$2,opérations[CATEGORIE],$AR3)</f>
        <v>0</v>
      </c>
      <c r="BA3" s="27">
        <f>SUMIFS(opérations[VERSEMENT],opérations[MOIS],BA$2,opérations[CATEGORIE],$AR3)</f>
        <v>0</v>
      </c>
      <c r="BB3" s="27">
        <f>SUMIFS(opérations[VERSEMENT],opérations[MOIS],BB$2,opérations[CATEGORIE],$AR3)</f>
        <v>0</v>
      </c>
      <c r="BC3" s="27">
        <f>SUMIFS(opérations[VERSEMENT],opérations[MOIS],BC$2,opérations[CATEGORIE],$AR3)</f>
        <v>0</v>
      </c>
      <c r="BD3" s="27">
        <f>SUMIFS(opérations[VERSEMENT],opérations[MOIS],BD$2,opérations[CATEGORIE],$AR3)</f>
        <v>0</v>
      </c>
    </row>
    <row r="4" spans="1:56" ht="21.75" customHeight="1" x14ac:dyDescent="0.25">
      <c r="AF4" s="28"/>
      <c r="AG4" s="28"/>
      <c r="AL4" s="28"/>
      <c r="AM4" s="28"/>
      <c r="AR4" s="25" t="s">
        <v>5</v>
      </c>
      <c r="AS4" s="27">
        <f>SUMIFS(opérations[DEBIT],opérations[MOIS],AS$2,opérations[CATEGORIE],$AR4)</f>
        <v>0</v>
      </c>
      <c r="AT4" s="27">
        <f>SUMIFS(opérations[DEBIT],opérations[MOIS],AT$2,opérations[CATEGORIE],$AR4)</f>
        <v>0</v>
      </c>
      <c r="AU4" s="27">
        <f>SUMIFS(opérations[DEBIT],opérations[MOIS],AU$2,opérations[CATEGORIE],$AR4)</f>
        <v>0</v>
      </c>
      <c r="AV4" s="27">
        <f>SUMIFS(opérations[DEBIT],opérations[MOIS],AV$2,opérations[CATEGORIE],$AR4)</f>
        <v>0</v>
      </c>
      <c r="AW4" s="27">
        <f>SUMIFS(opérations[DEBIT],opérations[MOIS],AW$2,opérations[CATEGORIE],$AR4)</f>
        <v>0</v>
      </c>
      <c r="AX4" s="27">
        <f>SUMIFS(opérations[DEBIT],opérations[MOIS],AX$2,opérations[CATEGORIE],$AR4)</f>
        <v>0</v>
      </c>
      <c r="AY4" s="27">
        <f>SUMIFS(opérations[DEBIT],opérations[MOIS],AY$2,opérations[CATEGORIE],$AR4)</f>
        <v>0</v>
      </c>
      <c r="AZ4" s="27">
        <f>SUMIFS(opérations[DEBIT],opérations[MOIS],AZ$2,opérations[CATEGORIE],$AR4)</f>
        <v>0</v>
      </c>
      <c r="BA4" s="27">
        <f>SUMIFS(opérations[DEBIT],opérations[MOIS],BA$2,opérations[CATEGORIE],$AR4)</f>
        <v>0</v>
      </c>
      <c r="BB4" s="27">
        <f>SUMIFS(opérations[DEBIT],opérations[MOIS],BB$2,opérations[CATEGORIE],$AR4)</f>
        <v>0</v>
      </c>
      <c r="BC4" s="27">
        <f>SUMIFS(opérations[DEBIT],opérations[MOIS],BC$2,opérations[CATEGORIE],$AR4)</f>
        <v>0</v>
      </c>
      <c r="BD4" s="27">
        <f>SUMIFS(opérations[DEBIT],opérations[MOIS],BD$2,opérations[CATEGORIE],$AR4)</f>
        <v>0</v>
      </c>
    </row>
    <row r="5" spans="1:56" ht="21.75" customHeight="1" x14ac:dyDescent="0.25">
      <c r="A5" s="77" t="s">
        <v>188</v>
      </c>
      <c r="B5" s="77"/>
      <c r="C5" s="77"/>
      <c r="D5" s="77"/>
      <c r="E5" s="77"/>
      <c r="F5" s="77"/>
      <c r="G5" s="77"/>
      <c r="I5" s="77" t="s">
        <v>190</v>
      </c>
      <c r="J5" s="77"/>
      <c r="K5" s="77"/>
      <c r="L5" s="77"/>
      <c r="M5" s="77"/>
      <c r="N5" s="77"/>
      <c r="O5" s="77"/>
      <c r="Q5" s="77" t="s">
        <v>189</v>
      </c>
      <c r="R5" s="77"/>
      <c r="S5" s="77"/>
      <c r="T5" s="77"/>
      <c r="U5" s="77"/>
      <c r="V5" s="77"/>
      <c r="W5" s="77"/>
      <c r="AF5" s="77" t="s">
        <v>186</v>
      </c>
      <c r="AG5" s="77"/>
      <c r="AH5" s="77"/>
      <c r="AI5" s="77"/>
      <c r="AJ5" s="77"/>
      <c r="AL5" s="77" t="s">
        <v>187</v>
      </c>
      <c r="AM5" s="77"/>
      <c r="AN5" s="77"/>
      <c r="AO5" s="77"/>
      <c r="AP5" s="77"/>
      <c r="AR5" s="25" t="s">
        <v>6</v>
      </c>
      <c r="AS5" s="27">
        <f>SUMIFS(opérations[DEBIT],opérations[MOIS],AS$2,opérations[CATEGORIE],$AR5)</f>
        <v>0</v>
      </c>
      <c r="AT5" s="27">
        <f>SUMIFS(opérations[DEBIT],opérations[MOIS],AT$2,opérations[CATEGORIE],$AR5)</f>
        <v>0</v>
      </c>
      <c r="AU5" s="27">
        <f>SUMIFS(opérations[DEBIT],opérations[MOIS],AU$2,opérations[CATEGORIE],$AR5)</f>
        <v>0</v>
      </c>
      <c r="AV5" s="27">
        <f>SUMIFS(opérations[DEBIT],opérations[MOIS],AV$2,opérations[CATEGORIE],$AR5)</f>
        <v>0</v>
      </c>
      <c r="AW5" s="27">
        <f>SUMIFS(opérations[DEBIT],opérations[MOIS],AW$2,opérations[CATEGORIE],$AR5)</f>
        <v>0</v>
      </c>
      <c r="AX5" s="27">
        <f>SUMIFS(opérations[DEBIT],opérations[MOIS],AX$2,opérations[CATEGORIE],$AR5)</f>
        <v>0</v>
      </c>
      <c r="AY5" s="27">
        <f>SUMIFS(opérations[DEBIT],opérations[MOIS],AY$2,opérations[CATEGORIE],$AR5)</f>
        <v>0</v>
      </c>
      <c r="AZ5" s="27">
        <f>SUMIFS(opérations[DEBIT],opérations[MOIS],AZ$2,opérations[CATEGORIE],$AR5)</f>
        <v>0</v>
      </c>
      <c r="BA5" s="27">
        <f>SUMIFS(opérations[DEBIT],opérations[MOIS],BA$2,opérations[CATEGORIE],$AR5)</f>
        <v>0</v>
      </c>
      <c r="BB5" s="27">
        <f>SUMIFS(opérations[DEBIT],opérations[MOIS],BB$2,opérations[CATEGORIE],$AR5)</f>
        <v>0</v>
      </c>
      <c r="BC5" s="27">
        <f>SUMIFS(opérations[DEBIT],opérations[MOIS],BC$2,opérations[CATEGORIE],$AR5)</f>
        <v>0</v>
      </c>
      <c r="BD5" s="27">
        <f>SUMIFS(opérations[DEBIT],opérations[MOIS],BD$2,opérations[CATEGORIE],$AR5)</f>
        <v>0</v>
      </c>
    </row>
    <row r="6" spans="1:56" ht="21.75" customHeight="1" x14ac:dyDescent="0.25">
      <c r="A6" s="30">
        <f>IF(B6="","",INDEX(opérations[],$B6,1))</f>
        <v>43101</v>
      </c>
      <c r="B6" s="63">
        <f>B1</f>
        <v>1</v>
      </c>
      <c r="C6" s="31">
        <f>IF(B6="","",INDEX(opérations[],$B6,3))</f>
        <v>1</v>
      </c>
      <c r="D6" s="31" t="str">
        <f>IF(B6="","",INDEX(opérations[],$B6,4))</f>
        <v>Salaire</v>
      </c>
      <c r="E6" s="31" t="str">
        <f>IF(B6="","",INDEX(opérations[],$B6,5))</f>
        <v>SALAIRE</v>
      </c>
      <c r="F6" s="27">
        <f>IF(B6="","",INDEX(opérations[],$B6,6))</f>
        <v>0</v>
      </c>
      <c r="G6" s="27">
        <f>IF(B6="","",INDEX(opérations[],$B6,7))</f>
        <v>0</v>
      </c>
      <c r="I6" s="30">
        <f>IF(J6="","",INDEX(résultat[],$J6,1))</f>
        <v>43522</v>
      </c>
      <c r="J6" s="63">
        <f>J1</f>
        <v>1</v>
      </c>
      <c r="K6" s="31">
        <f>IF(J6="","",INDEX(résultat[],$J6,3))</f>
        <v>2</v>
      </c>
      <c r="L6" s="31" t="str">
        <f>IF(J6="","",INDEX(résultat[],$J6,4))</f>
        <v>Essence</v>
      </c>
      <c r="M6" s="31" t="str">
        <f>IF(J6="","",INDEX(résultat[],$J6,5))</f>
        <v>TRANSPORT</v>
      </c>
      <c r="N6" s="27">
        <f>IF(J6="","",INDEX(résultat[],$J6,6))</f>
        <v>0</v>
      </c>
      <c r="O6" s="27">
        <f>IF(J6="","",INDEX(résultat[],$J6,7))</f>
        <v>0</v>
      </c>
      <c r="Q6" s="30">
        <f>IF(R6="","",INDEX(TABLEAUEPARGNE[],$R6,1))</f>
        <v>43534</v>
      </c>
      <c r="R6" s="63">
        <f>R1</f>
        <v>1</v>
      </c>
      <c r="S6" s="31">
        <f>IF(R6="","",INDEX(TABLEAUEPARGNE[],$R6,3))</f>
        <v>3</v>
      </c>
      <c r="T6" s="31" t="str">
        <f>IF(R6="","",INDEX(TABLEAUEPARGNE[],$R6,4))</f>
        <v>Virement LJMO +</v>
      </c>
      <c r="U6" s="31" t="str">
        <f>IF(R6="","",INDEX(TABLEAUEPARGNE[],$R6,5))</f>
        <v>RETRAIT LJMO</v>
      </c>
      <c r="V6" s="27">
        <f>IF(R6="","",INDEX(TABLEAUEPARGNE[],$R6,6))</f>
        <v>0</v>
      </c>
      <c r="W6" s="27">
        <f>IF(R6="","",INDEX(TABLEAUEPARGNE[],$R6,7))</f>
        <v>0</v>
      </c>
      <c r="AF6" s="57" t="str">
        <f>IF(AG6="","",INDEX(COMPTECOURANT[],$AG6,1))</f>
        <v/>
      </c>
      <c r="AG6" s="57" t="str">
        <f>IF(AG3=0,"",AG1)</f>
        <v/>
      </c>
      <c r="AH6" s="57" t="str">
        <f>IF(AG6="","",INDEX(COMPTECOURANT[],$AG6,3))</f>
        <v/>
      </c>
      <c r="AI6" s="73" t="str">
        <f>IF(AG6="","",INDEX(COMPTECOURANT[],$AG6,4))</f>
        <v/>
      </c>
      <c r="AJ6" s="57" t="str">
        <f>IF(AG6="","",INDEX(COMPTECOURANT[],$AG6,5))</f>
        <v/>
      </c>
      <c r="AL6" s="57" t="str">
        <f>IF(AM6="","",INDEX(COMPTEEPARGNE[],$AM6,1))</f>
        <v/>
      </c>
      <c r="AM6" s="57" t="str">
        <f>IF(AM3=0,"",AM1)</f>
        <v/>
      </c>
      <c r="AN6" s="57" t="str">
        <f>IF(AM6="","",INDEX(COMPTEEPARGNE[],$AM6,3))</f>
        <v/>
      </c>
      <c r="AO6" s="73" t="str">
        <f>IF(AM6="","",INDEX(COMPTEEPARGNE[],$AM6,4))</f>
        <v/>
      </c>
      <c r="AP6" s="57" t="str">
        <f>IF(AM6="","",INDEX(COMPTEEPARGNE[],$AM6,5))</f>
        <v/>
      </c>
      <c r="AR6" s="25" t="s">
        <v>7</v>
      </c>
      <c r="AS6" s="27">
        <f>SUMIFS(opérations[DEBIT],opérations[MOIS],AS$2,opérations[CATEGORIE],$AR6)</f>
        <v>0</v>
      </c>
      <c r="AT6" s="27">
        <f>SUMIFS(opérations[DEBIT],opérations[MOIS],AT$2,opérations[CATEGORIE],$AR6)</f>
        <v>0</v>
      </c>
      <c r="AU6" s="27">
        <f>SUMIFS(opérations[DEBIT],opérations[MOIS],AU$2,opérations[CATEGORIE],$AR6)</f>
        <v>0</v>
      </c>
      <c r="AV6" s="27">
        <f>SUMIFS(opérations[DEBIT],opérations[MOIS],AV$2,opérations[CATEGORIE],$AR6)</f>
        <v>0</v>
      </c>
      <c r="AW6" s="27">
        <f>SUMIFS(opérations[DEBIT],opérations[MOIS],AW$2,opérations[CATEGORIE],$AR6)</f>
        <v>0</v>
      </c>
      <c r="AX6" s="27">
        <f>SUMIFS(opérations[DEBIT],opérations[MOIS],AX$2,opérations[CATEGORIE],$AR6)</f>
        <v>0</v>
      </c>
      <c r="AY6" s="27">
        <f>SUMIFS(opérations[DEBIT],opérations[MOIS],AY$2,opérations[CATEGORIE],$AR6)</f>
        <v>0</v>
      </c>
      <c r="AZ6" s="27">
        <f>SUMIFS(opérations[DEBIT],opérations[MOIS],AZ$2,opérations[CATEGORIE],$AR6)</f>
        <v>0</v>
      </c>
      <c r="BA6" s="27">
        <f>SUMIFS(opérations[DEBIT],opérations[MOIS],BA$2,opérations[CATEGORIE],$AR6)</f>
        <v>0</v>
      </c>
      <c r="BB6" s="27">
        <f>SUMIFS(opérations[DEBIT],opérations[MOIS],BB$2,opérations[CATEGORIE],$AR6)</f>
        <v>0</v>
      </c>
      <c r="BC6" s="27">
        <f>SUMIFS(opérations[DEBIT],opérations[MOIS],BC$2,opérations[CATEGORIE],$AR6)</f>
        <v>0</v>
      </c>
      <c r="BD6" s="27">
        <f>SUMIFS(opérations[DEBIT],opérations[MOIS],BD$2,opérations[CATEGORIE],$AR6)</f>
        <v>0</v>
      </c>
    </row>
    <row r="7" spans="1:56" ht="21.75" customHeight="1" x14ac:dyDescent="0.25">
      <c r="A7" s="30">
        <f>IF(B7="","",INDEX(opérations[],$B7,1))</f>
        <v>43467</v>
      </c>
      <c r="B7" s="63">
        <f>IF(B6="","",IF(B6=$B$3,"",B6+1))</f>
        <v>2</v>
      </c>
      <c r="C7" s="31">
        <f>IF(B7="","",INDEX(opérations[],$B7,3))</f>
        <v>1</v>
      </c>
      <c r="D7" s="31" t="str">
        <f>IF(B7="","",INDEX(opérations[],$B7,4))</f>
        <v>Placement LJMO</v>
      </c>
      <c r="E7" s="31" t="str">
        <f>IF(B7="","",INDEX(opérations[],$B7,5))</f>
        <v>PLACEMENT LJMO</v>
      </c>
      <c r="F7" s="27">
        <f>IF(B7="","",INDEX(opérations[],$B7,6))</f>
        <v>0</v>
      </c>
      <c r="G7" s="27">
        <f>IF(B7="","",INDEX(opérations[],$B7,7))</f>
        <v>0</v>
      </c>
      <c r="I7" s="30">
        <f>IF(J7="","",INDEX(résultat[],$J7,1))</f>
        <v>43522</v>
      </c>
      <c r="J7" s="63">
        <f>IF(J6="","",IF(J6=$J$3,"",J6+1))</f>
        <v>2</v>
      </c>
      <c r="K7" s="31">
        <f>IF(J7="","",INDEX(résultat[],$J7,3))</f>
        <v>2</v>
      </c>
      <c r="L7" s="31" t="str">
        <f>IF(J7="","",INDEX(résultat[],$J7,4))</f>
        <v>Steam</v>
      </c>
      <c r="M7" s="31" t="str">
        <f>IF(J7="","",INDEX(résultat[],$J7,5))</f>
        <v>LOISIRS</v>
      </c>
      <c r="N7" s="27">
        <f>IF(J7="","",INDEX(résultat[],$J7,6))</f>
        <v>0</v>
      </c>
      <c r="O7" s="27">
        <f>IF(J7="","",INDEX(résultat[],$J7,7))</f>
        <v>0</v>
      </c>
      <c r="Q7" s="30">
        <f>IF(R7="","",INDEX(TABLEAUEPARGNE[],$R7,1))</f>
        <v>43525</v>
      </c>
      <c r="R7" s="63">
        <f>IF(R6="","",IF(R6=$R$3,"",R6+1))</f>
        <v>2</v>
      </c>
      <c r="S7" s="31">
        <f>IF(R7="","",INDEX(TABLEAUEPARGNE[],$R7,3))</f>
        <v>3</v>
      </c>
      <c r="T7" s="31" t="str">
        <f>IF(R7="","",INDEX(TABLEAUEPARGNE[],$R7,4))</f>
        <v>Placement LJMO</v>
      </c>
      <c r="U7" s="31" t="str">
        <f>IF(R7="","",INDEX(TABLEAUEPARGNE[],$R7,5))</f>
        <v>PLACEMENT LJMO</v>
      </c>
      <c r="V7" s="27">
        <f>IF(R7="","",INDEX(TABLEAUEPARGNE[],$R7,6))</f>
        <v>0</v>
      </c>
      <c r="W7" s="27">
        <f>IF(R7="","",INDEX(TABLEAUEPARGNE[],$R7,7))</f>
        <v>0</v>
      </c>
      <c r="AF7" s="57" t="str">
        <f>IF(AG7="","",INDEX(COMPTECOURANT[],$AG7,1))</f>
        <v/>
      </c>
      <c r="AG7" s="57" t="str">
        <f>IF(AG6="","",IF(AG6=$AG$3,"",AG6+1))</f>
        <v/>
      </c>
      <c r="AH7" s="57" t="str">
        <f>IF(AG7="","",INDEX(COMPTECOURANT[],$AG7,3))</f>
        <v/>
      </c>
      <c r="AI7" s="73" t="str">
        <f>IF(AG7="","",INDEX(COMPTECOURANT[],$AG7,4))</f>
        <v/>
      </c>
      <c r="AJ7" s="57" t="str">
        <f>IF(AG7="","",INDEX(COMPTECOURANT[],$AG7,5))</f>
        <v/>
      </c>
      <c r="AL7" s="57" t="str">
        <f>IF(AM7="","",INDEX(COMPTEEPARGNE[],$AM7,1))</f>
        <v/>
      </c>
      <c r="AM7" s="57" t="str">
        <f>IF(AM6="","",IF(AM6=$AM$3,"",AM6+1))</f>
        <v/>
      </c>
      <c r="AN7" s="57" t="str">
        <f>IF(AM7="","",INDEX(COMPTEEPARGNE[],$AM7,3))</f>
        <v/>
      </c>
      <c r="AO7" s="73" t="str">
        <f>IF(AM7="","",INDEX(COMPTEEPARGNE[],$AM7,4))</f>
        <v/>
      </c>
      <c r="AP7" s="57" t="str">
        <f>IF(AM7="","",INDEX(COMPTEEPARGNE[],$AM7,5))</f>
        <v/>
      </c>
      <c r="AR7" s="25" t="s">
        <v>28</v>
      </c>
      <c r="AS7" s="27">
        <f>SUMIFS(opérations[DEBIT],opérations[MOIS],AS$2,opérations[CATEGORIE],$AR7)</f>
        <v>0</v>
      </c>
      <c r="AT7" s="27">
        <f>SUMIFS(opérations[DEBIT],opérations[MOIS],AT$2,opérations[CATEGORIE],$AR7)</f>
        <v>0</v>
      </c>
      <c r="AU7" s="27">
        <f>SUMIFS(opérations[DEBIT],opérations[MOIS],AU$2,opérations[CATEGORIE],$AR7)</f>
        <v>0</v>
      </c>
      <c r="AV7" s="27">
        <f>SUMIFS(opérations[DEBIT],opérations[MOIS],AV$2,opérations[CATEGORIE],$AR7)</f>
        <v>0</v>
      </c>
      <c r="AW7" s="27">
        <f>SUMIFS(opérations[DEBIT],opérations[MOIS],AW$2,opérations[CATEGORIE],$AR7)</f>
        <v>0</v>
      </c>
      <c r="AX7" s="27">
        <f>SUMIFS(opérations[DEBIT],opérations[MOIS],AX$2,opérations[CATEGORIE],$AR7)</f>
        <v>0</v>
      </c>
      <c r="AY7" s="27">
        <f>SUMIFS(opérations[DEBIT],opérations[MOIS],AY$2,opérations[CATEGORIE],$AR7)</f>
        <v>0</v>
      </c>
      <c r="AZ7" s="27">
        <f>SUMIFS(opérations[DEBIT],opérations[MOIS],AZ$2,opérations[CATEGORIE],$AR7)</f>
        <v>0</v>
      </c>
      <c r="BA7" s="27">
        <f>SUMIFS(opérations[DEBIT],opérations[MOIS],BA$2,opérations[CATEGORIE],$AR7)</f>
        <v>0</v>
      </c>
      <c r="BB7" s="27">
        <f>SUMIFS(opérations[DEBIT],opérations[MOIS],BB$2,opérations[CATEGORIE],$AR7)</f>
        <v>0</v>
      </c>
      <c r="BC7" s="27">
        <f>SUMIFS(opérations[DEBIT],opérations[MOIS],BC$2,opérations[CATEGORIE],$AR7)</f>
        <v>0</v>
      </c>
      <c r="BD7" s="27">
        <f>SUMIFS(opérations[DEBIT],opérations[MOIS],BD$2,opérations[CATEGORIE],$AR7)</f>
        <v>0</v>
      </c>
    </row>
    <row r="8" spans="1:56" ht="21.75" customHeight="1" x14ac:dyDescent="0.25">
      <c r="A8" s="30">
        <f>IF(B8="","",INDEX(opérations[],$B8,1))</f>
        <v>43467</v>
      </c>
      <c r="B8" s="63">
        <f>IF(B7="","",IF(B7=$B$3,"",B7+1))</f>
        <v>3</v>
      </c>
      <c r="C8" s="31">
        <f>IF(B8="","",INDEX(opérations[],$B8,3))</f>
        <v>1</v>
      </c>
      <c r="D8" s="31" t="str">
        <f>IF(B8="","",INDEX(opérations[],$B8,4))</f>
        <v>O'Tacos</v>
      </c>
      <c r="E8" s="31" t="str">
        <f>IF(B8="","",INDEX(opérations[],$B8,5))</f>
        <v>RESTAURATION</v>
      </c>
      <c r="F8" s="27">
        <f>IF(B8="","",INDEX(opérations[],$B8,6))</f>
        <v>0</v>
      </c>
      <c r="G8" s="27">
        <f>IF(B8="","",INDEX(opérations[],$B8,7))</f>
        <v>0</v>
      </c>
      <c r="I8" s="30">
        <f>IF(J8="","",INDEX(résultat[],$J8,1))</f>
        <v>43521</v>
      </c>
      <c r="J8" s="63">
        <f>IF(J7="","",IF(J7=$J$3,"",J7+1))</f>
        <v>3</v>
      </c>
      <c r="K8" s="31">
        <f>IF(J8="","",INDEX(résultat[],$J8,3))</f>
        <v>2</v>
      </c>
      <c r="L8" s="31" t="str">
        <f>IF(J8="","",INDEX(résultat[],$J8,4))</f>
        <v>Amazon</v>
      </c>
      <c r="M8" s="31" t="str">
        <f>IF(J8="","",INDEX(résultat[],$J8,5))</f>
        <v>DIVERS</v>
      </c>
      <c r="N8" s="27">
        <f>IF(J8="","",INDEX(résultat[],$J8,6))</f>
        <v>0</v>
      </c>
      <c r="O8" s="27">
        <f>IF(J8="","",INDEX(résultat[],$J8,7))</f>
        <v>0</v>
      </c>
      <c r="Q8" s="30">
        <f>IF(R8="","",INDEX(TABLEAUEPARGNE[],$R8,1))</f>
        <v>43502</v>
      </c>
      <c r="R8" s="63">
        <f>IF(R7="","",IF(R7=$R$3,"",R7+1))</f>
        <v>3</v>
      </c>
      <c r="S8" s="31">
        <f>IF(R8="","",INDEX(TABLEAUEPARGNE[],$R8,3))</f>
        <v>2</v>
      </c>
      <c r="T8" s="31" t="str">
        <f>IF(R8="","",INDEX(TABLEAUEPARGNE[],$R8,4))</f>
        <v>Placement LJMO</v>
      </c>
      <c r="U8" s="31" t="str">
        <f>IF(R8="","",INDEX(TABLEAUEPARGNE[],$R8,5))</f>
        <v>PLACEMENT LJMO</v>
      </c>
      <c r="V8" s="27">
        <f>IF(R8="","",INDEX(TABLEAUEPARGNE[],$R8,6))</f>
        <v>0</v>
      </c>
      <c r="W8" s="27">
        <f>IF(R8="","",INDEX(TABLEAUEPARGNE[],$R8,7))</f>
        <v>0</v>
      </c>
      <c r="AF8" s="57" t="str">
        <f>IF(AG8="","",INDEX(COMPTECOURANT[],$AG8,1))</f>
        <v/>
      </c>
      <c r="AG8" s="57" t="str">
        <f>IF(AG7="","",IF(AG7=$AG$3,"",AG7+1))</f>
        <v/>
      </c>
      <c r="AH8" s="57" t="str">
        <f>IF(AG8="","",INDEX(COMPTECOURANT[],$AG8,3))</f>
        <v/>
      </c>
      <c r="AI8" s="73" t="str">
        <f>IF(AG8="","",INDEX(COMPTECOURANT[],$AG8,4))</f>
        <v/>
      </c>
      <c r="AJ8" s="57" t="str">
        <f>IF(AG8="","",INDEX(COMPTECOURANT[],$AG8,5))</f>
        <v/>
      </c>
      <c r="AL8" s="57" t="str">
        <f>IF(AM8="","",INDEX(COMPTEEPARGNE[],$AM8,1))</f>
        <v/>
      </c>
      <c r="AM8" s="57" t="str">
        <f>IF(AM7="","",IF(AM7=$AM$3,"",AM7+1))</f>
        <v/>
      </c>
      <c r="AN8" s="57" t="str">
        <f>IF(AM8="","",INDEX(COMPTEEPARGNE[],$AM8,3))</f>
        <v/>
      </c>
      <c r="AO8" s="73" t="str">
        <f>IF(AM8="","",INDEX(COMPTEEPARGNE[],$AM8,4))</f>
        <v/>
      </c>
      <c r="AP8" s="57" t="str">
        <f>IF(AM8="","",INDEX(COMPTEEPARGNE[],$AM8,5))</f>
        <v/>
      </c>
      <c r="AR8" s="25" t="s">
        <v>8</v>
      </c>
      <c r="AS8" s="27">
        <f>SUMIFS(opérations[DEBIT],opérations[MOIS],AS$2,opérations[CATEGORIE],$AR8)</f>
        <v>0</v>
      </c>
      <c r="AT8" s="27">
        <f>SUMIFS(opérations[DEBIT],opérations[MOIS],AT$2,opérations[CATEGORIE],$AR8)</f>
        <v>0</v>
      </c>
      <c r="AU8" s="27">
        <f>SUMIFS(opérations[DEBIT],opérations[MOIS],AU$2,opérations[CATEGORIE],$AR8)</f>
        <v>0</v>
      </c>
      <c r="AV8" s="27">
        <f>SUMIFS(opérations[DEBIT],opérations[MOIS],AV$2,opérations[CATEGORIE],$AR8)</f>
        <v>0</v>
      </c>
      <c r="AW8" s="27">
        <f>SUMIFS(opérations[DEBIT],opérations[MOIS],AW$2,opérations[CATEGORIE],$AR8)</f>
        <v>0</v>
      </c>
      <c r="AX8" s="27">
        <f>SUMIFS(opérations[DEBIT],opérations[MOIS],AX$2,opérations[CATEGORIE],$AR8)</f>
        <v>0</v>
      </c>
      <c r="AY8" s="27">
        <f>SUMIFS(opérations[DEBIT],opérations[MOIS],AY$2,opérations[CATEGORIE],$AR8)</f>
        <v>0</v>
      </c>
      <c r="AZ8" s="27">
        <f>SUMIFS(opérations[DEBIT],opérations[MOIS],AZ$2,opérations[CATEGORIE],$AR8)</f>
        <v>0</v>
      </c>
      <c r="BA8" s="27">
        <f>SUMIFS(opérations[DEBIT],opérations[MOIS],BA$2,opérations[CATEGORIE],$AR8)</f>
        <v>0</v>
      </c>
      <c r="BB8" s="27">
        <f>SUMIFS(opérations[DEBIT],opérations[MOIS],BB$2,opérations[CATEGORIE],$AR8)</f>
        <v>0</v>
      </c>
      <c r="BC8" s="27">
        <f>SUMIFS(opérations[DEBIT],opérations[MOIS],BC$2,opérations[CATEGORIE],$AR8)</f>
        <v>0</v>
      </c>
      <c r="BD8" s="27">
        <f>SUMIFS(opérations[DEBIT],opérations[MOIS],BD$2,opérations[CATEGORIE],$AR8)</f>
        <v>0</v>
      </c>
    </row>
    <row r="9" spans="1:56" ht="21.75" customHeight="1" x14ac:dyDescent="0.25">
      <c r="A9" s="30">
        <f>IF(B9="","",INDEX(opérations[],$B9,1))</f>
        <v>43468</v>
      </c>
      <c r="B9" s="63">
        <f>IF(B8="","",IF(B8=$B$3,"",B8+1))</f>
        <v>4</v>
      </c>
      <c r="C9" s="31">
        <f>IF(B9="","",INDEX(opérations[],$B9,3))</f>
        <v>1</v>
      </c>
      <c r="D9" s="31" t="str">
        <f>IF(B9="","",INDEX(opérations[],$B9,4))</f>
        <v>Compte à composer</v>
      </c>
      <c r="E9" s="31" t="str">
        <f>IF(B9="","",INDEX(opérations[],$B9,5))</f>
        <v>FACTURE</v>
      </c>
      <c r="F9" s="27">
        <f>IF(B9="","",INDEX(opérations[],$B9,6))</f>
        <v>0</v>
      </c>
      <c r="G9" s="27">
        <f>IF(B9="","",INDEX(opérations[],$B9,7))</f>
        <v>0</v>
      </c>
      <c r="I9" s="30">
        <f>IF(J9="","",INDEX(résultat[],$J9,1))</f>
        <v>43521</v>
      </c>
      <c r="J9" s="63">
        <f>IF(J8="","",IF(J8=$J$3,"",J8+1))</f>
        <v>4</v>
      </c>
      <c r="K9" s="31">
        <f>IF(J9="","",INDEX(résultat[],$J9,3))</f>
        <v>2</v>
      </c>
      <c r="L9" s="31" t="str">
        <f>IF(J9="","",INDEX(résultat[],$J9,4))</f>
        <v>Macdonald's</v>
      </c>
      <c r="M9" s="31" t="str">
        <f>IF(J9="","",INDEX(résultat[],$J9,5))</f>
        <v>RESTAURATION</v>
      </c>
      <c r="N9" s="27">
        <f>IF(J9="","",INDEX(résultat[],$J9,6))</f>
        <v>0</v>
      </c>
      <c r="O9" s="27">
        <f>IF(J9="","",INDEX(résultat[],$J9,7))</f>
        <v>0</v>
      </c>
      <c r="Q9" s="30">
        <f>IF(R9="","",INDEX(TABLEAUEPARGNE[],$R9,1))</f>
        <v>43499</v>
      </c>
      <c r="R9" s="63">
        <f>IF(R8="","",IF(R8=$R$3,"",R8+1))</f>
        <v>4</v>
      </c>
      <c r="S9" s="31">
        <f>IF(R9="","",INDEX(TABLEAUEPARGNE[],$R9,3))</f>
        <v>2</v>
      </c>
      <c r="T9" s="31" t="str">
        <f>IF(R9="","",INDEX(TABLEAUEPARGNE[],$R9,4))</f>
        <v>Virement LJMO +</v>
      </c>
      <c r="U9" s="31" t="str">
        <f>IF(R9="","",INDEX(TABLEAUEPARGNE[],$R9,5))</f>
        <v>RETRAIT LJMO</v>
      </c>
      <c r="V9" s="27">
        <f>IF(R9="","",INDEX(TABLEAUEPARGNE[],$R9,6))</f>
        <v>0</v>
      </c>
      <c r="W9" s="27">
        <f>IF(R9="","",INDEX(TABLEAUEPARGNE[],$R9,7))</f>
        <v>0</v>
      </c>
      <c r="AF9" s="57" t="str">
        <f>IF(AG9="","",INDEX(COMPTECOURANT[],$AG9,1))</f>
        <v/>
      </c>
      <c r="AG9" s="57" t="str">
        <f>IF(AG8="","",IF(AG8=$AG$3,"",AG8+1))</f>
        <v/>
      </c>
      <c r="AH9" s="57" t="str">
        <f>IF(AG9="","",INDEX(COMPTECOURANT[],$AG9,3))</f>
        <v/>
      </c>
      <c r="AI9" s="73" t="str">
        <f>IF(AG9="","",INDEX(COMPTECOURANT[],$AG9,4))</f>
        <v/>
      </c>
      <c r="AJ9" s="57" t="str">
        <f>IF(AG9="","",INDEX(COMPTECOURANT[],$AG9,5))</f>
        <v/>
      </c>
      <c r="AL9" s="57" t="str">
        <f>IF(AM9="","",INDEX(COMPTEEPARGNE[],$AM9,1))</f>
        <v/>
      </c>
      <c r="AM9" s="57" t="str">
        <f>IF(AM8="","",IF(AM8=$AM$3,"",AM8+1))</f>
        <v/>
      </c>
      <c r="AN9" s="57" t="str">
        <f>IF(AM9="","",INDEX(COMPTEEPARGNE[],$AM9,3))</f>
        <v/>
      </c>
      <c r="AO9" s="73" t="str">
        <f>IF(AM9="","",INDEX(COMPTEEPARGNE[],$AM9,4))</f>
        <v/>
      </c>
      <c r="AP9" s="57" t="str">
        <f>IF(AM9="","",INDEX(COMPTEEPARGNE[],$AM9,5))</f>
        <v/>
      </c>
      <c r="AR9" s="25" t="s">
        <v>9</v>
      </c>
      <c r="AS9" s="27">
        <f>SUMIFS(opérations[DEBIT],opérations[MOIS],AS$2,opérations[CATEGORIE],$AR9)</f>
        <v>0</v>
      </c>
      <c r="AT9" s="27">
        <f>SUMIFS(opérations[DEBIT],opérations[MOIS],AT$2,opérations[CATEGORIE],$AR9)</f>
        <v>0</v>
      </c>
      <c r="AU9" s="27">
        <f>SUMIFS(opérations[DEBIT],opérations[MOIS],AU$2,opérations[CATEGORIE],$AR9)</f>
        <v>0</v>
      </c>
      <c r="AV9" s="27">
        <f>SUMIFS(opérations[DEBIT],opérations[MOIS],AV$2,opérations[CATEGORIE],$AR9)</f>
        <v>0</v>
      </c>
      <c r="AW9" s="27">
        <f>SUMIFS(opérations[DEBIT],opérations[MOIS],AW$2,opérations[CATEGORIE],$AR9)</f>
        <v>0</v>
      </c>
      <c r="AX9" s="27">
        <f>SUMIFS(opérations[DEBIT],opérations[MOIS],AX$2,opérations[CATEGORIE],$AR9)</f>
        <v>0</v>
      </c>
      <c r="AY9" s="27">
        <f>SUMIFS(opérations[DEBIT],opérations[MOIS],AY$2,opérations[CATEGORIE],$AR9)</f>
        <v>0</v>
      </c>
      <c r="AZ9" s="27">
        <f>SUMIFS(opérations[DEBIT],opérations[MOIS],AZ$2,opérations[CATEGORIE],$AR9)</f>
        <v>0</v>
      </c>
      <c r="BA9" s="27">
        <f>SUMIFS(opérations[DEBIT],opérations[MOIS],BA$2,opérations[CATEGORIE],$AR9)</f>
        <v>0</v>
      </c>
      <c r="BB9" s="27">
        <f>SUMIFS(opérations[DEBIT],opérations[MOIS],BB$2,opérations[CATEGORIE],$AR9)</f>
        <v>0</v>
      </c>
      <c r="BC9" s="27">
        <f>SUMIFS(opérations[DEBIT],opérations[MOIS],BC$2,opérations[CATEGORIE],$AR9)</f>
        <v>0</v>
      </c>
      <c r="BD9" s="27">
        <f>SUMIFS(opérations[DEBIT],opérations[MOIS],BD$2,opérations[CATEGORIE],$AR9)</f>
        <v>0</v>
      </c>
    </row>
    <row r="10" spans="1:56" ht="21.75" customHeight="1" x14ac:dyDescent="0.25">
      <c r="A10" s="30">
        <f>IF(B10="","",INDEX(opérations[],$B10,1))</f>
        <v>43468</v>
      </c>
      <c r="B10" s="63">
        <f>IF(B9="","",IF(B9=$B$3,"",B9+1))</f>
        <v>5</v>
      </c>
      <c r="C10" s="31">
        <f>IF(B10="","",INDEX(opérations[],$B10,3))</f>
        <v>1</v>
      </c>
      <c r="D10" s="31" t="str">
        <f>IF(B10="","",INDEX(opérations[],$B10,4))</f>
        <v>Assurance pret perso.</v>
      </c>
      <c r="E10" s="31" t="str">
        <f>IF(B10="","",INDEX(opérations[],$B10,5))</f>
        <v>FACTURE</v>
      </c>
      <c r="F10" s="27">
        <f>IF(B10="","",INDEX(opérations[],$B10,6))</f>
        <v>0</v>
      </c>
      <c r="G10" s="27">
        <f>IF(B10="","",INDEX(opérations[],$B10,7))</f>
        <v>0</v>
      </c>
      <c r="I10" s="30">
        <f>IF(J10="","",INDEX(résultat[],$J10,1))</f>
        <v>43521</v>
      </c>
      <c r="J10" s="63">
        <f>IF(J9="","",IF(J9=$J$3,"",J9+1))</f>
        <v>5</v>
      </c>
      <c r="K10" s="31">
        <f>IF(J10="","",INDEX(résultat[],$J10,3))</f>
        <v>2</v>
      </c>
      <c r="L10" s="31" t="str">
        <f>IF(J10="","",INDEX(résultat[],$J10,4))</f>
        <v>Onedrive</v>
      </c>
      <c r="M10" s="31" t="str">
        <f>IF(J10="","",INDEX(résultat[],$J10,5))</f>
        <v>FACTURE</v>
      </c>
      <c r="N10" s="27">
        <f>IF(J10="","",INDEX(résultat[],$J10,6))</f>
        <v>0</v>
      </c>
      <c r="O10" s="27">
        <f>IF(J10="","",INDEX(résultat[],$J10,7))</f>
        <v>0</v>
      </c>
      <c r="Q10" s="30">
        <f>IF(R10="","",INDEX(TABLEAUEPARGNE[],$R10,1))</f>
        <v>43498</v>
      </c>
      <c r="R10" s="63">
        <f>IF(R9="","",IF(R9=$R$3,"",R9+1))</f>
        <v>5</v>
      </c>
      <c r="S10" s="31">
        <f>IF(R10="","",INDEX(TABLEAUEPARGNE[],$R10,3))</f>
        <v>2</v>
      </c>
      <c r="T10" s="31" t="str">
        <f>IF(R10="","",INDEX(TABLEAUEPARGNE[],$R10,4))</f>
        <v>Virement LJMO +</v>
      </c>
      <c r="U10" s="31" t="str">
        <f>IF(R10="","",INDEX(TABLEAUEPARGNE[],$R10,5))</f>
        <v>RETRAIT LJMO</v>
      </c>
      <c r="V10" s="27">
        <f>IF(R10="","",INDEX(TABLEAUEPARGNE[],$R10,6))</f>
        <v>0</v>
      </c>
      <c r="W10" s="27">
        <f>IF(R10="","",INDEX(TABLEAUEPARGNE[],$R10,7))</f>
        <v>0</v>
      </c>
      <c r="AR10" s="25" t="s">
        <v>10</v>
      </c>
      <c r="AS10" s="27">
        <f>SUMIFS(opérations[DEBIT],opérations[MOIS],AS$2,opérations[CATEGORIE],$AR10)</f>
        <v>0</v>
      </c>
      <c r="AT10" s="27">
        <f>SUMIFS(opérations[DEBIT],opérations[MOIS],AT$2,opérations[CATEGORIE],$AR10)</f>
        <v>0</v>
      </c>
      <c r="AU10" s="27">
        <f>SUMIFS(opérations[DEBIT],opérations[MOIS],AU$2,opérations[CATEGORIE],$AR10)</f>
        <v>0</v>
      </c>
      <c r="AV10" s="27">
        <f>SUMIFS(opérations[DEBIT],opérations[MOIS],AV$2,opérations[CATEGORIE],$AR10)</f>
        <v>0</v>
      </c>
      <c r="AW10" s="27">
        <f>SUMIFS(opérations[DEBIT],opérations[MOIS],AW$2,opérations[CATEGORIE],$AR10)</f>
        <v>0</v>
      </c>
      <c r="AX10" s="27">
        <f>SUMIFS(opérations[DEBIT],opérations[MOIS],AX$2,opérations[CATEGORIE],$AR10)</f>
        <v>0</v>
      </c>
      <c r="AY10" s="27">
        <f>SUMIFS(opérations[DEBIT],opérations[MOIS],AY$2,opérations[CATEGORIE],$AR10)</f>
        <v>0</v>
      </c>
      <c r="AZ10" s="27">
        <f>SUMIFS(opérations[DEBIT],opérations[MOIS],AZ$2,opérations[CATEGORIE],$AR10)</f>
        <v>0</v>
      </c>
      <c r="BA10" s="27">
        <f>SUMIFS(opérations[DEBIT],opérations[MOIS],BA$2,opérations[CATEGORIE],$AR10)</f>
        <v>0</v>
      </c>
      <c r="BB10" s="27">
        <f>SUMIFS(opérations[DEBIT],opérations[MOIS],BB$2,opérations[CATEGORIE],$AR10)</f>
        <v>0</v>
      </c>
      <c r="BC10" s="27">
        <f>SUMIFS(opérations[DEBIT],opérations[MOIS],BC$2,opérations[CATEGORIE],$AR10)</f>
        <v>0</v>
      </c>
      <c r="BD10" s="27">
        <f>SUMIFS(opérations[DEBIT],opérations[MOIS],BD$2,opérations[CATEGORIE],$AR10)</f>
        <v>0</v>
      </c>
    </row>
    <row r="11" spans="1:56" ht="21.75" customHeight="1" x14ac:dyDescent="0.25">
      <c r="I11" s="70"/>
      <c r="J11" s="28"/>
      <c r="K11" s="71"/>
      <c r="L11" s="71"/>
      <c r="M11" s="71"/>
      <c r="N11" s="72"/>
      <c r="O11" s="72"/>
      <c r="Q11" s="70"/>
      <c r="R11" s="28"/>
      <c r="S11" s="71"/>
      <c r="T11" s="71"/>
      <c r="U11" s="71"/>
      <c r="V11" s="72"/>
      <c r="W11" s="72"/>
      <c r="AR11" s="25" t="s">
        <v>11</v>
      </c>
      <c r="AS11" s="27">
        <f>SUMIFS(opérations[DEBIT],opérations[MOIS],AS$2,opérations[CATEGORIE],$AR11)</f>
        <v>0</v>
      </c>
      <c r="AT11" s="27">
        <f>SUMIFS(opérations[DEBIT],opérations[MOIS],AT$2,opérations[CATEGORIE],$AR11)</f>
        <v>0</v>
      </c>
      <c r="AU11" s="27">
        <f>SUMIFS(opérations[DEBIT],opérations[MOIS],AU$2,opérations[CATEGORIE],$AR11)</f>
        <v>0</v>
      </c>
      <c r="AV11" s="27">
        <f>SUMIFS(opérations[DEBIT],opérations[MOIS],AV$2,opérations[CATEGORIE],$AR11)</f>
        <v>0</v>
      </c>
      <c r="AW11" s="27">
        <f>SUMIFS(opérations[DEBIT],opérations[MOIS],AW$2,opérations[CATEGORIE],$AR11)</f>
        <v>0</v>
      </c>
      <c r="AX11" s="27">
        <f>SUMIFS(opérations[DEBIT],opérations[MOIS],AX$2,opérations[CATEGORIE],$AR11)</f>
        <v>0</v>
      </c>
      <c r="AY11" s="27">
        <f>SUMIFS(opérations[DEBIT],opérations[MOIS],AY$2,opérations[CATEGORIE],$AR11)</f>
        <v>0</v>
      </c>
      <c r="AZ11" s="27">
        <f>SUMIFS(opérations[DEBIT],opérations[MOIS],AZ$2,opérations[CATEGORIE],$AR11)</f>
        <v>0</v>
      </c>
      <c r="BA11" s="27">
        <f>SUMIFS(opérations[DEBIT],opérations[MOIS],BA$2,opérations[CATEGORIE],$AR11)</f>
        <v>0</v>
      </c>
      <c r="BB11" s="27">
        <f>SUMIFS(opérations[DEBIT],opérations[MOIS],BB$2,opérations[CATEGORIE],$AR11)</f>
        <v>0</v>
      </c>
      <c r="BC11" s="27">
        <f>SUMIFS(opérations[DEBIT],opérations[MOIS],BC$2,opérations[CATEGORIE],$AR11)</f>
        <v>0</v>
      </c>
      <c r="BD11" s="27">
        <f>SUMIFS(opérations[DEBIT],opérations[MOIS],BD$2,opérations[CATEGORIE],$AR11)</f>
        <v>0</v>
      </c>
    </row>
    <row r="12" spans="1:56" ht="21.75" customHeight="1" x14ac:dyDescent="0.25">
      <c r="AR12" s="25" t="s">
        <v>12</v>
      </c>
      <c r="AS12" s="27">
        <f>SUMIFS(opérations[DEBIT],opérations[MOIS],AS$2,opérations[CATEGORIE],$AR12)</f>
        <v>0</v>
      </c>
      <c r="AT12" s="27">
        <f>SUMIFS(opérations[DEBIT],opérations[MOIS],AT$2,opérations[CATEGORIE],$AR12)</f>
        <v>0</v>
      </c>
      <c r="AU12" s="27">
        <f>SUMIFS(opérations[DEBIT],opérations[MOIS],AU$2,opérations[CATEGORIE],$AR12)</f>
        <v>0</v>
      </c>
      <c r="AV12" s="27">
        <f>SUMIFS(opérations[DEBIT],opérations[MOIS],AV$2,opérations[CATEGORIE],$AR12)</f>
        <v>0</v>
      </c>
      <c r="AW12" s="27">
        <f>SUMIFS(opérations[DEBIT],opérations[MOIS],AW$2,opérations[CATEGORIE],$AR12)</f>
        <v>0</v>
      </c>
      <c r="AX12" s="27">
        <f>SUMIFS(opérations[DEBIT],opérations[MOIS],AX$2,opérations[CATEGORIE],$AR12)</f>
        <v>0</v>
      </c>
      <c r="AY12" s="27">
        <f>SUMIFS(opérations[DEBIT],opérations[MOIS],AY$2,opérations[CATEGORIE],$AR12)</f>
        <v>0</v>
      </c>
      <c r="AZ12" s="27">
        <f>SUMIFS(opérations[DEBIT],opérations[MOIS],AZ$2,opérations[CATEGORIE],$AR12)</f>
        <v>0</v>
      </c>
      <c r="BA12" s="27">
        <f>SUMIFS(opérations[DEBIT],opérations[MOIS],BA$2,opérations[CATEGORIE],$AR12)</f>
        <v>0</v>
      </c>
      <c r="BB12" s="27">
        <f>SUMIFS(opérations[DEBIT],opérations[MOIS],BB$2,opérations[CATEGORIE],$AR12)</f>
        <v>0</v>
      </c>
      <c r="BC12" s="27">
        <f>SUMIFS(opérations[DEBIT],opérations[MOIS],BC$2,opérations[CATEGORIE],$AR12)</f>
        <v>0</v>
      </c>
      <c r="BD12" s="27">
        <f>SUMIFS(opérations[DEBIT],opérations[MOIS],BD$2,opérations[CATEGORIE],$AR12)</f>
        <v>0</v>
      </c>
    </row>
    <row r="13" spans="1:56" ht="21.75" customHeight="1" x14ac:dyDescent="0.25">
      <c r="AR13" s="25" t="s">
        <v>13</v>
      </c>
      <c r="AS13" s="27">
        <f>SUMIFS(opérations[VERSEMENT],opérations[MOIS],AS$2,opérations[CATEGORIE],$AR13)</f>
        <v>0</v>
      </c>
      <c r="AT13" s="27">
        <f>SUMIFS(opérations[VERSEMENT],opérations[MOIS],AT$2,opérations[CATEGORIE],$AR13)</f>
        <v>0</v>
      </c>
      <c r="AU13" s="27">
        <f>SUMIFS(opérations[VERSEMENT],opérations[MOIS],AU$2,opérations[CATEGORIE],$AR13)</f>
        <v>0</v>
      </c>
      <c r="AV13" s="27">
        <f>SUMIFS(opérations[VERSEMENT],opérations[MOIS],AV$2,opérations[CATEGORIE],$AR13)</f>
        <v>0</v>
      </c>
      <c r="AW13" s="27">
        <f>SUMIFS(opérations[VERSEMENT],opérations[MOIS],AW$2,opérations[CATEGORIE],$AR13)</f>
        <v>0</v>
      </c>
      <c r="AX13" s="27">
        <f>SUMIFS(opérations[VERSEMENT],opérations[MOIS],AX$2,opérations[CATEGORIE],$AR13)</f>
        <v>0</v>
      </c>
      <c r="AY13" s="27">
        <f>SUMIFS(opérations[VERSEMENT],opérations[MOIS],AY$2,opérations[CATEGORIE],$AR13)</f>
        <v>0</v>
      </c>
      <c r="AZ13" s="27">
        <f>SUMIFS(opérations[VERSEMENT],opérations[MOIS],AZ$2,opérations[CATEGORIE],$AR13)</f>
        <v>0</v>
      </c>
      <c r="BA13" s="27">
        <f>SUMIFS(opérations[VERSEMENT],opérations[MOIS],BA$2,opérations[CATEGORIE],$AR13)</f>
        <v>0</v>
      </c>
      <c r="BB13" s="27">
        <f>SUMIFS(opérations[VERSEMENT],opérations[MOIS],BB$2,opérations[CATEGORIE],$AR13)</f>
        <v>0</v>
      </c>
      <c r="BC13" s="27">
        <f>SUMIFS(opérations[VERSEMENT],opérations[MOIS],BC$2,opérations[CATEGORIE],$AR13)</f>
        <v>0</v>
      </c>
      <c r="BD13" s="27">
        <f>SUMIFS(opérations[VERSEMENT],opérations[MOIS],BD$2,opérations[CATEGORIE],$AR13)</f>
        <v>0</v>
      </c>
    </row>
    <row r="14" spans="1:56" ht="21.75" customHeight="1" x14ac:dyDescent="0.25">
      <c r="A14" s="36" t="s">
        <v>160</v>
      </c>
      <c r="B14" s="36" t="s">
        <v>38</v>
      </c>
      <c r="C14" s="36" t="s">
        <v>23</v>
      </c>
      <c r="D14" s="36" t="s">
        <v>161</v>
      </c>
      <c r="E14" s="36" t="s">
        <v>22</v>
      </c>
      <c r="F14" s="36" t="s">
        <v>163</v>
      </c>
      <c r="G14" s="36" t="s">
        <v>37</v>
      </c>
      <c r="I14" s="36" t="s">
        <v>160</v>
      </c>
      <c r="J14" s="36" t="s">
        <v>38</v>
      </c>
      <c r="K14" s="36" t="s">
        <v>23</v>
      </c>
      <c r="L14" s="36" t="s">
        <v>161</v>
      </c>
      <c r="M14" s="36" t="s">
        <v>22</v>
      </c>
      <c r="N14" s="36" t="s">
        <v>163</v>
      </c>
      <c r="O14" s="36" t="s">
        <v>37</v>
      </c>
      <c r="Q14" s="61" t="s">
        <v>160</v>
      </c>
      <c r="R14" s="62" t="s">
        <v>38</v>
      </c>
      <c r="S14" s="62" t="s">
        <v>23</v>
      </c>
      <c r="T14" s="62" t="s">
        <v>161</v>
      </c>
      <c r="U14" s="62" t="s">
        <v>22</v>
      </c>
      <c r="V14" s="62" t="s">
        <v>163</v>
      </c>
      <c r="W14" s="62" t="s">
        <v>37</v>
      </c>
      <c r="X14" s="16"/>
      <c r="Y14" s="16"/>
      <c r="Z14" s="16"/>
      <c r="AA14" s="16"/>
      <c r="AB14" s="16"/>
      <c r="AC14" s="16"/>
      <c r="AD14" s="16"/>
      <c r="AF14" s="47" t="s">
        <v>171</v>
      </c>
      <c r="AG14" s="48" t="s">
        <v>38</v>
      </c>
      <c r="AH14" s="48" t="s">
        <v>172</v>
      </c>
      <c r="AI14" s="48" t="s">
        <v>169</v>
      </c>
      <c r="AJ14" s="49" t="s">
        <v>170</v>
      </c>
      <c r="AL14" s="50" t="s">
        <v>171</v>
      </c>
      <c r="AM14" s="51" t="s">
        <v>38</v>
      </c>
      <c r="AN14" s="51" t="s">
        <v>172</v>
      </c>
      <c r="AO14" s="51" t="s">
        <v>169</v>
      </c>
      <c r="AP14" s="52" t="s">
        <v>170</v>
      </c>
      <c r="AR14" s="25" t="s">
        <v>14</v>
      </c>
      <c r="AS14" s="27">
        <f>SUMIFS(opérations[DEBIT],opérations[MOIS],AS$2,opérations[CATEGORIE],$AR14)</f>
        <v>0</v>
      </c>
      <c r="AT14" s="27">
        <f>SUMIFS(opérations[DEBIT],opérations[MOIS],AT$2,opérations[CATEGORIE],$AR14)</f>
        <v>0</v>
      </c>
      <c r="AU14" s="27">
        <f>SUMIFS(opérations[DEBIT],opérations[MOIS],AU$2,opérations[CATEGORIE],$AR14)</f>
        <v>0</v>
      </c>
      <c r="AV14" s="27">
        <f>SUMIFS(opérations[DEBIT],opérations[MOIS],AV$2,opérations[CATEGORIE],$AR14)</f>
        <v>0</v>
      </c>
      <c r="AW14" s="27">
        <f>SUMIFS(opérations[DEBIT],opérations[MOIS],AW$2,opérations[CATEGORIE],$AR14)</f>
        <v>0</v>
      </c>
      <c r="AX14" s="27">
        <f>SUMIFS(opérations[DEBIT],opérations[MOIS],AX$2,opérations[CATEGORIE],$AR14)</f>
        <v>0</v>
      </c>
      <c r="AY14" s="27">
        <f>SUMIFS(opérations[DEBIT],opérations[MOIS],AY$2,opérations[CATEGORIE],$AR14)</f>
        <v>0</v>
      </c>
      <c r="AZ14" s="27">
        <f>SUMIFS(opérations[DEBIT],opérations[MOIS],AZ$2,opérations[CATEGORIE],$AR14)</f>
        <v>0</v>
      </c>
      <c r="BA14" s="27">
        <f>SUMIFS(opérations[DEBIT],opérations[MOIS],BA$2,opérations[CATEGORIE],$AR14)</f>
        <v>0</v>
      </c>
      <c r="BB14" s="27">
        <f>SUMIFS(opérations[DEBIT],opérations[MOIS],BB$2,opérations[CATEGORIE],$AR14)</f>
        <v>0</v>
      </c>
      <c r="BC14" s="27">
        <f>SUMIFS(opérations[DEBIT],opérations[MOIS],BC$2,opérations[CATEGORIE],$AR14)</f>
        <v>0</v>
      </c>
      <c r="BD14" s="27">
        <f>SUMIFS(opérations[DEBIT],opérations[MOIS],BD$2,opérations[CATEGORIE],$AR14)</f>
        <v>0</v>
      </c>
    </row>
    <row r="15" spans="1:56" ht="21.75" customHeight="1" x14ac:dyDescent="0.25">
      <c r="A15" s="37">
        <v>43101</v>
      </c>
      <c r="B15" s="38">
        <f>IF(opérations[[#This Row],[DATE]]="","",IF(B14="INDEX",1,B14+1))</f>
        <v>1</v>
      </c>
      <c r="C15" s="38">
        <f>IF(opérations[[#This Row],[DATE]]="","",MONTH(opérations[[#This Row],[DATE]]))</f>
        <v>1</v>
      </c>
      <c r="D15" s="38" t="s">
        <v>134</v>
      </c>
      <c r="E15" s="38" t="str">
        <f>IF(opérations[[#This Row],[DESCRIPTION]]="","",IFERROR(VLOOKUP(opérations[[#This Row],[DESCRIPTION]],LISTE[],2,FALSE),""))</f>
        <v>SALAIRE</v>
      </c>
      <c r="F15" s="39"/>
      <c r="G15" s="39"/>
      <c r="I15" s="43">
        <v>43522</v>
      </c>
      <c r="J15" s="38">
        <v>102</v>
      </c>
      <c r="K15" s="38">
        <v>2</v>
      </c>
      <c r="L15" s="44" t="s">
        <v>78</v>
      </c>
      <c r="M15" s="38" t="s">
        <v>19</v>
      </c>
      <c r="N15" s="45"/>
      <c r="O15" s="45"/>
      <c r="Q15" s="60">
        <v>43534</v>
      </c>
      <c r="R15" s="58">
        <v>118</v>
      </c>
      <c r="S15" s="58">
        <v>3</v>
      </c>
      <c r="T15" s="58" t="s">
        <v>180</v>
      </c>
      <c r="U15" s="58" t="s">
        <v>181</v>
      </c>
      <c r="V15" s="59"/>
      <c r="W15" s="59"/>
      <c r="X15" s="16"/>
      <c r="Y15" s="16"/>
      <c r="Z15" s="16"/>
      <c r="AA15" s="16"/>
      <c r="AB15" s="16"/>
      <c r="AC15" s="16"/>
      <c r="AD15" s="16"/>
      <c r="AE15" s="33"/>
      <c r="AF15" s="53"/>
      <c r="AG15" s="54" t="str">
        <f>IF(COMPTECOURANT[[#This Row],[TYPE DE COMPTE]]="","",IF(AG14="","",IF(AG14="INDEX",1,AG14+1)))</f>
        <v/>
      </c>
      <c r="AH15" s="54"/>
      <c r="AI15" s="55">
        <f>BD24</f>
        <v>142.27000000000001</v>
      </c>
      <c r="AJ15" s="56" t="str">
        <f>IF(COMPTECOURANT[[#This Row],[TYPE DE COMPTE]]="","","EUR")</f>
        <v/>
      </c>
      <c r="AL15" s="53"/>
      <c r="AM15" s="54" t="str">
        <f>IF(COMPTEEPARGNE[TYPE DE COMPTE]="","",IF(AM14="","",IF(AM14="INDEX",1,AM14+1)))</f>
        <v/>
      </c>
      <c r="AN15" s="53"/>
      <c r="AO15" s="55">
        <f>BD25</f>
        <v>16.61</v>
      </c>
      <c r="AP15" s="56" t="str">
        <f>IF(COMPTEEPARGNE[[#This Row],[TYPE DE COMPTE]]="","","EUR")</f>
        <v/>
      </c>
      <c r="AR15" s="25" t="s">
        <v>15</v>
      </c>
      <c r="AS15" s="27">
        <f>SUMIFS(opérations[DEBIT],opérations[MOIS],AS$2,opérations[CATEGORIE],$AR15)</f>
        <v>0</v>
      </c>
      <c r="AT15" s="27">
        <f>SUMIFS(opérations[DEBIT],opérations[MOIS],AT$2,opérations[CATEGORIE],$AR15)</f>
        <v>0</v>
      </c>
      <c r="AU15" s="27">
        <f>SUMIFS(opérations[DEBIT],opérations[MOIS],AU$2,opérations[CATEGORIE],$AR15)</f>
        <v>0</v>
      </c>
      <c r="AV15" s="27">
        <f>SUMIFS(opérations[DEBIT],opérations[MOIS],AV$2,opérations[CATEGORIE],$AR15)</f>
        <v>0</v>
      </c>
      <c r="AW15" s="27">
        <f>SUMIFS(opérations[DEBIT],opérations[MOIS],AW$2,opérations[CATEGORIE],$AR15)</f>
        <v>0</v>
      </c>
      <c r="AX15" s="27">
        <f>SUMIFS(opérations[DEBIT],opérations[MOIS],AX$2,opérations[CATEGORIE],$AR15)</f>
        <v>0</v>
      </c>
      <c r="AY15" s="27">
        <f>SUMIFS(opérations[DEBIT],opérations[MOIS],AY$2,opérations[CATEGORIE],$AR15)</f>
        <v>0</v>
      </c>
      <c r="AZ15" s="27">
        <f>SUMIFS(opérations[DEBIT],opérations[MOIS],AZ$2,opérations[CATEGORIE],$AR15)</f>
        <v>0</v>
      </c>
      <c r="BA15" s="27">
        <f>SUMIFS(opérations[DEBIT],opérations[MOIS],BA$2,opérations[CATEGORIE],$AR15)</f>
        <v>0</v>
      </c>
      <c r="BB15" s="27">
        <f>SUMIFS(opérations[DEBIT],opérations[MOIS],BB$2,opérations[CATEGORIE],$AR15)</f>
        <v>0</v>
      </c>
      <c r="BC15" s="27">
        <f>SUMIFS(opérations[DEBIT],opérations[MOIS],BC$2,opérations[CATEGORIE],$AR15)</f>
        <v>0</v>
      </c>
      <c r="BD15" s="27">
        <f>SUMIFS(opérations[DEBIT],opérations[MOIS],BD$2,opérations[CATEGORIE],$AR15)</f>
        <v>0</v>
      </c>
    </row>
    <row r="16" spans="1:56" ht="21.75" customHeight="1" x14ac:dyDescent="0.25">
      <c r="A16" s="37">
        <v>43467</v>
      </c>
      <c r="B16" s="38">
        <f>IF(opérations[[#This Row],[DATE]]="","",IF(B15="INDEX",1,B15+1))</f>
        <v>2</v>
      </c>
      <c r="C16" s="38">
        <f>IF(opérations[[#This Row],[DATE]]="","",MONTH(opérations[[#This Row],[DATE]]))</f>
        <v>1</v>
      </c>
      <c r="D16" s="38" t="s">
        <v>182</v>
      </c>
      <c r="E16" s="38" t="str">
        <f>IF(opérations[[#This Row],[DESCRIPTION]]="","",IFERROR(VLOOKUP(opérations[[#This Row],[DESCRIPTION]],LISTE[],2,FALSE),""))</f>
        <v>PLACEMENT LJMO</v>
      </c>
      <c r="F16" s="39"/>
      <c r="G16" s="39"/>
      <c r="I16" s="43">
        <v>43522</v>
      </c>
      <c r="J16" s="38">
        <v>101</v>
      </c>
      <c r="K16" s="38">
        <v>2</v>
      </c>
      <c r="L16" s="44" t="s">
        <v>136</v>
      </c>
      <c r="M16" s="38" t="s">
        <v>11</v>
      </c>
      <c r="N16" s="45"/>
      <c r="O16" s="45"/>
      <c r="Q16" s="60">
        <v>43525</v>
      </c>
      <c r="R16" s="58">
        <v>103</v>
      </c>
      <c r="S16" s="58">
        <v>3</v>
      </c>
      <c r="T16" s="58" t="s">
        <v>182</v>
      </c>
      <c r="U16" s="58" t="s">
        <v>183</v>
      </c>
      <c r="V16" s="59"/>
      <c r="W16" s="59"/>
      <c r="X16" s="16"/>
      <c r="Y16" s="16"/>
      <c r="Z16" s="16"/>
      <c r="AA16" s="16"/>
      <c r="AB16" s="16"/>
      <c r="AC16" s="16"/>
      <c r="AD16" s="16"/>
      <c r="AE16" s="33"/>
      <c r="AF16" s="22"/>
      <c r="AG16" s="22"/>
      <c r="AH16" s="46"/>
      <c r="AI16" s="24"/>
      <c r="AJ16" s="46"/>
      <c r="AR16" s="25" t="s">
        <v>17</v>
      </c>
      <c r="AS16" s="27">
        <f>SUMIFS(opérations[DEBIT],opérations[MOIS],AS$2,opérations[CATEGORIE],$AR16)</f>
        <v>0</v>
      </c>
      <c r="AT16" s="27">
        <f>SUMIFS(opérations[DEBIT],opérations[MOIS],AT$2,opérations[CATEGORIE],$AR16)</f>
        <v>0</v>
      </c>
      <c r="AU16" s="27">
        <f>SUMIFS(opérations[DEBIT],opérations[MOIS],AU$2,opérations[CATEGORIE],$AR16)</f>
        <v>0</v>
      </c>
      <c r="AV16" s="27">
        <f>SUMIFS(opérations[DEBIT],opérations[MOIS],AV$2,opérations[CATEGORIE],$AR16)</f>
        <v>0</v>
      </c>
      <c r="AW16" s="27">
        <f>SUMIFS(opérations[DEBIT],opérations[MOIS],AW$2,opérations[CATEGORIE],$AR16)</f>
        <v>0</v>
      </c>
      <c r="AX16" s="27">
        <f>SUMIFS(opérations[DEBIT],opérations[MOIS],AX$2,opérations[CATEGORIE],$AR16)</f>
        <v>0</v>
      </c>
      <c r="AY16" s="27">
        <f>SUMIFS(opérations[DEBIT],opérations[MOIS],AY$2,opérations[CATEGORIE],$AR16)</f>
        <v>0</v>
      </c>
      <c r="AZ16" s="27">
        <f>SUMIFS(opérations[DEBIT],opérations[MOIS],AZ$2,opérations[CATEGORIE],$AR16)</f>
        <v>0</v>
      </c>
      <c r="BA16" s="27">
        <f>SUMIFS(opérations[DEBIT],opérations[MOIS],BA$2,opérations[CATEGORIE],$AR16)</f>
        <v>0</v>
      </c>
      <c r="BB16" s="27">
        <f>SUMIFS(opérations[DEBIT],opérations[MOIS],BB$2,opérations[CATEGORIE],$AR16)</f>
        <v>0</v>
      </c>
      <c r="BC16" s="27">
        <f>SUMIFS(opérations[DEBIT],opérations[MOIS],BC$2,opérations[CATEGORIE],$AR16)</f>
        <v>0</v>
      </c>
      <c r="BD16" s="27">
        <f>SUMIFS(opérations[DEBIT],opérations[MOIS],BD$2,opérations[CATEGORIE],$AR16)</f>
        <v>0</v>
      </c>
    </row>
    <row r="17" spans="1:56" ht="21.75" customHeight="1" x14ac:dyDescent="0.25">
      <c r="A17" s="37">
        <v>43467</v>
      </c>
      <c r="B17" s="38">
        <f>IF(opérations[[#This Row],[DATE]]="","",IF(B16="INDEX",1,B16+1))</f>
        <v>3</v>
      </c>
      <c r="C17" s="38">
        <f>IF(opérations[[#This Row],[DATE]]="","",MONTH(opérations[[#This Row],[DATE]]))</f>
        <v>1</v>
      </c>
      <c r="D17" s="38" t="s">
        <v>116</v>
      </c>
      <c r="E17" s="38" t="str">
        <f>IF(opérations[[#This Row],[DESCRIPTION]]="","",IFERROR(VLOOKUP(opérations[[#This Row],[DESCRIPTION]],LISTE[],2,FALSE),""))</f>
        <v>RESTAURATION</v>
      </c>
      <c r="F17" s="39"/>
      <c r="G17" s="39"/>
      <c r="I17" s="43">
        <v>43521</v>
      </c>
      <c r="J17" s="38">
        <v>100</v>
      </c>
      <c r="K17" s="38">
        <v>2</v>
      </c>
      <c r="L17" s="44" t="s">
        <v>43</v>
      </c>
      <c r="M17" s="38" t="s">
        <v>7</v>
      </c>
      <c r="N17" s="45"/>
      <c r="O17" s="45"/>
      <c r="Q17" s="60">
        <v>43502</v>
      </c>
      <c r="R17" s="58">
        <v>60</v>
      </c>
      <c r="S17" s="58">
        <v>2</v>
      </c>
      <c r="T17" s="58" t="s">
        <v>182</v>
      </c>
      <c r="U17" s="58" t="s">
        <v>183</v>
      </c>
      <c r="V17" s="59"/>
      <c r="W17" s="59"/>
      <c r="X17" s="16"/>
      <c r="Y17" s="16"/>
      <c r="Z17" s="16"/>
      <c r="AA17" s="16"/>
      <c r="AB17" s="16"/>
      <c r="AC17" s="16"/>
      <c r="AD17" s="16"/>
      <c r="AE17" s="33"/>
      <c r="AF17" s="22"/>
      <c r="AG17" s="22"/>
      <c r="AH17" s="46"/>
      <c r="AI17" s="24"/>
      <c r="AJ17" s="46"/>
      <c r="AR17" s="25" t="s">
        <v>18</v>
      </c>
      <c r="AS17" s="27">
        <f>SUMIFS(opérations[DEBIT],opérations[MOIS],AS$2,opérations[CATEGORIE],$AR17)</f>
        <v>0</v>
      </c>
      <c r="AT17" s="27">
        <f>SUMIFS(opérations[DEBIT],opérations[MOIS],AT$2,opérations[CATEGORIE],$AR17)</f>
        <v>0</v>
      </c>
      <c r="AU17" s="27">
        <f>SUMIFS(opérations[DEBIT],opérations[MOIS],AU$2,opérations[CATEGORIE],$AR17)</f>
        <v>0</v>
      </c>
      <c r="AV17" s="27">
        <f>SUMIFS(opérations[DEBIT],opérations[MOIS],AV$2,opérations[CATEGORIE],$AR17)</f>
        <v>0</v>
      </c>
      <c r="AW17" s="27">
        <f>SUMIFS(opérations[DEBIT],opérations[MOIS],AW$2,opérations[CATEGORIE],$AR17)</f>
        <v>0</v>
      </c>
      <c r="AX17" s="27">
        <f>SUMIFS(opérations[DEBIT],opérations[MOIS],AX$2,opérations[CATEGORIE],$AR17)</f>
        <v>0</v>
      </c>
      <c r="AY17" s="27">
        <f>SUMIFS(opérations[DEBIT],opérations[MOIS],AY$2,opérations[CATEGORIE],$AR17)</f>
        <v>0</v>
      </c>
      <c r="AZ17" s="27">
        <f>SUMIFS(opérations[DEBIT],opérations[MOIS],AZ$2,opérations[CATEGORIE],$AR17)</f>
        <v>0</v>
      </c>
      <c r="BA17" s="27">
        <f>SUMIFS(opérations[DEBIT],opérations[MOIS],BA$2,opérations[CATEGORIE],$AR17)</f>
        <v>0</v>
      </c>
      <c r="BB17" s="27">
        <f>SUMIFS(opérations[DEBIT],opérations[MOIS],BB$2,opérations[CATEGORIE],$AR17)</f>
        <v>0</v>
      </c>
      <c r="BC17" s="27">
        <f>SUMIFS(opérations[DEBIT],opérations[MOIS],BC$2,opérations[CATEGORIE],$AR17)</f>
        <v>0</v>
      </c>
      <c r="BD17" s="27">
        <f>SUMIFS(opérations[DEBIT],opérations[MOIS],BD$2,opérations[CATEGORIE],$AR17)</f>
        <v>0</v>
      </c>
    </row>
    <row r="18" spans="1:56" ht="21.75" customHeight="1" x14ac:dyDescent="0.25">
      <c r="A18" s="37">
        <v>43468</v>
      </c>
      <c r="B18" s="38">
        <f>IF(opérations[[#This Row],[DATE]]="","",IF(B17="INDEX",1,B17+1))</f>
        <v>4</v>
      </c>
      <c r="C18" s="38">
        <f>IF(opérations[[#This Row],[DATE]]="","",MONTH(opérations[[#This Row],[DATE]]))</f>
        <v>1</v>
      </c>
      <c r="D18" s="38" t="s">
        <v>67</v>
      </c>
      <c r="E18" s="38" t="str">
        <f>IF(opérations[[#This Row],[DESCRIPTION]]="","",IFERROR(VLOOKUP(opérations[[#This Row],[DESCRIPTION]],LISTE[],2,FALSE),""))</f>
        <v>FACTURE</v>
      </c>
      <c r="F18" s="39"/>
      <c r="G18" s="39"/>
      <c r="I18" s="43">
        <v>43521</v>
      </c>
      <c r="J18" s="38">
        <v>99</v>
      </c>
      <c r="K18" s="38">
        <v>2</v>
      </c>
      <c r="L18" s="44" t="s">
        <v>109</v>
      </c>
      <c r="M18" s="38" t="s">
        <v>15</v>
      </c>
      <c r="N18" s="45"/>
      <c r="O18" s="45"/>
      <c r="Q18" s="65">
        <v>43499</v>
      </c>
      <c r="R18" s="66">
        <v>51</v>
      </c>
      <c r="S18" s="66">
        <v>2</v>
      </c>
      <c r="T18" s="66" t="s">
        <v>180</v>
      </c>
      <c r="U18" s="66" t="s">
        <v>181</v>
      </c>
      <c r="V18" s="67"/>
      <c r="W18" s="67"/>
      <c r="X18" s="16"/>
      <c r="Y18" s="16"/>
      <c r="Z18" s="16"/>
      <c r="AA18" s="16"/>
      <c r="AB18" s="16"/>
      <c r="AC18" s="16"/>
      <c r="AD18" s="16"/>
      <c r="AE18" s="33"/>
      <c r="AR18" s="25" t="s">
        <v>19</v>
      </c>
      <c r="AS18" s="27">
        <f>SUMIFS(opérations[DEBIT],opérations[MOIS],AS$2,opérations[CATEGORIE],$AR18)</f>
        <v>0</v>
      </c>
      <c r="AT18" s="27">
        <f>SUMIFS(opérations[DEBIT],opérations[MOIS],AT$2,opérations[CATEGORIE],$AR18)</f>
        <v>0</v>
      </c>
      <c r="AU18" s="27">
        <f>SUMIFS(opérations[DEBIT],opérations[MOIS],AU$2,opérations[CATEGORIE],$AR18)</f>
        <v>0</v>
      </c>
      <c r="AV18" s="27">
        <f>SUMIFS(opérations[DEBIT],opérations[MOIS],AV$2,opérations[CATEGORIE],$AR18)</f>
        <v>0</v>
      </c>
      <c r="AW18" s="27">
        <f>SUMIFS(opérations[DEBIT],opérations[MOIS],AW$2,opérations[CATEGORIE],$AR18)</f>
        <v>0</v>
      </c>
      <c r="AX18" s="27">
        <f>SUMIFS(opérations[DEBIT],opérations[MOIS],AX$2,opérations[CATEGORIE],$AR18)</f>
        <v>0</v>
      </c>
      <c r="AY18" s="27">
        <f>SUMIFS(opérations[DEBIT],opérations[MOIS],AY$2,opérations[CATEGORIE],$AR18)</f>
        <v>0</v>
      </c>
      <c r="AZ18" s="27">
        <f>SUMIFS(opérations[DEBIT],opérations[MOIS],AZ$2,opérations[CATEGORIE],$AR18)</f>
        <v>0</v>
      </c>
      <c r="BA18" s="27">
        <f>SUMIFS(opérations[DEBIT],opérations[MOIS],BA$2,opérations[CATEGORIE],$AR18)</f>
        <v>0</v>
      </c>
      <c r="BB18" s="27">
        <f>SUMIFS(opérations[DEBIT],opérations[MOIS],BB$2,opérations[CATEGORIE],$AR18)</f>
        <v>0</v>
      </c>
      <c r="BC18" s="27">
        <f>SUMIFS(opérations[DEBIT],opérations[MOIS],BC$2,opérations[CATEGORIE],$AR18)</f>
        <v>0</v>
      </c>
      <c r="BD18" s="27">
        <f>SUMIFS(opérations[DEBIT],opérations[MOIS],BD$2,opérations[CATEGORIE],$AR18)</f>
        <v>0</v>
      </c>
    </row>
    <row r="19" spans="1:56" ht="21.75" customHeight="1" x14ac:dyDescent="0.25">
      <c r="A19" s="37">
        <v>43468</v>
      </c>
      <c r="B19" s="38">
        <f>IF(opérations[[#This Row],[DATE]]="","",IF(B18="INDEX",1,B18+1))</f>
        <v>5</v>
      </c>
      <c r="C19" s="38">
        <f>IF(opérations[[#This Row],[DATE]]="","",MONTH(opérations[[#This Row],[DATE]]))</f>
        <v>1</v>
      </c>
      <c r="D19" s="38" t="s">
        <v>46</v>
      </c>
      <c r="E19" s="38" t="str">
        <f>IF(opérations[[#This Row],[DESCRIPTION]]="","",IFERROR(VLOOKUP(opérations[[#This Row],[DESCRIPTION]],LISTE[],2,FALSE),""))</f>
        <v>FACTURE</v>
      </c>
      <c r="F19" s="39"/>
      <c r="G19" s="39"/>
      <c r="I19" s="43">
        <v>43521</v>
      </c>
      <c r="J19" s="38">
        <v>98</v>
      </c>
      <c r="K19" s="38">
        <v>2</v>
      </c>
      <c r="L19" s="44" t="s">
        <v>112</v>
      </c>
      <c r="M19" s="38" t="s">
        <v>8</v>
      </c>
      <c r="N19" s="45"/>
      <c r="O19" s="45"/>
      <c r="Q19" s="60">
        <v>43498</v>
      </c>
      <c r="R19" s="58">
        <v>50</v>
      </c>
      <c r="S19" s="58">
        <v>2</v>
      </c>
      <c r="T19" s="58" t="s">
        <v>180</v>
      </c>
      <c r="U19" s="58" t="s">
        <v>181</v>
      </c>
      <c r="V19" s="59"/>
      <c r="W19" s="59"/>
      <c r="X19" s="16"/>
      <c r="Y19" s="16"/>
      <c r="Z19" s="16"/>
      <c r="AA19" s="16"/>
      <c r="AB19" s="16"/>
      <c r="AC19" s="16"/>
      <c r="AD19" s="16"/>
      <c r="AE19" s="33"/>
      <c r="AR19" s="25" t="s">
        <v>20</v>
      </c>
      <c r="AS19" s="27">
        <f>SUMIFS(opérations[DEBIT],opérations[MOIS],AS$2,opérations[CATEGORIE],$AR19)</f>
        <v>0</v>
      </c>
      <c r="AT19" s="27">
        <f>SUMIFS(opérations[DEBIT],opérations[MOIS],AT$2,opérations[CATEGORIE],$AR19)</f>
        <v>0</v>
      </c>
      <c r="AU19" s="27">
        <f>SUMIFS(opérations[DEBIT],opérations[MOIS],AU$2,opérations[CATEGORIE],$AR19)</f>
        <v>0</v>
      </c>
      <c r="AV19" s="27">
        <f>SUMIFS(opérations[DEBIT],opérations[MOIS],AV$2,opérations[CATEGORIE],$AR19)</f>
        <v>0</v>
      </c>
      <c r="AW19" s="27">
        <f>SUMIFS(opérations[DEBIT],opérations[MOIS],AW$2,opérations[CATEGORIE],$AR19)</f>
        <v>0</v>
      </c>
      <c r="AX19" s="27">
        <f>SUMIFS(opérations[DEBIT],opérations[MOIS],AX$2,opérations[CATEGORIE],$AR19)</f>
        <v>0</v>
      </c>
      <c r="AY19" s="27">
        <f>SUMIFS(opérations[DEBIT],opérations[MOIS],AY$2,opérations[CATEGORIE],$AR19)</f>
        <v>0</v>
      </c>
      <c r="AZ19" s="27">
        <f>SUMIFS(opérations[DEBIT],opérations[MOIS],AZ$2,opérations[CATEGORIE],$AR19)</f>
        <v>0</v>
      </c>
      <c r="BA19" s="27">
        <f>SUMIFS(opérations[DEBIT],opérations[MOIS],BA$2,opérations[CATEGORIE],$AR19)</f>
        <v>0</v>
      </c>
      <c r="BB19" s="27">
        <f>SUMIFS(opérations[DEBIT],opérations[MOIS],BB$2,opérations[CATEGORIE],$AR19)</f>
        <v>0</v>
      </c>
      <c r="BC19" s="27">
        <f>SUMIFS(opérations[DEBIT],opérations[MOIS],BC$2,opérations[CATEGORIE],$AR19)</f>
        <v>0</v>
      </c>
      <c r="BD19" s="27">
        <f>SUMIFS(opérations[DEBIT],opérations[MOIS],BD$2,opérations[CATEGORIE],$AR19)</f>
        <v>0</v>
      </c>
    </row>
    <row r="20" spans="1:56" ht="21.75" customHeight="1" x14ac:dyDescent="0.25">
      <c r="A20" s="37">
        <v>43469</v>
      </c>
      <c r="B20" s="38">
        <f>IF(opérations[[#This Row],[DATE]]="","",IF(B19="INDEX",1,B19+1))</f>
        <v>6</v>
      </c>
      <c r="C20" s="38">
        <f>IF(opérations[[#This Row],[DATE]]="","",MONTH(opérations[[#This Row],[DATE]]))</f>
        <v>1</v>
      </c>
      <c r="D20" s="38" t="s">
        <v>119</v>
      </c>
      <c r="E20" s="38" t="str">
        <f>IF(opérations[[#This Row],[DESCRIPTION]]="","",IFERROR(VLOOKUP(opérations[[#This Row],[DESCRIPTION]],LISTE[],2,FALSE),""))</f>
        <v>TRANSPORT</v>
      </c>
      <c r="F20" s="39"/>
      <c r="G20" s="39"/>
      <c r="I20" s="43">
        <v>43518</v>
      </c>
      <c r="J20" s="38">
        <v>97</v>
      </c>
      <c r="K20" s="38">
        <v>2</v>
      </c>
      <c r="L20" s="44" t="s">
        <v>150</v>
      </c>
      <c r="M20" s="38" t="s">
        <v>8</v>
      </c>
      <c r="N20" s="45"/>
      <c r="O20" s="45"/>
      <c r="Q20" s="60">
        <v>43467</v>
      </c>
      <c r="R20" s="58">
        <v>2</v>
      </c>
      <c r="S20" s="58">
        <v>1</v>
      </c>
      <c r="T20" s="58" t="s">
        <v>182</v>
      </c>
      <c r="U20" s="58" t="s">
        <v>183</v>
      </c>
      <c r="V20" s="59"/>
      <c r="W20" s="59"/>
      <c r="X20" s="16"/>
      <c r="Y20" s="16"/>
      <c r="Z20" s="16"/>
      <c r="AA20" s="16"/>
      <c r="AB20" s="16"/>
      <c r="AC20" s="16"/>
      <c r="AD20" s="16"/>
      <c r="AE20" s="33"/>
      <c r="AR20" s="25" t="s">
        <v>21</v>
      </c>
      <c r="AS20" s="27">
        <f>SUMIFS(opérations[DEBIT],opérations[MOIS],AS$2,opérations[CATEGORIE],$AR20)</f>
        <v>0</v>
      </c>
      <c r="AT20" s="27">
        <f>SUMIFS(opérations[DEBIT],opérations[MOIS],AT$2,opérations[CATEGORIE],$AR20)</f>
        <v>0</v>
      </c>
      <c r="AU20" s="27">
        <f>SUMIFS(opérations[DEBIT],opérations[MOIS],AU$2,opérations[CATEGORIE],$AR20)</f>
        <v>0</v>
      </c>
      <c r="AV20" s="27">
        <f>SUMIFS(opérations[DEBIT],opérations[MOIS],AV$2,opérations[CATEGORIE],$AR20)</f>
        <v>0</v>
      </c>
      <c r="AW20" s="27">
        <f>SUMIFS(opérations[DEBIT],opérations[MOIS],AW$2,opérations[CATEGORIE],$AR20)</f>
        <v>0</v>
      </c>
      <c r="AX20" s="27">
        <f>SUMIFS(opérations[DEBIT],opérations[MOIS],AX$2,opérations[CATEGORIE],$AR20)</f>
        <v>0</v>
      </c>
      <c r="AY20" s="27">
        <f>SUMIFS(opérations[DEBIT],opérations[MOIS],AY$2,opérations[CATEGORIE],$AR20)</f>
        <v>0</v>
      </c>
      <c r="AZ20" s="27">
        <f>SUMIFS(opérations[DEBIT],opérations[MOIS],AZ$2,opérations[CATEGORIE],$AR20)</f>
        <v>0</v>
      </c>
      <c r="BA20" s="27">
        <f>SUMIFS(opérations[DEBIT],opérations[MOIS],BA$2,opérations[CATEGORIE],$AR20)</f>
        <v>0</v>
      </c>
      <c r="BB20" s="27">
        <f>SUMIFS(opérations[DEBIT],opérations[MOIS],BB$2,opérations[CATEGORIE],$AR20)</f>
        <v>0</v>
      </c>
      <c r="BC20" s="27">
        <f>SUMIFS(opérations[DEBIT],opérations[MOIS],BC$2,opérations[CATEGORIE],$AR20)</f>
        <v>0</v>
      </c>
      <c r="BD20" s="27">
        <f>SUMIFS(opérations[DEBIT],opérations[MOIS],BD$2,opérations[CATEGORIE],$AR20)</f>
        <v>0</v>
      </c>
    </row>
    <row r="21" spans="1:56" ht="21.75" customHeight="1" x14ac:dyDescent="0.25">
      <c r="A21" s="37">
        <v>43469</v>
      </c>
      <c r="B21" s="38">
        <f>IF(opérations[[#This Row],[DATE]]="","",IF(B20="INDEX",1,B20+1))</f>
        <v>7</v>
      </c>
      <c r="C21" s="38">
        <f>IF(opérations[[#This Row],[DATE]]="","",MONTH(opérations[[#This Row],[DATE]]))</f>
        <v>1</v>
      </c>
      <c r="D21" s="38" t="s">
        <v>85</v>
      </c>
      <c r="E21" s="38" t="str">
        <f>IF(opérations[[#This Row],[DESCRIPTION]]="","",IFERROR(VLOOKUP(opérations[[#This Row],[DESCRIPTION]],LISTE[],2,FALSE),""))</f>
        <v>FACTURE</v>
      </c>
      <c r="F21" s="39"/>
      <c r="G21" s="39"/>
      <c r="I21" s="43">
        <v>43517</v>
      </c>
      <c r="J21" s="38">
        <v>96</v>
      </c>
      <c r="K21" s="38">
        <v>2</v>
      </c>
      <c r="L21" s="44" t="s">
        <v>42</v>
      </c>
      <c r="M21" s="38" t="s">
        <v>4</v>
      </c>
      <c r="N21" s="45"/>
      <c r="O21" s="45"/>
      <c r="Q21"/>
      <c r="R21"/>
      <c r="S21"/>
      <c r="T21"/>
      <c r="U21"/>
      <c r="V21"/>
      <c r="W21"/>
      <c r="X21" s="16"/>
      <c r="Y21" s="16"/>
      <c r="Z21" s="16"/>
      <c r="AA21" s="16"/>
      <c r="AB21" s="16"/>
      <c r="AC21" s="16"/>
      <c r="AD21" s="16"/>
      <c r="AE21" s="33"/>
      <c r="AR21" s="25" t="s">
        <v>16</v>
      </c>
      <c r="AS21" s="27">
        <f>SUMIFS(opérations[VERSEMENT],opérations[MOIS],AS$2,opérations[CATEGORIE],$AR21)</f>
        <v>0</v>
      </c>
      <c r="AT21" s="27">
        <f>SUMIFS(opérations[VERSEMENT],opérations[MOIS],AT$2,opérations[CATEGORIE],$AR21)</f>
        <v>0</v>
      </c>
      <c r="AU21" s="27">
        <f>SUMIFS(opérations[VERSEMENT],opérations[MOIS],AU$2,opérations[CATEGORIE],$AR21)</f>
        <v>0</v>
      </c>
      <c r="AV21" s="27">
        <f>SUMIFS(opérations[VERSEMENT],opérations[MOIS],AV$2,opérations[CATEGORIE],$AR21)</f>
        <v>0</v>
      </c>
      <c r="AW21" s="27">
        <f>SUMIFS(opérations[VERSEMENT],opérations[MOIS],AW$2,opérations[CATEGORIE],$AR21)</f>
        <v>0</v>
      </c>
      <c r="AX21" s="27">
        <f>SUMIFS(opérations[VERSEMENT],opérations[MOIS],AX$2,opérations[CATEGORIE],$AR21)</f>
        <v>0</v>
      </c>
      <c r="AY21" s="27">
        <f>SUMIFS(opérations[VERSEMENT],opérations[MOIS],AY$2,opérations[CATEGORIE],$AR21)</f>
        <v>0</v>
      </c>
      <c r="AZ21" s="27">
        <f>SUMIFS(opérations[VERSEMENT],opérations[MOIS],AZ$2,opérations[CATEGORIE],$AR21)</f>
        <v>0</v>
      </c>
      <c r="BA21" s="27">
        <f>SUMIFS(opérations[VERSEMENT],opérations[MOIS],BA$2,opérations[CATEGORIE],$AR21)</f>
        <v>0</v>
      </c>
      <c r="BB21" s="27">
        <f>SUMIFS(opérations[VERSEMENT],opérations[MOIS],BB$2,opérations[CATEGORIE],$AR21)</f>
        <v>0</v>
      </c>
      <c r="BC21" s="27">
        <f>SUMIFS(opérations[VERSEMENT],opérations[MOIS],BC$2,opérations[CATEGORIE],$AR21)</f>
        <v>0</v>
      </c>
      <c r="BD21" s="27">
        <f>SUMIFS(opérations[VERSEMENT],opérations[MOIS],BD$2,opérations[CATEGORIE],$AR21)</f>
        <v>0</v>
      </c>
    </row>
    <row r="22" spans="1:56" ht="21.75" customHeight="1" x14ac:dyDescent="0.25">
      <c r="A22" s="37">
        <v>43472</v>
      </c>
      <c r="B22" s="38">
        <f>IF(opérations[[#This Row],[DATE]]="","",IF(B21="INDEX",1,B21+1))</f>
        <v>8</v>
      </c>
      <c r="C22" s="38">
        <f>IF(opérations[[#This Row],[DATE]]="","",MONTH(opérations[[#This Row],[DATE]]))</f>
        <v>1</v>
      </c>
      <c r="D22" s="38" t="s">
        <v>78</v>
      </c>
      <c r="E22" s="38" t="str">
        <f>IF(opérations[[#This Row],[DESCRIPTION]]="","",IFERROR(VLOOKUP(opérations[[#This Row],[DESCRIPTION]],LISTE[],2,FALSE),""))</f>
        <v>TRANSPORT</v>
      </c>
      <c r="F22" s="39"/>
      <c r="G22" s="39"/>
      <c r="I22" s="40">
        <v>43516</v>
      </c>
      <c r="J22" s="38">
        <v>95</v>
      </c>
      <c r="K22" s="38">
        <v>2</v>
      </c>
      <c r="L22" s="41" t="s">
        <v>44</v>
      </c>
      <c r="M22" s="38" t="s">
        <v>8</v>
      </c>
      <c r="N22" s="42"/>
      <c r="O22" s="42"/>
      <c r="Q22"/>
      <c r="R22"/>
      <c r="S22"/>
      <c r="T22"/>
      <c r="U22"/>
      <c r="V22"/>
      <c r="W22"/>
      <c r="X22" s="16"/>
      <c r="Y22" s="16"/>
      <c r="Z22" s="16"/>
      <c r="AA22" s="16"/>
      <c r="AB22" s="16"/>
      <c r="AC22" s="16"/>
      <c r="AD22" s="16"/>
      <c r="AE22" s="33"/>
      <c r="AR22" s="25" t="s">
        <v>183</v>
      </c>
      <c r="AS22" s="27">
        <f>SUMIFS(opérations[DEBIT],opérations[MOIS],AS$2,opérations[CATEGORIE],$AR22)</f>
        <v>0</v>
      </c>
      <c r="AT22" s="27">
        <f>SUMIFS(opérations[DEBIT],opérations[MOIS],AT$2,opérations[CATEGORIE],$AR22)</f>
        <v>0</v>
      </c>
      <c r="AU22" s="27">
        <f>SUMIFS(opérations[DEBIT],opérations[MOIS],AU$2,opérations[CATEGORIE],$AR22)</f>
        <v>0</v>
      </c>
      <c r="AV22" s="27">
        <f>SUMIFS(opérations[DEBIT],opérations[MOIS],AV$2,opérations[CATEGORIE],$AR22)</f>
        <v>0</v>
      </c>
      <c r="AW22" s="27">
        <f>SUMIFS(opérations[DEBIT],opérations[MOIS],AW$2,opérations[CATEGORIE],$AR22)</f>
        <v>0</v>
      </c>
      <c r="AX22" s="27">
        <f>SUMIFS(opérations[DEBIT],opérations[MOIS],AX$2,opérations[CATEGORIE],$AR22)</f>
        <v>0</v>
      </c>
      <c r="AY22" s="27">
        <f>SUMIFS(opérations[DEBIT],opérations[MOIS],AY$2,opérations[CATEGORIE],$AR22)</f>
        <v>0</v>
      </c>
      <c r="AZ22" s="27">
        <f>SUMIFS(opérations[DEBIT],opérations[MOIS],AZ$2,opérations[CATEGORIE],$AR22)</f>
        <v>0</v>
      </c>
      <c r="BA22" s="27">
        <f>SUMIFS(opérations[DEBIT],opérations[MOIS],BA$2,opérations[CATEGORIE],$AR22)</f>
        <v>0</v>
      </c>
      <c r="BB22" s="27">
        <f>SUMIFS(opérations[DEBIT],opérations[MOIS],BB$2,opérations[CATEGORIE],$AR22)</f>
        <v>0</v>
      </c>
      <c r="BC22" s="27">
        <f>SUMIFS(opérations[DEBIT],opérations[MOIS],BC$2,opérations[CATEGORIE],$AR22)</f>
        <v>0</v>
      </c>
      <c r="BD22" s="27">
        <f>SUMIFS(opérations[DEBIT],opérations[MOIS],BD$2,opérations[CATEGORIE],$AR22)</f>
        <v>0</v>
      </c>
    </row>
    <row r="23" spans="1:56" ht="21.75" customHeight="1" x14ac:dyDescent="0.25">
      <c r="A23" s="37">
        <v>43473</v>
      </c>
      <c r="B23" s="38">
        <f>IF(opérations[[#This Row],[DATE]]="","",IF(B22="INDEX",1,B22+1))</f>
        <v>9</v>
      </c>
      <c r="C23" s="38">
        <f>IF(opérations[[#This Row],[DATE]]="","",MONTH(opérations[[#This Row],[DATE]]))</f>
        <v>1</v>
      </c>
      <c r="D23" s="38" t="s">
        <v>108</v>
      </c>
      <c r="E23" s="38" t="str">
        <f>IF(opérations[[#This Row],[DESCRIPTION]]="","",IFERROR(VLOOKUP(opérations[[#This Row],[DESCRIPTION]],LISTE[],2,FALSE),""))</f>
        <v>FACTURE</v>
      </c>
      <c r="F23" s="39"/>
      <c r="G23" s="39"/>
      <c r="I23" s="40">
        <v>43515</v>
      </c>
      <c r="J23" s="38">
        <v>94</v>
      </c>
      <c r="K23" s="38">
        <v>2</v>
      </c>
      <c r="L23" s="41" t="s">
        <v>143</v>
      </c>
      <c r="M23" s="38" t="s">
        <v>13</v>
      </c>
      <c r="N23" s="42"/>
      <c r="O23" s="42"/>
      <c r="Q23"/>
      <c r="R23"/>
      <c r="S23"/>
      <c r="T23"/>
      <c r="U23"/>
      <c r="V23"/>
      <c r="W23"/>
      <c r="X23" s="16"/>
      <c r="Y23" s="16"/>
      <c r="Z23" s="16"/>
      <c r="AA23" s="16"/>
      <c r="AB23" s="16"/>
      <c r="AC23" s="16"/>
      <c r="AD23" s="16"/>
      <c r="AE23" s="33"/>
      <c r="AR23" s="25" t="s">
        <v>181</v>
      </c>
      <c r="AS23" s="27">
        <f>SUMIFS(opérations[VERSEMENT],opérations[MOIS],AS$2,opérations[CATEGORIE],$AR23)</f>
        <v>0</v>
      </c>
      <c r="AT23" s="27">
        <f>SUMIFS(opérations[VERSEMENT],opérations[MOIS],AT$2,opérations[CATEGORIE],$AR23)</f>
        <v>0</v>
      </c>
      <c r="AU23" s="27">
        <f>SUMIFS(opérations[VERSEMENT],opérations[MOIS],AU$2,opérations[CATEGORIE],$AR23)</f>
        <v>0</v>
      </c>
      <c r="AV23" s="27">
        <f>SUMIFS(opérations[VERSEMENT],opérations[MOIS],AV$2,opérations[CATEGORIE],$AR23)</f>
        <v>0</v>
      </c>
      <c r="AW23" s="27">
        <f>SUMIFS(opérations[VERSEMENT],opérations[MOIS],AW$2,opérations[CATEGORIE],$AR23)</f>
        <v>0</v>
      </c>
      <c r="AX23" s="27">
        <f>SUMIFS(opérations[VERSEMENT],opérations[MOIS],AX$2,opérations[CATEGORIE],$AR23)</f>
        <v>0</v>
      </c>
      <c r="AY23" s="27">
        <f>SUMIFS(opérations[VERSEMENT],opérations[MOIS],AY$2,opérations[CATEGORIE],$AR23)</f>
        <v>0</v>
      </c>
      <c r="AZ23" s="27">
        <f>SUMIFS(opérations[VERSEMENT],opérations[MOIS],AZ$2,opérations[CATEGORIE],$AR23)</f>
        <v>0</v>
      </c>
      <c r="BA23" s="27">
        <f>SUMIFS(opérations[VERSEMENT],opérations[MOIS],BA$2,opérations[CATEGORIE],$AR23)</f>
        <v>0</v>
      </c>
      <c r="BB23" s="27">
        <f>SUMIFS(opérations[VERSEMENT],opérations[MOIS],BB$2,opérations[CATEGORIE],$AR23)</f>
        <v>0</v>
      </c>
      <c r="BC23" s="27">
        <f>SUMIFS(opérations[VERSEMENT],opérations[MOIS],BC$2,opérations[CATEGORIE],$AR23)</f>
        <v>0</v>
      </c>
      <c r="BD23" s="27">
        <f>SUMIFS(opérations[VERSEMENT],opérations[MOIS],BD$2,opérations[CATEGORIE],$AR23)</f>
        <v>0</v>
      </c>
    </row>
    <row r="24" spans="1:56" ht="21.75" customHeight="1" x14ac:dyDescent="0.25">
      <c r="A24" s="37">
        <v>43473</v>
      </c>
      <c r="B24" s="38">
        <f>IF(opérations[[#This Row],[DATE]]="","",IF(B23="INDEX",1,B23+1))</f>
        <v>10</v>
      </c>
      <c r="C24" s="38">
        <f>IF(opérations[[#This Row],[DATE]]="","",MONTH(opérations[[#This Row],[DATE]]))</f>
        <v>1</v>
      </c>
      <c r="D24" s="38" t="s">
        <v>92</v>
      </c>
      <c r="E24" s="38" t="str">
        <f>IF(opérations[[#This Row],[DESCRIPTION]]="","",IFERROR(VLOOKUP(opérations[[#This Row],[DESCRIPTION]],LISTE[],2,FALSE),""))</f>
        <v>CREDIT</v>
      </c>
      <c r="F24" s="39"/>
      <c r="G24" s="39"/>
      <c r="I24" s="40">
        <v>43515</v>
      </c>
      <c r="J24" s="38">
        <v>93</v>
      </c>
      <c r="K24" s="38">
        <v>2</v>
      </c>
      <c r="L24" s="38" t="s">
        <v>43</v>
      </c>
      <c r="M24" s="38" t="s">
        <v>7</v>
      </c>
      <c r="N24" s="42"/>
      <c r="O24" s="42"/>
      <c r="Q24"/>
      <c r="R24"/>
      <c r="S24"/>
      <c r="T24"/>
      <c r="U24"/>
      <c r="V24"/>
      <c r="W24"/>
      <c r="X24" s="16"/>
      <c r="Y24" s="16"/>
      <c r="Z24" s="16"/>
      <c r="AA24" s="16"/>
      <c r="AB24" s="16"/>
      <c r="AC24" s="16"/>
      <c r="AD24" s="16"/>
      <c r="AE24" s="33"/>
      <c r="AR24" s="25" t="s">
        <v>184</v>
      </c>
      <c r="AS24" s="27">
        <f>142.27+SUM(AS3,AS13,AS21,AS23)-SUM(AS4:AS12,AS14:AS20,AS22)</f>
        <v>142.27000000000001</v>
      </c>
      <c r="AT24" s="27">
        <f t="shared" ref="AT24:BD24" si="0">SUM(AS24,AT3,AT13,AT21,AT23)-SUM(AT4:AT12,AT14:AT20,AT22)</f>
        <v>142.27000000000001</v>
      </c>
      <c r="AU24" s="27">
        <f t="shared" si="0"/>
        <v>142.27000000000001</v>
      </c>
      <c r="AV24" s="27">
        <f t="shared" si="0"/>
        <v>142.27000000000001</v>
      </c>
      <c r="AW24" s="27">
        <f t="shared" si="0"/>
        <v>142.27000000000001</v>
      </c>
      <c r="AX24" s="27">
        <f t="shared" si="0"/>
        <v>142.27000000000001</v>
      </c>
      <c r="AY24" s="27">
        <f t="shared" si="0"/>
        <v>142.27000000000001</v>
      </c>
      <c r="AZ24" s="27">
        <f t="shared" si="0"/>
        <v>142.27000000000001</v>
      </c>
      <c r="BA24" s="27">
        <f t="shared" si="0"/>
        <v>142.27000000000001</v>
      </c>
      <c r="BB24" s="27">
        <f t="shared" si="0"/>
        <v>142.27000000000001</v>
      </c>
      <c r="BC24" s="27">
        <f t="shared" si="0"/>
        <v>142.27000000000001</v>
      </c>
      <c r="BD24" s="27">
        <f t="shared" si="0"/>
        <v>142.27000000000001</v>
      </c>
    </row>
    <row r="25" spans="1:56" x14ac:dyDescent="0.25">
      <c r="A25" s="37">
        <v>43473</v>
      </c>
      <c r="B25" s="38">
        <f>IF(opérations[[#This Row],[DATE]]="","",IF(B24="INDEX",1,B24+1))</f>
        <v>11</v>
      </c>
      <c r="C25" s="38">
        <f>IF(opérations[[#This Row],[DATE]]="","",MONTH(opérations[[#This Row],[DATE]]))</f>
        <v>1</v>
      </c>
      <c r="D25" s="38" t="s">
        <v>105</v>
      </c>
      <c r="E25" s="38" t="str">
        <f>IF(opérations[[#This Row],[DESCRIPTION]]="","",IFERROR(VLOOKUP(opérations[[#This Row],[DESCRIPTION]],LISTE[],2,FALSE),""))</f>
        <v>COURSE</v>
      </c>
      <c r="F25" s="39"/>
      <c r="G25" s="39"/>
      <c r="I25" s="40">
        <v>43514</v>
      </c>
      <c r="J25" s="38">
        <v>92</v>
      </c>
      <c r="K25" s="38">
        <v>2</v>
      </c>
      <c r="L25" s="41" t="s">
        <v>133</v>
      </c>
      <c r="M25" s="38" t="s">
        <v>14</v>
      </c>
      <c r="N25" s="42"/>
      <c r="O25" s="42"/>
      <c r="Q25"/>
      <c r="R25"/>
      <c r="S25"/>
      <c r="T25"/>
      <c r="U25"/>
      <c r="V25"/>
      <c r="W25"/>
      <c r="X25" s="16"/>
      <c r="Y25" s="16"/>
      <c r="Z25" s="16"/>
      <c r="AA25" s="16"/>
      <c r="AB25" s="16"/>
      <c r="AC25" s="16"/>
      <c r="AD25" s="16"/>
      <c r="AE25" s="33"/>
      <c r="AR25" s="25" t="s">
        <v>185</v>
      </c>
      <c r="AS25" s="27">
        <f>16.61+AS22-AS23</f>
        <v>16.61</v>
      </c>
      <c r="AT25" s="27">
        <f>AS25+AT22-AT23</f>
        <v>16.61</v>
      </c>
      <c r="AU25" s="27">
        <f t="shared" ref="AU25:BD25" si="1">AT25+AU22-AU23</f>
        <v>16.61</v>
      </c>
      <c r="AV25" s="27">
        <f t="shared" si="1"/>
        <v>16.61</v>
      </c>
      <c r="AW25" s="27">
        <f t="shared" si="1"/>
        <v>16.61</v>
      </c>
      <c r="AX25" s="27">
        <f t="shared" si="1"/>
        <v>16.61</v>
      </c>
      <c r="AY25" s="27">
        <f t="shared" si="1"/>
        <v>16.61</v>
      </c>
      <c r="AZ25" s="27">
        <f t="shared" si="1"/>
        <v>16.61</v>
      </c>
      <c r="BA25" s="27">
        <f t="shared" si="1"/>
        <v>16.61</v>
      </c>
      <c r="BB25" s="27">
        <f t="shared" si="1"/>
        <v>16.61</v>
      </c>
      <c r="BC25" s="27">
        <f t="shared" si="1"/>
        <v>16.61</v>
      </c>
      <c r="BD25" s="27">
        <f t="shared" si="1"/>
        <v>16.61</v>
      </c>
    </row>
    <row r="26" spans="1:56" x14ac:dyDescent="0.25">
      <c r="A26" s="37">
        <v>43473</v>
      </c>
      <c r="B26" s="38">
        <f>IF(opérations[[#This Row],[DATE]]="","",IF(B25="INDEX",1,B25+1))</f>
        <v>12</v>
      </c>
      <c r="C26" s="38">
        <f>IF(opérations[[#This Row],[DATE]]="","",MONTH(opérations[[#This Row],[DATE]]))</f>
        <v>1</v>
      </c>
      <c r="D26" s="38" t="s">
        <v>128</v>
      </c>
      <c r="E26" s="38" t="str">
        <f>IF(opérations[[#This Row],[DESCRIPTION]]="","",IFERROR(VLOOKUP(opérations[[#This Row],[DESCRIPTION]],LISTE[],2,FALSE),""))</f>
        <v>RECU</v>
      </c>
      <c r="F26" s="39"/>
      <c r="G26" s="39"/>
      <c r="I26" s="40">
        <v>43514</v>
      </c>
      <c r="J26" s="38">
        <v>91</v>
      </c>
      <c r="K26" s="38">
        <v>2</v>
      </c>
      <c r="L26" s="41" t="s">
        <v>154</v>
      </c>
      <c r="M26" s="38" t="s">
        <v>6</v>
      </c>
      <c r="N26" s="42"/>
      <c r="O26" s="42"/>
      <c r="Q26"/>
      <c r="R26"/>
      <c r="S26"/>
      <c r="T26"/>
      <c r="U26"/>
      <c r="V26"/>
      <c r="W26"/>
      <c r="AE26" s="33"/>
    </row>
    <row r="27" spans="1:56" x14ac:dyDescent="0.25">
      <c r="A27" s="37">
        <v>43474</v>
      </c>
      <c r="B27" s="38">
        <f>IF(opérations[[#This Row],[DATE]]="","",IF(B26="INDEX",1,B26+1))</f>
        <v>13</v>
      </c>
      <c r="C27" s="38">
        <f>IF(opérations[[#This Row],[DATE]]="","",MONTH(opérations[[#This Row],[DATE]]))</f>
        <v>1</v>
      </c>
      <c r="D27" s="38" t="s">
        <v>136</v>
      </c>
      <c r="E27" s="38" t="str">
        <f>IF(opérations[[#This Row],[DESCRIPTION]]="","",IFERROR(VLOOKUP(opérations[[#This Row],[DESCRIPTION]],LISTE[],2,FALSE),""))</f>
        <v>LOISIRS</v>
      </c>
      <c r="F27" s="39"/>
      <c r="G27" s="39"/>
      <c r="I27" s="40">
        <v>43514</v>
      </c>
      <c r="J27" s="38">
        <v>90</v>
      </c>
      <c r="K27" s="38">
        <v>2</v>
      </c>
      <c r="L27" s="41" t="s">
        <v>110</v>
      </c>
      <c r="M27" s="38" t="s">
        <v>8</v>
      </c>
      <c r="N27" s="42"/>
      <c r="O27" s="42"/>
      <c r="Q27"/>
      <c r="R27"/>
      <c r="S27"/>
      <c r="T27"/>
      <c r="U27"/>
      <c r="V27"/>
      <c r="W27"/>
      <c r="AE27" s="33"/>
    </row>
    <row r="28" spans="1:56" x14ac:dyDescent="0.25">
      <c r="A28" s="37">
        <v>43475</v>
      </c>
      <c r="B28" s="38">
        <f>IF(opérations[[#This Row],[DATE]]="","",IF(B27="INDEX",1,B27+1))</f>
        <v>14</v>
      </c>
      <c r="C28" s="38">
        <f>IF(opérations[[#This Row],[DATE]]="","",MONTH(opérations[[#This Row],[DATE]]))</f>
        <v>1</v>
      </c>
      <c r="D28" s="38" t="s">
        <v>120</v>
      </c>
      <c r="E28" s="38" t="str">
        <f>IF(opérations[[#This Row],[DESCRIPTION]]="","",IFERROR(VLOOKUP(opérations[[#This Row],[DESCRIPTION]],LISTE[],2,FALSE),""))</f>
        <v>CREDIT</v>
      </c>
      <c r="F28" s="39"/>
      <c r="G28" s="39"/>
      <c r="I28" s="40">
        <v>43514</v>
      </c>
      <c r="J28" s="38">
        <v>89</v>
      </c>
      <c r="K28" s="38">
        <v>2</v>
      </c>
      <c r="L28" s="44" t="s">
        <v>48</v>
      </c>
      <c r="M28" s="38" t="s">
        <v>11</v>
      </c>
      <c r="N28" s="42"/>
      <c r="O28" s="42"/>
      <c r="Q28"/>
      <c r="R28"/>
      <c r="S28"/>
      <c r="T28"/>
      <c r="U28"/>
      <c r="V28"/>
      <c r="W28"/>
      <c r="AE28" s="33"/>
    </row>
    <row r="29" spans="1:56" x14ac:dyDescent="0.25">
      <c r="A29" s="37">
        <v>43475</v>
      </c>
      <c r="B29" s="38">
        <f>IF(opérations[[#This Row],[DATE]]="","",IF(B28="INDEX",1,B28+1))</f>
        <v>15</v>
      </c>
      <c r="C29" s="38">
        <f>IF(opérations[[#This Row],[DATE]]="","",MONTH(opérations[[#This Row],[DATE]]))</f>
        <v>1</v>
      </c>
      <c r="D29" s="38" t="s">
        <v>102</v>
      </c>
      <c r="E29" s="38" t="str">
        <f>IF(opérations[[#This Row],[DESCRIPTION]]="","",IFERROR(VLOOKUP(opérations[[#This Row],[DESCRIPTION]],LISTE[],2,FALSE),""))</f>
        <v>RESTAURATION</v>
      </c>
      <c r="F29" s="39"/>
      <c r="G29" s="39"/>
      <c r="I29" s="40">
        <v>43514</v>
      </c>
      <c r="J29" s="38">
        <v>88</v>
      </c>
      <c r="K29" s="38">
        <v>2</v>
      </c>
      <c r="L29" s="44" t="s">
        <v>140</v>
      </c>
      <c r="M29" s="38" t="s">
        <v>19</v>
      </c>
      <c r="N29" s="42"/>
      <c r="O29" s="42"/>
      <c r="Q29"/>
      <c r="R29"/>
      <c r="S29"/>
      <c r="T29"/>
      <c r="U29"/>
      <c r="V29"/>
      <c r="W29"/>
    </row>
    <row r="30" spans="1:56" x14ac:dyDescent="0.25">
      <c r="A30" s="37">
        <v>43479</v>
      </c>
      <c r="B30" s="38">
        <f>IF(opérations[[#This Row],[DATE]]="","",IF(B29="INDEX",1,B29+1))</f>
        <v>16</v>
      </c>
      <c r="C30" s="38">
        <f>IF(opérations[[#This Row],[DATE]]="","",MONTH(opérations[[#This Row],[DATE]]))</f>
        <v>1</v>
      </c>
      <c r="D30" s="38" t="s">
        <v>116</v>
      </c>
      <c r="E30" s="38" t="str">
        <f>IF(opérations[[#This Row],[DESCRIPTION]]="","",IFERROR(VLOOKUP(opérations[[#This Row],[DESCRIPTION]],LISTE[],2,FALSE),""))</f>
        <v>RESTAURATION</v>
      </c>
      <c r="F30" s="39"/>
      <c r="G30" s="39"/>
      <c r="I30" s="40">
        <v>43514</v>
      </c>
      <c r="J30" s="38">
        <v>87</v>
      </c>
      <c r="K30" s="38">
        <v>2</v>
      </c>
      <c r="L30" s="44" t="s">
        <v>139</v>
      </c>
      <c r="M30" s="38" t="s">
        <v>19</v>
      </c>
      <c r="N30" s="42"/>
      <c r="O30" s="42"/>
      <c r="Q30"/>
      <c r="R30"/>
      <c r="S30"/>
      <c r="T30"/>
      <c r="U30"/>
      <c r="V30"/>
      <c r="W30"/>
    </row>
    <row r="31" spans="1:56" x14ac:dyDescent="0.25">
      <c r="A31" s="37">
        <v>43479</v>
      </c>
      <c r="B31" s="38">
        <f>IF(opérations[[#This Row],[DATE]]="","",IF(B30="INDEX",1,B30+1))</f>
        <v>17</v>
      </c>
      <c r="C31" s="38">
        <f>IF(opérations[[#This Row],[DATE]]="","",MONTH(opérations[[#This Row],[DATE]]))</f>
        <v>1</v>
      </c>
      <c r="D31" s="38" t="s">
        <v>53</v>
      </c>
      <c r="E31" s="38" t="str">
        <f>IF(opérations[[#This Row],[DESCRIPTION]]="","",IFERROR(VLOOKUP(opérations[[#This Row],[DESCRIPTION]],LISTE[],2,FALSE),""))</f>
        <v>TRANSPORT</v>
      </c>
      <c r="F31" s="39"/>
      <c r="G31" s="39"/>
      <c r="I31" s="40">
        <v>43514</v>
      </c>
      <c r="J31" s="38">
        <v>86</v>
      </c>
      <c r="K31" s="38">
        <v>2</v>
      </c>
      <c r="L31" s="41" t="s">
        <v>103</v>
      </c>
      <c r="M31" s="38" t="s">
        <v>15</v>
      </c>
      <c r="N31" s="42"/>
      <c r="O31" s="42"/>
      <c r="Q31"/>
      <c r="R31"/>
      <c r="S31"/>
      <c r="T31"/>
      <c r="U31"/>
      <c r="V31"/>
      <c r="W31"/>
    </row>
    <row r="32" spans="1:56" x14ac:dyDescent="0.25">
      <c r="A32" s="37">
        <v>43479</v>
      </c>
      <c r="B32" s="38">
        <f>IF(opérations[[#This Row],[DATE]]="","",IF(B31="INDEX",1,B31+1))</f>
        <v>18</v>
      </c>
      <c r="C32" s="38">
        <f>IF(opérations[[#This Row],[DATE]]="","",MONTH(opérations[[#This Row],[DATE]]))</f>
        <v>1</v>
      </c>
      <c r="D32" s="38" t="s">
        <v>86</v>
      </c>
      <c r="E32" s="38" t="str">
        <f>IF(opérations[[#This Row],[DESCRIPTION]]="","",IFERROR(VLOOKUP(opérations[[#This Row],[DESCRIPTION]],LISTE[],2,FALSE),""))</f>
        <v>COURSE</v>
      </c>
      <c r="F32" s="39"/>
      <c r="G32" s="39"/>
      <c r="I32" s="40">
        <v>43514</v>
      </c>
      <c r="J32" s="38">
        <v>85</v>
      </c>
      <c r="K32" s="38">
        <v>2</v>
      </c>
      <c r="L32" s="41" t="s">
        <v>103</v>
      </c>
      <c r="M32" s="38" t="s">
        <v>15</v>
      </c>
      <c r="N32" s="42"/>
      <c r="O32" s="42"/>
      <c r="Q32"/>
      <c r="R32"/>
      <c r="S32"/>
      <c r="T32"/>
      <c r="U32"/>
      <c r="V32"/>
      <c r="W32"/>
    </row>
    <row r="33" spans="1:23" x14ac:dyDescent="0.25">
      <c r="A33" s="37">
        <v>43479</v>
      </c>
      <c r="B33" s="38">
        <f>IF(opérations[[#This Row],[DATE]]="","",IF(B32="INDEX",1,B32+1))</f>
        <v>19</v>
      </c>
      <c r="C33" s="38">
        <f>IF(opérations[[#This Row],[DATE]]="","",MONTH(opérations[[#This Row],[DATE]]))</f>
        <v>1</v>
      </c>
      <c r="D33" s="38" t="s">
        <v>140</v>
      </c>
      <c r="E33" s="38" t="str">
        <f>IF(opérations[[#This Row],[DESCRIPTION]]="","",IFERROR(VLOOKUP(opérations[[#This Row],[DESCRIPTION]],LISTE[],2,FALSE),""))</f>
        <v>TRANSPORT</v>
      </c>
      <c r="F33" s="39"/>
      <c r="G33" s="39"/>
      <c r="I33" s="40">
        <v>43514</v>
      </c>
      <c r="J33" s="38">
        <v>84</v>
      </c>
      <c r="K33" s="38">
        <v>2</v>
      </c>
      <c r="L33" s="44" t="s">
        <v>55</v>
      </c>
      <c r="M33" s="38" t="s">
        <v>15</v>
      </c>
      <c r="N33" s="42"/>
      <c r="O33" s="42"/>
      <c r="Q33"/>
      <c r="R33"/>
      <c r="S33"/>
      <c r="T33"/>
      <c r="U33"/>
      <c r="V33"/>
      <c r="W33"/>
    </row>
    <row r="34" spans="1:23" x14ac:dyDescent="0.25">
      <c r="A34" s="37">
        <v>43480</v>
      </c>
      <c r="B34" s="38">
        <f>IF(opérations[[#This Row],[DATE]]="","",IF(B33="INDEX",1,B33+1))</f>
        <v>20</v>
      </c>
      <c r="C34" s="38">
        <f>IF(opérations[[#This Row],[DATE]]="","",MONTH(opérations[[#This Row],[DATE]]))</f>
        <v>1</v>
      </c>
      <c r="D34" s="38" t="s">
        <v>117</v>
      </c>
      <c r="E34" s="38" t="str">
        <f>IF(opérations[[#This Row],[DESCRIPTION]]="","",IFERROR(VLOOKUP(opérations[[#This Row],[DESCRIPTION]],LISTE[],2,FALSE),""))</f>
        <v>FACTURE</v>
      </c>
      <c r="F34" s="39"/>
      <c r="G34" s="39"/>
      <c r="I34" s="40">
        <v>43514</v>
      </c>
      <c r="J34" s="38">
        <v>83</v>
      </c>
      <c r="K34" s="38">
        <v>2</v>
      </c>
      <c r="L34" s="44" t="s">
        <v>43</v>
      </c>
      <c r="M34" s="38" t="s">
        <v>7</v>
      </c>
      <c r="N34" s="42"/>
      <c r="O34" s="42"/>
      <c r="Q34"/>
      <c r="R34"/>
      <c r="S34"/>
      <c r="T34"/>
      <c r="U34"/>
      <c r="V34"/>
      <c r="W34"/>
    </row>
    <row r="35" spans="1:23" x14ac:dyDescent="0.25">
      <c r="A35" s="37">
        <v>43481</v>
      </c>
      <c r="B35" s="38">
        <f>IF(opérations[[#This Row],[DATE]]="","",IF(B34="INDEX",1,B34+1))</f>
        <v>21</v>
      </c>
      <c r="C35" s="38">
        <f>IF(opérations[[#This Row],[DATE]]="","",MONTH(opérations[[#This Row],[DATE]]))</f>
        <v>1</v>
      </c>
      <c r="D35" s="38" t="s">
        <v>143</v>
      </c>
      <c r="E35" s="38" t="str">
        <f>IF(opérations[[#This Row],[DESCRIPTION]]="","",IFERROR(VLOOKUP(opérations[[#This Row],[DESCRIPTION]],LISTE[],2,FALSE),""))</f>
        <v>RECU</v>
      </c>
      <c r="F35" s="39"/>
      <c r="G35" s="39"/>
      <c r="I35" s="40">
        <v>43514</v>
      </c>
      <c r="J35" s="38">
        <v>82</v>
      </c>
      <c r="K35" s="38">
        <v>2</v>
      </c>
      <c r="L35" s="41" t="s">
        <v>63</v>
      </c>
      <c r="M35" s="38" t="s">
        <v>15</v>
      </c>
      <c r="N35" s="42"/>
      <c r="O35" s="42"/>
      <c r="Q35"/>
      <c r="R35"/>
      <c r="S35"/>
      <c r="T35"/>
      <c r="U35"/>
      <c r="V35"/>
      <c r="W35"/>
    </row>
    <row r="36" spans="1:23" x14ac:dyDescent="0.25">
      <c r="A36" s="37">
        <v>43481</v>
      </c>
      <c r="B36" s="38">
        <f>IF(opérations[[#This Row],[DATE]]="","",IF(B35="INDEX",1,B35+1))</f>
        <v>22</v>
      </c>
      <c r="C36" s="38">
        <f>IF(opérations[[#This Row],[DATE]]="","",MONTH(opérations[[#This Row],[DATE]]))</f>
        <v>1</v>
      </c>
      <c r="D36" s="38" t="s">
        <v>59</v>
      </c>
      <c r="E36" s="38" t="str">
        <f>IF(opérations[[#This Row],[DESCRIPTION]]="","",IFERROR(VLOOKUP(opérations[[#This Row],[DESCRIPTION]],LISTE[],2,FALSE),""))</f>
        <v>RESTAURATION</v>
      </c>
      <c r="F36" s="39"/>
      <c r="G36" s="39"/>
      <c r="I36" s="40">
        <v>43514</v>
      </c>
      <c r="J36" s="38">
        <v>81</v>
      </c>
      <c r="K36" s="38">
        <v>2</v>
      </c>
      <c r="L36" s="41" t="s">
        <v>60</v>
      </c>
      <c r="M36" s="38" t="s">
        <v>5</v>
      </c>
      <c r="N36" s="42"/>
      <c r="O36" s="42"/>
      <c r="Q36"/>
      <c r="R36"/>
      <c r="S36"/>
      <c r="T36"/>
      <c r="U36"/>
      <c r="V36"/>
      <c r="W36"/>
    </row>
    <row r="37" spans="1:23" x14ac:dyDescent="0.25">
      <c r="A37" s="37">
        <v>43482</v>
      </c>
      <c r="B37" s="38">
        <f>IF(opérations[[#This Row],[DATE]]="","",IF(B36="INDEX",1,B36+1))</f>
        <v>23</v>
      </c>
      <c r="C37" s="38">
        <f>IF(opérations[[#This Row],[DATE]]="","",MONTH(opérations[[#This Row],[DATE]]))</f>
        <v>1</v>
      </c>
      <c r="D37" s="38" t="s">
        <v>47</v>
      </c>
      <c r="E37" s="38" t="str">
        <f>IF(opérations[[#This Row],[DESCRIPTION]]="","",IFERROR(VLOOKUP(opérations[[#This Row],[DESCRIPTION]],LISTE[],2,FALSE),""))</f>
        <v>FACTURE</v>
      </c>
      <c r="F37" s="39"/>
      <c r="G37" s="39"/>
      <c r="I37" s="40">
        <v>43514</v>
      </c>
      <c r="J37" s="38">
        <v>80</v>
      </c>
      <c r="K37" s="38">
        <v>2</v>
      </c>
      <c r="L37" s="41" t="s">
        <v>60</v>
      </c>
      <c r="M37" s="38" t="s">
        <v>5</v>
      </c>
      <c r="N37" s="42"/>
      <c r="O37" s="42"/>
      <c r="Q37"/>
      <c r="R37"/>
      <c r="S37"/>
      <c r="T37"/>
      <c r="U37"/>
      <c r="V37"/>
      <c r="W37"/>
    </row>
    <row r="38" spans="1:23" x14ac:dyDescent="0.25">
      <c r="A38" s="37">
        <v>43482</v>
      </c>
      <c r="B38" s="38">
        <f>IF(opérations[[#This Row],[DATE]]="","",IF(B37="INDEX",1,B37+1))</f>
        <v>24</v>
      </c>
      <c r="C38" s="38">
        <f>IF(opérations[[#This Row],[DATE]]="","",MONTH(opérations[[#This Row],[DATE]]))</f>
        <v>1</v>
      </c>
      <c r="D38" s="38" t="s">
        <v>97</v>
      </c>
      <c r="E38" s="38" t="str">
        <f>IF(opérations[[#This Row],[DESCRIPTION]]="","",IFERROR(VLOOKUP(opérations[[#This Row],[DESCRIPTION]],LISTE[],2,FALSE),""))</f>
        <v>COURSE</v>
      </c>
      <c r="F38" s="39"/>
      <c r="G38" s="39"/>
      <c r="I38" s="40">
        <v>43514</v>
      </c>
      <c r="J38" s="38">
        <v>79</v>
      </c>
      <c r="K38" s="38">
        <v>2</v>
      </c>
      <c r="L38" s="41" t="s">
        <v>47</v>
      </c>
      <c r="M38" s="38" t="s">
        <v>8</v>
      </c>
      <c r="N38" s="42"/>
      <c r="O38" s="42"/>
      <c r="Q38"/>
      <c r="R38"/>
      <c r="S38"/>
      <c r="T38"/>
      <c r="U38"/>
      <c r="V38"/>
      <c r="W38"/>
    </row>
    <row r="39" spans="1:23" x14ac:dyDescent="0.25">
      <c r="A39" s="37">
        <v>43482</v>
      </c>
      <c r="B39" s="38">
        <f>IF(opérations[[#This Row],[DATE]]="","",IF(B38="INDEX",1,B38+1))</f>
        <v>25</v>
      </c>
      <c r="C39" s="38">
        <f>IF(opérations[[#This Row],[DATE]]="","",MONTH(opérations[[#This Row],[DATE]]))</f>
        <v>1</v>
      </c>
      <c r="D39" s="38" t="s">
        <v>154</v>
      </c>
      <c r="E39" s="38" t="str">
        <f>IF(opérations[[#This Row],[DESCRIPTION]]="","",IFERROR(VLOOKUP(opérations[[#This Row],[DESCRIPTION]],LISTE[],2,FALSE),""))</f>
        <v>CREDIT</v>
      </c>
      <c r="F39" s="39"/>
      <c r="G39" s="39"/>
      <c r="I39" s="40">
        <v>43511</v>
      </c>
      <c r="J39" s="38">
        <v>78</v>
      </c>
      <c r="K39" s="38">
        <v>2</v>
      </c>
      <c r="L39" s="41" t="s">
        <v>155</v>
      </c>
      <c r="M39" s="38" t="s">
        <v>13</v>
      </c>
      <c r="N39" s="42"/>
      <c r="O39" s="42"/>
      <c r="Q39"/>
      <c r="R39"/>
      <c r="S39"/>
      <c r="T39"/>
      <c r="U39"/>
      <c r="V39"/>
      <c r="W39"/>
    </row>
    <row r="40" spans="1:23" x14ac:dyDescent="0.25">
      <c r="A40" s="37">
        <v>43482</v>
      </c>
      <c r="B40" s="38">
        <f>IF(opérations[[#This Row],[DATE]]="","",IF(B39="INDEX",1,B39+1))</f>
        <v>26</v>
      </c>
      <c r="C40" s="38">
        <f>IF(opérations[[#This Row],[DATE]]="","",MONTH(opérations[[#This Row],[DATE]]))</f>
        <v>1</v>
      </c>
      <c r="D40" s="38" t="s">
        <v>60</v>
      </c>
      <c r="E40" s="38" t="str">
        <f>IF(opérations[[#This Row],[DESCRIPTION]]="","",IFERROR(VLOOKUP(opérations[[#This Row],[DESCRIPTION]],LISTE[],2,FALSE),""))</f>
        <v>COURSE</v>
      </c>
      <c r="F40" s="39"/>
      <c r="G40" s="39"/>
      <c r="I40" s="40">
        <v>43511</v>
      </c>
      <c r="J40" s="38">
        <v>77</v>
      </c>
      <c r="K40" s="38">
        <v>2</v>
      </c>
      <c r="L40" s="41" t="s">
        <v>101</v>
      </c>
      <c r="M40" s="38" t="s">
        <v>15</v>
      </c>
      <c r="N40" s="42"/>
      <c r="O40" s="42"/>
      <c r="Q40"/>
      <c r="R40"/>
      <c r="S40"/>
      <c r="T40"/>
      <c r="U40"/>
      <c r="V40"/>
      <c r="W40"/>
    </row>
    <row r="41" spans="1:23" x14ac:dyDescent="0.25">
      <c r="A41" s="37">
        <v>43482</v>
      </c>
      <c r="B41" s="38">
        <f>IF(opérations[[#This Row],[DATE]]="","",IF(B40="INDEX",1,B40+1))</f>
        <v>27</v>
      </c>
      <c r="C41" s="38">
        <f>IF(opérations[[#This Row],[DATE]]="","",MONTH(opérations[[#This Row],[DATE]]))</f>
        <v>1</v>
      </c>
      <c r="D41" s="38" t="s">
        <v>45</v>
      </c>
      <c r="E41" s="38" t="str">
        <f>IF(opérations[[#This Row],[DESCRIPTION]]="","",IFERROR(VLOOKUP(opérations[[#This Row],[DESCRIPTION]],LISTE[],2,FALSE),""))</f>
        <v>LOISIRS</v>
      </c>
      <c r="F41" s="39"/>
      <c r="G41" s="39"/>
      <c r="I41" s="40">
        <v>43510</v>
      </c>
      <c r="J41" s="38">
        <v>76</v>
      </c>
      <c r="K41" s="38">
        <v>2</v>
      </c>
      <c r="L41" s="41" t="s">
        <v>86</v>
      </c>
      <c r="M41" s="38" t="s">
        <v>5</v>
      </c>
      <c r="N41" s="42"/>
      <c r="O41" s="42"/>
      <c r="Q41"/>
      <c r="R41"/>
      <c r="S41"/>
      <c r="T41"/>
      <c r="U41"/>
      <c r="V41"/>
      <c r="W41"/>
    </row>
    <row r="42" spans="1:23" x14ac:dyDescent="0.25">
      <c r="A42" s="37">
        <v>43482</v>
      </c>
      <c r="B42" s="38">
        <f>IF(opérations[[#This Row],[DATE]]="","",IF(B41="INDEX",1,B41+1))</f>
        <v>28</v>
      </c>
      <c r="C42" s="38">
        <f>IF(opérations[[#This Row],[DATE]]="","",MONTH(opérations[[#This Row],[DATE]]))</f>
        <v>1</v>
      </c>
      <c r="D42" s="38" t="s">
        <v>140</v>
      </c>
      <c r="E42" s="38" t="str">
        <f>IF(opérations[[#This Row],[DESCRIPTION]]="","",IFERROR(VLOOKUP(opérations[[#This Row],[DESCRIPTION]],LISTE[],2,FALSE),""))</f>
        <v>TRANSPORT</v>
      </c>
      <c r="F42" s="39"/>
      <c r="G42" s="39"/>
      <c r="I42" s="40">
        <v>43510</v>
      </c>
      <c r="J42" s="38">
        <v>75</v>
      </c>
      <c r="K42" s="38">
        <v>2</v>
      </c>
      <c r="L42" s="41" t="s">
        <v>97</v>
      </c>
      <c r="M42" s="38" t="s">
        <v>5</v>
      </c>
      <c r="N42" s="42"/>
      <c r="O42" s="42"/>
      <c r="Q42"/>
      <c r="R42"/>
      <c r="S42"/>
      <c r="T42"/>
      <c r="U42"/>
      <c r="V42"/>
      <c r="W42"/>
    </row>
    <row r="43" spans="1:23" x14ac:dyDescent="0.25">
      <c r="A43" s="37">
        <v>43482</v>
      </c>
      <c r="B43" s="38">
        <f>IF(opérations[[#This Row],[DATE]]="","",IF(B42="INDEX",1,B42+1))</f>
        <v>29</v>
      </c>
      <c r="C43" s="38">
        <f>IF(opérations[[#This Row],[DATE]]="","",MONTH(opérations[[#This Row],[DATE]]))</f>
        <v>1</v>
      </c>
      <c r="D43" s="38" t="s">
        <v>110</v>
      </c>
      <c r="E43" s="38" t="str">
        <f>IF(opérations[[#This Row],[DESCRIPTION]]="","",IFERROR(VLOOKUP(opérations[[#This Row],[DESCRIPTION]],LISTE[],2,FALSE),""))</f>
        <v>FACTURE</v>
      </c>
      <c r="F43" s="39"/>
      <c r="G43" s="39"/>
      <c r="I43" s="40">
        <v>43510</v>
      </c>
      <c r="J43" s="38">
        <v>74</v>
      </c>
      <c r="K43" s="38">
        <v>2</v>
      </c>
      <c r="L43" s="41" t="s">
        <v>97</v>
      </c>
      <c r="M43" s="38" t="s">
        <v>5</v>
      </c>
      <c r="N43" s="42"/>
      <c r="O43" s="42"/>
      <c r="Q43"/>
      <c r="R43"/>
      <c r="S43"/>
      <c r="T43"/>
      <c r="U43"/>
      <c r="V43"/>
      <c r="W43"/>
    </row>
    <row r="44" spans="1:23" x14ac:dyDescent="0.25">
      <c r="A44" s="37">
        <v>43483</v>
      </c>
      <c r="B44" s="38">
        <f>IF(opérations[[#This Row],[DATE]]="","",IF(B43="INDEX",1,B43+1))</f>
        <v>30</v>
      </c>
      <c r="C44" s="38">
        <f>IF(opérations[[#This Row],[DATE]]="","",MONTH(opérations[[#This Row],[DATE]]))</f>
        <v>1</v>
      </c>
      <c r="D44" s="38" t="s">
        <v>60</v>
      </c>
      <c r="E44" s="38" t="str">
        <f>IF(opérations[[#This Row],[DESCRIPTION]]="","",IFERROR(VLOOKUP(opérations[[#This Row],[DESCRIPTION]],LISTE[],2,FALSE),""))</f>
        <v>COURSE</v>
      </c>
      <c r="F44" s="39"/>
      <c r="G44" s="39"/>
      <c r="I44" s="40">
        <v>43509</v>
      </c>
      <c r="J44" s="38">
        <v>73</v>
      </c>
      <c r="K44" s="38">
        <v>2</v>
      </c>
      <c r="L44" s="41" t="s">
        <v>55</v>
      </c>
      <c r="M44" s="38" t="s">
        <v>15</v>
      </c>
      <c r="N44" s="42"/>
      <c r="O44" s="42"/>
      <c r="Q44"/>
      <c r="R44"/>
      <c r="S44"/>
      <c r="T44"/>
      <c r="U44"/>
      <c r="V44"/>
      <c r="W44"/>
    </row>
    <row r="45" spans="1:23" x14ac:dyDescent="0.25">
      <c r="A45" s="37">
        <v>43483</v>
      </c>
      <c r="B45" s="38">
        <f>IF(opérations[[#This Row],[DATE]]="","",IF(B44="INDEX",1,B44+1))</f>
        <v>31</v>
      </c>
      <c r="C45" s="38">
        <f>IF(opérations[[#This Row],[DATE]]="","",MONTH(opérations[[#This Row],[DATE]]))</f>
        <v>1</v>
      </c>
      <c r="D45" s="38" t="s">
        <v>116</v>
      </c>
      <c r="E45" s="38" t="str">
        <f>IF(opérations[[#This Row],[DESCRIPTION]]="","",IFERROR(VLOOKUP(opérations[[#This Row],[DESCRIPTION]],LISTE[],2,FALSE),""))</f>
        <v>RESTAURATION</v>
      </c>
      <c r="F45" s="39"/>
      <c r="G45" s="39"/>
      <c r="I45" s="40">
        <v>43508</v>
      </c>
      <c r="J45" s="38">
        <v>72</v>
      </c>
      <c r="K45" s="38">
        <v>2</v>
      </c>
      <c r="L45" s="41" t="s">
        <v>43</v>
      </c>
      <c r="M45" s="38" t="s">
        <v>7</v>
      </c>
      <c r="N45" s="42"/>
      <c r="O45" s="42"/>
      <c r="Q45"/>
      <c r="R45"/>
      <c r="S45"/>
      <c r="T45"/>
      <c r="U45"/>
      <c r="V45"/>
      <c r="W45"/>
    </row>
    <row r="46" spans="1:23" x14ac:dyDescent="0.25">
      <c r="A46" s="37">
        <v>43483</v>
      </c>
      <c r="B46" s="38">
        <f>IF(opérations[[#This Row],[DATE]]="","",IF(B45="INDEX",1,B45+1))</f>
        <v>32</v>
      </c>
      <c r="C46" s="38">
        <f>IF(opérations[[#This Row],[DATE]]="","",MONTH(opérations[[#This Row],[DATE]]))</f>
        <v>1</v>
      </c>
      <c r="D46" s="38" t="s">
        <v>118</v>
      </c>
      <c r="E46" s="38" t="str">
        <f>IF(opérations[[#This Row],[DESCRIPTION]]="","",IFERROR(VLOOKUP(opérations[[#This Row],[DESCRIPTION]],LISTE[],2,FALSE),""))</f>
        <v>LOISIRS</v>
      </c>
      <c r="F46" s="39"/>
      <c r="G46" s="39"/>
      <c r="I46" s="40">
        <v>43508</v>
      </c>
      <c r="J46" s="38">
        <v>71</v>
      </c>
      <c r="K46" s="38">
        <v>2</v>
      </c>
      <c r="L46" s="41" t="s">
        <v>97</v>
      </c>
      <c r="M46" s="38" t="s">
        <v>5</v>
      </c>
      <c r="N46" s="42"/>
      <c r="O46" s="42"/>
      <c r="Q46"/>
      <c r="R46"/>
      <c r="S46"/>
      <c r="T46"/>
      <c r="U46"/>
      <c r="V46"/>
      <c r="W46"/>
    </row>
    <row r="47" spans="1:23" x14ac:dyDescent="0.25">
      <c r="A47" s="37">
        <v>43483</v>
      </c>
      <c r="B47" s="38">
        <f>IF(opérations[[#This Row],[DATE]]="","",IF(B46="INDEX",1,B46+1))</f>
        <v>33</v>
      </c>
      <c r="C47" s="38">
        <f>IF(opérations[[#This Row],[DATE]]="","",MONTH(opérations[[#This Row],[DATE]]))</f>
        <v>1</v>
      </c>
      <c r="D47" s="38" t="s">
        <v>65</v>
      </c>
      <c r="E47" s="38" t="str">
        <f>IF(opérations[[#This Row],[DESCRIPTION]]="","",IFERROR(VLOOKUP(opérations[[#This Row],[DESCRIPTION]],LISTE[],2,FALSE),""))</f>
        <v>PERSONNEL</v>
      </c>
      <c r="F47" s="39"/>
      <c r="G47" s="39"/>
      <c r="I47" s="40">
        <v>43507</v>
      </c>
      <c r="J47" s="38">
        <v>70</v>
      </c>
      <c r="K47" s="38">
        <v>2</v>
      </c>
      <c r="L47" s="41" t="s">
        <v>78</v>
      </c>
      <c r="M47" s="38" t="s">
        <v>19</v>
      </c>
      <c r="N47" s="42"/>
      <c r="O47" s="42"/>
      <c r="Q47"/>
      <c r="R47"/>
      <c r="S47"/>
      <c r="T47"/>
      <c r="U47"/>
      <c r="V47"/>
      <c r="W47"/>
    </row>
    <row r="48" spans="1:23" x14ac:dyDescent="0.25">
      <c r="A48" s="37">
        <v>43486</v>
      </c>
      <c r="B48" s="38">
        <f>IF(opérations[[#This Row],[DATE]]="","",IF(B47="INDEX",1,B47+1))</f>
        <v>34</v>
      </c>
      <c r="C48" s="38">
        <f>IF(opérations[[#This Row],[DATE]]="","",MONTH(opérations[[#This Row],[DATE]]))</f>
        <v>1</v>
      </c>
      <c r="D48" s="38" t="s">
        <v>136</v>
      </c>
      <c r="E48" s="38" t="str">
        <f>IF(opérations[[#This Row],[DESCRIPTION]]="","",IFERROR(VLOOKUP(opérations[[#This Row],[DESCRIPTION]],LISTE[],2,FALSE),""))</f>
        <v>LOISIRS</v>
      </c>
      <c r="F48" s="39"/>
      <c r="G48" s="39"/>
      <c r="I48" s="40">
        <v>43507</v>
      </c>
      <c r="J48" s="38">
        <v>69</v>
      </c>
      <c r="K48" s="38">
        <v>2</v>
      </c>
      <c r="L48" s="41" t="s">
        <v>137</v>
      </c>
      <c r="M48" s="38" t="s">
        <v>5</v>
      </c>
      <c r="N48" s="42"/>
      <c r="O48" s="42"/>
      <c r="Q48"/>
      <c r="R48"/>
      <c r="S48"/>
      <c r="T48"/>
      <c r="U48"/>
      <c r="V48"/>
      <c r="W48"/>
    </row>
    <row r="49" spans="1:23" x14ac:dyDescent="0.25">
      <c r="A49" s="37">
        <v>43486</v>
      </c>
      <c r="B49" s="38">
        <f>IF(opérations[[#This Row],[DATE]]="","",IF(B48="INDEX",1,B48+1))</f>
        <v>35</v>
      </c>
      <c r="C49" s="38">
        <f>IF(opérations[[#This Row],[DATE]]="","",MONTH(opérations[[#This Row],[DATE]]))</f>
        <v>1</v>
      </c>
      <c r="D49" s="38" t="s">
        <v>105</v>
      </c>
      <c r="E49" s="38" t="str">
        <f>IF(opérations[[#This Row],[DESCRIPTION]]="","",IFERROR(VLOOKUP(opérations[[#This Row],[DESCRIPTION]],LISTE[],2,FALSE),""))</f>
        <v>COURSE</v>
      </c>
      <c r="F49" s="39"/>
      <c r="G49" s="39"/>
      <c r="I49" s="40">
        <v>43507</v>
      </c>
      <c r="J49" s="38">
        <v>68</v>
      </c>
      <c r="K49" s="38">
        <v>2</v>
      </c>
      <c r="L49" s="41" t="s">
        <v>119</v>
      </c>
      <c r="M49" s="38" t="s">
        <v>19</v>
      </c>
      <c r="N49" s="42"/>
      <c r="O49" s="42"/>
      <c r="Q49"/>
      <c r="R49"/>
      <c r="S49"/>
      <c r="T49"/>
      <c r="U49"/>
      <c r="V49"/>
      <c r="W49"/>
    </row>
    <row r="50" spans="1:23" x14ac:dyDescent="0.25">
      <c r="A50" s="37">
        <v>43486</v>
      </c>
      <c r="B50" s="38">
        <f>IF(opérations[[#This Row],[DATE]]="","",IF(B49="INDEX",1,B49+1))</f>
        <v>36</v>
      </c>
      <c r="C50" s="38">
        <f>IF(opérations[[#This Row],[DATE]]="","",MONTH(opérations[[#This Row],[DATE]]))</f>
        <v>1</v>
      </c>
      <c r="D50" s="38" t="s">
        <v>97</v>
      </c>
      <c r="E50" s="38" t="str">
        <f>IF(opérations[[#This Row],[DESCRIPTION]]="","",IFERROR(VLOOKUP(opérations[[#This Row],[DESCRIPTION]],LISTE[],2,FALSE),""))</f>
        <v>COURSE</v>
      </c>
      <c r="F50" s="39"/>
      <c r="G50" s="39"/>
      <c r="I50" s="40">
        <v>43507</v>
      </c>
      <c r="J50" s="38">
        <v>67</v>
      </c>
      <c r="K50" s="38">
        <v>2</v>
      </c>
      <c r="L50" s="41" t="s">
        <v>60</v>
      </c>
      <c r="M50" s="38" t="s">
        <v>5</v>
      </c>
      <c r="N50" s="42"/>
      <c r="O50" s="42"/>
      <c r="Q50"/>
      <c r="R50"/>
      <c r="S50"/>
      <c r="T50"/>
      <c r="U50"/>
      <c r="V50"/>
      <c r="W50"/>
    </row>
    <row r="51" spans="1:23" x14ac:dyDescent="0.25">
      <c r="A51" s="37">
        <v>43486</v>
      </c>
      <c r="B51" s="38">
        <f>IF(opérations[[#This Row],[DATE]]="","",IF(B50="INDEX",1,B50+1))</f>
        <v>37</v>
      </c>
      <c r="C51" s="38">
        <f>IF(opérations[[#This Row],[DATE]]="","",MONTH(opérations[[#This Row],[DATE]]))</f>
        <v>1</v>
      </c>
      <c r="D51" s="38" t="s">
        <v>44</v>
      </c>
      <c r="E51" s="38" t="str">
        <f>IF(opérations[[#This Row],[DESCRIPTION]]="","",IFERROR(VLOOKUP(opérations[[#This Row],[DESCRIPTION]],LISTE[],2,FALSE),""))</f>
        <v>FACTURE</v>
      </c>
      <c r="F51" s="39"/>
      <c r="G51" s="39"/>
      <c r="I51" s="40">
        <v>43506</v>
      </c>
      <c r="J51" s="38">
        <v>66</v>
      </c>
      <c r="K51" s="38">
        <v>2</v>
      </c>
      <c r="L51" s="41" t="s">
        <v>120</v>
      </c>
      <c r="M51" s="38" t="s">
        <v>6</v>
      </c>
      <c r="N51" s="42"/>
      <c r="O51" s="42"/>
      <c r="Q51"/>
      <c r="R51"/>
      <c r="S51"/>
      <c r="T51"/>
      <c r="U51"/>
      <c r="V51"/>
      <c r="W51"/>
    </row>
    <row r="52" spans="1:23" x14ac:dyDescent="0.25">
      <c r="A52" s="37">
        <v>43486</v>
      </c>
      <c r="B52" s="38">
        <f>IF(opérations[[#This Row],[DATE]]="","",IF(B51="INDEX",1,B51+1))</f>
        <v>38</v>
      </c>
      <c r="C52" s="38">
        <f>IF(opérations[[#This Row],[DATE]]="","",MONTH(opérations[[#This Row],[DATE]]))</f>
        <v>1</v>
      </c>
      <c r="D52" s="38" t="s">
        <v>119</v>
      </c>
      <c r="E52" s="38" t="str">
        <f>IF(opérations[[#This Row],[DESCRIPTION]]="","",IFERROR(VLOOKUP(opérations[[#This Row],[DESCRIPTION]],LISTE[],2,FALSE),""))</f>
        <v>TRANSPORT</v>
      </c>
      <c r="F52" s="39"/>
      <c r="G52" s="39"/>
      <c r="I52" s="40">
        <v>43504</v>
      </c>
      <c r="J52" s="38">
        <v>65</v>
      </c>
      <c r="K52" s="38">
        <v>2</v>
      </c>
      <c r="L52" s="41" t="s">
        <v>92</v>
      </c>
      <c r="M52" s="38" t="s">
        <v>6</v>
      </c>
      <c r="N52" s="42"/>
      <c r="O52" s="42"/>
      <c r="Q52"/>
      <c r="R52"/>
      <c r="S52"/>
      <c r="T52"/>
      <c r="U52"/>
      <c r="V52"/>
      <c r="W52"/>
    </row>
    <row r="53" spans="1:23" x14ac:dyDescent="0.25">
      <c r="A53" s="37">
        <v>43486</v>
      </c>
      <c r="B53" s="38">
        <f>IF(opérations[[#This Row],[DATE]]="","",IF(B52="INDEX",1,B52+1))</f>
        <v>39</v>
      </c>
      <c r="C53" s="38">
        <f>IF(opérations[[#This Row],[DATE]]="","",MONTH(opérations[[#This Row],[DATE]]))</f>
        <v>1</v>
      </c>
      <c r="D53" s="38" t="s">
        <v>48</v>
      </c>
      <c r="E53" s="38" t="str">
        <f>IF(opérations[[#This Row],[DESCRIPTION]]="","",IFERROR(VLOOKUP(opérations[[#This Row],[DESCRIPTION]],LISTE[],2,FALSE),""))</f>
        <v>LOISIRS</v>
      </c>
      <c r="F53" s="39"/>
      <c r="G53" s="39"/>
      <c r="I53" s="40">
        <v>43504</v>
      </c>
      <c r="J53" s="38">
        <v>64</v>
      </c>
      <c r="K53" s="38">
        <v>2</v>
      </c>
      <c r="L53" s="41" t="s">
        <v>108</v>
      </c>
      <c r="M53" s="38" t="s">
        <v>8</v>
      </c>
      <c r="N53" s="42"/>
      <c r="O53" s="42"/>
      <c r="Q53"/>
      <c r="R53"/>
      <c r="S53"/>
      <c r="T53"/>
      <c r="U53"/>
      <c r="V53"/>
      <c r="W53"/>
    </row>
    <row r="54" spans="1:23" x14ac:dyDescent="0.25">
      <c r="A54" s="37">
        <v>43486</v>
      </c>
      <c r="B54" s="38">
        <f>IF(opérations[[#This Row],[DATE]]="","",IF(B53="INDEX",1,B53+1))</f>
        <v>40</v>
      </c>
      <c r="C54" s="38">
        <f>IF(opérations[[#This Row],[DATE]]="","",MONTH(opérations[[#This Row],[DATE]]))</f>
        <v>1</v>
      </c>
      <c r="D54" s="38" t="s">
        <v>140</v>
      </c>
      <c r="E54" s="38" t="str">
        <f>IF(opérations[[#This Row],[DESCRIPTION]]="","",IFERROR(VLOOKUP(opérations[[#This Row],[DESCRIPTION]],LISTE[],2,FALSE),""))</f>
        <v>TRANSPORT</v>
      </c>
      <c r="F54" s="39"/>
      <c r="G54" s="39"/>
      <c r="I54" s="40">
        <v>43503</v>
      </c>
      <c r="J54" s="38">
        <v>63</v>
      </c>
      <c r="K54" s="38">
        <v>2</v>
      </c>
      <c r="L54" s="41" t="s">
        <v>48</v>
      </c>
      <c r="M54" s="38" t="s">
        <v>11</v>
      </c>
      <c r="N54" s="42"/>
      <c r="O54" s="42"/>
      <c r="Q54"/>
      <c r="R54"/>
      <c r="S54"/>
      <c r="T54"/>
      <c r="U54"/>
      <c r="V54"/>
      <c r="W54"/>
    </row>
    <row r="55" spans="1:23" x14ac:dyDescent="0.25">
      <c r="A55" s="37">
        <v>43486</v>
      </c>
      <c r="B55" s="38">
        <f>IF(opérations[[#This Row],[DATE]]="","",IF(B54="INDEX",1,B54+1))</f>
        <v>41</v>
      </c>
      <c r="C55" s="38">
        <f>IF(opérations[[#This Row],[DATE]]="","",MONTH(opérations[[#This Row],[DATE]]))</f>
        <v>1</v>
      </c>
      <c r="D55" s="38" t="s">
        <v>45</v>
      </c>
      <c r="E55" s="38" t="str">
        <f>IF(opérations[[#This Row],[DESCRIPTION]]="","",IFERROR(VLOOKUP(opérations[[#This Row],[DESCRIPTION]],LISTE[],2,FALSE),""))</f>
        <v>LOISIRS</v>
      </c>
      <c r="F55" s="39"/>
      <c r="G55" s="39"/>
      <c r="I55" s="40">
        <v>43502</v>
      </c>
      <c r="J55" s="38">
        <v>62</v>
      </c>
      <c r="K55" s="38">
        <v>2</v>
      </c>
      <c r="L55" s="41" t="s">
        <v>85</v>
      </c>
      <c r="M55" s="38" t="s">
        <v>8</v>
      </c>
      <c r="N55" s="42"/>
      <c r="O55" s="42"/>
      <c r="Q55"/>
      <c r="R55"/>
      <c r="S55"/>
      <c r="T55"/>
      <c r="U55"/>
      <c r="V55"/>
      <c r="W55"/>
    </row>
    <row r="56" spans="1:23" x14ac:dyDescent="0.25">
      <c r="A56" s="37">
        <v>43487</v>
      </c>
      <c r="B56" s="38">
        <f>IF(opérations[[#This Row],[DATE]]="","",IF(B55="INDEX",1,B55+1))</f>
        <v>42</v>
      </c>
      <c r="C56" s="38">
        <f>IF(opérations[[#This Row],[DATE]]="","",MONTH(opérations[[#This Row],[DATE]]))</f>
        <v>1</v>
      </c>
      <c r="D56" s="38" t="s">
        <v>150</v>
      </c>
      <c r="E56" s="38" t="str">
        <f>IF(opérations[[#This Row],[DESCRIPTION]]="","",IFERROR(VLOOKUP(opérations[[#This Row],[DESCRIPTION]],LISTE[],2,FALSE),""))</f>
        <v>FACTURE</v>
      </c>
      <c r="F56" s="39"/>
      <c r="G56" s="39"/>
      <c r="I56" s="40">
        <v>43502</v>
      </c>
      <c r="J56" s="38">
        <v>61</v>
      </c>
      <c r="K56" s="38">
        <v>2</v>
      </c>
      <c r="L56" s="44" t="s">
        <v>156</v>
      </c>
      <c r="M56" s="38" t="s">
        <v>7</v>
      </c>
      <c r="N56" s="42"/>
      <c r="O56" s="42"/>
      <c r="Q56"/>
      <c r="R56"/>
      <c r="S56"/>
      <c r="T56"/>
      <c r="U56"/>
      <c r="V56"/>
      <c r="W56"/>
    </row>
    <row r="57" spans="1:23" x14ac:dyDescent="0.25">
      <c r="A57" s="37">
        <v>43489</v>
      </c>
      <c r="B57" s="38">
        <f>IF(opérations[[#This Row],[DATE]]="","",IF(B56="INDEX",1,B56+1))</f>
        <v>43</v>
      </c>
      <c r="C57" s="38">
        <f>IF(opérations[[#This Row],[DATE]]="","",MONTH(opérations[[#This Row],[DATE]]))</f>
        <v>1</v>
      </c>
      <c r="D57" s="38" t="s">
        <v>112</v>
      </c>
      <c r="E57" s="38" t="str">
        <f>IF(opérations[[#This Row],[DESCRIPTION]]="","",IFERROR(VLOOKUP(opérations[[#This Row],[DESCRIPTION]],LISTE[],2,FALSE),""))</f>
        <v>FACTURE</v>
      </c>
      <c r="F57" s="39"/>
      <c r="G57" s="39"/>
      <c r="I57" s="40">
        <v>43502</v>
      </c>
      <c r="J57" s="38">
        <v>60</v>
      </c>
      <c r="K57" s="38">
        <v>2</v>
      </c>
      <c r="L57" s="44" t="s">
        <v>182</v>
      </c>
      <c r="M57" s="38" t="s">
        <v>183</v>
      </c>
      <c r="N57" s="42"/>
      <c r="O57" s="42"/>
      <c r="Q57"/>
      <c r="R57"/>
      <c r="S57"/>
      <c r="T57"/>
      <c r="U57"/>
      <c r="V57"/>
      <c r="W57"/>
    </row>
    <row r="58" spans="1:23" x14ac:dyDescent="0.25">
      <c r="A58" s="37">
        <v>43493</v>
      </c>
      <c r="B58" s="38">
        <f>IF(opérations[[#This Row],[DATE]]="","",IF(B57="INDEX",1,B57+1))</f>
        <v>44</v>
      </c>
      <c r="C58" s="38">
        <f>IF(opérations[[#This Row],[DATE]]="","",MONTH(opérations[[#This Row],[DATE]]))</f>
        <v>1</v>
      </c>
      <c r="D58" s="38" t="s">
        <v>60</v>
      </c>
      <c r="E58" s="38" t="str">
        <f>IF(opérations[[#This Row],[DESCRIPTION]]="","",IFERROR(VLOOKUP(opérations[[#This Row],[DESCRIPTION]],LISTE[],2,FALSE),""))</f>
        <v>COURSE</v>
      </c>
      <c r="F58" s="39"/>
      <c r="G58" s="39"/>
      <c r="I58" s="40">
        <v>43502</v>
      </c>
      <c r="J58" s="38">
        <v>59</v>
      </c>
      <c r="K58" s="38">
        <v>2</v>
      </c>
      <c r="L58" s="44" t="s">
        <v>134</v>
      </c>
      <c r="M58" s="38" t="s">
        <v>16</v>
      </c>
      <c r="N58" s="42"/>
      <c r="O58" s="42"/>
      <c r="Q58"/>
      <c r="R58"/>
      <c r="S58"/>
      <c r="T58"/>
      <c r="U58"/>
      <c r="V58"/>
      <c r="W58"/>
    </row>
    <row r="59" spans="1:23" x14ac:dyDescent="0.25">
      <c r="A59" s="37">
        <v>43493</v>
      </c>
      <c r="B59" s="38">
        <f>IF(opérations[[#This Row],[DATE]]="","",IF(B58="INDEX",1,B58+1))</f>
        <v>45</v>
      </c>
      <c r="C59" s="38">
        <f>IF(opérations[[#This Row],[DATE]]="","",MONTH(opérations[[#This Row],[DATE]]))</f>
        <v>1</v>
      </c>
      <c r="D59" s="38" t="s">
        <v>53</v>
      </c>
      <c r="E59" s="38" t="str">
        <f>IF(opérations[[#This Row],[DESCRIPTION]]="","",IFERROR(VLOOKUP(opérations[[#This Row],[DESCRIPTION]],LISTE[],2,FALSE),""))</f>
        <v>TRANSPORT</v>
      </c>
      <c r="F59" s="39"/>
      <c r="G59" s="39"/>
      <c r="I59" s="40">
        <v>43501</v>
      </c>
      <c r="J59" s="38">
        <v>58</v>
      </c>
      <c r="K59" s="38">
        <v>2</v>
      </c>
      <c r="L59" s="44" t="s">
        <v>55</v>
      </c>
      <c r="M59" s="38" t="s">
        <v>15</v>
      </c>
      <c r="N59" s="42"/>
      <c r="O59" s="42"/>
      <c r="Q59"/>
      <c r="R59"/>
      <c r="S59"/>
      <c r="T59"/>
      <c r="U59"/>
      <c r="V59"/>
      <c r="W59"/>
    </row>
    <row r="60" spans="1:23" x14ac:dyDescent="0.25">
      <c r="A60" s="37">
        <v>43493</v>
      </c>
      <c r="B60" s="38">
        <f>IF(opérations[[#This Row],[DATE]]="","",IF(B59="INDEX",1,B59+1))</f>
        <v>46</v>
      </c>
      <c r="C60" s="38">
        <f>IF(opérations[[#This Row],[DATE]]="","",MONTH(opérations[[#This Row],[DATE]]))</f>
        <v>1</v>
      </c>
      <c r="D60" s="38" t="s">
        <v>136</v>
      </c>
      <c r="E60" s="38" t="str">
        <f>IF(opérations[[#This Row],[DESCRIPTION]]="","",IFERROR(VLOOKUP(opérations[[#This Row],[DESCRIPTION]],LISTE[],2,FALSE),""))</f>
        <v>LOISIRS</v>
      </c>
      <c r="F60" s="39"/>
      <c r="G60" s="39"/>
      <c r="I60" s="40">
        <v>43500</v>
      </c>
      <c r="J60" s="38">
        <v>57</v>
      </c>
      <c r="K60" s="38">
        <v>2</v>
      </c>
      <c r="L60" s="41" t="s">
        <v>46</v>
      </c>
      <c r="M60" s="38" t="s">
        <v>8</v>
      </c>
      <c r="N60" s="42"/>
      <c r="O60" s="42"/>
      <c r="Q60"/>
      <c r="R60"/>
      <c r="S60"/>
      <c r="T60"/>
      <c r="U60"/>
      <c r="V60"/>
      <c r="W60"/>
    </row>
    <row r="61" spans="1:23" x14ac:dyDescent="0.25">
      <c r="A61" s="37">
        <v>43493</v>
      </c>
      <c r="B61" s="38">
        <f>IF(opérations[[#This Row],[DATE]]="","",IF(B60="INDEX",1,B60+1))</f>
        <v>47</v>
      </c>
      <c r="C61" s="38">
        <f>IF(opérations[[#This Row],[DATE]]="","",MONTH(opérations[[#This Row],[DATE]]))</f>
        <v>1</v>
      </c>
      <c r="D61" s="38" t="s">
        <v>140</v>
      </c>
      <c r="E61" s="38" t="str">
        <f>IF(opérations[[#This Row],[DESCRIPTION]]="","",IFERROR(VLOOKUP(opérations[[#This Row],[DESCRIPTION]],LISTE[],2,FALSE),""))</f>
        <v>TRANSPORT</v>
      </c>
      <c r="F61" s="39"/>
      <c r="G61" s="39"/>
      <c r="I61" s="40">
        <v>43500</v>
      </c>
      <c r="J61" s="38">
        <v>56</v>
      </c>
      <c r="K61" s="38">
        <v>2</v>
      </c>
      <c r="L61" s="41" t="s">
        <v>67</v>
      </c>
      <c r="M61" s="38" t="s">
        <v>8</v>
      </c>
      <c r="N61" s="42"/>
      <c r="O61" s="42"/>
      <c r="Q61"/>
      <c r="R61"/>
      <c r="S61"/>
      <c r="T61"/>
      <c r="U61"/>
      <c r="V61"/>
      <c r="W61"/>
    </row>
    <row r="62" spans="1:23" x14ac:dyDescent="0.25">
      <c r="A62" s="37">
        <v>43493</v>
      </c>
      <c r="B62" s="38">
        <f>IF(opérations[[#This Row],[DATE]]="","",IF(B61="INDEX",1,B61+1))</f>
        <v>48</v>
      </c>
      <c r="C62" s="38">
        <f>IF(opérations[[#This Row],[DATE]]="","",MONTH(opérations[[#This Row],[DATE]]))</f>
        <v>1</v>
      </c>
      <c r="D62" s="38" t="s">
        <v>139</v>
      </c>
      <c r="E62" s="38" t="str">
        <f>IF(opérations[[#This Row],[DESCRIPTION]]="","",IFERROR(VLOOKUP(opérations[[#This Row],[DESCRIPTION]],LISTE[],2,FALSE),""))</f>
        <v>TRANSPORT</v>
      </c>
      <c r="F62" s="39"/>
      <c r="G62" s="39"/>
      <c r="I62" s="40">
        <v>43500</v>
      </c>
      <c r="J62" s="38">
        <v>55</v>
      </c>
      <c r="K62" s="38">
        <v>2</v>
      </c>
      <c r="L62" s="41" t="s">
        <v>156</v>
      </c>
      <c r="M62" s="38" t="s">
        <v>7</v>
      </c>
      <c r="N62" s="42"/>
      <c r="O62" s="42"/>
      <c r="Q62"/>
      <c r="R62"/>
      <c r="S62"/>
      <c r="T62"/>
      <c r="U62"/>
      <c r="V62"/>
      <c r="W62"/>
    </row>
    <row r="63" spans="1:23" x14ac:dyDescent="0.25">
      <c r="A63" s="37">
        <v>43493</v>
      </c>
      <c r="B63" s="38">
        <f>IF(opérations[[#This Row],[DATE]]="","",IF(B62="INDEX",1,B62+1))</f>
        <v>49</v>
      </c>
      <c r="C63" s="38">
        <f>IF(opérations[[#This Row],[DATE]]="","",MONTH(opérations[[#This Row],[DATE]]))</f>
        <v>1</v>
      </c>
      <c r="D63" s="38" t="s">
        <v>140</v>
      </c>
      <c r="E63" s="38" t="str">
        <f>IF(opérations[[#This Row],[DESCRIPTION]]="","",IFERROR(VLOOKUP(opérations[[#This Row],[DESCRIPTION]],LISTE[],2,FALSE),""))</f>
        <v>TRANSPORT</v>
      </c>
      <c r="F63" s="39"/>
      <c r="G63" s="39"/>
      <c r="I63" s="40">
        <v>43500</v>
      </c>
      <c r="J63" s="38">
        <v>54</v>
      </c>
      <c r="K63" s="38">
        <v>2</v>
      </c>
      <c r="L63" s="41" t="s">
        <v>153</v>
      </c>
      <c r="M63" s="38" t="s">
        <v>15</v>
      </c>
      <c r="N63" s="42"/>
      <c r="O63" s="42"/>
      <c r="Q63"/>
      <c r="R63"/>
      <c r="S63"/>
      <c r="T63"/>
      <c r="U63"/>
      <c r="V63"/>
      <c r="W63"/>
    </row>
    <row r="64" spans="1:23" x14ac:dyDescent="0.25">
      <c r="A64" s="43">
        <v>43498</v>
      </c>
      <c r="B64" s="38">
        <f>IF(opérations[[#This Row],[DATE]]="","",IF(B63="INDEX",1,B63+1))</f>
        <v>50</v>
      </c>
      <c r="C64" s="38">
        <f>IF(opérations[[#This Row],[DATE]]="","",MONTH(opérations[[#This Row],[DATE]]))</f>
        <v>2</v>
      </c>
      <c r="D64" s="44" t="s">
        <v>180</v>
      </c>
      <c r="E64" s="38" t="str">
        <f>IF(opérations[[#This Row],[DESCRIPTION]]="","",IFERROR(VLOOKUP(opérations[[#This Row],[DESCRIPTION]],LISTE[],2,FALSE),""))</f>
        <v>RETRAIT LJMO</v>
      </c>
      <c r="F64" s="45"/>
      <c r="G64" s="45"/>
      <c r="I64" s="40">
        <v>43500</v>
      </c>
      <c r="J64" s="38">
        <v>53</v>
      </c>
      <c r="K64" s="38">
        <v>2</v>
      </c>
      <c r="L64" s="41" t="s">
        <v>48</v>
      </c>
      <c r="M64" s="38" t="s">
        <v>11</v>
      </c>
      <c r="N64" s="42"/>
      <c r="O64" s="42"/>
      <c r="Q64"/>
      <c r="R64"/>
      <c r="S64"/>
      <c r="T64"/>
      <c r="U64"/>
      <c r="V64"/>
      <c r="W64"/>
    </row>
    <row r="65" spans="1:23" x14ac:dyDescent="0.25">
      <c r="A65" s="43">
        <v>43499</v>
      </c>
      <c r="B65" s="38">
        <f>IF(opérations[[#This Row],[DATE]]="","",IF(B64="INDEX",1,B64+1))</f>
        <v>51</v>
      </c>
      <c r="C65" s="38">
        <f>IF(opérations[[#This Row],[DATE]]="","",MONTH(opérations[[#This Row],[DATE]]))</f>
        <v>2</v>
      </c>
      <c r="D65" s="44" t="s">
        <v>180</v>
      </c>
      <c r="E65" s="38" t="str">
        <f>IF(opérations[[#This Row],[DESCRIPTION]]="","",IFERROR(VLOOKUP(opérations[[#This Row],[DESCRIPTION]],LISTE[],2,FALSE),""))</f>
        <v>RETRAIT LJMO</v>
      </c>
      <c r="F65" s="45"/>
      <c r="G65" s="45"/>
      <c r="I65" s="40">
        <v>43500</v>
      </c>
      <c r="J65" s="38">
        <v>52</v>
      </c>
      <c r="K65" s="38">
        <v>2</v>
      </c>
      <c r="L65" s="41" t="s">
        <v>109</v>
      </c>
      <c r="M65" s="38" t="s">
        <v>15</v>
      </c>
      <c r="N65" s="42"/>
      <c r="O65" s="42"/>
      <c r="Q65"/>
      <c r="R65"/>
      <c r="S65"/>
      <c r="T65"/>
      <c r="U65"/>
      <c r="V65"/>
      <c r="W65"/>
    </row>
    <row r="66" spans="1:23" x14ac:dyDescent="0.25">
      <c r="A66" s="40">
        <v>43500</v>
      </c>
      <c r="B66" s="38">
        <f>IF(opérations[[#This Row],[DATE]]="","",IF(B65="INDEX",1,B65+1))</f>
        <v>52</v>
      </c>
      <c r="C66" s="38">
        <f>IF(opérations[[#This Row],[DATE]]="","",MONTH(opérations[[#This Row],[DATE]]))</f>
        <v>2</v>
      </c>
      <c r="D66" s="41" t="s">
        <v>109</v>
      </c>
      <c r="E66" s="38" t="str">
        <f>IF(opérations[[#This Row],[DESCRIPTION]]="","",IFERROR(VLOOKUP(opérations[[#This Row],[DESCRIPTION]],LISTE[],2,FALSE),""))</f>
        <v>RESTAURATION</v>
      </c>
      <c r="F66" s="42"/>
      <c r="G66" s="42"/>
      <c r="I66" s="37">
        <v>43499</v>
      </c>
      <c r="J66" s="38">
        <v>51</v>
      </c>
      <c r="K66" s="38">
        <v>2</v>
      </c>
      <c r="L66" s="38" t="s">
        <v>180</v>
      </c>
      <c r="M66" s="38" t="s">
        <v>181</v>
      </c>
      <c r="N66" s="39"/>
      <c r="O66" s="39"/>
      <c r="Q66"/>
      <c r="R66"/>
      <c r="S66"/>
      <c r="T66"/>
      <c r="U66"/>
      <c r="V66"/>
      <c r="W66"/>
    </row>
    <row r="67" spans="1:23" x14ac:dyDescent="0.25">
      <c r="A67" s="40">
        <v>43500</v>
      </c>
      <c r="B67" s="38">
        <f>IF(opérations[[#This Row],[DATE]]="","",IF(B66="INDEX",1,B66+1))</f>
        <v>53</v>
      </c>
      <c r="C67" s="38">
        <f>IF(opérations[[#This Row],[DATE]]="","",MONTH(opérations[[#This Row],[DATE]]))</f>
        <v>2</v>
      </c>
      <c r="D67" s="41" t="s">
        <v>48</v>
      </c>
      <c r="E67" s="38" t="str">
        <f>IF(opérations[[#This Row],[DESCRIPTION]]="","",IFERROR(VLOOKUP(opérations[[#This Row],[DESCRIPTION]],LISTE[],2,FALSE),""))</f>
        <v>LOISIRS</v>
      </c>
      <c r="F67" s="42"/>
      <c r="G67" s="42"/>
      <c r="I67" s="37">
        <v>43498</v>
      </c>
      <c r="J67" s="38">
        <v>50</v>
      </c>
      <c r="K67" s="38">
        <v>2</v>
      </c>
      <c r="L67" s="38" t="s">
        <v>180</v>
      </c>
      <c r="M67" s="38" t="s">
        <v>181</v>
      </c>
      <c r="N67" s="39"/>
      <c r="O67" s="39"/>
      <c r="Q67"/>
      <c r="R67"/>
      <c r="S67"/>
      <c r="T67"/>
      <c r="U67"/>
      <c r="V67"/>
      <c r="W67"/>
    </row>
    <row r="68" spans="1:23" x14ac:dyDescent="0.25">
      <c r="A68" s="40">
        <v>43500</v>
      </c>
      <c r="B68" s="38">
        <f>IF(opérations[[#This Row],[DATE]]="","",IF(B67="INDEX",1,B67+1))</f>
        <v>54</v>
      </c>
      <c r="C68" s="38">
        <f>IF(opérations[[#This Row],[DATE]]="","",MONTH(opérations[[#This Row],[DATE]]))</f>
        <v>2</v>
      </c>
      <c r="D68" s="41" t="s">
        <v>153</v>
      </c>
      <c r="E68" s="38" t="str">
        <f>IF(opérations[[#This Row],[DESCRIPTION]]="","",IFERROR(VLOOKUP(opérations[[#This Row],[DESCRIPTION]],LISTE[],2,FALSE),""))</f>
        <v>RESTAURATION</v>
      </c>
      <c r="F68" s="42"/>
      <c r="G68" s="42"/>
      <c r="Q68"/>
      <c r="R68"/>
      <c r="S68"/>
      <c r="T68"/>
      <c r="U68"/>
      <c r="V68"/>
      <c r="W68"/>
    </row>
    <row r="69" spans="1:23" x14ac:dyDescent="0.25">
      <c r="A69" s="40">
        <v>43500</v>
      </c>
      <c r="B69" s="38">
        <f>IF(opérations[[#This Row],[DATE]]="","",IF(B68="INDEX",1,B68+1))</f>
        <v>55</v>
      </c>
      <c r="C69" s="38">
        <f>IF(opérations[[#This Row],[DATE]]="","",MONTH(opérations[[#This Row],[DATE]]))</f>
        <v>2</v>
      </c>
      <c r="D69" s="41" t="s">
        <v>156</v>
      </c>
      <c r="E69" s="38" t="str">
        <f>IF(opérations[[#This Row],[DESCRIPTION]]="","",IFERROR(VLOOKUP(opérations[[#This Row],[DESCRIPTION]],LISTE[],2,FALSE),""))</f>
        <v>DIVERS</v>
      </c>
      <c r="F69" s="42"/>
      <c r="G69" s="42"/>
      <c r="Q69"/>
      <c r="R69"/>
      <c r="S69"/>
      <c r="T69"/>
      <c r="U69"/>
      <c r="V69"/>
      <c r="W69"/>
    </row>
    <row r="70" spans="1:23" x14ac:dyDescent="0.25">
      <c r="A70" s="40">
        <v>43500</v>
      </c>
      <c r="B70" s="38">
        <f>IF(opérations[[#This Row],[DATE]]="","",IF(B69="INDEX",1,B69+1))</f>
        <v>56</v>
      </c>
      <c r="C70" s="38">
        <f>IF(opérations[[#This Row],[DATE]]="","",MONTH(opérations[[#This Row],[DATE]]))</f>
        <v>2</v>
      </c>
      <c r="D70" s="41" t="s">
        <v>67</v>
      </c>
      <c r="E70" s="38" t="str">
        <f>IF(opérations[[#This Row],[DESCRIPTION]]="","",IFERROR(VLOOKUP(opérations[[#This Row],[DESCRIPTION]],LISTE[],2,FALSE),""))</f>
        <v>FACTURE</v>
      </c>
      <c r="F70" s="42"/>
      <c r="G70" s="42"/>
      <c r="Q70"/>
      <c r="R70"/>
      <c r="S70"/>
      <c r="T70"/>
      <c r="U70"/>
      <c r="V70"/>
      <c r="W70"/>
    </row>
    <row r="71" spans="1:23" x14ac:dyDescent="0.25">
      <c r="A71" s="40">
        <v>43500</v>
      </c>
      <c r="B71" s="38">
        <f>IF(opérations[[#This Row],[DATE]]="","",IF(B70="INDEX",1,B70+1))</f>
        <v>57</v>
      </c>
      <c r="C71" s="38">
        <f>IF(opérations[[#This Row],[DATE]]="","",MONTH(opérations[[#This Row],[DATE]]))</f>
        <v>2</v>
      </c>
      <c r="D71" s="41" t="s">
        <v>46</v>
      </c>
      <c r="E71" s="38" t="str">
        <f>IF(opérations[[#This Row],[DESCRIPTION]]="","",IFERROR(VLOOKUP(opérations[[#This Row],[DESCRIPTION]],LISTE[],2,FALSE),""))</f>
        <v>FACTURE</v>
      </c>
      <c r="F71" s="42"/>
      <c r="G71" s="42"/>
      <c r="Q71"/>
      <c r="R71"/>
      <c r="S71"/>
      <c r="T71"/>
      <c r="U71"/>
      <c r="V71"/>
      <c r="W71"/>
    </row>
    <row r="72" spans="1:23" x14ac:dyDescent="0.25">
      <c r="A72" s="40">
        <v>43501</v>
      </c>
      <c r="B72" s="38">
        <f>IF(opérations[[#This Row],[DATE]]="","",IF(B71="INDEX",1,B71+1))</f>
        <v>58</v>
      </c>
      <c r="C72" s="38">
        <f>IF(opérations[[#This Row],[DATE]]="","",MONTH(opérations[[#This Row],[DATE]]))</f>
        <v>2</v>
      </c>
      <c r="D72" s="44" t="s">
        <v>55</v>
      </c>
      <c r="E72" s="38" t="str">
        <f>IF(opérations[[#This Row],[DESCRIPTION]]="","",IFERROR(VLOOKUP(opérations[[#This Row],[DESCRIPTION]],LISTE[],2,FALSE),""))</f>
        <v>RESTAURATION</v>
      </c>
      <c r="F72" s="42"/>
      <c r="G72" s="42"/>
      <c r="Q72"/>
      <c r="R72"/>
      <c r="S72"/>
      <c r="T72"/>
      <c r="U72"/>
      <c r="V72"/>
      <c r="W72"/>
    </row>
    <row r="73" spans="1:23" x14ac:dyDescent="0.25">
      <c r="A73" s="40">
        <v>43502</v>
      </c>
      <c r="B73" s="38">
        <f>IF(opérations[[#This Row],[DATE]]="","",IF(B72="INDEX",1,B72+1))</f>
        <v>59</v>
      </c>
      <c r="C73" s="38">
        <f>IF(opérations[[#This Row],[DATE]]="","",MONTH(opérations[[#This Row],[DATE]]))</f>
        <v>2</v>
      </c>
      <c r="D73" s="38" t="s">
        <v>134</v>
      </c>
      <c r="E73" s="38" t="str">
        <f>IF(opérations[[#This Row],[DESCRIPTION]]="","",IFERROR(VLOOKUP(opérations[[#This Row],[DESCRIPTION]],LISTE[],2,FALSE),""))</f>
        <v>SALAIRE</v>
      </c>
      <c r="F73" s="42"/>
      <c r="G73" s="42"/>
      <c r="Q73"/>
      <c r="R73"/>
      <c r="S73"/>
      <c r="T73"/>
      <c r="U73"/>
      <c r="V73"/>
      <c r="W73"/>
    </row>
    <row r="74" spans="1:23" x14ac:dyDescent="0.25">
      <c r="A74" s="40">
        <v>43502</v>
      </c>
      <c r="B74" s="38">
        <f>IF(opérations[[#This Row],[DATE]]="","",IF(B73="INDEX",1,B73+1))</f>
        <v>60</v>
      </c>
      <c r="C74" s="38">
        <f>IF(opérations[[#This Row],[DATE]]="","",MONTH(opérations[[#This Row],[DATE]]))</f>
        <v>2</v>
      </c>
      <c r="D74" s="44" t="s">
        <v>182</v>
      </c>
      <c r="E74" s="38" t="str">
        <f>IF(opérations[[#This Row],[DESCRIPTION]]="","",IFERROR(VLOOKUP(opérations[[#This Row],[DESCRIPTION]],LISTE[],2,FALSE),""))</f>
        <v>PLACEMENT LJMO</v>
      </c>
      <c r="F74" s="42"/>
      <c r="G74" s="42"/>
      <c r="Q74"/>
      <c r="R74"/>
      <c r="S74"/>
      <c r="T74"/>
      <c r="U74"/>
      <c r="V74"/>
      <c r="W74"/>
    </row>
    <row r="75" spans="1:23" x14ac:dyDescent="0.25">
      <c r="A75" s="40">
        <v>43502</v>
      </c>
      <c r="B75" s="38">
        <f>IF(opérations[[#This Row],[DATE]]="","",IF(B74="INDEX",1,B74+1))</f>
        <v>61</v>
      </c>
      <c r="C75" s="38">
        <f>IF(opérations[[#This Row],[DATE]]="","",MONTH(opérations[[#This Row],[DATE]]))</f>
        <v>2</v>
      </c>
      <c r="D75" s="44" t="s">
        <v>156</v>
      </c>
      <c r="E75" s="38" t="str">
        <f>IF(opérations[[#This Row],[DESCRIPTION]]="","",IFERROR(VLOOKUP(opérations[[#This Row],[DESCRIPTION]],LISTE[],2,FALSE),""))</f>
        <v>DIVERS</v>
      </c>
      <c r="F75" s="42"/>
      <c r="G75" s="42"/>
      <c r="Q75"/>
      <c r="R75"/>
      <c r="S75"/>
      <c r="T75"/>
      <c r="U75"/>
      <c r="V75"/>
      <c r="W75"/>
    </row>
    <row r="76" spans="1:23" x14ac:dyDescent="0.25">
      <c r="A76" s="40">
        <v>43502</v>
      </c>
      <c r="B76" s="38">
        <f>IF(opérations[[#This Row],[DATE]]="","",IF(B75="INDEX",1,B75+1))</f>
        <v>62</v>
      </c>
      <c r="C76" s="38">
        <f>IF(opérations[[#This Row],[DATE]]="","",MONTH(opérations[[#This Row],[DATE]]))</f>
        <v>2</v>
      </c>
      <c r="D76" s="41" t="s">
        <v>85</v>
      </c>
      <c r="E76" s="38" t="str">
        <f>IF(opérations[[#This Row],[DESCRIPTION]]="","",IFERROR(VLOOKUP(opérations[[#This Row],[DESCRIPTION]],LISTE[],2,FALSE),""))</f>
        <v>FACTURE</v>
      </c>
      <c r="F76" s="42"/>
      <c r="G76" s="42"/>
      <c r="Q76"/>
      <c r="R76"/>
      <c r="S76"/>
      <c r="T76"/>
      <c r="U76"/>
      <c r="V76"/>
      <c r="W76"/>
    </row>
    <row r="77" spans="1:23" x14ac:dyDescent="0.25">
      <c r="A77" s="40">
        <v>43503</v>
      </c>
      <c r="B77" s="38">
        <f>IF(opérations[[#This Row],[DATE]]="","",IF(B76="INDEX",1,B76+1))</f>
        <v>63</v>
      </c>
      <c r="C77" s="38">
        <f>IF(opérations[[#This Row],[DATE]]="","",MONTH(opérations[[#This Row],[DATE]]))</f>
        <v>2</v>
      </c>
      <c r="D77" s="41" t="s">
        <v>48</v>
      </c>
      <c r="E77" s="38" t="str">
        <f>IF(opérations[[#This Row],[DESCRIPTION]]="","",IFERROR(VLOOKUP(opérations[[#This Row],[DESCRIPTION]],LISTE[],2,FALSE),""))</f>
        <v>LOISIRS</v>
      </c>
      <c r="F77" s="42"/>
      <c r="G77" s="42"/>
      <c r="Q77"/>
      <c r="R77"/>
      <c r="S77"/>
      <c r="T77"/>
      <c r="U77"/>
      <c r="V77"/>
      <c r="W77"/>
    </row>
    <row r="78" spans="1:23" x14ac:dyDescent="0.25">
      <c r="A78" s="40">
        <v>43504</v>
      </c>
      <c r="B78" s="38">
        <f>IF(opérations[[#This Row],[DATE]]="","",IF(B77="INDEX",1,B77+1))</f>
        <v>64</v>
      </c>
      <c r="C78" s="38">
        <f>IF(opérations[[#This Row],[DATE]]="","",MONTH(opérations[[#This Row],[DATE]]))</f>
        <v>2</v>
      </c>
      <c r="D78" s="41" t="s">
        <v>108</v>
      </c>
      <c r="E78" s="38" t="str">
        <f>IF(opérations[[#This Row],[DESCRIPTION]]="","",IFERROR(VLOOKUP(opérations[[#This Row],[DESCRIPTION]],LISTE[],2,FALSE),""))</f>
        <v>FACTURE</v>
      </c>
      <c r="F78" s="42"/>
      <c r="G78" s="42"/>
      <c r="Q78"/>
      <c r="R78"/>
      <c r="S78"/>
      <c r="T78"/>
      <c r="U78"/>
      <c r="V78"/>
      <c r="W78"/>
    </row>
    <row r="79" spans="1:23" x14ac:dyDescent="0.25">
      <c r="A79" s="40">
        <v>43504</v>
      </c>
      <c r="B79" s="38">
        <f>IF(opérations[[#This Row],[DATE]]="","",IF(B78="INDEX",1,B78+1))</f>
        <v>65</v>
      </c>
      <c r="C79" s="38">
        <f>IF(opérations[[#This Row],[DATE]]="","",MONTH(opérations[[#This Row],[DATE]]))</f>
        <v>2</v>
      </c>
      <c r="D79" s="41" t="s">
        <v>92</v>
      </c>
      <c r="E79" s="38" t="str">
        <f>IF(opérations[[#This Row],[DESCRIPTION]]="","",IFERROR(VLOOKUP(opérations[[#This Row],[DESCRIPTION]],LISTE[],2,FALSE),""))</f>
        <v>CREDIT</v>
      </c>
      <c r="F79" s="42"/>
      <c r="G79" s="42"/>
      <c r="Q79"/>
      <c r="R79"/>
      <c r="S79"/>
      <c r="T79"/>
      <c r="U79"/>
      <c r="V79"/>
      <c r="W79"/>
    </row>
    <row r="80" spans="1:23" x14ac:dyDescent="0.25">
      <c r="A80" s="40">
        <v>43506</v>
      </c>
      <c r="B80" s="38">
        <f>IF(opérations[[#This Row],[DATE]]="","",IF(B79="INDEX",1,B79+1))</f>
        <v>66</v>
      </c>
      <c r="C80" s="38">
        <f>IF(opérations[[#This Row],[DATE]]="","",MONTH(opérations[[#This Row],[DATE]]))</f>
        <v>2</v>
      </c>
      <c r="D80" s="41" t="s">
        <v>120</v>
      </c>
      <c r="E80" s="38" t="str">
        <f>IF(opérations[[#This Row],[DESCRIPTION]]="","",IFERROR(VLOOKUP(opérations[[#This Row],[DESCRIPTION]],LISTE[],2,FALSE),""))</f>
        <v>CREDIT</v>
      </c>
      <c r="F80" s="42"/>
      <c r="G80" s="42"/>
      <c r="Q80"/>
      <c r="R80"/>
      <c r="S80"/>
      <c r="T80"/>
      <c r="U80"/>
      <c r="V80"/>
      <c r="W80"/>
    </row>
    <row r="81" spans="1:23" x14ac:dyDescent="0.25">
      <c r="A81" s="40">
        <v>43507</v>
      </c>
      <c r="B81" s="38">
        <f>IF(opérations[[#This Row],[DATE]]="","",IF(B80="INDEX",1,B80+1))</f>
        <v>67</v>
      </c>
      <c r="C81" s="38">
        <f>IF(opérations[[#This Row],[DATE]]="","",MONTH(opérations[[#This Row],[DATE]]))</f>
        <v>2</v>
      </c>
      <c r="D81" s="41" t="s">
        <v>60</v>
      </c>
      <c r="E81" s="38" t="str">
        <f>IF(opérations[[#This Row],[DESCRIPTION]]="","",IFERROR(VLOOKUP(opérations[[#This Row],[DESCRIPTION]],LISTE[],2,FALSE),""))</f>
        <v>COURSE</v>
      </c>
      <c r="F81" s="42"/>
      <c r="G81" s="42"/>
      <c r="Q81"/>
      <c r="R81"/>
      <c r="S81"/>
      <c r="T81"/>
      <c r="U81"/>
      <c r="V81"/>
      <c r="W81"/>
    </row>
    <row r="82" spans="1:23" x14ac:dyDescent="0.25">
      <c r="A82" s="40">
        <v>43507</v>
      </c>
      <c r="B82" s="38">
        <f>IF(opérations[[#This Row],[DATE]]="","",IF(B81="INDEX",1,B81+1))</f>
        <v>68</v>
      </c>
      <c r="C82" s="38">
        <f>IF(opérations[[#This Row],[DATE]]="","",MONTH(opérations[[#This Row],[DATE]]))</f>
        <v>2</v>
      </c>
      <c r="D82" s="41" t="s">
        <v>119</v>
      </c>
      <c r="E82" s="38" t="str">
        <f>IF(opérations[[#This Row],[DESCRIPTION]]="","",IFERROR(VLOOKUP(opérations[[#This Row],[DESCRIPTION]],LISTE[],2,FALSE),""))</f>
        <v>TRANSPORT</v>
      </c>
      <c r="F82" s="42"/>
      <c r="G82" s="42"/>
      <c r="Q82"/>
      <c r="R82"/>
      <c r="S82"/>
      <c r="T82"/>
      <c r="U82"/>
      <c r="V82"/>
      <c r="W82"/>
    </row>
    <row r="83" spans="1:23" x14ac:dyDescent="0.25">
      <c r="A83" s="40">
        <v>43507</v>
      </c>
      <c r="B83" s="38">
        <f>IF(opérations[[#This Row],[DATE]]="","",IF(B82="INDEX",1,B82+1))</f>
        <v>69</v>
      </c>
      <c r="C83" s="38">
        <f>IF(opérations[[#This Row],[DATE]]="","",MONTH(opérations[[#This Row],[DATE]]))</f>
        <v>2</v>
      </c>
      <c r="D83" s="41" t="s">
        <v>137</v>
      </c>
      <c r="E83" s="38" t="str">
        <f>IF(opérations[[#This Row],[DESCRIPTION]]="","",IFERROR(VLOOKUP(opérations[[#This Row],[DESCRIPTION]],LISTE[],2,FALSE),""))</f>
        <v>COURSE</v>
      </c>
      <c r="F83" s="42"/>
      <c r="G83" s="42"/>
      <c r="Q83"/>
      <c r="R83"/>
      <c r="S83"/>
      <c r="T83"/>
      <c r="U83"/>
      <c r="V83"/>
      <c r="W83"/>
    </row>
    <row r="84" spans="1:23" x14ac:dyDescent="0.25">
      <c r="A84" s="40">
        <v>43507</v>
      </c>
      <c r="B84" s="38">
        <f>IF(opérations[[#This Row],[DATE]]="","",IF(B83="INDEX",1,B83+1))</f>
        <v>70</v>
      </c>
      <c r="C84" s="38">
        <f>IF(opérations[[#This Row],[DATE]]="","",MONTH(opérations[[#This Row],[DATE]]))</f>
        <v>2</v>
      </c>
      <c r="D84" s="41" t="s">
        <v>78</v>
      </c>
      <c r="E84" s="38" t="str">
        <f>IF(opérations[[#This Row],[DESCRIPTION]]="","",IFERROR(VLOOKUP(opérations[[#This Row],[DESCRIPTION]],LISTE[],2,FALSE),""))</f>
        <v>TRANSPORT</v>
      </c>
      <c r="F84" s="42"/>
      <c r="G84" s="42"/>
      <c r="Q84"/>
      <c r="R84"/>
      <c r="S84"/>
      <c r="T84"/>
      <c r="U84"/>
      <c r="V84"/>
      <c r="W84"/>
    </row>
    <row r="85" spans="1:23" x14ac:dyDescent="0.25">
      <c r="A85" s="40">
        <v>43508</v>
      </c>
      <c r="B85" s="38">
        <f>IF(opérations[[#This Row],[DATE]]="","",IF(B84="INDEX",1,B84+1))</f>
        <v>71</v>
      </c>
      <c r="C85" s="38">
        <f>IF(opérations[[#This Row],[DATE]]="","",MONTH(opérations[[#This Row],[DATE]]))</f>
        <v>2</v>
      </c>
      <c r="D85" s="41" t="s">
        <v>97</v>
      </c>
      <c r="E85" s="38" t="str">
        <f>IF(opérations[[#This Row],[DESCRIPTION]]="","",IFERROR(VLOOKUP(opérations[[#This Row],[DESCRIPTION]],LISTE[],2,FALSE),""))</f>
        <v>COURSE</v>
      </c>
      <c r="F85" s="42"/>
      <c r="G85" s="42"/>
      <c r="Q85"/>
      <c r="R85"/>
      <c r="S85"/>
      <c r="T85"/>
      <c r="U85"/>
      <c r="V85"/>
      <c r="W85"/>
    </row>
    <row r="86" spans="1:23" x14ac:dyDescent="0.25">
      <c r="A86" s="40">
        <v>43508</v>
      </c>
      <c r="B86" s="38">
        <f>IF(opérations[[#This Row],[DATE]]="","",IF(B85="INDEX",1,B85+1))</f>
        <v>72</v>
      </c>
      <c r="C86" s="38">
        <f>IF(opérations[[#This Row],[DATE]]="","",MONTH(opérations[[#This Row],[DATE]]))</f>
        <v>2</v>
      </c>
      <c r="D86" s="41" t="s">
        <v>43</v>
      </c>
      <c r="E86" s="38" t="str">
        <f>IF(opérations[[#This Row],[DESCRIPTION]]="","",IFERROR(VLOOKUP(opérations[[#This Row],[DESCRIPTION]],LISTE[],2,FALSE),""))</f>
        <v>DIVERS</v>
      </c>
      <c r="F86" s="42"/>
      <c r="G86" s="42"/>
      <c r="Q86"/>
      <c r="R86"/>
      <c r="S86"/>
      <c r="T86"/>
      <c r="U86"/>
      <c r="V86"/>
      <c r="W86"/>
    </row>
    <row r="87" spans="1:23" x14ac:dyDescent="0.25">
      <c r="A87" s="40">
        <v>43509</v>
      </c>
      <c r="B87" s="38">
        <f>IF(opérations[[#This Row],[DATE]]="","",IF(B86="INDEX",1,B86+1))</f>
        <v>73</v>
      </c>
      <c r="C87" s="38">
        <f>IF(opérations[[#This Row],[DATE]]="","",MONTH(opérations[[#This Row],[DATE]]))</f>
        <v>2</v>
      </c>
      <c r="D87" s="41" t="s">
        <v>55</v>
      </c>
      <c r="E87" s="38" t="str">
        <f>IF(opérations[[#This Row],[DESCRIPTION]]="","",IFERROR(VLOOKUP(opérations[[#This Row],[DESCRIPTION]],LISTE[],2,FALSE),""))</f>
        <v>RESTAURATION</v>
      </c>
      <c r="F87" s="42"/>
      <c r="G87" s="42"/>
      <c r="Q87"/>
      <c r="R87"/>
      <c r="S87"/>
      <c r="T87"/>
      <c r="U87"/>
      <c r="V87"/>
      <c r="W87"/>
    </row>
    <row r="88" spans="1:23" x14ac:dyDescent="0.25">
      <c r="A88" s="40">
        <v>43510</v>
      </c>
      <c r="B88" s="38">
        <f>IF(opérations[[#This Row],[DATE]]="","",IF(B87="INDEX",1,B87+1))</f>
        <v>74</v>
      </c>
      <c r="C88" s="38">
        <f>IF(opérations[[#This Row],[DATE]]="","",MONTH(opérations[[#This Row],[DATE]]))</f>
        <v>2</v>
      </c>
      <c r="D88" s="41" t="s">
        <v>97</v>
      </c>
      <c r="E88" s="38" t="str">
        <f>IF(opérations[[#This Row],[DESCRIPTION]]="","",IFERROR(VLOOKUP(opérations[[#This Row],[DESCRIPTION]],LISTE[],2,FALSE),""))</f>
        <v>COURSE</v>
      </c>
      <c r="F88" s="42"/>
      <c r="G88" s="42"/>
      <c r="Q88"/>
      <c r="R88"/>
      <c r="S88"/>
      <c r="T88"/>
      <c r="U88"/>
      <c r="V88"/>
      <c r="W88"/>
    </row>
    <row r="89" spans="1:23" x14ac:dyDescent="0.25">
      <c r="A89" s="40">
        <v>43510</v>
      </c>
      <c r="B89" s="38">
        <f>IF(opérations[[#This Row],[DATE]]="","",IF(B88="INDEX",1,B88+1))</f>
        <v>75</v>
      </c>
      <c r="C89" s="38">
        <f>IF(opérations[[#This Row],[DATE]]="","",MONTH(opérations[[#This Row],[DATE]]))</f>
        <v>2</v>
      </c>
      <c r="D89" s="41" t="s">
        <v>97</v>
      </c>
      <c r="E89" s="38" t="str">
        <f>IF(opérations[[#This Row],[DESCRIPTION]]="","",IFERROR(VLOOKUP(opérations[[#This Row],[DESCRIPTION]],LISTE[],2,FALSE),""))</f>
        <v>COURSE</v>
      </c>
      <c r="F89" s="42"/>
      <c r="G89" s="42"/>
      <c r="Q89"/>
      <c r="R89"/>
      <c r="S89"/>
      <c r="T89"/>
      <c r="U89"/>
      <c r="V89"/>
      <c r="W89"/>
    </row>
    <row r="90" spans="1:23" x14ac:dyDescent="0.25">
      <c r="A90" s="40">
        <v>43510</v>
      </c>
      <c r="B90" s="38">
        <f>IF(opérations[[#This Row],[DATE]]="","",IF(B89="INDEX",1,B89+1))</f>
        <v>76</v>
      </c>
      <c r="C90" s="38">
        <f>IF(opérations[[#This Row],[DATE]]="","",MONTH(opérations[[#This Row],[DATE]]))</f>
        <v>2</v>
      </c>
      <c r="D90" s="41" t="s">
        <v>86</v>
      </c>
      <c r="E90" s="38" t="str">
        <f>IF(opérations[[#This Row],[DESCRIPTION]]="","",IFERROR(VLOOKUP(opérations[[#This Row],[DESCRIPTION]],LISTE[],2,FALSE),""))</f>
        <v>COURSE</v>
      </c>
      <c r="F90" s="42"/>
      <c r="G90" s="42"/>
      <c r="Q90"/>
      <c r="R90"/>
      <c r="S90"/>
      <c r="T90"/>
      <c r="U90"/>
      <c r="V90"/>
      <c r="W90"/>
    </row>
    <row r="91" spans="1:23" x14ac:dyDescent="0.25">
      <c r="A91" s="40">
        <v>43511</v>
      </c>
      <c r="B91" s="38">
        <f>IF(opérations[[#This Row],[DATE]]="","",IF(B90="INDEX",1,B90+1))</f>
        <v>77</v>
      </c>
      <c r="C91" s="38">
        <f>IF(opérations[[#This Row],[DATE]]="","",MONTH(opérations[[#This Row],[DATE]]))</f>
        <v>2</v>
      </c>
      <c r="D91" s="41" t="s">
        <v>101</v>
      </c>
      <c r="E91" s="38" t="str">
        <f>IF(opérations[[#This Row],[DESCRIPTION]]="","",IFERROR(VLOOKUP(opérations[[#This Row],[DESCRIPTION]],LISTE[],2,FALSE),""))</f>
        <v>RESTAURATION</v>
      </c>
      <c r="F91" s="42"/>
      <c r="G91" s="42"/>
      <c r="Q91"/>
      <c r="R91"/>
      <c r="S91"/>
      <c r="T91"/>
      <c r="U91"/>
      <c r="V91"/>
      <c r="W91"/>
    </row>
    <row r="92" spans="1:23" x14ac:dyDescent="0.25">
      <c r="A92" s="40">
        <v>43511</v>
      </c>
      <c r="B92" s="38">
        <f>IF(opérations[[#This Row],[DATE]]="","",IF(B91="INDEX",1,B91+1))</f>
        <v>78</v>
      </c>
      <c r="C92" s="38">
        <f>IF(opérations[[#This Row],[DATE]]="","",MONTH(opérations[[#This Row],[DATE]]))</f>
        <v>2</v>
      </c>
      <c r="D92" s="41" t="s">
        <v>155</v>
      </c>
      <c r="E92" s="38" t="str">
        <f>IF(opérations[[#This Row],[DESCRIPTION]]="","",IFERROR(VLOOKUP(opérations[[#This Row],[DESCRIPTION]],LISTE[],2,FALSE),""))</f>
        <v>RECU</v>
      </c>
      <c r="F92" s="42"/>
      <c r="G92" s="42"/>
      <c r="Q92"/>
      <c r="R92"/>
      <c r="S92"/>
      <c r="T92"/>
      <c r="U92"/>
      <c r="V92"/>
      <c r="W92"/>
    </row>
    <row r="93" spans="1:23" x14ac:dyDescent="0.25">
      <c r="A93" s="40">
        <v>43514</v>
      </c>
      <c r="B93" s="38">
        <f>IF(opérations[[#This Row],[DATE]]="","",IF(B92="INDEX",1,B92+1))</f>
        <v>79</v>
      </c>
      <c r="C93" s="38">
        <f>IF(opérations[[#This Row],[DATE]]="","",MONTH(opérations[[#This Row],[DATE]]))</f>
        <v>2</v>
      </c>
      <c r="D93" s="41" t="s">
        <v>47</v>
      </c>
      <c r="E93" s="38" t="str">
        <f>IF(opérations[[#This Row],[DESCRIPTION]]="","",IFERROR(VLOOKUP(opérations[[#This Row],[DESCRIPTION]],LISTE[],2,FALSE),""))</f>
        <v>FACTURE</v>
      </c>
      <c r="F93" s="42"/>
      <c r="G93" s="42"/>
      <c r="Q93"/>
      <c r="R93"/>
      <c r="S93"/>
      <c r="T93"/>
      <c r="U93"/>
      <c r="V93"/>
      <c r="W93"/>
    </row>
    <row r="94" spans="1:23" x14ac:dyDescent="0.25">
      <c r="A94" s="40">
        <v>43514</v>
      </c>
      <c r="B94" s="38">
        <f>IF(opérations[[#This Row],[DATE]]="","",IF(B93="INDEX",1,B93+1))</f>
        <v>80</v>
      </c>
      <c r="C94" s="38">
        <f>IF(opérations[[#This Row],[DATE]]="","",MONTH(opérations[[#This Row],[DATE]]))</f>
        <v>2</v>
      </c>
      <c r="D94" s="41" t="s">
        <v>60</v>
      </c>
      <c r="E94" s="38" t="str">
        <f>IF(opérations[[#This Row],[DESCRIPTION]]="","",IFERROR(VLOOKUP(opérations[[#This Row],[DESCRIPTION]],LISTE[],2,FALSE),""))</f>
        <v>COURSE</v>
      </c>
      <c r="F94" s="42"/>
      <c r="G94" s="42"/>
      <c r="Q94"/>
      <c r="R94"/>
      <c r="S94"/>
      <c r="T94"/>
      <c r="U94"/>
      <c r="V94"/>
      <c r="W94"/>
    </row>
    <row r="95" spans="1:23" x14ac:dyDescent="0.25">
      <c r="A95" s="40">
        <v>43514</v>
      </c>
      <c r="B95" s="38">
        <f>IF(opérations[[#This Row],[DATE]]="","",IF(B94="INDEX",1,B94+1))</f>
        <v>81</v>
      </c>
      <c r="C95" s="38">
        <f>IF(opérations[[#This Row],[DATE]]="","",MONTH(opérations[[#This Row],[DATE]]))</f>
        <v>2</v>
      </c>
      <c r="D95" s="41" t="s">
        <v>60</v>
      </c>
      <c r="E95" s="38" t="str">
        <f>IF(opérations[[#This Row],[DESCRIPTION]]="","",IFERROR(VLOOKUP(opérations[[#This Row],[DESCRIPTION]],LISTE[],2,FALSE),""))</f>
        <v>COURSE</v>
      </c>
      <c r="F95" s="42"/>
      <c r="G95" s="42"/>
      <c r="Q95"/>
      <c r="R95"/>
      <c r="S95"/>
      <c r="T95"/>
      <c r="U95"/>
      <c r="V95"/>
      <c r="W95"/>
    </row>
    <row r="96" spans="1:23" x14ac:dyDescent="0.25">
      <c r="A96" s="40">
        <v>43514</v>
      </c>
      <c r="B96" s="38">
        <f>IF(opérations[[#This Row],[DATE]]="","",IF(B95="INDEX",1,B95+1))</f>
        <v>82</v>
      </c>
      <c r="C96" s="38">
        <f>IF(opérations[[#This Row],[DATE]]="","",MONTH(opérations[[#This Row],[DATE]]))</f>
        <v>2</v>
      </c>
      <c r="D96" s="41" t="s">
        <v>63</v>
      </c>
      <c r="E96" s="38" t="str">
        <f>IF(opérations[[#This Row],[DESCRIPTION]]="","",IFERROR(VLOOKUP(opérations[[#This Row],[DESCRIPTION]],LISTE[],2,FALSE),""))</f>
        <v>RESTAURATION</v>
      </c>
      <c r="F96" s="42"/>
      <c r="G96" s="42"/>
      <c r="Q96"/>
      <c r="R96"/>
      <c r="S96"/>
      <c r="T96"/>
      <c r="U96"/>
      <c r="V96"/>
      <c r="W96"/>
    </row>
    <row r="97" spans="1:23" x14ac:dyDescent="0.25">
      <c r="A97" s="40">
        <v>43514</v>
      </c>
      <c r="B97" s="38">
        <f>IF(opérations[[#This Row],[DATE]]="","",IF(B96="INDEX",1,B96+1))</f>
        <v>83</v>
      </c>
      <c r="C97" s="38">
        <f>IF(opérations[[#This Row],[DATE]]="","",MONTH(opérations[[#This Row],[DATE]]))</f>
        <v>2</v>
      </c>
      <c r="D97" s="44" t="s">
        <v>43</v>
      </c>
      <c r="E97" s="38" t="str">
        <f>IF(opérations[[#This Row],[DESCRIPTION]]="","",IFERROR(VLOOKUP(opérations[[#This Row],[DESCRIPTION]],LISTE[],2,FALSE),""))</f>
        <v>DIVERS</v>
      </c>
      <c r="F97" s="42"/>
      <c r="G97" s="42"/>
      <c r="Q97"/>
      <c r="R97"/>
      <c r="S97"/>
      <c r="T97"/>
      <c r="U97"/>
      <c r="V97"/>
      <c r="W97"/>
    </row>
    <row r="98" spans="1:23" x14ac:dyDescent="0.25">
      <c r="A98" s="40">
        <v>43514</v>
      </c>
      <c r="B98" s="38">
        <f>IF(opérations[[#This Row],[DATE]]="","",IF(B97="INDEX",1,B97+1))</f>
        <v>84</v>
      </c>
      <c r="C98" s="38">
        <f>IF(opérations[[#This Row],[DATE]]="","",MONTH(opérations[[#This Row],[DATE]]))</f>
        <v>2</v>
      </c>
      <c r="D98" s="44" t="s">
        <v>55</v>
      </c>
      <c r="E98" s="38" t="str">
        <f>IF(opérations[[#This Row],[DESCRIPTION]]="","",IFERROR(VLOOKUP(opérations[[#This Row],[DESCRIPTION]],LISTE[],2,FALSE),""))</f>
        <v>RESTAURATION</v>
      </c>
      <c r="F98" s="42"/>
      <c r="G98" s="42"/>
      <c r="Q98"/>
      <c r="R98"/>
      <c r="S98"/>
      <c r="T98"/>
      <c r="U98"/>
      <c r="V98"/>
      <c r="W98"/>
    </row>
    <row r="99" spans="1:23" x14ac:dyDescent="0.25">
      <c r="A99" s="40">
        <v>43514</v>
      </c>
      <c r="B99" s="38">
        <f>IF(opérations[[#This Row],[DATE]]="","",IF(B98="INDEX",1,B98+1))</f>
        <v>85</v>
      </c>
      <c r="C99" s="38">
        <f>IF(opérations[[#This Row],[DATE]]="","",MONTH(opérations[[#This Row],[DATE]]))</f>
        <v>2</v>
      </c>
      <c r="D99" s="41" t="s">
        <v>103</v>
      </c>
      <c r="E99" s="38" t="str">
        <f>IF(opérations[[#This Row],[DESCRIPTION]]="","",IFERROR(VLOOKUP(opérations[[#This Row],[DESCRIPTION]],LISTE[],2,FALSE),""))</f>
        <v>RESTAURATION</v>
      </c>
      <c r="F99" s="42"/>
      <c r="G99" s="42"/>
      <c r="Q99"/>
      <c r="R99"/>
      <c r="S99"/>
      <c r="T99"/>
      <c r="U99"/>
      <c r="V99"/>
      <c r="W99"/>
    </row>
    <row r="100" spans="1:23" x14ac:dyDescent="0.25">
      <c r="A100" s="40">
        <v>43514</v>
      </c>
      <c r="B100" s="38">
        <f>IF(opérations[[#This Row],[DATE]]="","",IF(B99="INDEX",1,B99+1))</f>
        <v>86</v>
      </c>
      <c r="C100" s="38">
        <f>IF(opérations[[#This Row],[DATE]]="","",MONTH(opérations[[#This Row],[DATE]]))</f>
        <v>2</v>
      </c>
      <c r="D100" s="41" t="s">
        <v>103</v>
      </c>
      <c r="E100" s="38" t="str">
        <f>IF(opérations[[#This Row],[DESCRIPTION]]="","",IFERROR(VLOOKUP(opérations[[#This Row],[DESCRIPTION]],LISTE[],2,FALSE),""))</f>
        <v>RESTAURATION</v>
      </c>
      <c r="F100" s="42"/>
      <c r="G100" s="42"/>
      <c r="Q100"/>
      <c r="R100"/>
      <c r="S100"/>
      <c r="T100"/>
      <c r="U100"/>
      <c r="V100"/>
      <c r="W100"/>
    </row>
    <row r="101" spans="1:23" x14ac:dyDescent="0.25">
      <c r="A101" s="40">
        <v>43514</v>
      </c>
      <c r="B101" s="38">
        <f>IF(opérations[[#This Row],[DATE]]="","",IF(B100="INDEX",1,B100+1))</f>
        <v>87</v>
      </c>
      <c r="C101" s="38">
        <f>IF(opérations[[#This Row],[DATE]]="","",MONTH(opérations[[#This Row],[DATE]]))</f>
        <v>2</v>
      </c>
      <c r="D101" s="44" t="s">
        <v>139</v>
      </c>
      <c r="E101" s="38" t="str">
        <f>IF(opérations[[#This Row],[DESCRIPTION]]="","",IFERROR(VLOOKUP(opérations[[#This Row],[DESCRIPTION]],LISTE[],2,FALSE),""))</f>
        <v>TRANSPORT</v>
      </c>
      <c r="F101" s="42"/>
      <c r="G101" s="42"/>
      <c r="Q101"/>
      <c r="R101"/>
      <c r="S101"/>
      <c r="T101"/>
      <c r="U101"/>
      <c r="V101"/>
      <c r="W101"/>
    </row>
    <row r="102" spans="1:23" x14ac:dyDescent="0.25">
      <c r="A102" s="40">
        <v>43514</v>
      </c>
      <c r="B102" s="38">
        <f>IF(opérations[[#This Row],[DATE]]="","",IF(B101="INDEX",1,B101+1))</f>
        <v>88</v>
      </c>
      <c r="C102" s="38">
        <f>IF(opérations[[#This Row],[DATE]]="","",MONTH(opérations[[#This Row],[DATE]]))</f>
        <v>2</v>
      </c>
      <c r="D102" s="44" t="s">
        <v>140</v>
      </c>
      <c r="E102" s="38" t="str">
        <f>IF(opérations[[#This Row],[DESCRIPTION]]="","",IFERROR(VLOOKUP(opérations[[#This Row],[DESCRIPTION]],LISTE[],2,FALSE),""))</f>
        <v>TRANSPORT</v>
      </c>
      <c r="F102" s="42"/>
      <c r="G102" s="42"/>
      <c r="Q102"/>
      <c r="R102"/>
      <c r="S102"/>
      <c r="T102"/>
      <c r="U102"/>
      <c r="V102"/>
      <c r="W102"/>
    </row>
    <row r="103" spans="1:23" x14ac:dyDescent="0.25">
      <c r="A103" s="40">
        <v>43514</v>
      </c>
      <c r="B103" s="38">
        <f>IF(opérations[[#This Row],[DATE]]="","",IF(B102="INDEX",1,B102+1))</f>
        <v>89</v>
      </c>
      <c r="C103" s="38">
        <f>IF(opérations[[#This Row],[DATE]]="","",MONTH(opérations[[#This Row],[DATE]]))</f>
        <v>2</v>
      </c>
      <c r="D103" s="44" t="s">
        <v>48</v>
      </c>
      <c r="E103" s="38" t="str">
        <f>IF(opérations[[#This Row],[DESCRIPTION]]="","",IFERROR(VLOOKUP(opérations[[#This Row],[DESCRIPTION]],LISTE[],2,FALSE),""))</f>
        <v>LOISIRS</v>
      </c>
      <c r="F103" s="42"/>
      <c r="G103" s="42"/>
      <c r="Q103"/>
      <c r="R103"/>
      <c r="S103"/>
      <c r="T103"/>
      <c r="U103"/>
      <c r="V103"/>
      <c r="W103"/>
    </row>
    <row r="104" spans="1:23" x14ac:dyDescent="0.25">
      <c r="A104" s="40">
        <v>43514</v>
      </c>
      <c r="B104" s="38">
        <f>IF(opérations[[#This Row],[DATE]]="","",IF(B103="INDEX",1,B103+1))</f>
        <v>90</v>
      </c>
      <c r="C104" s="38">
        <f>IF(opérations[[#This Row],[DATE]]="","",MONTH(opérations[[#This Row],[DATE]]))</f>
        <v>2</v>
      </c>
      <c r="D104" s="41" t="s">
        <v>110</v>
      </c>
      <c r="E104" s="38" t="str">
        <f>IF(opérations[[#This Row],[DESCRIPTION]]="","",IFERROR(VLOOKUP(opérations[[#This Row],[DESCRIPTION]],LISTE[],2,FALSE),""))</f>
        <v>FACTURE</v>
      </c>
      <c r="F104" s="42"/>
      <c r="G104" s="42"/>
      <c r="Q104"/>
      <c r="R104"/>
      <c r="S104"/>
      <c r="T104"/>
      <c r="U104"/>
      <c r="V104"/>
      <c r="W104"/>
    </row>
    <row r="105" spans="1:23" x14ac:dyDescent="0.25">
      <c r="A105" s="40">
        <v>43514</v>
      </c>
      <c r="B105" s="38">
        <f>IF(opérations[[#This Row],[DATE]]="","",IF(B104="INDEX",1,B104+1))</f>
        <v>91</v>
      </c>
      <c r="C105" s="38">
        <f>IF(opérations[[#This Row],[DATE]]="","",MONTH(opérations[[#This Row],[DATE]]))</f>
        <v>2</v>
      </c>
      <c r="D105" s="41" t="s">
        <v>154</v>
      </c>
      <c r="E105" s="38" t="str">
        <f>IF(opérations[[#This Row],[DESCRIPTION]]="","",IFERROR(VLOOKUP(opérations[[#This Row],[DESCRIPTION]],LISTE[],2,FALSE),""))</f>
        <v>CREDIT</v>
      </c>
      <c r="F105" s="42"/>
      <c r="G105" s="42"/>
      <c r="Q105"/>
      <c r="R105"/>
      <c r="S105"/>
      <c r="T105"/>
      <c r="U105"/>
      <c r="V105"/>
      <c r="W105"/>
    </row>
    <row r="106" spans="1:23" x14ac:dyDescent="0.25">
      <c r="A106" s="40">
        <v>43514</v>
      </c>
      <c r="B106" s="38">
        <f>IF(opérations[[#This Row],[DATE]]="","",IF(B105="INDEX",1,B105+1))</f>
        <v>92</v>
      </c>
      <c r="C106" s="38">
        <f>IF(opérations[[#This Row],[DATE]]="","",MONTH(opérations[[#This Row],[DATE]]))</f>
        <v>2</v>
      </c>
      <c r="D106" s="41" t="s">
        <v>133</v>
      </c>
      <c r="E106" s="38" t="str">
        <f>IF(opérations[[#This Row],[DESCRIPTION]]="","",IFERROR(VLOOKUP(opérations[[#This Row],[DESCRIPTION]],LISTE[],2,FALSE),""))</f>
        <v>RETRAIT</v>
      </c>
      <c r="F106" s="42"/>
      <c r="G106" s="42"/>
      <c r="Q106"/>
      <c r="R106"/>
      <c r="S106"/>
      <c r="T106"/>
      <c r="U106"/>
      <c r="V106"/>
      <c r="W106"/>
    </row>
    <row r="107" spans="1:23" x14ac:dyDescent="0.25">
      <c r="A107" s="40">
        <v>43515</v>
      </c>
      <c r="B107" s="38">
        <f>IF(opérations[[#This Row],[DATE]]="","",IF(B106="INDEX",1,B106+1))</f>
        <v>93</v>
      </c>
      <c r="C107" s="38">
        <f>IF(opérations[[#This Row],[DATE]]="","",MONTH(opérations[[#This Row],[DATE]]))</f>
        <v>2</v>
      </c>
      <c r="D107" s="41" t="s">
        <v>43</v>
      </c>
      <c r="E107" s="38" t="str">
        <f>IF(opérations[[#This Row],[DESCRIPTION]]="","",IFERROR(VLOOKUP(opérations[[#This Row],[DESCRIPTION]],LISTE[],2,FALSE),""))</f>
        <v>DIVERS</v>
      </c>
      <c r="F107" s="42"/>
      <c r="G107" s="42"/>
      <c r="Q107"/>
      <c r="R107"/>
      <c r="S107"/>
      <c r="T107"/>
      <c r="U107"/>
      <c r="V107"/>
      <c r="W107"/>
    </row>
    <row r="108" spans="1:23" x14ac:dyDescent="0.25">
      <c r="A108" s="40">
        <v>43515</v>
      </c>
      <c r="B108" s="38">
        <f>IF(opérations[[#This Row],[DATE]]="","",IF(B107="INDEX",1,B107+1))</f>
        <v>94</v>
      </c>
      <c r="C108" s="38">
        <f>IF(opérations[[#This Row],[DATE]]="","",MONTH(opérations[[#This Row],[DATE]]))</f>
        <v>2</v>
      </c>
      <c r="D108" s="41" t="s">
        <v>143</v>
      </c>
      <c r="E108" s="38" t="str">
        <f>IF(opérations[[#This Row],[DESCRIPTION]]="","",IFERROR(VLOOKUP(opérations[[#This Row],[DESCRIPTION]],LISTE[],2,FALSE),""))</f>
        <v>RECU</v>
      </c>
      <c r="F108" s="42"/>
      <c r="G108" s="42"/>
      <c r="Q108"/>
      <c r="R108"/>
      <c r="S108"/>
      <c r="T108"/>
      <c r="U108"/>
      <c r="V108"/>
      <c r="W108"/>
    </row>
    <row r="109" spans="1:23" x14ac:dyDescent="0.25">
      <c r="A109" s="40">
        <v>43516</v>
      </c>
      <c r="B109" s="38">
        <f>IF(opérations[[#This Row],[DATE]]="","",IF(B108="INDEX",1,B108+1))</f>
        <v>95</v>
      </c>
      <c r="C109" s="38">
        <f>IF(opérations[[#This Row],[DATE]]="","",MONTH(opérations[[#This Row],[DATE]]))</f>
        <v>2</v>
      </c>
      <c r="D109" s="41" t="s">
        <v>44</v>
      </c>
      <c r="E109" s="38" t="str">
        <f>IF(opérations[[#This Row],[DESCRIPTION]]="","",IFERROR(VLOOKUP(opérations[[#This Row],[DESCRIPTION]],LISTE[],2,FALSE),""))</f>
        <v>FACTURE</v>
      </c>
      <c r="F109" s="42"/>
      <c r="G109" s="42"/>
      <c r="Q109"/>
      <c r="R109"/>
      <c r="S109"/>
      <c r="T109"/>
      <c r="U109"/>
      <c r="V109"/>
      <c r="W109"/>
    </row>
    <row r="110" spans="1:23" x14ac:dyDescent="0.25">
      <c r="A110" s="43">
        <v>43517</v>
      </c>
      <c r="B110" s="38">
        <f>IF(opérations[[#This Row],[DATE]]="","",IF(B109="INDEX",1,B109+1))</f>
        <v>96</v>
      </c>
      <c r="C110" s="38">
        <f>IF(opérations[[#This Row],[DATE]]="","",MONTH(opérations[[#This Row],[DATE]]))</f>
        <v>2</v>
      </c>
      <c r="D110" s="44" t="s">
        <v>42</v>
      </c>
      <c r="E110" s="38" t="str">
        <f>IF(opérations[[#This Row],[DESCRIPTION]]="","",IFERROR(VLOOKUP(opérations[[#This Row],[DESCRIPTION]],LISTE[],2,FALSE),""))</f>
        <v>AIDE</v>
      </c>
      <c r="F110" s="45"/>
      <c r="G110" s="45"/>
      <c r="Q110"/>
      <c r="R110"/>
      <c r="S110"/>
      <c r="T110"/>
      <c r="U110"/>
      <c r="V110"/>
      <c r="W110"/>
    </row>
    <row r="111" spans="1:23" x14ac:dyDescent="0.25">
      <c r="A111" s="43">
        <v>43518</v>
      </c>
      <c r="B111" s="38">
        <f>IF(opérations[[#This Row],[DATE]]="","",IF(B110="INDEX",1,B110+1))</f>
        <v>97</v>
      </c>
      <c r="C111" s="38">
        <f>IF(opérations[[#This Row],[DATE]]="","",MONTH(opérations[[#This Row],[DATE]]))</f>
        <v>2</v>
      </c>
      <c r="D111" s="44" t="s">
        <v>150</v>
      </c>
      <c r="E111" s="38" t="str">
        <f>IF(opérations[[#This Row],[DESCRIPTION]]="","",IFERROR(VLOOKUP(opérations[[#This Row],[DESCRIPTION]],LISTE[],2,FALSE),""))</f>
        <v>FACTURE</v>
      </c>
      <c r="F111" s="45"/>
      <c r="G111" s="45"/>
      <c r="Q111"/>
      <c r="R111"/>
      <c r="S111"/>
      <c r="T111"/>
      <c r="U111"/>
      <c r="V111"/>
      <c r="W111"/>
    </row>
    <row r="112" spans="1:23" x14ac:dyDescent="0.25">
      <c r="A112" s="43">
        <v>43521</v>
      </c>
      <c r="B112" s="38">
        <f>IF(opérations[[#This Row],[DATE]]="","",IF(B111="INDEX",1,B111+1))</f>
        <v>98</v>
      </c>
      <c r="C112" s="38">
        <f>IF(opérations[[#This Row],[DATE]]="","",MONTH(opérations[[#This Row],[DATE]]))</f>
        <v>2</v>
      </c>
      <c r="D112" s="44" t="s">
        <v>112</v>
      </c>
      <c r="E112" s="38" t="str">
        <f>IF(opérations[[#This Row],[DESCRIPTION]]="","",IFERROR(VLOOKUP(opérations[[#This Row],[DESCRIPTION]],LISTE[],2,FALSE),""))</f>
        <v>FACTURE</v>
      </c>
      <c r="F112" s="45"/>
      <c r="G112" s="45"/>
      <c r="Q112"/>
      <c r="R112"/>
      <c r="S112"/>
      <c r="T112"/>
      <c r="U112"/>
      <c r="V112"/>
      <c r="W112"/>
    </row>
    <row r="113" spans="1:23" x14ac:dyDescent="0.25">
      <c r="A113" s="43">
        <v>43521</v>
      </c>
      <c r="B113" s="38">
        <f>IF(opérations[[#This Row],[DATE]]="","",IF(B112="INDEX",1,B112+1))</f>
        <v>99</v>
      </c>
      <c r="C113" s="38">
        <f>IF(opérations[[#This Row],[DATE]]="","",MONTH(opérations[[#This Row],[DATE]]))</f>
        <v>2</v>
      </c>
      <c r="D113" s="44" t="s">
        <v>109</v>
      </c>
      <c r="E113" s="38" t="str">
        <f>IF(opérations[[#This Row],[DESCRIPTION]]="","",IFERROR(VLOOKUP(opérations[[#This Row],[DESCRIPTION]],LISTE[],2,FALSE),""))</f>
        <v>RESTAURATION</v>
      </c>
      <c r="F113" s="45"/>
      <c r="G113" s="45"/>
      <c r="Q113"/>
      <c r="R113"/>
      <c r="S113"/>
      <c r="T113"/>
      <c r="U113"/>
      <c r="V113"/>
      <c r="W113"/>
    </row>
    <row r="114" spans="1:23" x14ac:dyDescent="0.25">
      <c r="A114" s="43">
        <v>43521</v>
      </c>
      <c r="B114" s="38">
        <f>IF(opérations[[#This Row],[DATE]]="","",IF(B113="INDEX",1,B113+1))</f>
        <v>100</v>
      </c>
      <c r="C114" s="38">
        <f>IF(opérations[[#This Row],[DATE]]="","",MONTH(opérations[[#This Row],[DATE]]))</f>
        <v>2</v>
      </c>
      <c r="D114" s="44" t="s">
        <v>43</v>
      </c>
      <c r="E114" s="38" t="str">
        <f>IF(opérations[[#This Row],[DESCRIPTION]]="","",IFERROR(VLOOKUP(opérations[[#This Row],[DESCRIPTION]],LISTE[],2,FALSE),""))</f>
        <v>DIVERS</v>
      </c>
      <c r="F114" s="45"/>
      <c r="G114" s="45"/>
      <c r="Q114"/>
      <c r="R114"/>
      <c r="S114"/>
      <c r="T114"/>
      <c r="U114"/>
      <c r="V114"/>
      <c r="W114"/>
    </row>
    <row r="115" spans="1:23" x14ac:dyDescent="0.25">
      <c r="A115" s="37">
        <v>43522</v>
      </c>
      <c r="B115" s="38">
        <f>IF(opérations[[#This Row],[DATE]]="","",IF(B114="INDEX",1,B114+1))</f>
        <v>101</v>
      </c>
      <c r="C115" s="38">
        <f>IF(opérations[[#This Row],[DATE]]="","",MONTH(opérations[[#This Row],[DATE]]))</f>
        <v>2</v>
      </c>
      <c r="D115" s="38" t="s">
        <v>136</v>
      </c>
      <c r="E115" s="38" t="str">
        <f>IF(opérations[[#This Row],[DESCRIPTION]]="","",IFERROR(VLOOKUP(opérations[[#This Row],[DESCRIPTION]],LISTE[],2,FALSE),""))</f>
        <v>LOISIRS</v>
      </c>
      <c r="F115" s="39"/>
      <c r="G115" s="39"/>
      <c r="Q115"/>
      <c r="R115"/>
      <c r="S115"/>
      <c r="T115"/>
      <c r="U115"/>
      <c r="V115"/>
      <c r="W115"/>
    </row>
    <row r="116" spans="1:23" x14ac:dyDescent="0.25">
      <c r="A116" s="37">
        <v>43522</v>
      </c>
      <c r="B116" s="38">
        <f>IF(opérations[[#This Row],[DATE]]="","",IF(B115="INDEX",1,B115+1))</f>
        <v>102</v>
      </c>
      <c r="C116" s="38">
        <f>IF(opérations[[#This Row],[DATE]]="","",MONTH(opérations[[#This Row],[DATE]]))</f>
        <v>2</v>
      </c>
      <c r="D116" s="38" t="s">
        <v>78</v>
      </c>
      <c r="E116" s="38" t="str">
        <f>IF(opérations[[#This Row],[DESCRIPTION]]="","",IFERROR(VLOOKUP(opérations[[#This Row],[DESCRIPTION]],LISTE[],2,FALSE),""))</f>
        <v>TRANSPORT</v>
      </c>
      <c r="F116" s="39"/>
      <c r="G116" s="39"/>
      <c r="Q116"/>
      <c r="R116"/>
      <c r="S116"/>
      <c r="T116"/>
      <c r="U116"/>
      <c r="V116"/>
      <c r="W116"/>
    </row>
    <row r="117" spans="1:23" x14ac:dyDescent="0.25">
      <c r="A117" s="43">
        <v>43525</v>
      </c>
      <c r="B117" s="44">
        <f>IF(opérations[[#This Row],[DATE]]="","",IF(B116="INDEX",1,B116+1))</f>
        <v>103</v>
      </c>
      <c r="C117" s="38">
        <f>IF(opérations[[#This Row],[DATE]]="","",MONTH(opérations[[#This Row],[DATE]]))</f>
        <v>3</v>
      </c>
      <c r="D117" s="44" t="s">
        <v>182</v>
      </c>
      <c r="E117" s="38" t="str">
        <f>IF(opérations[[#This Row],[DESCRIPTION]]="","",IFERROR(VLOOKUP(opérations[[#This Row],[DESCRIPTION]],LISTE[],2,FALSE),""))</f>
        <v>PLACEMENT LJMO</v>
      </c>
      <c r="F117" s="45"/>
      <c r="G117" s="45"/>
      <c r="Q117"/>
      <c r="R117"/>
      <c r="S117"/>
      <c r="T117"/>
      <c r="U117"/>
      <c r="V117"/>
      <c r="W117"/>
    </row>
    <row r="118" spans="1:23" x14ac:dyDescent="0.25">
      <c r="A118" s="43">
        <v>43525</v>
      </c>
      <c r="B118" s="44">
        <f>IF(opérations[[#This Row],[DATE]]="","",IF(B117="INDEX",1,B117+1))</f>
        <v>104</v>
      </c>
      <c r="C118" s="38">
        <f>IF(opérations[[#This Row],[DATE]]="","",MONTH(opérations[[#This Row],[DATE]]))</f>
        <v>3</v>
      </c>
      <c r="D118" s="44" t="s">
        <v>157</v>
      </c>
      <c r="E118" s="38" t="str">
        <f>IF(opérations[[#This Row],[DESCRIPTION]]="","",IFERROR(VLOOKUP(opérations[[#This Row],[DESCRIPTION]],LISTE[],2,FALSE),""))</f>
        <v>RECU</v>
      </c>
      <c r="F118" s="45"/>
      <c r="G118" s="45"/>
      <c r="Q118"/>
      <c r="R118"/>
      <c r="S118"/>
      <c r="T118"/>
      <c r="U118"/>
      <c r="V118"/>
      <c r="W118"/>
    </row>
    <row r="119" spans="1:23" x14ac:dyDescent="0.25">
      <c r="A119" s="43">
        <v>43528</v>
      </c>
      <c r="B119" s="44">
        <f>IF(opérations[[#This Row],[DATE]]="","",IF(B118="INDEX",1,B118+1))</f>
        <v>105</v>
      </c>
      <c r="C119" s="38">
        <f>IF(opérations[[#This Row],[DATE]]="","",MONTH(opérations[[#This Row],[DATE]]))</f>
        <v>3</v>
      </c>
      <c r="D119" s="44" t="s">
        <v>105</v>
      </c>
      <c r="E119" s="38" t="str">
        <f>IF(opérations[[#This Row],[DESCRIPTION]]="","",IFERROR(VLOOKUP(opérations[[#This Row],[DESCRIPTION]],LISTE[],2,FALSE),""))</f>
        <v>COURSE</v>
      </c>
      <c r="F119" s="45"/>
      <c r="G119" s="45"/>
      <c r="Q119"/>
      <c r="R119"/>
      <c r="S119"/>
      <c r="T119"/>
      <c r="U119"/>
      <c r="V119"/>
      <c r="W119"/>
    </row>
    <row r="120" spans="1:23" x14ac:dyDescent="0.25">
      <c r="A120" s="43">
        <v>43528</v>
      </c>
      <c r="B120" s="44">
        <f>IF(opérations[[#This Row],[DATE]]="","",IF(B119="INDEX",1,B119+1))</f>
        <v>106</v>
      </c>
      <c r="C120" s="38">
        <f>IF(opérations[[#This Row],[DATE]]="","",MONTH(opérations[[#This Row],[DATE]]))</f>
        <v>3</v>
      </c>
      <c r="D120" s="44" t="s">
        <v>109</v>
      </c>
      <c r="E120" s="38" t="str">
        <f>IF(opérations[[#This Row],[DESCRIPTION]]="","",IFERROR(VLOOKUP(opérations[[#This Row],[DESCRIPTION]],LISTE[],2,FALSE),""))</f>
        <v>RESTAURATION</v>
      </c>
      <c r="F120" s="45"/>
      <c r="G120" s="45"/>
      <c r="Q120"/>
      <c r="R120"/>
      <c r="S120"/>
      <c r="T120"/>
      <c r="U120"/>
      <c r="V120"/>
      <c r="W120"/>
    </row>
    <row r="121" spans="1:23" x14ac:dyDescent="0.25">
      <c r="A121" s="43">
        <v>43528</v>
      </c>
      <c r="B121" s="44">
        <f>IF(opérations[[#This Row],[DATE]]="","",IF(B120="INDEX",1,B120+1))</f>
        <v>107</v>
      </c>
      <c r="C121" s="38">
        <f>IF(opérations[[#This Row],[DATE]]="","",MONTH(opérations[[#This Row],[DATE]]))</f>
        <v>3</v>
      </c>
      <c r="D121" s="44" t="s">
        <v>48</v>
      </c>
      <c r="E121" s="38" t="str">
        <f>IF(opérations[[#This Row],[DESCRIPTION]]="","",IFERROR(VLOOKUP(opérations[[#This Row],[DESCRIPTION]],LISTE[],2,FALSE),""))</f>
        <v>LOISIRS</v>
      </c>
      <c r="F121" s="45"/>
      <c r="G121" s="45"/>
      <c r="Q121"/>
      <c r="R121"/>
      <c r="S121"/>
      <c r="T121"/>
      <c r="U121"/>
      <c r="V121"/>
      <c r="W121"/>
    </row>
    <row r="122" spans="1:23" x14ac:dyDescent="0.25">
      <c r="A122" s="43">
        <v>43528</v>
      </c>
      <c r="B122" s="44">
        <f>IF(opérations[[#This Row],[DATE]]="","",IF(B121="INDEX",1,B121+1))</f>
        <v>108</v>
      </c>
      <c r="C122" s="38">
        <f>IF(opérations[[#This Row],[DATE]]="","",MONTH(opérations[[#This Row],[DATE]]))</f>
        <v>3</v>
      </c>
      <c r="D122" s="44" t="s">
        <v>67</v>
      </c>
      <c r="E122" s="38" t="str">
        <f>IF(opérations[[#This Row],[DESCRIPTION]]="","",IFERROR(VLOOKUP(opérations[[#This Row],[DESCRIPTION]],LISTE[],2,FALSE),""))</f>
        <v>FACTURE</v>
      </c>
      <c r="F122" s="45"/>
      <c r="G122" s="45"/>
      <c r="Q122"/>
      <c r="R122"/>
      <c r="S122"/>
      <c r="T122"/>
      <c r="U122"/>
      <c r="V122"/>
      <c r="W122"/>
    </row>
    <row r="123" spans="1:23" x14ac:dyDescent="0.25">
      <c r="A123" s="43">
        <v>43528</v>
      </c>
      <c r="B123" s="44">
        <f>IF(opérations[[#This Row],[DATE]]="","",IF(B122="INDEX",1,B122+1))</f>
        <v>109</v>
      </c>
      <c r="C123" s="38">
        <f>IF(opérations[[#This Row],[DATE]]="","",MONTH(opérations[[#This Row],[DATE]]))</f>
        <v>3</v>
      </c>
      <c r="D123" s="44" t="s">
        <v>46</v>
      </c>
      <c r="E123" s="38" t="str">
        <f>IF(opérations[[#This Row],[DESCRIPTION]]="","",IFERROR(VLOOKUP(opérations[[#This Row],[DESCRIPTION]],LISTE[],2,FALSE),""))</f>
        <v>FACTURE</v>
      </c>
      <c r="F123" s="45"/>
      <c r="G123" s="45"/>
      <c r="Q123"/>
      <c r="R123"/>
      <c r="S123"/>
      <c r="T123"/>
      <c r="U123"/>
      <c r="V123"/>
      <c r="W123"/>
    </row>
    <row r="124" spans="1:23" x14ac:dyDescent="0.25">
      <c r="A124" s="43">
        <v>43529</v>
      </c>
      <c r="B124" s="44">
        <f>IF(opérations[[#This Row],[DATE]]="","",IF(B123="INDEX",1,B123+1))</f>
        <v>110</v>
      </c>
      <c r="C124" s="38">
        <f>IF(opérations[[#This Row],[DATE]]="","",MONTH(opérations[[#This Row],[DATE]]))</f>
        <v>3</v>
      </c>
      <c r="D124" s="44" t="s">
        <v>134</v>
      </c>
      <c r="E124" s="38" t="str">
        <f>IF(opérations[[#This Row],[DESCRIPTION]]="","",IFERROR(VLOOKUP(opérations[[#This Row],[DESCRIPTION]],LISTE[],2,FALSE),""))</f>
        <v>SALAIRE</v>
      </c>
      <c r="F124" s="45"/>
      <c r="G124" s="45"/>
      <c r="Q124"/>
      <c r="R124"/>
      <c r="S124"/>
      <c r="T124"/>
      <c r="U124"/>
      <c r="V124"/>
      <c r="W124"/>
    </row>
    <row r="125" spans="1:23" x14ac:dyDescent="0.25">
      <c r="A125" s="43">
        <v>43529</v>
      </c>
      <c r="B125" s="44">
        <f>IF(opérations[[#This Row],[DATE]]="","",IF(B124="INDEX",1,B124+1))</f>
        <v>111</v>
      </c>
      <c r="C125" s="38">
        <f>IF(opérations[[#This Row],[DATE]]="","",MONTH(opérations[[#This Row],[DATE]]))</f>
        <v>3</v>
      </c>
      <c r="D125" s="44" t="s">
        <v>158</v>
      </c>
      <c r="E125" s="38" t="str">
        <f>IF(opérations[[#This Row],[DESCRIPTION]]="","",IFERROR(VLOOKUP(opérations[[#This Row],[DESCRIPTION]],LISTE[],2,FALSE),""))</f>
        <v>DIVERS</v>
      </c>
      <c r="F125" s="45"/>
      <c r="G125" s="45"/>
      <c r="Q125"/>
      <c r="R125"/>
      <c r="S125"/>
      <c r="T125"/>
      <c r="U125"/>
      <c r="V125"/>
      <c r="W125"/>
    </row>
    <row r="126" spans="1:23" x14ac:dyDescent="0.25">
      <c r="A126" s="43">
        <v>43529</v>
      </c>
      <c r="B126" s="44">
        <f>IF(opérations[[#This Row],[DATE]]="","",IF(B125="INDEX",1,B125+1))</f>
        <v>112</v>
      </c>
      <c r="C126" s="38">
        <f>IF(opérations[[#This Row],[DATE]]="","",MONTH(opérations[[#This Row],[DATE]]))</f>
        <v>3</v>
      </c>
      <c r="D126" s="44" t="s">
        <v>55</v>
      </c>
      <c r="E126" s="38" t="str">
        <f>IF(opérations[[#This Row],[DESCRIPTION]]="","",IFERROR(VLOOKUP(opérations[[#This Row],[DESCRIPTION]],LISTE[],2,FALSE),""))</f>
        <v>RESTAURATION</v>
      </c>
      <c r="F126" s="45"/>
      <c r="G126" s="45"/>
      <c r="Q126"/>
      <c r="R126"/>
      <c r="S126"/>
      <c r="T126"/>
      <c r="U126"/>
      <c r="V126"/>
      <c r="W126"/>
    </row>
    <row r="127" spans="1:23" x14ac:dyDescent="0.25">
      <c r="A127" s="43">
        <v>43530</v>
      </c>
      <c r="B127" s="44">
        <f>IF(opérations[[#This Row],[DATE]]="","",IF(B126="INDEX",1,B126+1))</f>
        <v>113</v>
      </c>
      <c r="C127" s="38">
        <f>IF(opérations[[#This Row],[DATE]]="","",MONTH(opérations[[#This Row],[DATE]]))</f>
        <v>3</v>
      </c>
      <c r="D127" s="44" t="s">
        <v>66</v>
      </c>
      <c r="E127" s="38" t="str">
        <f>IF(opérations[[#This Row],[DESCRIPTION]]="","",IFERROR(VLOOKUP(opérations[[#This Row],[DESCRIPTION]],LISTE[],2,FALSE),""))</f>
        <v>INFORMATIQUE</v>
      </c>
      <c r="F127" s="45"/>
      <c r="G127" s="45"/>
      <c r="Q127"/>
      <c r="R127"/>
      <c r="S127"/>
      <c r="T127"/>
      <c r="U127"/>
      <c r="V127"/>
      <c r="W127"/>
    </row>
    <row r="128" spans="1:23" x14ac:dyDescent="0.25">
      <c r="A128" s="43">
        <v>43531</v>
      </c>
      <c r="B128" s="44">
        <f>IF(opérations[[#This Row],[DATE]]="","",IF(B127="INDEX",1,B127+1))</f>
        <v>114</v>
      </c>
      <c r="C128" s="38">
        <f>IF(opérations[[#This Row],[DATE]]="","",MONTH(opérations[[#This Row],[DATE]]))</f>
        <v>3</v>
      </c>
      <c r="D128" s="44" t="s">
        <v>55</v>
      </c>
      <c r="E128" s="38" t="str">
        <f>IF(opérations[[#This Row],[DESCRIPTION]]="","",IFERROR(VLOOKUP(opérations[[#This Row],[DESCRIPTION]],LISTE[],2,FALSE),""))</f>
        <v>RESTAURATION</v>
      </c>
      <c r="F128" s="45"/>
      <c r="G128" s="45"/>
      <c r="Q128"/>
      <c r="R128"/>
      <c r="S128"/>
      <c r="T128"/>
      <c r="U128"/>
      <c r="V128"/>
      <c r="W128"/>
    </row>
    <row r="129" spans="1:23" x14ac:dyDescent="0.25">
      <c r="A129" s="43">
        <v>43532</v>
      </c>
      <c r="B129" s="44">
        <f>IF(opérations[[#This Row],[DATE]]="","",IF(B128="INDEX",1,B128+1))</f>
        <v>115</v>
      </c>
      <c r="C129" s="38">
        <f>IF(opérations[[#This Row],[DATE]]="","",MONTH(opérations[[#This Row],[DATE]]))</f>
        <v>3</v>
      </c>
      <c r="D129" s="44" t="s">
        <v>108</v>
      </c>
      <c r="E129" s="38" t="str">
        <f>IF(opérations[[#This Row],[DESCRIPTION]]="","",IFERROR(VLOOKUP(opérations[[#This Row],[DESCRIPTION]],LISTE[],2,FALSE),""))</f>
        <v>FACTURE</v>
      </c>
      <c r="F129" s="45"/>
      <c r="G129" s="45"/>
      <c r="Q129"/>
      <c r="R129"/>
      <c r="S129"/>
      <c r="T129"/>
      <c r="U129"/>
      <c r="V129"/>
      <c r="W129"/>
    </row>
    <row r="130" spans="1:23" x14ac:dyDescent="0.25">
      <c r="A130" s="43">
        <v>43532</v>
      </c>
      <c r="B130" s="44">
        <f>IF(opérations[[#This Row],[DATE]]="","",IF(B129="INDEX",1,B129+1))</f>
        <v>116</v>
      </c>
      <c r="C130" s="38">
        <f>IF(opérations[[#This Row],[DATE]]="","",MONTH(opérations[[#This Row],[DATE]]))</f>
        <v>3</v>
      </c>
      <c r="D130" s="44" t="s">
        <v>92</v>
      </c>
      <c r="E130" s="38" t="str">
        <f>IF(opérations[[#This Row],[DESCRIPTION]]="","",IFERROR(VLOOKUP(opérations[[#This Row],[DESCRIPTION]],LISTE[],2,FALSE),""))</f>
        <v>CREDIT</v>
      </c>
      <c r="F130" s="45"/>
      <c r="G130" s="45"/>
      <c r="Q130"/>
      <c r="R130"/>
      <c r="S130"/>
      <c r="T130"/>
      <c r="U130"/>
      <c r="V130"/>
      <c r="W130"/>
    </row>
    <row r="131" spans="1:23" x14ac:dyDescent="0.25">
      <c r="A131" s="43">
        <v>43533</v>
      </c>
      <c r="B131" s="44">
        <f>IF(opérations[[#This Row],[DATE]]="","",IF(B130="INDEX",1,B130+1))</f>
        <v>117</v>
      </c>
      <c r="C131" s="38">
        <f>IF(opérations[[#This Row],[DATE]]="","",MONTH(opérations[[#This Row],[DATE]]))</f>
        <v>3</v>
      </c>
      <c r="D131" s="38" t="s">
        <v>143</v>
      </c>
      <c r="E131" s="38" t="str">
        <f>IF(opérations[[#This Row],[DESCRIPTION]]="","",IFERROR(VLOOKUP(opérations[[#This Row],[DESCRIPTION]],LISTE[],2,FALSE),""))</f>
        <v>RECU</v>
      </c>
      <c r="F131" s="45"/>
      <c r="G131" s="45"/>
      <c r="Q131"/>
      <c r="R131"/>
      <c r="S131"/>
      <c r="T131"/>
      <c r="U131"/>
      <c r="V131"/>
      <c r="W131"/>
    </row>
    <row r="132" spans="1:23" x14ac:dyDescent="0.25">
      <c r="A132" s="43">
        <v>43534</v>
      </c>
      <c r="B132" s="44">
        <f>IF(opérations[[#This Row],[DATE]]="","",IF(B131="INDEX",1,B131+1))</f>
        <v>118</v>
      </c>
      <c r="C132" s="38">
        <f>IF(opérations[[#This Row],[DATE]]="","",MONTH(opérations[[#This Row],[DATE]]))</f>
        <v>3</v>
      </c>
      <c r="D132" s="44" t="s">
        <v>180</v>
      </c>
      <c r="E132" s="38" t="str">
        <f>IF(opérations[[#This Row],[DESCRIPTION]]="","",IFERROR(VLOOKUP(opérations[[#This Row],[DESCRIPTION]],LISTE[],2,FALSE),""))</f>
        <v>RETRAIT LJMO</v>
      </c>
      <c r="F132" s="45"/>
      <c r="G132" s="45"/>
      <c r="Q132"/>
      <c r="R132"/>
      <c r="S132"/>
      <c r="T132"/>
      <c r="U132"/>
      <c r="V132"/>
      <c r="W132"/>
    </row>
    <row r="133" spans="1:23" x14ac:dyDescent="0.25">
      <c r="A133" s="43">
        <v>43534</v>
      </c>
      <c r="B133" s="44">
        <f>IF(opérations[[#This Row],[DATE]]="","",IF(B132="INDEX",1,B132+1))</f>
        <v>119</v>
      </c>
      <c r="C133" s="38">
        <f>IF(opérations[[#This Row],[DATE]]="","",MONTH(opérations[[#This Row],[DATE]]))</f>
        <v>3</v>
      </c>
      <c r="D133" s="44" t="s">
        <v>120</v>
      </c>
      <c r="E133" s="38" t="str">
        <f>IF(opérations[[#This Row],[DESCRIPTION]]="","",IFERROR(VLOOKUP(opérations[[#This Row],[DESCRIPTION]],LISTE[],2,FALSE),""))</f>
        <v>CREDIT</v>
      </c>
      <c r="F133" s="45"/>
      <c r="G133" s="45"/>
      <c r="Q133"/>
      <c r="R133"/>
      <c r="S133"/>
      <c r="T133"/>
      <c r="U133"/>
      <c r="V133"/>
      <c r="W133"/>
    </row>
    <row r="134" spans="1:23" x14ac:dyDescent="0.25">
      <c r="A134" s="43">
        <v>43535</v>
      </c>
      <c r="B134" s="44">
        <f>IF(opérations[[#This Row],[DATE]]="","",IF(B133="INDEX",1,B133+1))</f>
        <v>120</v>
      </c>
      <c r="C134" s="38">
        <f>IF(opérations[[#This Row],[DATE]]="","",MONTH(opérations[[#This Row],[DATE]]))</f>
        <v>3</v>
      </c>
      <c r="D134" s="44" t="s">
        <v>141</v>
      </c>
      <c r="E134" s="38" t="str">
        <f>IF(opérations[[#This Row],[DESCRIPTION]]="","",IFERROR(VLOOKUP(opérations[[#This Row],[DESCRIPTION]],LISTE[],2,FALSE),""))</f>
        <v>RESTAURATION</v>
      </c>
      <c r="F134" s="45"/>
      <c r="G134" s="45"/>
      <c r="Q134"/>
      <c r="R134"/>
      <c r="S134"/>
      <c r="T134"/>
      <c r="U134"/>
      <c r="V134"/>
      <c r="W134"/>
    </row>
    <row r="135" spans="1:23" x14ac:dyDescent="0.25">
      <c r="A135" s="43">
        <v>43535</v>
      </c>
      <c r="B135" s="44">
        <f>IF(opérations[[#This Row],[DATE]]="","",IF(B134="INDEX",1,B134+1))</f>
        <v>121</v>
      </c>
      <c r="C135" s="38">
        <f>IF(opérations[[#This Row],[DATE]]="","",MONTH(opérations[[#This Row],[DATE]]))</f>
        <v>3</v>
      </c>
      <c r="D135" s="44" t="s">
        <v>60</v>
      </c>
      <c r="E135" s="38" t="str">
        <f>IF(opérations[[#This Row],[DESCRIPTION]]="","",IFERROR(VLOOKUP(opérations[[#This Row],[DESCRIPTION]],LISTE[],2,FALSE),""))</f>
        <v>COURSE</v>
      </c>
      <c r="F135" s="45"/>
      <c r="G135" s="45"/>
      <c r="Q135"/>
      <c r="R135"/>
      <c r="S135"/>
      <c r="T135"/>
      <c r="U135"/>
      <c r="V135"/>
      <c r="W135"/>
    </row>
    <row r="136" spans="1:23" x14ac:dyDescent="0.25">
      <c r="A136" s="43">
        <v>43535</v>
      </c>
      <c r="B136" s="44">
        <f>IF(opérations[[#This Row],[DATE]]="","",IF(B135="INDEX",1,B135+1))</f>
        <v>122</v>
      </c>
      <c r="C136" s="38">
        <f>IF(opérations[[#This Row],[DATE]]="","",MONTH(opérations[[#This Row],[DATE]]))</f>
        <v>3</v>
      </c>
      <c r="D136" s="44" t="s">
        <v>86</v>
      </c>
      <c r="E136" s="38" t="str">
        <f>IF(opérations[[#This Row],[DESCRIPTION]]="","",IFERROR(VLOOKUP(opérations[[#This Row],[DESCRIPTION]],LISTE[],2,FALSE),""))</f>
        <v>COURSE</v>
      </c>
      <c r="F136" s="45"/>
      <c r="G136" s="45"/>
      <c r="Q136"/>
      <c r="R136"/>
      <c r="S136"/>
      <c r="T136"/>
      <c r="U136"/>
      <c r="V136"/>
      <c r="W136"/>
    </row>
    <row r="137" spans="1:23" x14ac:dyDescent="0.25">
      <c r="A137" s="43">
        <v>43535</v>
      </c>
      <c r="B137" s="44">
        <f>IF(opérations[[#This Row],[DATE]]="","",IF(B136="INDEX",1,B136+1))</f>
        <v>123</v>
      </c>
      <c r="C137" s="38">
        <f>IF(opérations[[#This Row],[DATE]]="","",MONTH(opérations[[#This Row],[DATE]]))</f>
        <v>3</v>
      </c>
      <c r="D137" s="44" t="s">
        <v>139</v>
      </c>
      <c r="E137" s="38" t="str">
        <f>IF(opérations[[#This Row],[DESCRIPTION]]="","",IFERROR(VLOOKUP(opérations[[#This Row],[DESCRIPTION]],LISTE[],2,FALSE),""))</f>
        <v>TRANSPORT</v>
      </c>
      <c r="F137" s="45"/>
      <c r="G137" s="45"/>
      <c r="Q137"/>
      <c r="R137"/>
      <c r="S137"/>
      <c r="T137"/>
      <c r="U137"/>
      <c r="V137"/>
      <c r="W137"/>
    </row>
    <row r="138" spans="1:23" x14ac:dyDescent="0.25">
      <c r="A138" s="43">
        <v>43535</v>
      </c>
      <c r="B138" s="44">
        <f>IF(opérations[[#This Row],[DATE]]="","",IF(B137="INDEX",1,B137+1))</f>
        <v>124</v>
      </c>
      <c r="C138" s="38">
        <f>IF(opérations[[#This Row],[DATE]]="","",MONTH(opérations[[#This Row],[DATE]]))</f>
        <v>3</v>
      </c>
      <c r="D138" s="44" t="s">
        <v>140</v>
      </c>
      <c r="E138" s="38" t="str">
        <f>IF(opérations[[#This Row],[DESCRIPTION]]="","",IFERROR(VLOOKUP(opérations[[#This Row],[DESCRIPTION]],LISTE[],2,FALSE),""))</f>
        <v>TRANSPORT</v>
      </c>
      <c r="F138" s="45"/>
      <c r="G138" s="45"/>
      <c r="Q138"/>
      <c r="R138"/>
      <c r="S138"/>
      <c r="T138"/>
      <c r="U138"/>
      <c r="V138"/>
      <c r="W138"/>
    </row>
    <row r="139" spans="1:23" x14ac:dyDescent="0.25">
      <c r="A139" s="43">
        <v>43535</v>
      </c>
      <c r="B139" s="44">
        <f>IF(opérations[[#This Row],[DATE]]="","",IF(B138="INDEX",1,B138+1))</f>
        <v>125</v>
      </c>
      <c r="C139" s="38">
        <f>IF(opérations[[#This Row],[DATE]]="","",MONTH(opérations[[#This Row],[DATE]]))</f>
        <v>3</v>
      </c>
      <c r="D139" s="44" t="s">
        <v>140</v>
      </c>
      <c r="E139" s="38" t="str">
        <f>IF(opérations[[#This Row],[DESCRIPTION]]="","",IFERROR(VLOOKUP(opérations[[#This Row],[DESCRIPTION]],LISTE[],2,FALSE),""))</f>
        <v>TRANSPORT</v>
      </c>
      <c r="F139" s="45"/>
      <c r="G139" s="45"/>
      <c r="Q139"/>
      <c r="R139"/>
      <c r="S139"/>
      <c r="T139"/>
      <c r="U139"/>
      <c r="V139"/>
      <c r="W139"/>
    </row>
    <row r="140" spans="1:23" x14ac:dyDescent="0.25">
      <c r="A140" s="43">
        <v>43535</v>
      </c>
      <c r="B140" s="44">
        <f>IF(opérations[[#This Row],[DATE]]="","",IF(B139="INDEX",1,B139+1))</f>
        <v>126</v>
      </c>
      <c r="C140" s="38">
        <f>IF(opérations[[#This Row],[DATE]]="","",MONTH(opérations[[#This Row],[DATE]]))</f>
        <v>3</v>
      </c>
      <c r="D140" s="44" t="s">
        <v>151</v>
      </c>
      <c r="E140" s="38" t="str">
        <f>IF(opérations[[#This Row],[DESCRIPTION]]="","",IFERROR(VLOOKUP(opérations[[#This Row],[DESCRIPTION]],LISTE[],2,FALSE),""))</f>
        <v>VESTIMENTAIRE</v>
      </c>
      <c r="F140" s="45"/>
      <c r="G140" s="45"/>
      <c r="Q140"/>
      <c r="R140"/>
      <c r="S140"/>
      <c r="T140"/>
      <c r="U140"/>
      <c r="V140"/>
      <c r="W140"/>
    </row>
    <row r="141" spans="1:23" x14ac:dyDescent="0.25">
      <c r="A141" s="43">
        <v>43535</v>
      </c>
      <c r="B141" s="44">
        <f>IF(opérations[[#This Row],[DATE]]="","",IF(B140="INDEX",1,B140+1))</f>
        <v>127</v>
      </c>
      <c r="C141" s="38">
        <f>IF(opérations[[#This Row],[DATE]]="","",MONTH(opérations[[#This Row],[DATE]]))</f>
        <v>3</v>
      </c>
      <c r="D141" s="44" t="s">
        <v>151</v>
      </c>
      <c r="E141" s="38" t="str">
        <f>IF(opérations[[#This Row],[DESCRIPTION]]="","",IFERROR(VLOOKUP(opérations[[#This Row],[DESCRIPTION]],LISTE[],2,FALSE),""))</f>
        <v>VESTIMENTAIRE</v>
      </c>
      <c r="F141" s="45"/>
      <c r="G141" s="45"/>
      <c r="Q141"/>
      <c r="R141"/>
      <c r="S141"/>
      <c r="T141"/>
      <c r="U141"/>
      <c r="V141"/>
      <c r="W141"/>
    </row>
    <row r="142" spans="1:23" x14ac:dyDescent="0.25">
      <c r="A142" s="43">
        <v>43535</v>
      </c>
      <c r="B142" s="44">
        <f>IF(opérations[[#This Row],[DATE]]="","",IF(B141="INDEX",1,B141+1))</f>
        <v>128</v>
      </c>
      <c r="C142" s="38">
        <f>IF(opérations[[#This Row],[DATE]]="","",MONTH(opérations[[#This Row],[DATE]]))</f>
        <v>3</v>
      </c>
      <c r="D142" s="44" t="s">
        <v>90</v>
      </c>
      <c r="E142" s="38" t="str">
        <f>IF(opérations[[#This Row],[DESCRIPTION]]="","",IFERROR(VLOOKUP(opérations[[#This Row],[DESCRIPTION]],LISTE[],2,FALSE),""))</f>
        <v>VESTIMENTAIRE</v>
      </c>
      <c r="F142" s="45"/>
      <c r="G142" s="45"/>
      <c r="Q142"/>
      <c r="R142"/>
      <c r="S142"/>
      <c r="T142"/>
      <c r="U142"/>
      <c r="V142"/>
      <c r="W142"/>
    </row>
    <row r="143" spans="1:23" x14ac:dyDescent="0.25">
      <c r="A143" s="43">
        <v>43536</v>
      </c>
      <c r="B143" s="44">
        <f>IF(opérations[[#This Row],[DATE]]="","",IF(B142="INDEX",1,B142+1))</f>
        <v>129</v>
      </c>
      <c r="C143" s="38">
        <f>IF(opérations[[#This Row],[DATE]]="","",MONTH(opérations[[#This Row],[DATE]]))</f>
        <v>3</v>
      </c>
      <c r="D143" s="44" t="s">
        <v>159</v>
      </c>
      <c r="E143" s="38" t="str">
        <f>IF(opérations[[#This Row],[DESCRIPTION]]="","",IFERROR(VLOOKUP(opérations[[#This Row],[DESCRIPTION]],LISTE[],2,FALSE),""))</f>
        <v>DIVERS</v>
      </c>
      <c r="F143" s="45"/>
      <c r="G143" s="45"/>
      <c r="Q143"/>
      <c r="R143"/>
      <c r="S143"/>
      <c r="T143"/>
      <c r="U143"/>
      <c r="V143"/>
      <c r="W143"/>
    </row>
    <row r="144" spans="1:23" x14ac:dyDescent="0.25">
      <c r="A144" s="43">
        <v>43536</v>
      </c>
      <c r="B144" s="44">
        <f>IF(opérations[[#This Row],[DATE]]="","",IF(B143="INDEX",1,B143+1))</f>
        <v>130</v>
      </c>
      <c r="C144" s="38">
        <f>IF(opérations[[#This Row],[DATE]]="","",MONTH(opérations[[#This Row],[DATE]]))</f>
        <v>3</v>
      </c>
      <c r="D144" s="44" t="s">
        <v>97</v>
      </c>
      <c r="E144" s="38" t="str">
        <f>IF(opérations[[#This Row],[DESCRIPTION]]="","",IFERROR(VLOOKUP(opérations[[#This Row],[DESCRIPTION]],LISTE[],2,FALSE),""))</f>
        <v>COURSE</v>
      </c>
      <c r="F144" s="45"/>
      <c r="G144" s="45"/>
      <c r="Q144"/>
      <c r="R144"/>
      <c r="S144"/>
      <c r="T144"/>
      <c r="U144"/>
      <c r="V144"/>
      <c r="W144"/>
    </row>
    <row r="145" spans="1:23" x14ac:dyDescent="0.25">
      <c r="A145" s="43">
        <v>43536</v>
      </c>
      <c r="B145" s="44">
        <f>IF(opérations[[#This Row],[DATE]]="","",IF(B144="INDEX",1,B144+1))</f>
        <v>131</v>
      </c>
      <c r="C145" s="38">
        <f>IF(opérations[[#This Row],[DATE]]="","",MONTH(opérations[[#This Row],[DATE]]))</f>
        <v>3</v>
      </c>
      <c r="D145" s="44" t="s">
        <v>60</v>
      </c>
      <c r="E145" s="38" t="str">
        <f>IF(opérations[[#This Row],[DESCRIPTION]]="","",IFERROR(VLOOKUP(opérations[[#This Row],[DESCRIPTION]],LISTE[],2,FALSE),""))</f>
        <v>COURSE</v>
      </c>
      <c r="F145" s="45"/>
      <c r="G145" s="45"/>
      <c r="Q145"/>
      <c r="R145"/>
      <c r="S145"/>
      <c r="T145"/>
      <c r="U145"/>
      <c r="V145"/>
      <c r="W145"/>
    </row>
    <row r="146" spans="1:23" x14ac:dyDescent="0.25">
      <c r="A146" s="43">
        <v>43537</v>
      </c>
      <c r="B146" s="44">
        <f>IF(opérations[[#This Row],[DATE]]="","",IF(B145="INDEX",1,B145+1))</f>
        <v>132</v>
      </c>
      <c r="C146" s="38">
        <f>IF(opérations[[#This Row],[DATE]]="","",MONTH(opérations[[#This Row],[DATE]]))</f>
        <v>3</v>
      </c>
      <c r="D146" s="44" t="s">
        <v>97</v>
      </c>
      <c r="E146" s="38" t="str">
        <f>IF(opérations[[#This Row],[DESCRIPTION]]="","",IFERROR(VLOOKUP(opérations[[#This Row],[DESCRIPTION]],LISTE[],2,FALSE),""))</f>
        <v>COURSE</v>
      </c>
      <c r="F146" s="45"/>
      <c r="G146" s="45"/>
      <c r="Q146"/>
      <c r="R146"/>
      <c r="S146"/>
      <c r="T146"/>
      <c r="U146"/>
      <c r="V146"/>
      <c r="W146"/>
    </row>
    <row r="147" spans="1:23" x14ac:dyDescent="0.25">
      <c r="A147" s="43">
        <v>43537</v>
      </c>
      <c r="B147" s="44">
        <f>IF(opérations[[#This Row],[DATE]]="","",IF(B146="INDEX",1,B146+1))</f>
        <v>133</v>
      </c>
      <c r="C147" s="38">
        <f>IF(opérations[[#This Row],[DATE]]="","",MONTH(opérations[[#This Row],[DATE]]))</f>
        <v>3</v>
      </c>
      <c r="D147" s="44" t="s">
        <v>65</v>
      </c>
      <c r="E147" s="38" t="str">
        <f>IF(opérations[[#This Row],[DESCRIPTION]]="","",IFERROR(VLOOKUP(opérations[[#This Row],[DESCRIPTION]],LISTE[],2,FALSE),""))</f>
        <v>PERSONNEL</v>
      </c>
      <c r="F147" s="45"/>
      <c r="G147" s="45"/>
      <c r="Q147"/>
      <c r="R147"/>
      <c r="S147"/>
      <c r="T147"/>
      <c r="U147"/>
      <c r="V147"/>
      <c r="W147"/>
    </row>
    <row r="148" spans="1:23" x14ac:dyDescent="0.25">
      <c r="A148" s="43">
        <v>43537</v>
      </c>
      <c r="B148" s="44">
        <f>IF(opérations[[#This Row],[DATE]]="","",IF(B147="INDEX",1,B147+1))</f>
        <v>134</v>
      </c>
      <c r="C148" s="38">
        <f>IF(opérations[[#This Row],[DATE]]="","",MONTH(opérations[[#This Row],[DATE]]))</f>
        <v>3</v>
      </c>
      <c r="D148" s="44" t="s">
        <v>91</v>
      </c>
      <c r="E148" s="38" t="str">
        <f>IF(opérations[[#This Row],[DESCRIPTION]]="","",IFERROR(VLOOKUP(opérations[[#This Row],[DESCRIPTION]],LISTE[],2,FALSE),""))</f>
        <v>RESTAURATION</v>
      </c>
      <c r="F148" s="45"/>
      <c r="G148" s="45"/>
      <c r="Q148"/>
      <c r="R148"/>
      <c r="S148"/>
      <c r="T148"/>
      <c r="U148"/>
      <c r="V148"/>
      <c r="W148"/>
    </row>
    <row r="149" spans="1:23" x14ac:dyDescent="0.25">
      <c r="A149" s="43">
        <v>43538</v>
      </c>
      <c r="B149" s="44">
        <f>IF(opérations[[#This Row],[DATE]]="","",IF(B148="INDEX",1,B148+1))</f>
        <v>135</v>
      </c>
      <c r="C149" s="38">
        <f>IF(opérations[[#This Row],[DATE]]="","",MONTH(opérations[[#This Row],[DATE]]))</f>
        <v>3</v>
      </c>
      <c r="D149" s="44" t="s">
        <v>97</v>
      </c>
      <c r="E149" s="38" t="str">
        <f>IF(opérations[[#This Row],[DESCRIPTION]]="","",IFERROR(VLOOKUP(opérations[[#This Row],[DESCRIPTION]],LISTE[],2,FALSE),""))</f>
        <v>COURSE</v>
      </c>
      <c r="F149" s="45"/>
      <c r="G149" s="45"/>
      <c r="Q149"/>
      <c r="R149"/>
      <c r="S149"/>
      <c r="T149"/>
      <c r="U149"/>
      <c r="V149"/>
      <c r="W149"/>
    </row>
    <row r="150" spans="1:23" x14ac:dyDescent="0.25">
      <c r="A150" s="43">
        <v>43539</v>
      </c>
      <c r="B150" s="44">
        <f>IF(opérations[[#This Row],[DATE]]="","",IF(B149="INDEX",1,B149+1))</f>
        <v>136</v>
      </c>
      <c r="C150" s="38">
        <f>IF(opérations[[#This Row],[DATE]]="","",MONTH(opérations[[#This Row],[DATE]]))</f>
        <v>3</v>
      </c>
      <c r="D150" s="44" t="s">
        <v>97</v>
      </c>
      <c r="E150" s="38" t="str">
        <f>IF(opérations[[#This Row],[DESCRIPTION]]="","",IFERROR(VLOOKUP(opérations[[#This Row],[DESCRIPTION]],LISTE[],2,FALSE),""))</f>
        <v>COURSE</v>
      </c>
      <c r="F150" s="45"/>
      <c r="G150" s="45"/>
      <c r="Q150"/>
      <c r="R150"/>
      <c r="S150"/>
      <c r="T150"/>
      <c r="U150"/>
      <c r="V150"/>
      <c r="W150"/>
    </row>
    <row r="151" spans="1:23" x14ac:dyDescent="0.25">
      <c r="A151" s="43">
        <v>43542</v>
      </c>
      <c r="B151" s="44">
        <f>IF(opérations[[#This Row],[DATE]]="","",IF(B150="INDEX",1,B150+1))</f>
        <v>137</v>
      </c>
      <c r="C151" s="38">
        <f>IF(opérations[[#This Row],[DATE]]="","",MONTH(opérations[[#This Row],[DATE]]))</f>
        <v>3</v>
      </c>
      <c r="D151" s="44" t="s">
        <v>47</v>
      </c>
      <c r="E151" s="38" t="str">
        <f>IF(opérations[[#This Row],[DESCRIPTION]]="","",IFERROR(VLOOKUP(opérations[[#This Row],[DESCRIPTION]],LISTE[],2,FALSE),""))</f>
        <v>FACTURE</v>
      </c>
      <c r="F151" s="45"/>
      <c r="G151" s="45"/>
      <c r="Q151"/>
      <c r="R151"/>
      <c r="S151"/>
      <c r="T151"/>
      <c r="U151"/>
      <c r="V151"/>
      <c r="W151"/>
    </row>
    <row r="152" spans="1:23" x14ac:dyDescent="0.25">
      <c r="A152" s="43">
        <v>43542</v>
      </c>
      <c r="B152" s="44">
        <f>IF(opérations[[#This Row],[DATE]]="","",IF(B151="INDEX",1,B151+1))</f>
        <v>138</v>
      </c>
      <c r="C152" s="38">
        <f>IF(opérations[[#This Row],[DATE]]="","",MONTH(opérations[[#This Row],[DATE]]))</f>
        <v>3</v>
      </c>
      <c r="D152" s="44" t="s">
        <v>153</v>
      </c>
      <c r="E152" s="38" t="str">
        <f>IF(opérations[[#This Row],[DESCRIPTION]]="","",IFERROR(VLOOKUP(opérations[[#This Row],[DESCRIPTION]],LISTE[],2,FALSE),""))</f>
        <v>RESTAURATION</v>
      </c>
      <c r="F152" s="45"/>
      <c r="G152" s="45"/>
      <c r="Q152"/>
      <c r="R152"/>
      <c r="S152"/>
      <c r="T152"/>
      <c r="U152"/>
      <c r="V152"/>
      <c r="W152"/>
    </row>
    <row r="153" spans="1:23" x14ac:dyDescent="0.25">
      <c r="A153" s="43">
        <v>43542</v>
      </c>
      <c r="B153" s="44">
        <f>IF(opérations[[#This Row],[DATE]]="","",IF(B152="INDEX",1,B152+1))</f>
        <v>139</v>
      </c>
      <c r="C153" s="38">
        <f>IF(opérations[[#This Row],[DATE]]="","",MONTH(opérations[[#This Row],[DATE]]))</f>
        <v>3</v>
      </c>
      <c r="D153" s="44" t="s">
        <v>153</v>
      </c>
      <c r="E153" s="38" t="str">
        <f>IF(opérations[[#This Row],[DESCRIPTION]]="","",IFERROR(VLOOKUP(opérations[[#This Row],[DESCRIPTION]],LISTE[],2,FALSE),""))</f>
        <v>RESTAURATION</v>
      </c>
      <c r="F153" s="45"/>
      <c r="G153" s="45"/>
      <c r="Q153"/>
      <c r="R153"/>
      <c r="S153"/>
      <c r="T153"/>
      <c r="U153"/>
      <c r="V153"/>
      <c r="W153"/>
    </row>
    <row r="154" spans="1:23" x14ac:dyDescent="0.25">
      <c r="A154" s="43">
        <v>43542</v>
      </c>
      <c r="B154" s="44">
        <f>IF(opérations[[#This Row],[DATE]]="","",IF(B153="INDEX",1,B153+1))</f>
        <v>140</v>
      </c>
      <c r="C154" s="38">
        <f>IF(opérations[[#This Row],[DATE]]="","",MONTH(opérations[[#This Row],[DATE]]))</f>
        <v>3</v>
      </c>
      <c r="D154" s="44" t="s">
        <v>63</v>
      </c>
      <c r="E154" s="38" t="str">
        <f>IF(opérations[[#This Row],[DESCRIPTION]]="","",IFERROR(VLOOKUP(opérations[[#This Row],[DESCRIPTION]],LISTE[],2,FALSE),""))</f>
        <v>RESTAURATION</v>
      </c>
      <c r="F154" s="45"/>
      <c r="G154" s="45"/>
      <c r="Q154"/>
      <c r="R154"/>
      <c r="S154"/>
      <c r="T154"/>
      <c r="U154"/>
      <c r="V154"/>
      <c r="W154"/>
    </row>
    <row r="155" spans="1:23" x14ac:dyDescent="0.25">
      <c r="A155" s="43">
        <v>43542</v>
      </c>
      <c r="B155" s="44">
        <f>IF(opérations[[#This Row],[DATE]]="","",IF(B154="INDEX",1,B154+1))</f>
        <v>141</v>
      </c>
      <c r="C155" s="38">
        <f>IF(opérations[[#This Row],[DATE]]="","",MONTH(opérations[[#This Row],[DATE]]))</f>
        <v>3</v>
      </c>
      <c r="D155" s="44" t="s">
        <v>48</v>
      </c>
      <c r="E155" s="38" t="str">
        <f>IF(opérations[[#This Row],[DESCRIPTION]]="","",IFERROR(VLOOKUP(opérations[[#This Row],[DESCRIPTION]],LISTE[],2,FALSE),""))</f>
        <v>LOISIRS</v>
      </c>
      <c r="F155" s="45"/>
      <c r="G155" s="45"/>
      <c r="Q155"/>
      <c r="R155"/>
      <c r="S155"/>
      <c r="T155"/>
      <c r="U155"/>
      <c r="V155"/>
      <c r="W155"/>
    </row>
    <row r="156" spans="1:23" x14ac:dyDescent="0.25">
      <c r="A156" s="43">
        <v>43542</v>
      </c>
      <c r="B156" s="44">
        <f>IF(opérations[[#This Row],[DATE]]="","",IF(B155="INDEX",1,B155+1))</f>
        <v>142</v>
      </c>
      <c r="C156" s="38">
        <f>IF(opérations[[#This Row],[DATE]]="","",MONTH(opérations[[#This Row],[DATE]]))</f>
        <v>3</v>
      </c>
      <c r="D156" s="44" t="s">
        <v>110</v>
      </c>
      <c r="E156" s="38" t="str">
        <f>IF(opérations[[#This Row],[DESCRIPTION]]="","",IFERROR(VLOOKUP(opérations[[#This Row],[DESCRIPTION]],LISTE[],2,FALSE),""))</f>
        <v>FACTURE</v>
      </c>
      <c r="F156" s="45"/>
      <c r="G156" s="45"/>
      <c r="Q156"/>
      <c r="R156"/>
      <c r="S156"/>
      <c r="T156"/>
      <c r="U156"/>
      <c r="V156"/>
      <c r="W156"/>
    </row>
    <row r="157" spans="1:23" x14ac:dyDescent="0.25">
      <c r="A157" s="43">
        <v>43544</v>
      </c>
      <c r="B157" s="44">
        <f>IF(opérations[[#This Row],[DATE]]="","",IF(B156="INDEX",1,B156+1))</f>
        <v>143</v>
      </c>
      <c r="C157" s="38">
        <f>IF(opérations[[#This Row],[DATE]]="","",MONTH(opérations[[#This Row],[DATE]]))</f>
        <v>3</v>
      </c>
      <c r="D157" s="44" t="s">
        <v>44</v>
      </c>
      <c r="E157" s="38" t="str">
        <f>IF(opérations[[#This Row],[DESCRIPTION]]="","",IFERROR(VLOOKUP(opérations[[#This Row],[DESCRIPTION]],LISTE[],2,FALSE),""))</f>
        <v>FACTURE</v>
      </c>
      <c r="F157" s="45"/>
      <c r="G157" s="45"/>
      <c r="Q157"/>
      <c r="R157"/>
      <c r="S157"/>
      <c r="T157"/>
      <c r="U157"/>
      <c r="V157"/>
      <c r="W157"/>
    </row>
    <row r="158" spans="1:23" x14ac:dyDescent="0.25">
      <c r="A158" s="43">
        <v>43544</v>
      </c>
      <c r="B158" s="44">
        <f>IF(opérations[[#This Row],[DATE]]="","",IF(B157="INDEX",1,B157+1))</f>
        <v>144</v>
      </c>
      <c r="C158" s="38">
        <f>IF(opérations[[#This Row],[DATE]]="","",MONTH(opérations[[#This Row],[DATE]]))</f>
        <v>3</v>
      </c>
      <c r="D158" s="44" t="s">
        <v>154</v>
      </c>
      <c r="E158" s="38" t="str">
        <f>IF(opérations[[#This Row],[DESCRIPTION]]="","",IFERROR(VLOOKUP(opérations[[#This Row],[DESCRIPTION]],LISTE[],2,FALSE),""))</f>
        <v>CREDIT</v>
      </c>
      <c r="F158" s="45"/>
      <c r="G158" s="45"/>
      <c r="Q158"/>
      <c r="R158"/>
      <c r="S158"/>
      <c r="T158"/>
      <c r="U158"/>
      <c r="V158"/>
      <c r="W158"/>
    </row>
    <row r="159" spans="1:23" x14ac:dyDescent="0.25">
      <c r="A159" s="37">
        <v>43544</v>
      </c>
      <c r="B159" s="38">
        <f>IF(opérations[[#This Row],[DATE]]="","",IF(B158="INDEX",1,B158+1))</f>
        <v>145</v>
      </c>
      <c r="C159" s="38">
        <f>IF(opérations[[#This Row],[DATE]]="","",MONTH(opérations[[#This Row],[DATE]]))</f>
        <v>3</v>
      </c>
      <c r="D159" s="38" t="s">
        <v>153</v>
      </c>
      <c r="E159" s="38" t="str">
        <f>IF(opérations[[#This Row],[DESCRIPTION]]="","",IFERROR(VLOOKUP(opérations[[#This Row],[DESCRIPTION]],LISTE[],2,FALSE),""))</f>
        <v>RESTAURATION</v>
      </c>
      <c r="F159" s="39"/>
      <c r="G159" s="39"/>
      <c r="Q159"/>
      <c r="R159"/>
      <c r="S159"/>
      <c r="T159"/>
      <c r="U159"/>
      <c r="V159"/>
      <c r="W159"/>
    </row>
    <row r="160" spans="1:23" x14ac:dyDescent="0.25">
      <c r="A160" s="37">
        <v>43545</v>
      </c>
      <c r="B160" s="38">
        <f>IF(opérations[[#This Row],[DATE]]="","",IF(B159="INDEX",1,B159+1))</f>
        <v>146</v>
      </c>
      <c r="C160" s="38">
        <f>IF(opérations[[#This Row],[DATE]]="","",MONTH(opérations[[#This Row],[DATE]]))</f>
        <v>3</v>
      </c>
      <c r="D160" s="38" t="s">
        <v>55</v>
      </c>
      <c r="E160" s="38" t="str">
        <f>IF(opérations[[#This Row],[DESCRIPTION]]="","",IFERROR(VLOOKUP(opérations[[#This Row],[DESCRIPTION]],LISTE[],2,FALSE),""))</f>
        <v>RESTAURATION</v>
      </c>
      <c r="F160" s="39"/>
      <c r="G160" s="39"/>
    </row>
    <row r="161" spans="1:7" x14ac:dyDescent="0.25">
      <c r="A161" s="34"/>
      <c r="B161" s="35"/>
      <c r="C161" s="35"/>
      <c r="D161" s="23"/>
      <c r="E161" s="35"/>
      <c r="F161" s="32"/>
      <c r="G161" s="32"/>
    </row>
  </sheetData>
  <mergeCells count="5">
    <mergeCell ref="I5:O5"/>
    <mergeCell ref="AF5:AJ5"/>
    <mergeCell ref="AL5:AP5"/>
    <mergeCell ref="Q5:W5"/>
    <mergeCell ref="A5:G5"/>
  </mergeCell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21514" r:id="rId4" name="ScrollBar1">
          <controlPr defaultSize="0" autoLine="0" r:id="rId5">
            <anchor moveWithCells="1">
              <from>
                <xdr:col>23</xdr:col>
                <xdr:colOff>38100</xdr:colOff>
                <xdr:row>5</xdr:row>
                <xdr:rowOff>9525</xdr:rowOff>
              </from>
              <to>
                <xdr:col>23</xdr:col>
                <xdr:colOff>276225</xdr:colOff>
                <xdr:row>11</xdr:row>
                <xdr:rowOff>0</xdr:rowOff>
              </to>
            </anchor>
          </controlPr>
        </control>
      </mc:Choice>
      <mc:Fallback>
        <control shapeId="21514" r:id="rId4" name="ScrollBar1"/>
      </mc:Fallback>
    </mc:AlternateContent>
    <mc:AlternateContent xmlns:mc="http://schemas.openxmlformats.org/markup-compatibility/2006">
      <mc:Choice Requires="x14">
        <control shapeId="21515" r:id="rId6" name="ScrollBar2">
          <controlPr defaultSize="0" autoLine="0" r:id="rId7">
            <anchor moveWithCells="1">
              <from>
                <xdr:col>15</xdr:col>
                <xdr:colOff>9525</xdr:colOff>
                <xdr:row>4</xdr:row>
                <xdr:rowOff>47625</xdr:rowOff>
              </from>
              <to>
                <xdr:col>15</xdr:col>
                <xdr:colOff>200025</xdr:colOff>
                <xdr:row>10</xdr:row>
                <xdr:rowOff>9525</xdr:rowOff>
              </to>
            </anchor>
          </controlPr>
        </control>
      </mc:Choice>
      <mc:Fallback>
        <control shapeId="21515" r:id="rId6" name="ScrollBar2"/>
      </mc:Fallback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53152-9E35-4C51-AB1B-9347E44BDB03}">
  <sheetPr codeName="Feuil5"/>
  <dimension ref="A1:X40"/>
  <sheetViews>
    <sheetView tabSelected="1" zoomScaleNormal="100" workbookViewId="0"/>
  </sheetViews>
  <sheetFormatPr baseColWidth="10" defaultRowHeight="15" x14ac:dyDescent="0.25"/>
  <cols>
    <col min="1" max="1" width="10.42578125" style="14" customWidth="1"/>
    <col min="2" max="3" width="11.42578125" style="14"/>
    <col min="4" max="4" width="13" style="14" bestFit="1" customWidth="1"/>
    <col min="5" max="19" width="11.42578125" style="14"/>
    <col min="20" max="20" width="16.42578125" style="14" customWidth="1"/>
    <col min="21" max="21" width="11.42578125" style="14"/>
    <col min="22" max="22" width="11.5703125" style="14" customWidth="1"/>
    <col min="23" max="23" width="10.28515625" style="14" customWidth="1"/>
    <col min="24" max="16384" width="11.42578125" style="14"/>
  </cols>
  <sheetData>
    <row r="1" spans="1:23" x14ac:dyDescent="0.25">
      <c r="B1" s="15" t="s">
        <v>166</v>
      </c>
      <c r="C1" s="78" t="s">
        <v>165</v>
      </c>
      <c r="D1" s="78"/>
      <c r="U1" s="78" t="s">
        <v>164</v>
      </c>
      <c r="V1" s="78"/>
      <c r="W1" s="78"/>
    </row>
    <row r="2" spans="1:23" x14ac:dyDescent="0.25">
      <c r="A2" s="21"/>
      <c r="U2" s="79">
        <v>43560</v>
      </c>
      <c r="V2" s="79"/>
      <c r="W2" s="79"/>
    </row>
    <row r="19" spans="23:24" x14ac:dyDescent="0.25">
      <c r="W19" s="16"/>
      <c r="X19" s="16"/>
    </row>
    <row r="20" spans="23:24" x14ac:dyDescent="0.25">
      <c r="W20" s="16"/>
      <c r="X20" s="16"/>
    </row>
    <row r="21" spans="23:24" x14ac:dyDescent="0.25">
      <c r="W21" s="16"/>
      <c r="X21" s="16"/>
    </row>
    <row r="22" spans="23:24" x14ac:dyDescent="0.25">
      <c r="W22" s="16"/>
      <c r="X22" s="16"/>
    </row>
    <row r="23" spans="23:24" x14ac:dyDescent="0.25">
      <c r="W23" s="16"/>
      <c r="X23" s="16"/>
    </row>
    <row r="24" spans="23:24" x14ac:dyDescent="0.25">
      <c r="W24" s="16"/>
      <c r="X24" s="16"/>
    </row>
    <row r="30" spans="23:24" x14ac:dyDescent="0.25">
      <c r="X30" s="16"/>
    </row>
    <row r="31" spans="23:24" x14ac:dyDescent="0.25">
      <c r="X31" s="16"/>
    </row>
    <row r="32" spans="23:24" x14ac:dyDescent="0.25">
      <c r="X32" s="16"/>
    </row>
    <row r="33" spans="1:24" x14ac:dyDescent="0.25">
      <c r="X33" s="16"/>
    </row>
    <row r="37" spans="1:24" x14ac:dyDescent="0.25">
      <c r="B37" s="16"/>
      <c r="D37" s="16"/>
      <c r="E37" s="16"/>
    </row>
    <row r="38" spans="1:24" x14ac:dyDescent="0.25">
      <c r="A38" s="16"/>
      <c r="B38" s="16"/>
      <c r="D38" s="16"/>
      <c r="E38" s="16"/>
    </row>
    <row r="39" spans="1:24" x14ac:dyDescent="0.25">
      <c r="A39" s="16"/>
    </row>
    <row r="40" spans="1:24" ht="16.5" customHeight="1" x14ac:dyDescent="0.25"/>
  </sheetData>
  <mergeCells count="3">
    <mergeCell ref="C1:D1"/>
    <mergeCell ref="U1:W1"/>
    <mergeCell ref="U2:W2"/>
  </mergeCells>
  <pageMargins left="0.7" right="0.7" top="0.75" bottom="0.75" header="0.3" footer="0.3"/>
  <pageSetup paperSize="9" scale="31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1502C5-D7CC-4682-A546-D1B9BAA5E44D}">
  <sheetPr codeName="Feuil6"/>
  <dimension ref="A1:L39"/>
  <sheetViews>
    <sheetView workbookViewId="0">
      <selection activeCell="J25" sqref="J25"/>
    </sheetView>
  </sheetViews>
  <sheetFormatPr baseColWidth="10" defaultRowHeight="15" x14ac:dyDescent="0.25"/>
  <cols>
    <col min="1" max="1" width="6.85546875" style="16" customWidth="1"/>
    <col min="2" max="2" width="11.140625" style="16" bestFit="1" customWidth="1"/>
    <col min="3" max="3" width="14.7109375" style="16" customWidth="1"/>
    <col min="4" max="4" width="15" style="16" customWidth="1"/>
    <col min="5" max="5" width="17.7109375" style="16" customWidth="1"/>
    <col min="6" max="6" width="11.42578125" style="16"/>
    <col min="7" max="7" width="10.7109375" style="16" customWidth="1"/>
    <col min="8" max="8" width="11.5703125" style="16" bestFit="1" customWidth="1"/>
    <col min="9" max="9" width="12.85546875" style="16" bestFit="1" customWidth="1"/>
    <col min="10" max="10" width="4.28515625" style="16" customWidth="1"/>
    <col min="11" max="16384" width="11.42578125" style="16"/>
  </cols>
  <sheetData>
    <row r="1" spans="1:12" x14ac:dyDescent="0.25">
      <c r="B1" s="95" t="s">
        <v>175</v>
      </c>
    </row>
    <row r="2" spans="1:12" x14ac:dyDescent="0.25">
      <c r="A2" s="20"/>
      <c r="B2" s="96"/>
    </row>
    <row r="7" spans="1:12" x14ac:dyDescent="0.25">
      <c r="H7" s="14"/>
    </row>
    <row r="8" spans="1:12" x14ac:dyDescent="0.25">
      <c r="H8" s="14"/>
    </row>
    <row r="9" spans="1:12" x14ac:dyDescent="0.25">
      <c r="H9" s="14"/>
    </row>
    <row r="10" spans="1:12" x14ac:dyDescent="0.25">
      <c r="H10" s="14"/>
    </row>
    <row r="11" spans="1:12" ht="14.25" customHeight="1" x14ac:dyDescent="0.25">
      <c r="H11" s="14"/>
    </row>
    <row r="12" spans="1:12" ht="14.25" customHeight="1" x14ac:dyDescent="0.25">
      <c r="H12" s="14"/>
    </row>
    <row r="13" spans="1:12" ht="25.5" customHeight="1" x14ac:dyDescent="0.25">
      <c r="B13" s="90" t="s">
        <v>173</v>
      </c>
      <c r="C13" s="90"/>
      <c r="D13" s="90"/>
      <c r="E13" s="90"/>
      <c r="F13" s="90"/>
      <c r="G13" s="90"/>
      <c r="H13" s="90"/>
      <c r="I13" s="90"/>
      <c r="K13" s="14"/>
      <c r="L13" s="14"/>
    </row>
    <row r="14" spans="1:12" x14ac:dyDescent="0.25">
      <c r="B14" s="91"/>
      <c r="C14" s="91"/>
      <c r="D14" s="91"/>
      <c r="E14" s="91"/>
      <c r="F14" s="91"/>
      <c r="G14" s="91"/>
      <c r="H14" s="91"/>
      <c r="I14" s="91"/>
      <c r="K14" s="14"/>
      <c r="L14" s="14"/>
    </row>
    <row r="15" spans="1:12" x14ac:dyDescent="0.25">
      <c r="B15" s="87" t="s">
        <v>167</v>
      </c>
      <c r="C15" s="87"/>
      <c r="D15" s="87" t="s">
        <v>168</v>
      </c>
      <c r="E15" s="87"/>
      <c r="F15" s="87" t="s">
        <v>179</v>
      </c>
      <c r="G15" s="87"/>
      <c r="H15" s="87" t="s">
        <v>170</v>
      </c>
      <c r="I15" s="87"/>
      <c r="K15" s="14"/>
      <c r="L15" s="14"/>
    </row>
    <row r="16" spans="1:12" x14ac:dyDescent="0.25">
      <c r="B16" s="87"/>
      <c r="C16" s="87"/>
      <c r="D16" s="87"/>
      <c r="E16" s="87"/>
      <c r="F16" s="87"/>
      <c r="G16" s="87"/>
      <c r="H16" s="87"/>
      <c r="I16" s="87"/>
      <c r="K16" s="14"/>
      <c r="L16" s="14"/>
    </row>
    <row r="17" spans="1:12" ht="15" customHeight="1" x14ac:dyDescent="0.25">
      <c r="A17" s="86" t="str">
        <f>'TABLEAU DE COMPTE'!AG15</f>
        <v/>
      </c>
      <c r="B17" s="88" t="str">
        <f>IF('TABLEAU DE COMPTE'!AF6="","",'TABLEAU DE COMPTE'!AF6)</f>
        <v/>
      </c>
      <c r="C17" s="88"/>
      <c r="D17" s="88" t="str">
        <f>IF('TABLEAU DE COMPTE'!AH6="","",'TABLEAU DE COMPTE'!AH6)</f>
        <v/>
      </c>
      <c r="E17" s="88"/>
      <c r="F17" s="89" t="str">
        <f>IF('TABLEAU DE COMPTE'!AI6="","",'TABLEAU DE COMPTE'!AI6)</f>
        <v/>
      </c>
      <c r="G17" s="89"/>
      <c r="H17" s="88" t="str">
        <f>IF('TABLEAU DE COMPTE'!AJ6="","",'TABLEAU DE COMPTE'!AJ6)</f>
        <v/>
      </c>
      <c r="I17" s="88"/>
      <c r="J17" s="68"/>
      <c r="K17" s="14"/>
      <c r="L17" s="14"/>
    </row>
    <row r="18" spans="1:12" ht="15" customHeight="1" thickBot="1" x14ac:dyDescent="0.3">
      <c r="A18" s="86"/>
      <c r="B18" s="88"/>
      <c r="C18" s="88"/>
      <c r="D18" s="88"/>
      <c r="E18" s="88"/>
      <c r="F18" s="89"/>
      <c r="G18" s="89"/>
      <c r="H18" s="88"/>
      <c r="I18" s="88"/>
      <c r="J18" s="68"/>
      <c r="K18" s="14"/>
      <c r="L18" s="14"/>
    </row>
    <row r="19" spans="1:12" ht="15" customHeight="1" thickTop="1" thickBot="1" x14ac:dyDescent="0.3">
      <c r="B19" s="92" t="s">
        <v>160</v>
      </c>
      <c r="C19" s="93"/>
      <c r="D19" s="92" t="s">
        <v>161</v>
      </c>
      <c r="E19" s="93"/>
      <c r="F19" s="92" t="s">
        <v>22</v>
      </c>
      <c r="G19" s="93"/>
      <c r="H19" s="76" t="s">
        <v>163</v>
      </c>
      <c r="I19" s="76" t="s">
        <v>37</v>
      </c>
      <c r="J19" s="14"/>
      <c r="K19" s="14"/>
      <c r="L19" s="14"/>
    </row>
    <row r="20" spans="1:12" ht="15" customHeight="1" thickTop="1" thickBot="1" x14ac:dyDescent="0.3">
      <c r="B20" s="94">
        <f>'TABLEAU DE COMPTE'!A6</f>
        <v>43101</v>
      </c>
      <c r="C20" s="84"/>
      <c r="D20" s="83" t="str">
        <f>'TABLEAU DE COMPTE'!D6</f>
        <v>Salaire</v>
      </c>
      <c r="E20" s="84"/>
      <c r="F20" s="83" t="str">
        <f>'TABLEAU DE COMPTE'!E6</f>
        <v>SALAIRE</v>
      </c>
      <c r="G20" s="84"/>
      <c r="H20" s="74">
        <f>'TABLEAU DE COMPTE'!F6</f>
        <v>0</v>
      </c>
      <c r="I20" s="74">
        <f>'TABLEAU DE COMPTE'!G6</f>
        <v>0</v>
      </c>
      <c r="J20" s="14"/>
      <c r="K20" s="14"/>
      <c r="L20" s="14"/>
    </row>
    <row r="21" spans="1:12" ht="15" customHeight="1" thickTop="1" thickBot="1" x14ac:dyDescent="0.3">
      <c r="B21" s="94">
        <f>'TABLEAU DE COMPTE'!A7</f>
        <v>43467</v>
      </c>
      <c r="C21" s="84"/>
      <c r="D21" s="83" t="str">
        <f>'TABLEAU DE COMPTE'!D7</f>
        <v>Placement LJMO</v>
      </c>
      <c r="E21" s="84"/>
      <c r="F21" s="83" t="str">
        <f>'TABLEAU DE COMPTE'!E7</f>
        <v>PLACEMENT LJMO</v>
      </c>
      <c r="G21" s="84"/>
      <c r="H21" s="74">
        <f>'TABLEAU DE COMPTE'!F7</f>
        <v>0</v>
      </c>
      <c r="I21" s="74">
        <f>'TABLEAU DE COMPTE'!G7</f>
        <v>0</v>
      </c>
      <c r="J21" s="14"/>
      <c r="K21" s="14"/>
      <c r="L21" s="14"/>
    </row>
    <row r="22" spans="1:12" ht="15" customHeight="1" thickTop="1" thickBot="1" x14ac:dyDescent="0.3">
      <c r="B22" s="94">
        <f>'TABLEAU DE COMPTE'!A8</f>
        <v>43467</v>
      </c>
      <c r="C22" s="84"/>
      <c r="D22" s="83" t="str">
        <f>'TABLEAU DE COMPTE'!D8</f>
        <v>O'Tacos</v>
      </c>
      <c r="E22" s="84"/>
      <c r="F22" s="83" t="str">
        <f>'TABLEAU DE COMPTE'!E8</f>
        <v>RESTAURATION</v>
      </c>
      <c r="G22" s="84"/>
      <c r="H22" s="74">
        <f>'TABLEAU DE COMPTE'!F8</f>
        <v>0</v>
      </c>
      <c r="I22" s="74">
        <f>'TABLEAU DE COMPTE'!G8</f>
        <v>0</v>
      </c>
      <c r="J22" s="14"/>
      <c r="K22" s="14"/>
      <c r="L22" s="14"/>
    </row>
    <row r="23" spans="1:12" ht="15" customHeight="1" thickTop="1" thickBot="1" x14ac:dyDescent="0.3">
      <c r="B23" s="94">
        <f>'TABLEAU DE COMPTE'!A9</f>
        <v>43468</v>
      </c>
      <c r="C23" s="84"/>
      <c r="D23" s="83" t="str">
        <f>'TABLEAU DE COMPTE'!D9</f>
        <v>Compte à composer</v>
      </c>
      <c r="E23" s="84"/>
      <c r="F23" s="83" t="str">
        <f>'TABLEAU DE COMPTE'!E9</f>
        <v>FACTURE</v>
      </c>
      <c r="G23" s="84"/>
      <c r="H23" s="74">
        <f>'TABLEAU DE COMPTE'!F9</f>
        <v>0</v>
      </c>
      <c r="I23" s="74">
        <f>'TABLEAU DE COMPTE'!G9</f>
        <v>0</v>
      </c>
    </row>
    <row r="24" spans="1:12" ht="15" customHeight="1" thickTop="1" thickBot="1" x14ac:dyDescent="0.3">
      <c r="B24" s="97">
        <f>'TABLEAU DE COMPTE'!A10</f>
        <v>43468</v>
      </c>
      <c r="C24" s="82"/>
      <c r="D24" s="81" t="str">
        <f>'TABLEAU DE COMPTE'!D10</f>
        <v>Assurance pret perso.</v>
      </c>
      <c r="E24" s="82"/>
      <c r="F24" s="81" t="str">
        <f>'TABLEAU DE COMPTE'!E10</f>
        <v>FACTURE</v>
      </c>
      <c r="G24" s="82"/>
      <c r="H24" s="75">
        <f>'TABLEAU DE COMPTE'!F10</f>
        <v>0</v>
      </c>
      <c r="I24" s="75">
        <f>'TABLEAU DE COMPTE'!G10</f>
        <v>0</v>
      </c>
      <c r="J24" s="14"/>
      <c r="K24" s="14"/>
      <c r="L24" s="14"/>
    </row>
    <row r="25" spans="1:12" ht="24" customHeight="1" thickTop="1" x14ac:dyDescent="0.25">
      <c r="B25" s="90" t="s">
        <v>174</v>
      </c>
      <c r="C25" s="90"/>
      <c r="D25" s="90"/>
      <c r="E25" s="90"/>
      <c r="F25" s="90"/>
      <c r="G25" s="90"/>
      <c r="H25" s="90"/>
      <c r="I25" s="90"/>
      <c r="J25" s="14"/>
      <c r="K25" s="14"/>
      <c r="L25" s="14"/>
    </row>
    <row r="26" spans="1:12" ht="15" customHeight="1" x14ac:dyDescent="0.25">
      <c r="B26" s="91"/>
      <c r="C26" s="91"/>
      <c r="D26" s="91"/>
      <c r="E26" s="91"/>
      <c r="F26" s="91"/>
      <c r="G26" s="91"/>
      <c r="H26" s="91"/>
      <c r="I26" s="91"/>
      <c r="J26" s="14"/>
      <c r="K26" s="14"/>
      <c r="L26" s="14"/>
    </row>
    <row r="27" spans="1:12" x14ac:dyDescent="0.25">
      <c r="B27" s="87" t="s">
        <v>167</v>
      </c>
      <c r="C27" s="87"/>
      <c r="D27" s="87" t="s">
        <v>168</v>
      </c>
      <c r="E27" s="87"/>
      <c r="F27" s="87" t="s">
        <v>179</v>
      </c>
      <c r="G27" s="87"/>
      <c r="H27" s="87" t="s">
        <v>170</v>
      </c>
      <c r="I27" s="87"/>
      <c r="J27" s="14"/>
      <c r="K27" s="14"/>
      <c r="L27" s="14"/>
    </row>
    <row r="28" spans="1:12" x14ac:dyDescent="0.25">
      <c r="B28" s="87"/>
      <c r="C28" s="87"/>
      <c r="D28" s="87"/>
      <c r="E28" s="87"/>
      <c r="F28" s="87"/>
      <c r="G28" s="87"/>
      <c r="H28" s="87"/>
      <c r="I28" s="87"/>
      <c r="J28" s="14"/>
      <c r="K28" s="14"/>
      <c r="L28" s="14"/>
    </row>
    <row r="29" spans="1:12" ht="15" customHeight="1" x14ac:dyDescent="0.25">
      <c r="A29" s="85">
        <v>1</v>
      </c>
      <c r="B29" s="88" t="str">
        <f>IF('TABLEAU DE COMPTE'!AL6="","",'TABLEAU DE COMPTE'!AL6)</f>
        <v/>
      </c>
      <c r="C29" s="88"/>
      <c r="D29" s="88" t="str">
        <f>IF('TABLEAU DE COMPTE'!AN6="","",'TABLEAU DE COMPTE'!AN6)</f>
        <v/>
      </c>
      <c r="E29" s="88"/>
      <c r="F29" s="89" t="str">
        <f>IF('TABLEAU DE COMPTE'!AO6="","",'TABLEAU DE COMPTE'!AO6)</f>
        <v/>
      </c>
      <c r="G29" s="89"/>
      <c r="H29" s="88" t="str">
        <f>IF('TABLEAU DE COMPTE'!AP6="","",'TABLEAU DE COMPTE'!AP6)</f>
        <v/>
      </c>
      <c r="I29" s="88"/>
      <c r="J29" s="69"/>
      <c r="K29" s="14"/>
      <c r="L29" s="14"/>
    </row>
    <row r="30" spans="1:12" ht="15" customHeight="1" x14ac:dyDescent="0.25">
      <c r="A30" s="85"/>
      <c r="B30" s="88"/>
      <c r="C30" s="88"/>
      <c r="D30" s="88"/>
      <c r="E30" s="88"/>
      <c r="F30" s="89"/>
      <c r="G30" s="89"/>
      <c r="H30" s="88"/>
      <c r="I30" s="88"/>
      <c r="J30" s="69"/>
      <c r="K30" s="14"/>
      <c r="L30" s="14"/>
    </row>
    <row r="31" spans="1:12" x14ac:dyDescent="0.25">
      <c r="B31" s="77" t="s">
        <v>160</v>
      </c>
      <c r="C31" s="77"/>
      <c r="D31" s="77" t="s">
        <v>161</v>
      </c>
      <c r="E31" s="77"/>
      <c r="F31" s="77" t="s">
        <v>22</v>
      </c>
      <c r="G31" s="77"/>
      <c r="H31" s="64" t="s">
        <v>37</v>
      </c>
      <c r="I31" s="64" t="s">
        <v>163</v>
      </c>
      <c r="J31" s="14"/>
      <c r="K31" s="14"/>
      <c r="L31" s="14"/>
    </row>
    <row r="32" spans="1:12" x14ac:dyDescent="0.25">
      <c r="B32" s="80">
        <f>'TABLEAU DE COMPTE'!Q6</f>
        <v>43534</v>
      </c>
      <c r="C32" s="77"/>
      <c r="D32" s="77" t="str">
        <f>'TABLEAU DE COMPTE'!T6</f>
        <v>Virement LJMO +</v>
      </c>
      <c r="E32" s="77"/>
      <c r="F32" s="77" t="str">
        <f>'TABLEAU DE COMPTE'!U6</f>
        <v>RETRAIT LJMO</v>
      </c>
      <c r="G32" s="77"/>
      <c r="H32" s="27">
        <f>'TABLEAU DE COMPTE'!V6</f>
        <v>0</v>
      </c>
      <c r="I32" s="27">
        <f>'TABLEAU DE COMPTE'!W6</f>
        <v>0</v>
      </c>
      <c r="J32" s="14"/>
      <c r="K32" s="14"/>
      <c r="L32" s="14"/>
    </row>
    <row r="33" spans="2:12" x14ac:dyDescent="0.25">
      <c r="B33" s="80">
        <f>'TABLEAU DE COMPTE'!Q7</f>
        <v>43525</v>
      </c>
      <c r="C33" s="77"/>
      <c r="D33" s="77" t="str">
        <f>'TABLEAU DE COMPTE'!T7</f>
        <v>Placement LJMO</v>
      </c>
      <c r="E33" s="77"/>
      <c r="F33" s="77" t="str">
        <f>'TABLEAU DE COMPTE'!U7</f>
        <v>PLACEMENT LJMO</v>
      </c>
      <c r="G33" s="77"/>
      <c r="H33" s="27">
        <f>'TABLEAU DE COMPTE'!V7</f>
        <v>0</v>
      </c>
      <c r="I33" s="27">
        <f>'TABLEAU DE COMPTE'!W7</f>
        <v>0</v>
      </c>
      <c r="L33" s="14"/>
    </row>
    <row r="34" spans="2:12" x14ac:dyDescent="0.25">
      <c r="B34" s="80">
        <f>'TABLEAU DE COMPTE'!Q8</f>
        <v>43502</v>
      </c>
      <c r="C34" s="77"/>
      <c r="D34" s="77" t="str">
        <f>'TABLEAU DE COMPTE'!T8</f>
        <v>Placement LJMO</v>
      </c>
      <c r="E34" s="77"/>
      <c r="F34" s="77" t="str">
        <f>'TABLEAU DE COMPTE'!U8</f>
        <v>PLACEMENT LJMO</v>
      </c>
      <c r="G34" s="77"/>
      <c r="H34" s="27">
        <f>'TABLEAU DE COMPTE'!V8</f>
        <v>0</v>
      </c>
      <c r="I34" s="27">
        <f>'TABLEAU DE COMPTE'!W8</f>
        <v>0</v>
      </c>
      <c r="K34" s="14"/>
      <c r="L34" s="14"/>
    </row>
    <row r="35" spans="2:12" x14ac:dyDescent="0.25">
      <c r="B35" s="80">
        <f>'TABLEAU DE COMPTE'!Q9</f>
        <v>43499</v>
      </c>
      <c r="C35" s="77"/>
      <c r="D35" s="77" t="str">
        <f>'TABLEAU DE COMPTE'!T9</f>
        <v>Virement LJMO +</v>
      </c>
      <c r="E35" s="77"/>
      <c r="F35" s="77" t="str">
        <f>'TABLEAU DE COMPTE'!U9</f>
        <v>RETRAIT LJMO</v>
      </c>
      <c r="G35" s="77"/>
      <c r="H35" s="27">
        <f>'TABLEAU DE COMPTE'!V9</f>
        <v>0</v>
      </c>
      <c r="I35" s="27">
        <f>'TABLEAU DE COMPTE'!W9</f>
        <v>0</v>
      </c>
    </row>
    <row r="36" spans="2:12" x14ac:dyDescent="0.25">
      <c r="B36" s="80">
        <f>'TABLEAU DE COMPTE'!Q10</f>
        <v>43498</v>
      </c>
      <c r="C36" s="77"/>
      <c r="D36" s="77" t="str">
        <f>'TABLEAU DE COMPTE'!T10</f>
        <v>Virement LJMO +</v>
      </c>
      <c r="E36" s="77"/>
      <c r="F36" s="77" t="str">
        <f>'TABLEAU DE COMPTE'!U10</f>
        <v>RETRAIT LJMO</v>
      </c>
      <c r="G36" s="77"/>
      <c r="H36" s="27">
        <f>'TABLEAU DE COMPTE'!V10</f>
        <v>0</v>
      </c>
      <c r="I36" s="27">
        <f>'TABLEAU DE COMPTE'!W10</f>
        <v>0</v>
      </c>
    </row>
    <row r="37" spans="2:12" x14ac:dyDescent="0.25">
      <c r="G37" s="14"/>
      <c r="H37" s="14"/>
    </row>
    <row r="38" spans="2:12" x14ac:dyDescent="0.25">
      <c r="C38" s="14"/>
      <c r="F38" s="14"/>
      <c r="G38" s="14"/>
      <c r="H38" s="14"/>
    </row>
    <row r="39" spans="2:12" x14ac:dyDescent="0.25">
      <c r="G39" s="14"/>
      <c r="H39" s="14"/>
    </row>
  </sheetData>
  <mergeCells count="57">
    <mergeCell ref="B13:I14"/>
    <mergeCell ref="H17:I18"/>
    <mergeCell ref="B1:B2"/>
    <mergeCell ref="B29:C30"/>
    <mergeCell ref="D29:E30"/>
    <mergeCell ref="F29:G30"/>
    <mergeCell ref="H29:I30"/>
    <mergeCell ref="H27:I28"/>
    <mergeCell ref="B15:C16"/>
    <mergeCell ref="D15:E16"/>
    <mergeCell ref="F15:G16"/>
    <mergeCell ref="H15:I16"/>
    <mergeCell ref="B22:C22"/>
    <mergeCell ref="B23:C23"/>
    <mergeCell ref="B24:C24"/>
    <mergeCell ref="D21:E21"/>
    <mergeCell ref="A29:A30"/>
    <mergeCell ref="A17:A18"/>
    <mergeCell ref="B27:C28"/>
    <mergeCell ref="D27:E28"/>
    <mergeCell ref="F27:G28"/>
    <mergeCell ref="B17:C18"/>
    <mergeCell ref="D17:E18"/>
    <mergeCell ref="F17:G18"/>
    <mergeCell ref="B25:I26"/>
    <mergeCell ref="B19:C19"/>
    <mergeCell ref="D19:E19"/>
    <mergeCell ref="F19:G19"/>
    <mergeCell ref="F20:G20"/>
    <mergeCell ref="D20:E20"/>
    <mergeCell ref="B20:C20"/>
    <mergeCell ref="B21:C21"/>
    <mergeCell ref="F21:G21"/>
    <mergeCell ref="D22:E22"/>
    <mergeCell ref="F22:G22"/>
    <mergeCell ref="D23:E23"/>
    <mergeCell ref="F23:G23"/>
    <mergeCell ref="D24:E24"/>
    <mergeCell ref="F24:G24"/>
    <mergeCell ref="B31:C31"/>
    <mergeCell ref="D31:E31"/>
    <mergeCell ref="F31:G31"/>
    <mergeCell ref="B32:C32"/>
    <mergeCell ref="D32:E32"/>
    <mergeCell ref="F32:G32"/>
    <mergeCell ref="B33:C33"/>
    <mergeCell ref="D33:E33"/>
    <mergeCell ref="F33:G33"/>
    <mergeCell ref="B36:C36"/>
    <mergeCell ref="D36:E36"/>
    <mergeCell ref="F36:G36"/>
    <mergeCell ref="B34:C34"/>
    <mergeCell ref="D34:E34"/>
    <mergeCell ref="F34:G34"/>
    <mergeCell ref="B35:C35"/>
    <mergeCell ref="D35:E35"/>
    <mergeCell ref="F35:G35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8435" r:id="rId4" name="ScrollBar1">
          <controlPr defaultSize="0" autoLine="0" r:id="rId5">
            <anchor moveWithCells="1">
              <from>
                <xdr:col>9</xdr:col>
                <xdr:colOff>9525</xdr:colOff>
                <xdr:row>18</xdr:row>
                <xdr:rowOff>0</xdr:rowOff>
              </from>
              <to>
                <xdr:col>9</xdr:col>
                <xdr:colOff>142875</xdr:colOff>
                <xdr:row>24</xdr:row>
                <xdr:rowOff>0</xdr:rowOff>
              </to>
            </anchor>
          </controlPr>
        </control>
      </mc:Choice>
      <mc:Fallback>
        <control shapeId="18435" r:id="rId4" name="ScrollBar1"/>
      </mc:Fallback>
    </mc:AlternateContent>
    <mc:AlternateContent xmlns:mc="http://schemas.openxmlformats.org/markup-compatibility/2006">
      <mc:Choice Requires="x14">
        <control shapeId="18433" r:id="rId6" name="Drop Down 1">
          <controlPr defaultSize="0" autoLine="0" autoPict="0" macro="[0]!Zonecombinée16_QuandChangement">
            <anchor moveWithCells="1">
              <from>
                <xdr:col>13</xdr:col>
                <xdr:colOff>742950</xdr:colOff>
                <xdr:row>4</xdr:row>
                <xdr:rowOff>114300</xdr:rowOff>
              </from>
              <to>
                <xdr:col>19</xdr:col>
                <xdr:colOff>457200</xdr:colOff>
                <xdr:row>7</xdr:row>
                <xdr:rowOff>28575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7C21C-1231-4C1B-BE4A-6D68F4BA4D8F}">
  <sheetPr codeName="Feuil3"/>
  <dimension ref="A1:F2"/>
  <sheetViews>
    <sheetView workbookViewId="0"/>
  </sheetViews>
  <sheetFormatPr baseColWidth="10" defaultRowHeight="15" x14ac:dyDescent="0.25"/>
  <cols>
    <col min="1" max="16384" width="11.42578125" style="16"/>
  </cols>
  <sheetData>
    <row r="1" spans="1:6" x14ac:dyDescent="0.25">
      <c r="B1" s="95" t="s">
        <v>175</v>
      </c>
    </row>
    <row r="2" spans="1:6" x14ac:dyDescent="0.25">
      <c r="A2" s="20"/>
      <c r="B2" s="96"/>
      <c r="C2" s="20"/>
      <c r="D2" s="20"/>
      <c r="E2" s="20"/>
      <c r="F2" s="20"/>
    </row>
  </sheetData>
  <mergeCells count="1">
    <mergeCell ref="B1:B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33C9C-78DF-4CD1-8412-C389B5B267C7}">
  <sheetPr codeName="Feuil7"/>
  <dimension ref="A1:T47"/>
  <sheetViews>
    <sheetView workbookViewId="0">
      <selection activeCell="K17" sqref="K17"/>
    </sheetView>
  </sheetViews>
  <sheetFormatPr baseColWidth="10" defaultRowHeight="15" x14ac:dyDescent="0.25"/>
  <sheetData>
    <row r="1" spans="1:20" x14ac:dyDescent="0.25">
      <c r="A1" s="14"/>
      <c r="B1" s="16"/>
      <c r="C1" s="16"/>
      <c r="D1" s="16"/>
      <c r="E1" s="16"/>
      <c r="F1" s="16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</row>
    <row r="2" spans="1:20" x14ac:dyDescent="0.25">
      <c r="A2" s="14"/>
      <c r="B2" s="16"/>
      <c r="C2" s="16"/>
      <c r="D2" s="16"/>
      <c r="E2" s="16"/>
      <c r="F2" s="16"/>
      <c r="G2" s="14"/>
      <c r="H2" s="16"/>
      <c r="I2" s="16"/>
      <c r="J2" s="16"/>
      <c r="K2" s="16"/>
      <c r="L2" s="16"/>
      <c r="M2" s="16"/>
      <c r="N2" s="16"/>
      <c r="O2" s="16"/>
      <c r="P2" s="16"/>
      <c r="Q2" s="14"/>
      <c r="R2" s="14"/>
      <c r="S2" s="14"/>
      <c r="T2" s="14"/>
    </row>
    <row r="3" spans="1:20" x14ac:dyDescent="0.25">
      <c r="A3" s="14"/>
      <c r="B3" s="16"/>
      <c r="C3" s="16"/>
      <c r="D3" s="16"/>
      <c r="E3" s="16"/>
      <c r="F3" s="16"/>
      <c r="G3" s="14"/>
      <c r="H3" s="16"/>
      <c r="I3" s="16"/>
      <c r="J3" s="16"/>
      <c r="K3" s="16"/>
      <c r="L3" s="16"/>
      <c r="M3" s="16"/>
      <c r="N3" s="16"/>
      <c r="O3" s="16"/>
      <c r="P3" s="16"/>
      <c r="Q3" s="14"/>
      <c r="R3" s="14"/>
      <c r="S3" s="14"/>
      <c r="T3" s="14"/>
    </row>
    <row r="4" spans="1:20" x14ac:dyDescent="0.25">
      <c r="A4" s="14"/>
      <c r="B4" s="16"/>
      <c r="C4" s="16"/>
      <c r="D4" s="16"/>
      <c r="E4" s="16"/>
      <c r="F4" s="16"/>
      <c r="G4" s="14"/>
      <c r="H4" s="16"/>
      <c r="I4" s="16"/>
      <c r="J4" s="16"/>
      <c r="K4" s="16"/>
      <c r="L4" s="16"/>
      <c r="M4" s="16"/>
      <c r="N4" s="16"/>
      <c r="O4" s="16"/>
      <c r="P4" s="16"/>
      <c r="Q4" s="14"/>
      <c r="R4" s="14"/>
      <c r="S4" s="14"/>
      <c r="T4" s="14"/>
    </row>
    <row r="5" spans="1:20" x14ac:dyDescent="0.25">
      <c r="A5" s="14"/>
      <c r="B5" s="16"/>
      <c r="C5" s="16"/>
      <c r="D5" s="16"/>
      <c r="E5" s="16"/>
      <c r="F5" s="16"/>
      <c r="G5" s="14"/>
      <c r="H5" s="16"/>
      <c r="I5" s="16"/>
      <c r="J5" s="16"/>
      <c r="K5" s="16"/>
      <c r="L5" s="16"/>
      <c r="M5" s="16"/>
      <c r="N5" s="16"/>
      <c r="O5" s="16"/>
      <c r="P5" s="16"/>
      <c r="Q5" s="14"/>
      <c r="R5" s="14"/>
      <c r="S5" s="14"/>
      <c r="T5" s="14"/>
    </row>
    <row r="6" spans="1:20" x14ac:dyDescent="0.25">
      <c r="A6" s="14"/>
      <c r="B6" s="16"/>
      <c r="C6" s="16"/>
      <c r="D6" s="16"/>
      <c r="E6" s="16"/>
      <c r="F6" s="16"/>
      <c r="G6" s="14"/>
      <c r="H6" s="16"/>
      <c r="I6" s="16"/>
      <c r="J6" s="16"/>
      <c r="K6" s="16"/>
      <c r="L6" s="16"/>
      <c r="M6" s="16"/>
      <c r="N6" s="16"/>
      <c r="O6" s="16"/>
      <c r="P6" s="16"/>
      <c r="Q6" s="14"/>
      <c r="R6" s="14"/>
      <c r="S6" s="14"/>
      <c r="T6" s="14"/>
    </row>
    <row r="7" spans="1:20" x14ac:dyDescent="0.25">
      <c r="A7" s="14"/>
      <c r="B7" s="16"/>
      <c r="C7" s="16"/>
      <c r="D7" s="16"/>
      <c r="E7" s="16"/>
      <c r="F7" s="16"/>
      <c r="G7" s="14"/>
      <c r="H7" s="16"/>
      <c r="I7" s="16"/>
      <c r="J7" s="16"/>
      <c r="K7" s="16"/>
      <c r="L7" s="16"/>
      <c r="M7" s="16"/>
      <c r="N7" s="16"/>
      <c r="O7" s="16"/>
      <c r="P7" s="16"/>
      <c r="Q7" s="14"/>
      <c r="R7" s="14"/>
      <c r="S7" s="16"/>
      <c r="T7" s="16"/>
    </row>
    <row r="8" spans="1:20" x14ac:dyDescent="0.25">
      <c r="A8" s="14"/>
      <c r="B8" s="16"/>
      <c r="C8" s="16"/>
      <c r="D8" s="16"/>
      <c r="E8" s="16"/>
      <c r="F8" s="16"/>
      <c r="G8" s="14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</row>
    <row r="9" spans="1:20" x14ac:dyDescent="0.25">
      <c r="A9" s="14"/>
      <c r="B9" s="16"/>
      <c r="C9" s="16"/>
      <c r="D9" s="16"/>
      <c r="E9" s="16"/>
      <c r="F9" s="16"/>
      <c r="G9" s="14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</row>
    <row r="10" spans="1:20" x14ac:dyDescent="0.25">
      <c r="A10" s="14"/>
      <c r="B10" s="16"/>
      <c r="C10" s="16"/>
      <c r="D10" s="16"/>
      <c r="E10" s="16"/>
      <c r="F10" s="16"/>
      <c r="G10" s="14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</row>
    <row r="11" spans="1:20" x14ac:dyDescent="0.25">
      <c r="A11" s="14"/>
      <c r="B11" s="16"/>
      <c r="C11" s="16"/>
      <c r="D11" s="16"/>
      <c r="E11" s="16"/>
      <c r="F11" s="16"/>
      <c r="G11" s="14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</row>
    <row r="12" spans="1:20" x14ac:dyDescent="0.25">
      <c r="A12" s="14"/>
      <c r="B12" s="16"/>
      <c r="C12" s="16"/>
      <c r="D12" s="16"/>
      <c r="E12" s="16"/>
      <c r="F12" s="16"/>
      <c r="G12" s="14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</row>
    <row r="13" spans="1:20" x14ac:dyDescent="0.25">
      <c r="A13" s="14"/>
      <c r="B13" s="16"/>
      <c r="C13" s="16"/>
      <c r="D13" s="16"/>
      <c r="E13" s="16"/>
      <c r="F13" s="16"/>
      <c r="G13" s="14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</row>
    <row r="14" spans="1:20" x14ac:dyDescent="0.25">
      <c r="A14" s="14"/>
      <c r="B14" s="16"/>
      <c r="C14" s="16"/>
      <c r="D14" s="16"/>
      <c r="E14" s="16"/>
      <c r="F14" s="16"/>
      <c r="G14" s="14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</row>
    <row r="15" spans="1:20" x14ac:dyDescent="0.25">
      <c r="A15" s="14"/>
      <c r="B15" s="16"/>
      <c r="C15" s="16"/>
      <c r="D15" s="16"/>
      <c r="E15" s="16"/>
      <c r="F15" s="16"/>
      <c r="G15" s="14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</row>
    <row r="16" spans="1:20" x14ac:dyDescent="0.25">
      <c r="A16" s="14"/>
      <c r="B16" s="16"/>
      <c r="C16" s="16"/>
      <c r="D16" s="16"/>
      <c r="E16" s="16"/>
      <c r="F16" s="16"/>
      <c r="G16" s="14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</row>
    <row r="17" spans="1:20" x14ac:dyDescent="0.25">
      <c r="A17" s="14"/>
      <c r="B17" s="16"/>
      <c r="C17" s="16"/>
      <c r="D17" s="14"/>
      <c r="E17" s="14"/>
      <c r="F17" s="14"/>
      <c r="G17" s="14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</row>
    <row r="18" spans="1:20" x14ac:dyDescent="0.25">
      <c r="A18" s="14"/>
      <c r="B18" s="16"/>
      <c r="C18" s="16"/>
      <c r="D18" s="14"/>
      <c r="E18" s="16"/>
      <c r="F18" s="16"/>
      <c r="G18" s="14"/>
      <c r="H18" s="16"/>
      <c r="I18" s="16"/>
      <c r="J18" s="16"/>
      <c r="K18" s="16"/>
      <c r="L18" s="16"/>
      <c r="M18" s="16"/>
      <c r="N18" s="16"/>
      <c r="O18" s="16"/>
      <c r="P18" s="16"/>
      <c r="Q18" s="14"/>
      <c r="R18" s="14"/>
      <c r="S18" s="14"/>
      <c r="T18" s="14"/>
    </row>
    <row r="19" spans="1:20" x14ac:dyDescent="0.25">
      <c r="A19" s="14"/>
      <c r="B19" s="16"/>
      <c r="C19" s="16"/>
      <c r="D19" s="14"/>
      <c r="E19" s="16"/>
      <c r="F19" s="16"/>
      <c r="G19" s="14"/>
      <c r="H19" s="16"/>
      <c r="I19" s="16"/>
      <c r="J19" s="16"/>
      <c r="K19" s="16"/>
      <c r="L19" s="16"/>
      <c r="M19" s="16"/>
      <c r="N19" s="16"/>
      <c r="O19" s="16"/>
      <c r="P19" s="16"/>
      <c r="Q19" s="14"/>
      <c r="R19" s="14"/>
      <c r="S19" s="14"/>
      <c r="T19" s="14"/>
    </row>
    <row r="20" spans="1:20" x14ac:dyDescent="0.25">
      <c r="A20" s="14"/>
      <c r="B20" s="16"/>
      <c r="C20" s="16"/>
      <c r="D20" s="14"/>
      <c r="E20" s="16"/>
      <c r="F20" s="16"/>
      <c r="G20" s="14"/>
      <c r="H20" s="16"/>
      <c r="I20" s="16"/>
      <c r="J20" s="16"/>
      <c r="K20" s="16"/>
      <c r="L20" s="16"/>
      <c r="M20" s="16"/>
      <c r="N20" s="16"/>
      <c r="O20" s="16"/>
      <c r="P20" s="16"/>
      <c r="Q20" s="14"/>
      <c r="R20" s="14"/>
      <c r="S20" s="14"/>
      <c r="T20" s="14"/>
    </row>
    <row r="21" spans="1:20" x14ac:dyDescent="0.25">
      <c r="A21" s="14"/>
      <c r="B21" s="16"/>
      <c r="C21" s="16"/>
      <c r="D21" s="14"/>
      <c r="E21" s="16"/>
      <c r="F21" s="16"/>
      <c r="G21" s="14"/>
      <c r="H21" s="16"/>
      <c r="I21" s="16"/>
      <c r="J21" s="16"/>
      <c r="K21" s="16"/>
      <c r="L21" s="16"/>
      <c r="M21" s="16"/>
      <c r="N21" s="16"/>
      <c r="O21" s="16"/>
      <c r="P21" s="16"/>
      <c r="Q21" s="14"/>
      <c r="R21" s="14"/>
      <c r="S21" s="14"/>
      <c r="T21" s="14"/>
    </row>
    <row r="22" spans="1:20" x14ac:dyDescent="0.25">
      <c r="A22" s="14"/>
      <c r="B22" s="16"/>
      <c r="C22" s="16"/>
      <c r="D22" s="14"/>
      <c r="E22" s="16"/>
      <c r="F22" s="16"/>
      <c r="G22" s="14"/>
      <c r="H22" s="16"/>
      <c r="I22" s="16"/>
      <c r="J22" s="16"/>
      <c r="K22" s="16"/>
      <c r="L22" s="16"/>
      <c r="M22" s="16"/>
      <c r="N22" s="16"/>
      <c r="O22" s="16"/>
      <c r="P22" s="16"/>
      <c r="Q22" s="14"/>
      <c r="R22" s="14"/>
      <c r="S22" s="14"/>
      <c r="T22" s="14"/>
    </row>
    <row r="23" spans="1:20" x14ac:dyDescent="0.25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4"/>
      <c r="R23" s="14"/>
      <c r="S23" s="14"/>
      <c r="T23" s="14"/>
    </row>
    <row r="24" spans="1:20" x14ac:dyDescent="0.25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4"/>
      <c r="R24" s="14"/>
      <c r="S24" s="14"/>
      <c r="T24" s="14"/>
    </row>
    <row r="25" spans="1:20" x14ac:dyDescent="0.25">
      <c r="A25" s="16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</row>
    <row r="26" spans="1:20" x14ac:dyDescent="0.25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</row>
    <row r="27" spans="1:20" x14ac:dyDescent="0.25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</row>
    <row r="28" spans="1:20" x14ac:dyDescent="0.25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</row>
    <row r="29" spans="1:20" x14ac:dyDescent="0.25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</row>
    <row r="30" spans="1:20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</row>
    <row r="31" spans="1:20" x14ac:dyDescent="0.25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</row>
    <row r="32" spans="1:20" x14ac:dyDescent="0.25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</row>
    <row r="33" spans="1:16" x14ac:dyDescent="0.25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</row>
    <row r="34" spans="1:16" x14ac:dyDescent="0.2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</row>
    <row r="35" spans="1:16" x14ac:dyDescent="0.25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</row>
    <row r="36" spans="1:16" x14ac:dyDescent="0.25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</row>
    <row r="37" spans="1:16" x14ac:dyDescent="0.25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</row>
    <row r="38" spans="1:16" x14ac:dyDescent="0.25">
      <c r="A38" s="16"/>
      <c r="B38" s="16"/>
      <c r="C38" s="16"/>
      <c r="D38" s="14"/>
      <c r="E38" s="14"/>
      <c r="F38" s="14"/>
      <c r="G38" s="14"/>
      <c r="H38" s="16"/>
      <c r="I38" s="16"/>
      <c r="J38" s="16"/>
      <c r="K38" s="16"/>
      <c r="L38" s="16"/>
      <c r="M38" s="16"/>
      <c r="N38" s="16"/>
      <c r="O38" s="16"/>
      <c r="P38" s="16"/>
    </row>
    <row r="39" spans="1:16" x14ac:dyDescent="0.25">
      <c r="A39" s="16"/>
      <c r="B39" s="16"/>
      <c r="C39" s="16"/>
      <c r="D39" s="14"/>
      <c r="E39" s="16"/>
      <c r="F39" s="16"/>
      <c r="G39" s="14"/>
    </row>
    <row r="40" spans="1:16" x14ac:dyDescent="0.25">
      <c r="A40" s="16"/>
      <c r="B40" s="16"/>
      <c r="C40" s="16"/>
      <c r="D40" s="14"/>
      <c r="E40" s="16"/>
      <c r="F40" s="16"/>
      <c r="G40" s="14"/>
    </row>
    <row r="41" spans="1:16" x14ac:dyDescent="0.25">
      <c r="A41" s="16"/>
      <c r="B41" s="16"/>
      <c r="C41" s="16"/>
      <c r="D41" s="14"/>
      <c r="E41" s="16"/>
      <c r="F41" s="16"/>
      <c r="G41" s="14"/>
    </row>
    <row r="42" spans="1:16" x14ac:dyDescent="0.25">
      <c r="A42" s="16"/>
      <c r="B42" s="16"/>
      <c r="C42" s="16"/>
      <c r="D42" s="14"/>
      <c r="E42" s="16"/>
      <c r="F42" s="16"/>
      <c r="G42" s="14"/>
    </row>
    <row r="43" spans="1:16" x14ac:dyDescent="0.25">
      <c r="A43" s="16"/>
      <c r="B43" s="16"/>
      <c r="C43" s="16"/>
      <c r="D43" s="14"/>
      <c r="E43" s="16"/>
      <c r="F43" s="16"/>
      <c r="G43" s="14"/>
    </row>
    <row r="44" spans="1:16" x14ac:dyDescent="0.25">
      <c r="A44" s="16"/>
      <c r="B44" s="16"/>
      <c r="C44" s="16"/>
      <c r="D44" s="16"/>
      <c r="E44" s="16"/>
      <c r="F44" s="16"/>
      <c r="G44" s="16"/>
    </row>
    <row r="45" spans="1:16" x14ac:dyDescent="0.25">
      <c r="A45" s="16"/>
      <c r="B45" s="16"/>
      <c r="C45" s="16"/>
      <c r="D45" s="16"/>
      <c r="E45" s="16"/>
      <c r="F45" s="16"/>
      <c r="G45" s="16"/>
    </row>
    <row r="46" spans="1:16" x14ac:dyDescent="0.25">
      <c r="A46" s="16"/>
      <c r="B46" s="16"/>
      <c r="C46" s="16"/>
      <c r="D46" s="16"/>
      <c r="E46" s="16"/>
      <c r="F46" s="16"/>
      <c r="G46" s="16"/>
    </row>
    <row r="47" spans="1:16" x14ac:dyDescent="0.25">
      <c r="A47" s="16"/>
      <c r="B47" s="16"/>
      <c r="C47" s="16"/>
      <c r="D47" s="16"/>
      <c r="E47" s="16"/>
      <c r="F47" s="16"/>
      <c r="G47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LISTING</vt:lpstr>
      <vt:lpstr>CATEGORIE</vt:lpstr>
      <vt:lpstr>TABLEAU DE COMPTE</vt:lpstr>
      <vt:lpstr>Accueil</vt:lpstr>
      <vt:lpstr>Comptes</vt:lpstr>
      <vt:lpstr>Credits</vt:lpstr>
      <vt:lpstr>Feuil4</vt:lpstr>
      <vt:lpstr>'TABLEAU DE COMPTE'!Criteres</vt:lpstr>
      <vt:lpstr>critères</vt:lpstr>
      <vt:lpstr>'TABLEAU DE COMPTE'!Extraire</vt:lpstr>
      <vt:lpstr>mois</vt:lpstr>
      <vt:lpstr>operationscategorie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cp:revision/>
  <cp:lastPrinted>2019-04-08T19:21:03Z</cp:lastPrinted>
  <dcterms:created xsi:type="dcterms:W3CDTF">2018-07-28T12:39:13Z</dcterms:created>
  <dcterms:modified xsi:type="dcterms:W3CDTF">2019-04-11T12:21:06Z</dcterms:modified>
</cp:coreProperties>
</file>