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17250" windowHeight="5355"/>
  </bookViews>
  <sheets>
    <sheet name="IM_Lipase" sheetId="4" r:id="rId1"/>
    <sheet name="Calcul IQ" sheetId="2" r:id="rId2"/>
    <sheet name="ISP_Lipase" sheetId="1" r:id="rId3"/>
    <sheet name="ISP_Cholesterol" sheetId="3" state="hidden" r:id="rId4"/>
  </sheets>
  <externalReferences>
    <externalReference r:id="rId5"/>
  </externalReferences>
  <calcPr calcId="125725"/>
  <fileRecoveryPr repairLoad="1"/>
</workbook>
</file>

<file path=xl/calcChain.xml><?xml version="1.0" encoding="utf-8"?>
<calcChain xmlns="http://schemas.openxmlformats.org/spreadsheetml/2006/main">
  <c r="B33" i="4"/>
  <c r="B34"/>
  <c r="B36" s="1"/>
  <c r="B35"/>
  <c r="B37" l="1"/>
  <c r="B38"/>
  <c r="B39"/>
  <c r="B17"/>
  <c r="D33" l="1"/>
  <c r="C33"/>
  <c r="D39" l="1" a="1"/>
  <c r="D39" s="1"/>
  <c r="C39" a="1"/>
  <c r="C39" s="1"/>
  <c r="D38" a="1"/>
  <c r="D38" s="1"/>
  <c r="C38" a="1"/>
  <c r="C38" s="1"/>
  <c r="D34" a="1"/>
  <c r="D34" s="1"/>
  <c r="C34" a="1"/>
  <c r="C34" s="1"/>
  <c r="D18"/>
  <c r="B18"/>
  <c r="D17" a="1"/>
  <c r="D17" s="1"/>
  <c r="C17" a="1"/>
  <c r="C17" s="1"/>
  <c r="C14" a="1"/>
  <c r="C14" s="1"/>
  <c r="D12"/>
  <c r="D11"/>
  <c r="C11"/>
  <c r="C18" s="1"/>
  <c r="B11"/>
  <c r="D10"/>
  <c r="D14" s="1" a="1"/>
  <c r="D14" s="1"/>
  <c r="C10"/>
  <c r="C15" s="1" a="1"/>
  <c r="C15" s="1"/>
  <c r="B10"/>
  <c r="B14" s="1" a="1"/>
  <c r="B14" s="1"/>
  <c r="D9"/>
  <c r="C9"/>
  <c r="B9"/>
  <c r="D8"/>
  <c r="C8"/>
  <c r="B8"/>
  <c r="C16" l="1"/>
  <c r="C19" s="1"/>
  <c r="C35" a="1"/>
  <c r="C35" s="1"/>
  <c r="C37" a="1"/>
  <c r="C37" s="1"/>
  <c r="C36" a="1"/>
  <c r="C36" s="1"/>
  <c r="D36" a="1"/>
  <c r="D36" s="1"/>
  <c r="D37" a="1"/>
  <c r="D37" s="1"/>
  <c r="D35" a="1"/>
  <c r="D35" s="1"/>
  <c r="C20"/>
  <c r="C21" s="1"/>
  <c r="C23" s="1"/>
  <c r="B12"/>
  <c r="C43" a="1"/>
  <c r="C43" s="1"/>
  <c r="B22"/>
  <c r="C12"/>
  <c r="B15" a="1"/>
  <c r="B15" s="1"/>
  <c r="B16" s="1"/>
  <c r="B19" s="1"/>
  <c r="B20" s="1"/>
  <c r="B21" s="1"/>
  <c r="B23" s="1"/>
  <c r="B24" s="1"/>
  <c r="D15" a="1"/>
  <c r="D15" s="1"/>
  <c r="D16" s="1"/>
  <c r="D19" s="1"/>
  <c r="D20" s="1"/>
  <c r="D21" s="1"/>
  <c r="D23" s="1"/>
  <c r="D24" s="1"/>
  <c r="C22"/>
  <c r="B43" a="1"/>
  <c r="B43" s="1"/>
  <c r="D43" a="1"/>
  <c r="D43" s="1"/>
  <c r="D22"/>
  <c r="C24" l="1"/>
  <c r="T3" i="3" l="1"/>
  <c r="T4"/>
  <c r="T5"/>
  <c r="T6"/>
  <c r="T2"/>
  <c r="P9" i="2" s="1"/>
  <c r="T3" i="1"/>
  <c r="T4"/>
  <c r="T5"/>
  <c r="T2"/>
  <c r="O8" i="2" s="1"/>
  <c r="O9" l="1"/>
  <c r="R9" s="1"/>
  <c r="P8"/>
  <c r="R8" s="1"/>
  <c r="L6" i="3"/>
  <c r="L5"/>
  <c r="L4"/>
  <c r="L3"/>
  <c r="N5" s="1"/>
  <c r="O2"/>
  <c r="L2"/>
  <c r="N6" s="1"/>
  <c r="Q9" i="2" l="1"/>
  <c r="S9" s="1"/>
  <c r="Q8"/>
  <c r="S8" s="1"/>
  <c r="D9"/>
  <c r="E9"/>
  <c r="F9"/>
  <c r="G9"/>
  <c r="M4" i="3"/>
  <c r="O6"/>
  <c r="P2"/>
  <c r="M3"/>
  <c r="V3"/>
  <c r="N4"/>
  <c r="O5"/>
  <c r="P6"/>
  <c r="U6"/>
  <c r="P3"/>
  <c r="M2"/>
  <c r="N3"/>
  <c r="O4"/>
  <c r="P5"/>
  <c r="U5"/>
  <c r="M6"/>
  <c r="V6"/>
  <c r="U3"/>
  <c r="V4"/>
  <c r="U2"/>
  <c r="V2"/>
  <c r="N2"/>
  <c r="O3"/>
  <c r="P4"/>
  <c r="U4"/>
  <c r="M5"/>
  <c r="V5"/>
  <c r="W3" l="1"/>
  <c r="W4"/>
  <c r="W5"/>
  <c r="W6"/>
  <c r="W2"/>
  <c r="R2"/>
  <c r="Q2"/>
  <c r="R3"/>
  <c r="Q3"/>
  <c r="Q5"/>
  <c r="R5"/>
  <c r="R6"/>
  <c r="Q6"/>
  <c r="R4"/>
  <c r="Q4"/>
  <c r="L2" i="1"/>
  <c r="L3"/>
  <c r="L4"/>
  <c r="L5"/>
  <c r="D8" i="2" s="1"/>
  <c r="G8" l="1"/>
  <c r="F8"/>
  <c r="E8"/>
  <c r="V3" i="1"/>
  <c r="V5"/>
  <c r="V4"/>
  <c r="V2"/>
  <c r="U4"/>
  <c r="U5"/>
  <c r="W5" s="1"/>
  <c r="U3"/>
  <c r="W3" s="1"/>
  <c r="P2"/>
  <c r="P3"/>
  <c r="O3"/>
  <c r="N3"/>
  <c r="M3"/>
  <c r="P4"/>
  <c r="O4"/>
  <c r="N4"/>
  <c r="M4"/>
  <c r="P5"/>
  <c r="O5"/>
  <c r="N5"/>
  <c r="M5"/>
  <c r="U2"/>
  <c r="N2"/>
  <c r="O2"/>
  <c r="M2"/>
  <c r="R2" l="1"/>
  <c r="R4"/>
  <c r="R5"/>
  <c r="R3"/>
  <c r="W4"/>
  <c r="W2"/>
  <c r="K8" i="2"/>
  <c r="L8"/>
  <c r="N8"/>
  <c r="C8"/>
  <c r="H8"/>
  <c r="I8"/>
  <c r="J8"/>
  <c r="M8"/>
  <c r="K2"/>
  <c r="L9"/>
  <c r="C9"/>
  <c r="H2" s="1"/>
  <c r="J9"/>
  <c r="I9"/>
  <c r="H9"/>
  <c r="I2"/>
  <c r="N9"/>
  <c r="L2"/>
  <c r="M9"/>
  <c r="K9"/>
  <c r="J2"/>
  <c r="Q5" i="1"/>
  <c r="Q2"/>
  <c r="Q3"/>
  <c r="Q4"/>
</calcChain>
</file>

<file path=xl/sharedStrings.xml><?xml version="1.0" encoding="utf-8"?>
<sst xmlns="http://schemas.openxmlformats.org/spreadsheetml/2006/main" count="198" uniqueCount="117">
  <si>
    <t>Date</t>
  </si>
  <si>
    <t>Enquête</t>
  </si>
  <si>
    <t>N° échantillon</t>
  </si>
  <si>
    <t>Analyte</t>
  </si>
  <si>
    <t>Analyseur</t>
  </si>
  <si>
    <t xml:space="preserve">Méthode </t>
  </si>
  <si>
    <t>Unités</t>
  </si>
  <si>
    <t>Résultat</t>
  </si>
  <si>
    <t>Z-score</t>
  </si>
  <si>
    <t>Performance</t>
  </si>
  <si>
    <t>A</t>
  </si>
  <si>
    <t>B</t>
  </si>
  <si>
    <t>C</t>
  </si>
  <si>
    <t>D</t>
  </si>
  <si>
    <t>2017/1</t>
  </si>
  <si>
    <t>d (%)</t>
  </si>
  <si>
    <t>Valeur Méthode</t>
  </si>
  <si>
    <t>U-Score</t>
  </si>
  <si>
    <t>Performance U</t>
  </si>
  <si>
    <t>OK</t>
  </si>
  <si>
    <t>C/13858</t>
  </si>
  <si>
    <t>Lipase</t>
  </si>
  <si>
    <t>ROCHE</t>
  </si>
  <si>
    <t>COBAS C701/C702</t>
  </si>
  <si>
    <t>U/L</t>
  </si>
  <si>
    <t>2017/2</t>
  </si>
  <si>
    <t>C/15044</t>
  </si>
  <si>
    <t>2017/4</t>
  </si>
  <si>
    <t>C/13699</t>
  </si>
  <si>
    <t>C/14153</t>
  </si>
  <si>
    <t>Période d'analyse des données :</t>
  </si>
  <si>
    <t>Début</t>
  </si>
  <si>
    <t>Fin</t>
  </si>
  <si>
    <t>Appareil</t>
  </si>
  <si>
    <t>Nb total EEQ</t>
  </si>
  <si>
    <r>
      <t xml:space="preserve">Nb de </t>
    </r>
    <r>
      <rPr>
        <b/>
        <sz val="11"/>
        <color theme="1"/>
        <rFont val="Calibri"/>
        <family val="2"/>
        <scheme val="minor"/>
      </rPr>
      <t>A</t>
    </r>
  </si>
  <si>
    <r>
      <t>Nb de</t>
    </r>
    <r>
      <rPr>
        <b/>
        <sz val="11"/>
        <color theme="1"/>
        <rFont val="Calibri"/>
        <family val="2"/>
        <scheme val="minor"/>
      </rPr>
      <t xml:space="preserve"> B</t>
    </r>
  </si>
  <si>
    <r>
      <t xml:space="preserve">Nb de </t>
    </r>
    <r>
      <rPr>
        <b/>
        <sz val="11"/>
        <color theme="1"/>
        <rFont val="Calibri"/>
        <family val="2"/>
        <scheme val="minor"/>
      </rPr>
      <t>C</t>
    </r>
  </si>
  <si>
    <r>
      <t xml:space="preserve">Nb de </t>
    </r>
    <r>
      <rPr>
        <b/>
        <sz val="11"/>
        <color theme="1"/>
        <rFont val="Calibri"/>
        <family val="2"/>
        <scheme val="minor"/>
      </rPr>
      <t>D</t>
    </r>
  </si>
  <si>
    <r>
      <t>IQ</t>
    </r>
    <r>
      <rPr>
        <vertAlign val="subscript"/>
        <sz val="10"/>
        <rFont val="Arial"/>
        <family val="2"/>
      </rPr>
      <t>EEQ</t>
    </r>
  </si>
  <si>
    <r>
      <t>IQ</t>
    </r>
    <r>
      <rPr>
        <vertAlign val="subscript"/>
        <sz val="10"/>
        <rFont val="Arial"/>
        <family val="2"/>
      </rPr>
      <t xml:space="preserve">EEQ </t>
    </r>
    <r>
      <rPr>
        <sz val="11"/>
        <rFont val="Calibri"/>
        <family val="2"/>
        <scheme val="minor"/>
      </rPr>
      <t>AB</t>
    </r>
  </si>
  <si>
    <r>
      <t xml:space="preserve">% de </t>
    </r>
    <r>
      <rPr>
        <b/>
        <sz val="11"/>
        <color theme="1"/>
        <rFont val="Calibri"/>
        <family val="2"/>
        <scheme val="minor"/>
      </rPr>
      <t>A</t>
    </r>
  </si>
  <si>
    <r>
      <t>% de</t>
    </r>
    <r>
      <rPr>
        <b/>
        <sz val="11"/>
        <color theme="1"/>
        <rFont val="Calibri"/>
        <family val="2"/>
        <scheme val="minor"/>
      </rPr>
      <t xml:space="preserve"> B</t>
    </r>
  </si>
  <si>
    <r>
      <t xml:space="preserve">% de </t>
    </r>
    <r>
      <rPr>
        <b/>
        <sz val="11"/>
        <color theme="1"/>
        <rFont val="Calibri"/>
        <family val="2"/>
        <scheme val="minor"/>
      </rPr>
      <t>C</t>
    </r>
  </si>
  <si>
    <r>
      <t xml:space="preserve">% de </t>
    </r>
    <r>
      <rPr>
        <b/>
        <sz val="11"/>
        <color theme="1"/>
        <rFont val="Calibri"/>
        <family val="2"/>
        <scheme val="minor"/>
      </rPr>
      <t>D</t>
    </r>
  </si>
  <si>
    <r>
      <t xml:space="preserve">% de </t>
    </r>
    <r>
      <rPr>
        <b/>
        <sz val="11"/>
        <color theme="1"/>
        <rFont val="Calibri"/>
        <family val="2"/>
        <scheme val="minor"/>
      </rPr>
      <t xml:space="preserve">A </t>
    </r>
    <r>
      <rPr>
        <sz val="11"/>
        <color theme="1"/>
        <rFont val="Calibri"/>
        <family val="2"/>
        <scheme val="minor"/>
      </rPr>
      <t xml:space="preserve">et </t>
    </r>
    <r>
      <rPr>
        <b/>
        <sz val="11"/>
        <color theme="1"/>
        <rFont val="Calibri"/>
        <family val="2"/>
        <scheme val="minor"/>
      </rPr>
      <t>B</t>
    </r>
  </si>
  <si>
    <t>ISP_Lipase</t>
  </si>
  <si>
    <r>
      <t>IQ</t>
    </r>
    <r>
      <rPr>
        <sz val="8"/>
        <color theme="1"/>
        <rFont val="Calibri"/>
        <family val="2"/>
        <scheme val="minor"/>
      </rPr>
      <t>ZEEQ</t>
    </r>
  </si>
  <si>
    <r>
      <t>IQ</t>
    </r>
    <r>
      <rPr>
        <sz val="8"/>
        <color theme="1"/>
        <rFont val="Calibri"/>
        <family val="2"/>
        <scheme val="minor"/>
      </rPr>
      <t>ZEEQAB</t>
    </r>
  </si>
  <si>
    <r>
      <t>IQ</t>
    </r>
    <r>
      <rPr>
        <sz val="8"/>
        <color theme="1"/>
        <rFont val="Calibri"/>
        <family val="2"/>
        <scheme val="minor"/>
      </rPr>
      <t>UEEQ</t>
    </r>
  </si>
  <si>
    <t>2017/5</t>
  </si>
  <si>
    <t>C/14852</t>
  </si>
  <si>
    <t>KO</t>
  </si>
  <si>
    <t>Cholesterol</t>
  </si>
  <si>
    <t>ISP_Cholesterol</t>
  </si>
  <si>
    <r>
      <t xml:space="preserve">Nb de </t>
    </r>
    <r>
      <rPr>
        <b/>
        <sz val="11"/>
        <color theme="1"/>
        <rFont val="Calibri"/>
        <family val="2"/>
        <scheme val="minor"/>
      </rPr>
      <t>OK</t>
    </r>
  </si>
  <si>
    <r>
      <t xml:space="preserve">Nb de </t>
    </r>
    <r>
      <rPr>
        <b/>
        <sz val="11"/>
        <color theme="1"/>
        <rFont val="Calibri"/>
        <family val="2"/>
        <scheme val="minor"/>
      </rPr>
      <t>KO</t>
    </r>
  </si>
  <si>
    <r>
      <t xml:space="preserve">% de </t>
    </r>
    <r>
      <rPr>
        <b/>
        <sz val="11"/>
        <color theme="1"/>
        <rFont val="Calibri"/>
        <family val="2"/>
        <scheme val="minor"/>
      </rPr>
      <t>OK</t>
    </r>
  </si>
  <si>
    <r>
      <t>% de</t>
    </r>
    <r>
      <rPr>
        <b/>
        <sz val="11"/>
        <color theme="1"/>
        <rFont val="Calibri"/>
        <family val="2"/>
        <scheme val="minor"/>
      </rPr>
      <t xml:space="preserve"> KO</t>
    </r>
  </si>
  <si>
    <r>
      <t>IQU</t>
    </r>
    <r>
      <rPr>
        <vertAlign val="subscript"/>
        <sz val="10"/>
        <rFont val="Arial"/>
        <family val="2"/>
      </rPr>
      <t xml:space="preserve">EEQ </t>
    </r>
  </si>
  <si>
    <r>
      <t>IQZ</t>
    </r>
    <r>
      <rPr>
        <vertAlign val="subscript"/>
        <sz val="10"/>
        <rFont val="Arial"/>
        <family val="2"/>
      </rPr>
      <t>EEQ</t>
    </r>
  </si>
  <si>
    <r>
      <t>IQZ</t>
    </r>
    <r>
      <rPr>
        <vertAlign val="subscript"/>
        <sz val="10"/>
        <rFont val="Arial"/>
        <family val="2"/>
      </rPr>
      <t xml:space="preserve">EEQ </t>
    </r>
    <r>
      <rPr>
        <sz val="11"/>
        <rFont val="Calibri"/>
        <family val="2"/>
        <scheme val="minor"/>
      </rPr>
      <t>AB</t>
    </r>
  </si>
  <si>
    <t>Performances Z-Score</t>
  </si>
  <si>
    <t>Performances U-Score</t>
  </si>
  <si>
    <t>Incertitudes de mesures  (Utilisation des CQI et des EEQ)</t>
  </si>
  <si>
    <t>Dosage :</t>
  </si>
  <si>
    <t>Analyseur :</t>
  </si>
  <si>
    <t>Période :</t>
  </si>
  <si>
    <t>à</t>
  </si>
  <si>
    <t>Niveau 1</t>
  </si>
  <si>
    <t>Niveau2</t>
  </si>
  <si>
    <t>Niveau3</t>
  </si>
  <si>
    <t>Résumé des statistiques</t>
  </si>
  <si>
    <t>Mois</t>
  </si>
  <si>
    <t>Cumulatif</t>
  </si>
  <si>
    <t>CQI Référence</t>
  </si>
  <si>
    <t>Moyenne</t>
  </si>
  <si>
    <t>ET</t>
  </si>
  <si>
    <t>Nbe de mesures</t>
  </si>
  <si>
    <t>CV</t>
  </si>
  <si>
    <t>Période</t>
  </si>
  <si>
    <t>Nombre de points</t>
  </si>
  <si>
    <t>Moyenne CQI Labo</t>
  </si>
  <si>
    <t>Ecart type CQI Labo</t>
  </si>
  <si>
    <t>100 x ET/Moyenne</t>
  </si>
  <si>
    <t>Valeur EEQ labo</t>
  </si>
  <si>
    <t>Valeur EEQ gpe de pairs</t>
  </si>
  <si>
    <t>moyenne[Ei]</t>
  </si>
  <si>
    <t>Ei=Valeur trouvée - Valeurs pair</t>
  </si>
  <si>
    <t>ET[Ei]</t>
  </si>
  <si>
    <t>U fidélité U(CQI)</t>
  </si>
  <si>
    <t>U justesse U(KEEQ)</t>
  </si>
  <si>
    <t>[(moy[Ei]/√3)²+ET²]½</t>
  </si>
  <si>
    <t>Incertitude combinée Uc</t>
  </si>
  <si>
    <t>[(U(CIQ)²+U(KEEQ)²]½</t>
  </si>
  <si>
    <t>Incertitude élargie</t>
  </si>
  <si>
    <t>2 x Uc</t>
  </si>
  <si>
    <t>Incertitude sur valeur labo</t>
  </si>
  <si>
    <t>Absolue +/-</t>
  </si>
  <si>
    <t>Relative</t>
  </si>
  <si>
    <t>Absolu+/-  divisé par Moyenne</t>
  </si>
  <si>
    <t xml:space="preserve">Saisie le : </t>
  </si>
  <si>
    <t>Validé le :</t>
  </si>
  <si>
    <t>Période d'étude :</t>
  </si>
  <si>
    <t>Date de départ</t>
  </si>
  <si>
    <t>Date de fin</t>
  </si>
  <si>
    <t>Indicateurs Qualité :</t>
  </si>
  <si>
    <t>Nb EEQ sur cette période</t>
  </si>
  <si>
    <t>Nb EEQ avec note ABCD</t>
  </si>
  <si>
    <t>%A et B</t>
  </si>
  <si>
    <t>%C</t>
  </si>
  <si>
    <t>%D</t>
  </si>
  <si>
    <t>Critères sélection EEQ :</t>
  </si>
  <si>
    <t>z' score (|ABS &lt; ?|)</t>
  </si>
  <si>
    <t>Gamme de valeur (+/-)</t>
  </si>
  <si>
    <t>Nb de valeurs correspondant</t>
  </si>
  <si>
    <t>Ne fonctionne pas !</t>
  </si>
</sst>
</file>

<file path=xl/styles.xml><?xml version="1.0" encoding="utf-8"?>
<styleSheet xmlns="http://schemas.openxmlformats.org/spreadsheetml/2006/main">
  <numFmts count="2">
    <numFmt numFmtId="164" formatCode="0.0%"/>
    <numFmt numFmtId="165" formatCode="0.000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bscript"/>
      <sz val="10"/>
      <name val="Arial"/>
      <family val="2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b/>
      <i/>
      <sz val="12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u/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7" fillId="0" borderId="0"/>
  </cellStyleXfs>
  <cellXfs count="109">
    <xf numFmtId="0" fontId="0" fillId="0" borderId="0" xfId="0"/>
    <xf numFmtId="14" fontId="0" fillId="0" borderId="0" xfId="0" applyNumberFormat="1"/>
    <xf numFmtId="0" fontId="0" fillId="0" borderId="0" xfId="0" applyAlignment="1">
      <alignment textRotation="45"/>
    </xf>
    <xf numFmtId="0" fontId="0" fillId="0" borderId="3" xfId="0" applyBorder="1" applyAlignment="1">
      <alignment textRotation="45"/>
    </xf>
    <xf numFmtId="0" fontId="0" fillId="0" borderId="1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3" borderId="3" xfId="0" applyFill="1" applyBorder="1" applyAlignment="1">
      <alignment textRotation="45"/>
    </xf>
    <xf numFmtId="0" fontId="0" fillId="4" borderId="3" xfId="0" applyFill="1" applyBorder="1" applyAlignment="1">
      <alignment textRotation="45"/>
    </xf>
    <xf numFmtId="0" fontId="0" fillId="5" borderId="3" xfId="0" applyFill="1" applyBorder="1" applyAlignment="1">
      <alignment textRotation="45"/>
    </xf>
    <xf numFmtId="0" fontId="0" fillId="6" borderId="3" xfId="0" applyFill="1" applyBorder="1" applyAlignment="1">
      <alignment textRotation="45"/>
    </xf>
    <xf numFmtId="0" fontId="0" fillId="7" borderId="3" xfId="0" applyFill="1" applyBorder="1" applyAlignment="1">
      <alignment textRotation="45"/>
    </xf>
    <xf numFmtId="0" fontId="2" fillId="0" borderId="0" xfId="0" applyFont="1"/>
    <xf numFmtId="0" fontId="2" fillId="0" borderId="2" xfId="0" applyFont="1" applyBorder="1"/>
    <xf numFmtId="0" fontId="2" fillId="0" borderId="0" xfId="0" applyFont="1" applyBorder="1"/>
    <xf numFmtId="14" fontId="0" fillId="0" borderId="2" xfId="0" applyNumberFormat="1" applyBorder="1" applyProtection="1">
      <protection locked="0"/>
    </xf>
    <xf numFmtId="14" fontId="0" fillId="0" borderId="0" xfId="0" applyNumberFormat="1" applyBorder="1"/>
    <xf numFmtId="0" fontId="0" fillId="0" borderId="2" xfId="0" applyBorder="1"/>
    <xf numFmtId="0" fontId="0" fillId="0" borderId="4" xfId="0" applyBorder="1" applyAlignment="1">
      <alignment horizontal="center"/>
    </xf>
    <xf numFmtId="164" fontId="0" fillId="0" borderId="2" xfId="1" applyNumberFormat="1" applyFon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2" fontId="0" fillId="0" borderId="3" xfId="0" applyNumberForma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2" fillId="8" borderId="2" xfId="0" applyFont="1" applyFill="1" applyBorder="1" applyAlignment="1">
      <alignment horizontal="center" vertical="top"/>
    </xf>
    <xf numFmtId="9" fontId="0" fillId="0" borderId="2" xfId="1" applyFont="1" applyBorder="1" applyAlignment="1">
      <alignment horizontal="center"/>
    </xf>
    <xf numFmtId="0" fontId="0" fillId="5" borderId="2" xfId="0" applyFill="1" applyBorder="1"/>
    <xf numFmtId="0" fontId="0" fillId="7" borderId="2" xfId="0" applyFill="1" applyBorder="1"/>
    <xf numFmtId="0" fontId="0" fillId="7" borderId="2" xfId="0" applyFont="1" applyFill="1" applyBorder="1"/>
    <xf numFmtId="0" fontId="0" fillId="0" borderId="2" xfId="0" applyBorder="1" applyAlignment="1">
      <alignment horizontal="center"/>
    </xf>
    <xf numFmtId="0" fontId="0" fillId="7" borderId="0" xfId="0" applyFill="1"/>
    <xf numFmtId="9" fontId="0" fillId="0" borderId="2" xfId="0" applyNumberFormat="1" applyBorder="1" applyAlignment="1">
      <alignment horizontal="center"/>
    </xf>
    <xf numFmtId="14" fontId="0" fillId="0" borderId="0" xfId="0" applyNumberFormat="1" applyBorder="1" applyProtection="1">
      <protection locked="0"/>
    </xf>
    <xf numFmtId="0" fontId="2" fillId="0" borderId="2" xfId="0" applyFont="1" applyBorder="1" applyAlignment="1">
      <alignment horizontal="right"/>
    </xf>
    <xf numFmtId="0" fontId="7" fillId="0" borderId="0" xfId="2" applyBorder="1"/>
    <xf numFmtId="0" fontId="8" fillId="0" borderId="0" xfId="2" applyFont="1" applyFill="1" applyBorder="1" applyAlignment="1">
      <alignment horizontal="left"/>
    </xf>
    <xf numFmtId="0" fontId="7" fillId="0" borderId="0" xfId="2" applyFill="1" applyBorder="1" applyAlignment="1">
      <alignment horizontal="center"/>
    </xf>
    <xf numFmtId="0" fontId="7" fillId="0" borderId="0" xfId="2" applyFill="1" applyBorder="1"/>
    <xf numFmtId="0" fontId="8" fillId="0" borderId="0" xfId="2" applyFont="1" applyFill="1" applyAlignment="1">
      <alignment horizontal="left"/>
    </xf>
    <xf numFmtId="0" fontId="7" fillId="0" borderId="0" xfId="2" applyFill="1" applyAlignment="1">
      <alignment horizontal="center"/>
    </xf>
    <xf numFmtId="0" fontId="9" fillId="0" borderId="0" xfId="2" applyFont="1" applyFill="1"/>
    <xf numFmtId="0" fontId="9" fillId="0" borderId="0" xfId="2" applyFont="1"/>
    <xf numFmtId="0" fontId="8" fillId="0" borderId="0" xfId="2" applyFont="1" applyBorder="1" applyAlignment="1">
      <alignment horizontal="left"/>
    </xf>
    <xf numFmtId="0" fontId="8" fillId="0" borderId="0" xfId="2" applyFont="1" applyAlignment="1">
      <alignment horizontal="left"/>
    </xf>
    <xf numFmtId="0" fontId="7" fillId="0" borderId="0" xfId="2" applyAlignment="1">
      <alignment horizontal="center"/>
    </xf>
    <xf numFmtId="0" fontId="0" fillId="0" borderId="2" xfId="0" applyBorder="1" applyAlignment="1">
      <alignment horizontal="center" vertical="center"/>
    </xf>
    <xf numFmtId="0" fontId="9" fillId="10" borderId="0" xfId="2" applyFont="1" applyFill="1"/>
    <xf numFmtId="0" fontId="10" fillId="10" borderId="0" xfId="2" applyFont="1" applyFill="1" applyAlignment="1">
      <alignment horizontal="center"/>
    </xf>
    <xf numFmtId="0" fontId="7" fillId="0" borderId="0" xfId="2"/>
    <xf numFmtId="0" fontId="7" fillId="10" borderId="0" xfId="2" applyFill="1"/>
    <xf numFmtId="0" fontId="7" fillId="10" borderId="0" xfId="2" applyFont="1" applyFill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49" fontId="7" fillId="10" borderId="0" xfId="2" applyNumberFormat="1" applyFont="1" applyFill="1" applyAlignment="1" applyProtection="1">
      <alignment horizontal="center"/>
      <protection locked="0"/>
    </xf>
    <xf numFmtId="0" fontId="7" fillId="0" borderId="0" xfId="2" applyFill="1"/>
    <xf numFmtId="14" fontId="7" fillId="10" borderId="0" xfId="2" applyNumberFormat="1" applyFill="1" applyAlignment="1" applyProtection="1">
      <alignment horizontal="center"/>
      <protection locked="0"/>
    </xf>
    <xf numFmtId="0" fontId="7" fillId="10" borderId="0" xfId="2" applyFill="1" applyAlignment="1" applyProtection="1">
      <alignment horizontal="center"/>
      <protection locked="0"/>
    </xf>
    <xf numFmtId="0" fontId="11" fillId="10" borderId="0" xfId="2" applyFont="1" applyFill="1"/>
    <xf numFmtId="0" fontId="11" fillId="10" borderId="0" xfId="2" applyFont="1" applyFill="1" applyAlignment="1" applyProtection="1">
      <alignment horizontal="center"/>
      <protection locked="0"/>
    </xf>
    <xf numFmtId="2" fontId="0" fillId="0" borderId="0" xfId="0" applyNumberFormat="1"/>
    <xf numFmtId="10" fontId="11" fillId="10" borderId="0" xfId="1" applyNumberFormat="1" applyFont="1" applyFill="1" applyAlignment="1">
      <alignment horizontal="center"/>
    </xf>
    <xf numFmtId="0" fontId="7" fillId="0" borderId="0" xfId="2" applyFont="1" applyFill="1"/>
    <xf numFmtId="2" fontId="7" fillId="0" borderId="0" xfId="2" applyNumberFormat="1" applyFill="1" applyAlignment="1">
      <alignment horizontal="center"/>
    </xf>
    <xf numFmtId="0" fontId="0" fillId="0" borderId="0" xfId="0" applyFill="1"/>
    <xf numFmtId="2" fontId="11" fillId="7" borderId="0" xfId="2" applyNumberFormat="1" applyFont="1" applyFill="1" applyAlignment="1" applyProtection="1">
      <alignment horizontal="center"/>
      <protection locked="0"/>
    </xf>
    <xf numFmtId="2" fontId="11" fillId="10" borderId="0" xfId="2" applyNumberFormat="1" applyFont="1" applyFill="1" applyAlignment="1" applyProtection="1">
      <alignment horizontal="center"/>
      <protection locked="0"/>
    </xf>
    <xf numFmtId="0" fontId="11" fillId="0" borderId="0" xfId="2" applyFont="1" applyFill="1"/>
    <xf numFmtId="165" fontId="11" fillId="0" borderId="0" xfId="2" applyNumberFormat="1" applyFont="1" applyFill="1" applyAlignment="1">
      <alignment horizontal="center"/>
    </xf>
    <xf numFmtId="2" fontId="11" fillId="7" borderId="0" xfId="2" applyNumberFormat="1" applyFont="1" applyFill="1" applyAlignment="1">
      <alignment horizontal="center"/>
    </xf>
    <xf numFmtId="2" fontId="11" fillId="0" borderId="0" xfId="2" applyNumberFormat="1" applyFont="1" applyFill="1" applyAlignment="1">
      <alignment horizontal="center"/>
    </xf>
    <xf numFmtId="0" fontId="11" fillId="11" borderId="0" xfId="2" applyFont="1" applyFill="1"/>
    <xf numFmtId="2" fontId="11" fillId="11" borderId="0" xfId="2" applyNumberFormat="1" applyFont="1" applyFill="1" applyAlignment="1">
      <alignment horizontal="center"/>
    </xf>
    <xf numFmtId="0" fontId="12" fillId="12" borderId="0" xfId="2" applyFont="1" applyFill="1"/>
    <xf numFmtId="2" fontId="12" fillId="12" borderId="0" xfId="2" applyNumberFormat="1" applyFont="1" applyFill="1" applyAlignment="1">
      <alignment horizontal="center"/>
    </xf>
    <xf numFmtId="0" fontId="12" fillId="13" borderId="0" xfId="2" applyFont="1" applyFill="1"/>
    <xf numFmtId="164" fontId="12" fillId="13" borderId="0" xfId="1" applyNumberFormat="1" applyFont="1" applyFill="1" applyAlignment="1">
      <alignment horizontal="center"/>
    </xf>
    <xf numFmtId="0" fontId="12" fillId="0" borderId="0" xfId="2" applyFont="1" applyFill="1" applyProtection="1">
      <protection locked="0"/>
    </xf>
    <xf numFmtId="17" fontId="7" fillId="0" borderId="0" xfId="2" applyNumberFormat="1" applyAlignment="1" applyProtection="1">
      <alignment horizontal="center"/>
      <protection locked="0"/>
    </xf>
    <xf numFmtId="0" fontId="7" fillId="0" borderId="0" xfId="2" applyProtection="1">
      <protection locked="0"/>
    </xf>
    <xf numFmtId="0" fontId="12" fillId="0" borderId="0" xfId="2" applyFont="1" applyProtection="1">
      <protection locked="0"/>
    </xf>
    <xf numFmtId="0" fontId="7" fillId="0" borderId="0" xfId="2" applyFont="1" applyAlignment="1" applyProtection="1">
      <alignment horizontal="center"/>
      <protection locked="0"/>
    </xf>
    <xf numFmtId="0" fontId="7" fillId="0" borderId="0" xfId="2" applyAlignment="1" applyProtection="1">
      <alignment horizontal="center"/>
      <protection locked="0"/>
    </xf>
    <xf numFmtId="0" fontId="13" fillId="14" borderId="0" xfId="2" applyFont="1" applyFill="1"/>
    <xf numFmtId="0" fontId="7" fillId="14" borderId="0" xfId="2" applyFill="1"/>
    <xf numFmtId="0" fontId="7" fillId="14" borderId="0" xfId="2" applyFont="1" applyFill="1"/>
    <xf numFmtId="14" fontId="0" fillId="14" borderId="0" xfId="0" applyNumberFormat="1" applyFill="1" applyProtection="1">
      <protection locked="0"/>
    </xf>
    <xf numFmtId="0" fontId="13" fillId="15" borderId="0" xfId="2" applyFont="1" applyFill="1"/>
    <xf numFmtId="0" fontId="7" fillId="15" borderId="0" xfId="2" applyFill="1"/>
    <xf numFmtId="0" fontId="7" fillId="15" borderId="0" xfId="2" applyFont="1" applyFill="1"/>
    <xf numFmtId="0" fontId="7" fillId="7" borderId="0" xfId="2" applyFill="1"/>
    <xf numFmtId="164" fontId="7" fillId="7" borderId="0" xfId="1" applyNumberFormat="1" applyFont="1" applyFill="1"/>
    <xf numFmtId="164" fontId="7" fillId="15" borderId="0" xfId="1" applyNumberFormat="1" applyFont="1" applyFill="1"/>
    <xf numFmtId="0" fontId="13" fillId="16" borderId="0" xfId="2" applyFont="1" applyFill="1"/>
    <xf numFmtId="14" fontId="0" fillId="16" borderId="0" xfId="0" applyNumberFormat="1" applyFill="1"/>
    <xf numFmtId="0" fontId="7" fillId="16" borderId="0" xfId="2" applyFont="1" applyFill="1"/>
    <xf numFmtId="0" fontId="0" fillId="16" borderId="0" xfId="0" applyFill="1" applyProtection="1">
      <protection locked="0"/>
    </xf>
    <xf numFmtId="0" fontId="0" fillId="16" borderId="0" xfId="0" applyFill="1"/>
    <xf numFmtId="0" fontId="8" fillId="0" borderId="0" xfId="2" applyFont="1" applyFill="1" applyBorder="1" applyAlignment="1">
      <alignment horizontal="center"/>
    </xf>
    <xf numFmtId="0" fontId="6" fillId="9" borderId="4" xfId="0" applyFont="1" applyFill="1" applyBorder="1" applyAlignment="1">
      <alignment horizontal="center"/>
    </xf>
    <xf numFmtId="0" fontId="6" fillId="9" borderId="5" xfId="0" applyFont="1" applyFill="1" applyBorder="1" applyAlignment="1">
      <alignment horizontal="center"/>
    </xf>
    <xf numFmtId="0" fontId="6" fillId="9" borderId="6" xfId="0" applyFont="1" applyFill="1" applyBorder="1" applyAlignment="1">
      <alignment horizontal="center"/>
    </xf>
    <xf numFmtId="0" fontId="6" fillId="9" borderId="2" xfId="0" applyFont="1" applyFill="1" applyBorder="1" applyAlignment="1">
      <alignment horizontal="center"/>
    </xf>
  </cellXfs>
  <cellStyles count="3">
    <cellStyle name="Normal" xfId="0" builtinId="0"/>
    <cellStyle name="Normal 2" xfId="2"/>
    <cellStyle name="Pourcentage" xfId="1" builtinId="5"/>
  </cellStyles>
  <dxfs count="84">
    <dxf>
      <numFmt numFmtId="2" formatCode="0.00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2" formatCode="0.00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2" formatCode="0.00"/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2" formatCode="0.00"/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166" formatCode="dd/mm/yy"/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border>
        <bottom style="thin">
          <color rgb="FF002060"/>
        </bottom>
      </border>
    </dxf>
    <dxf>
      <alignment horizontal="general" vertical="bottom" textRotation="45" wrapText="0" indent="0" relativeIndent="255" justifyLastLine="0" shrinkToFit="0" readingOrder="0"/>
      <border diagonalUp="0" diagonalDown="0">
        <left/>
        <righ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2" formatCode="0.00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2" formatCode="0.00"/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166" formatCode="dd/mm/yy"/>
      <alignment horizontal="center" vertical="bottom" textRotation="0" wrapText="0" indent="0" relativeIndent="255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border>
        <bottom style="thin">
          <color rgb="FF002060"/>
        </bottom>
      </border>
    </dxf>
    <dxf>
      <alignment horizontal="general" vertical="bottom" textRotation="45" wrapText="0" indent="0" relativeIndent="255" justifyLastLine="0" shrinkToFit="0" readingOrder="0"/>
      <border diagonalUp="0" diagonalDown="0">
        <left/>
        <righ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1333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EQ%20IM%20Lille\EEQ%20IM\trie%20LGC%20Therapeutic_Drug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 (2)"/>
      <sheetName val="date et round"/>
      <sheetName val="LGC Amikacine AU2 "/>
      <sheetName val="LGC Amikacine AU1 "/>
      <sheetName val="Comp_Amikacine"/>
      <sheetName val="LGC Amiodarone"/>
      <sheetName val="LGC Amisulpride"/>
      <sheetName val="LGC Aripiprazole"/>
      <sheetName val="LGC Cafeine HPLC"/>
      <sheetName val="LGC Cafeine Xevo"/>
      <sheetName val="LGC Carbamazepine Xevo"/>
      <sheetName val="LGC 10 11 Epoxide Carbamaz"/>
      <sheetName val="LGC Carbamazepine AU 2"/>
      <sheetName val="LGC Carbamazepine AU 1"/>
      <sheetName val="LGC Citalopram"/>
      <sheetName val="LGC Clobazam"/>
      <sheetName val="LGC Clonazepam"/>
      <sheetName val="LGC Depakine AU2"/>
      <sheetName val="LGC Depakine AU1"/>
      <sheetName val="Comp_Depakine"/>
      <sheetName val="LGC Depakine Xevo"/>
      <sheetName val="LGC Desmethyl Amiodarone"/>
      <sheetName val="LGC Digoxine AU2"/>
      <sheetName val="LGC Digoxine AU1"/>
      <sheetName val="Comp_Digoxine"/>
      <sheetName val="LGC Doxepin"/>
      <sheetName val="LGC Duloxetine"/>
      <sheetName val="LGC Ethosuximide"/>
      <sheetName val="LGC Felbamate"/>
      <sheetName val="LGC Flecainide"/>
      <sheetName val="LGC Fluoxetine"/>
      <sheetName val="LGC Fluvoxamine"/>
      <sheetName val="LGC Gabapentine"/>
      <sheetName val="LGC Gentamicine AU2"/>
      <sheetName val="LGC Gentamicine AU1"/>
      <sheetName val="Comp_Gentamicine"/>
      <sheetName val="LGC Haloperidol"/>
      <sheetName val="LGC Lacosamide"/>
      <sheetName val="LGC Lamotrigine"/>
      <sheetName val="LGC Levetiracetam"/>
      <sheetName val="LGC Lithium"/>
      <sheetName val="LGC Methotrexate AU2"/>
      <sheetName val="LGC Methotrexate AU1"/>
      <sheetName val="Comp_Methotrexate"/>
      <sheetName val="LGC Mianserine"/>
      <sheetName val="LGC Mirtazapine"/>
      <sheetName val="LGC Norcitalopram"/>
      <sheetName val="LGC Norclobazam"/>
      <sheetName val="LGC Norfluoxetine"/>
      <sheetName val="LGC Normirtazapine"/>
      <sheetName val="LGC Norvenlafaxine"/>
      <sheetName val="LGC OH Oxcarbazepine"/>
      <sheetName val="LGC OH Risperidone"/>
      <sheetName val="LGC Olanzapine"/>
      <sheetName val="LGC Paroxetine"/>
      <sheetName val="LGC Perampanel"/>
      <sheetName val="LGC Phenobarbital AU2"/>
      <sheetName val="LGC Phenobarbital AU1"/>
      <sheetName val="Comp_Phenobarbital"/>
      <sheetName val="LGC Phenobarbital Xevo"/>
      <sheetName val="LGC Phenytoine AU2"/>
      <sheetName val="LGC Phenytoine AU1"/>
      <sheetName val="LGC Phenytoine Xevo"/>
      <sheetName val="LGC Sertraline"/>
      <sheetName val="LGC Pregabalin"/>
      <sheetName val="LGC Primidone"/>
      <sheetName val="LGC Quetiapine"/>
      <sheetName val="LGC Risperidone"/>
      <sheetName val="LGC Rufinamide"/>
      <sheetName val="LGC Theophylline AU2"/>
      <sheetName val="LGC Theophylline AU1"/>
      <sheetName val="LGC Theophylline Xevo"/>
      <sheetName val="LGC Tiagabine"/>
      <sheetName val="LGC Topiramate"/>
      <sheetName val="LGC Tobramycine AU2"/>
      <sheetName val="LGC Tobramycine AU1"/>
      <sheetName val="Comp_Tobramycine"/>
      <sheetName val="LGC Vancomycine AU2"/>
      <sheetName val="LGC Vancomycine AU1"/>
      <sheetName val="Comp_Vancomycine"/>
      <sheetName val="LGC Venlafaxine"/>
      <sheetName val="LGC Vigabatrin"/>
      <sheetName val="LGC Zonisamide"/>
      <sheetName val="LGC Clozapine"/>
      <sheetName val="LGC Norclozapine"/>
      <sheetName val="LGC Ethosuximide Xevo"/>
      <sheetName val="Feuil4"/>
    </sheetNames>
    <sheetDataSet>
      <sheetData sheetId="0"/>
      <sheetData sheetId="1"/>
      <sheetData sheetId="2"/>
      <sheetData sheetId="3"/>
      <sheetData sheetId="4"/>
      <sheetData sheetId="5">
        <row r="2">
          <cell r="A2">
            <v>41455</v>
          </cell>
          <cell r="H2">
            <v>1.36</v>
          </cell>
          <cell r="I2">
            <v>1.5</v>
          </cell>
          <cell r="J2">
            <v>-7.14</v>
          </cell>
          <cell r="K2" t="str">
            <v>D</v>
          </cell>
        </row>
        <row r="3">
          <cell r="A3">
            <v>41455</v>
          </cell>
          <cell r="H3">
            <v>1.6</v>
          </cell>
          <cell r="I3">
            <v>1.5</v>
          </cell>
          <cell r="J3">
            <v>-7.14</v>
          </cell>
          <cell r="K3" t="str">
            <v>D</v>
          </cell>
        </row>
        <row r="4">
          <cell r="A4">
            <v>41455</v>
          </cell>
          <cell r="H4">
            <v>564.4</v>
          </cell>
          <cell r="I4">
            <v>640</v>
          </cell>
          <cell r="J4">
            <v>-0.69</v>
          </cell>
          <cell r="K4" t="str">
            <v>A</v>
          </cell>
        </row>
        <row r="5">
          <cell r="A5">
            <v>41455</v>
          </cell>
          <cell r="H5">
            <v>840</v>
          </cell>
          <cell r="I5">
            <v>1957</v>
          </cell>
          <cell r="J5">
            <v>-4.1900000000000004</v>
          </cell>
          <cell r="K5" t="str">
            <v>D</v>
          </cell>
        </row>
        <row r="6">
          <cell r="A6">
            <v>41455</v>
          </cell>
          <cell r="H6">
            <v>2519.5</v>
          </cell>
          <cell r="I6">
            <v>3228</v>
          </cell>
          <cell r="J6">
            <v>-1.55</v>
          </cell>
          <cell r="K6" t="str">
            <v>B</v>
          </cell>
        </row>
        <row r="7">
          <cell r="A7">
            <v>41455</v>
          </cell>
          <cell r="H7">
            <v>2318.5</v>
          </cell>
          <cell r="I7">
            <v>3228</v>
          </cell>
          <cell r="J7">
            <v>-2</v>
          </cell>
          <cell r="K7" t="str">
            <v>C</v>
          </cell>
        </row>
        <row r="8">
          <cell r="A8">
            <v>41455</v>
          </cell>
          <cell r="H8">
            <v>0</v>
          </cell>
          <cell r="I8" t="str">
            <v>N/A</v>
          </cell>
          <cell r="K8" t="str">
            <v>NUL</v>
          </cell>
        </row>
        <row r="9">
          <cell r="A9">
            <v>41455</v>
          </cell>
          <cell r="H9">
            <v>0</v>
          </cell>
          <cell r="I9" t="str">
            <v>N/A</v>
          </cell>
          <cell r="K9" t="str">
            <v>NUL</v>
          </cell>
        </row>
        <row r="10">
          <cell r="A10">
            <v>41455</v>
          </cell>
          <cell r="H10">
            <v>850</v>
          </cell>
          <cell r="I10">
            <v>1526.5</v>
          </cell>
          <cell r="J10">
            <v>-3.36</v>
          </cell>
          <cell r="K10" t="str">
            <v>D</v>
          </cell>
        </row>
        <row r="11">
          <cell r="A11">
            <v>41455</v>
          </cell>
          <cell r="H11">
            <v>1050</v>
          </cell>
          <cell r="I11">
            <v>1526.5</v>
          </cell>
          <cell r="J11">
            <v>-2.36</v>
          </cell>
          <cell r="K11" t="str">
            <v>C</v>
          </cell>
        </row>
        <row r="12">
          <cell r="A12">
            <v>41455</v>
          </cell>
          <cell r="H12">
            <v>1817</v>
          </cell>
          <cell r="I12">
            <v>1571.06</v>
          </cell>
          <cell r="J12">
            <v>1.2</v>
          </cell>
          <cell r="K12" t="str">
            <v>B</v>
          </cell>
        </row>
        <row r="13">
          <cell r="A13">
            <v>41455</v>
          </cell>
          <cell r="H13">
            <v>2176</v>
          </cell>
          <cell r="I13">
            <v>2045.28</v>
          </cell>
          <cell r="J13">
            <v>0.49</v>
          </cell>
          <cell r="K13" t="str">
            <v>A</v>
          </cell>
        </row>
        <row r="14">
          <cell r="A14">
            <v>41455</v>
          </cell>
          <cell r="H14">
            <v>700</v>
          </cell>
          <cell r="I14">
            <v>397</v>
          </cell>
          <cell r="J14">
            <v>3.39</v>
          </cell>
          <cell r="K14" t="str">
            <v>D</v>
          </cell>
        </row>
        <row r="15">
          <cell r="A15">
            <v>41455</v>
          </cell>
          <cell r="H15">
            <v>3900</v>
          </cell>
          <cell r="I15">
            <v>2185.0700000000002</v>
          </cell>
          <cell r="J15">
            <v>5.97</v>
          </cell>
          <cell r="K15" t="str">
            <v>D</v>
          </cell>
        </row>
        <row r="16">
          <cell r="A16">
            <v>41455</v>
          </cell>
          <cell r="H16">
            <v>4379</v>
          </cell>
          <cell r="I16">
            <v>2185.0700000000002</v>
          </cell>
          <cell r="J16">
            <v>7.64</v>
          </cell>
          <cell r="K16" t="str">
            <v>D</v>
          </cell>
        </row>
        <row r="17">
          <cell r="A17">
            <v>41455</v>
          </cell>
          <cell r="H17">
            <v>866</v>
          </cell>
          <cell r="I17">
            <v>841.99</v>
          </cell>
          <cell r="J17">
            <v>0.19</v>
          </cell>
          <cell r="K17" t="str">
            <v>A</v>
          </cell>
        </row>
        <row r="18">
          <cell r="A18">
            <v>41820</v>
          </cell>
          <cell r="H18">
            <v>1600</v>
          </cell>
          <cell r="I18">
            <v>1100</v>
          </cell>
          <cell r="J18">
            <v>3.25</v>
          </cell>
          <cell r="K18" t="str">
            <v>D</v>
          </cell>
        </row>
        <row r="19">
          <cell r="A19">
            <v>41820</v>
          </cell>
          <cell r="H19">
            <v>1537</v>
          </cell>
          <cell r="I19">
            <v>1100</v>
          </cell>
          <cell r="J19">
            <v>2.84</v>
          </cell>
          <cell r="K19" t="str">
            <v>C</v>
          </cell>
        </row>
        <row r="20">
          <cell r="A20">
            <v>41820</v>
          </cell>
          <cell r="H20">
            <v>1100</v>
          </cell>
          <cell r="I20">
            <v>1354.92</v>
          </cell>
          <cell r="J20">
            <v>-1.4</v>
          </cell>
          <cell r="K20" t="str">
            <v>B</v>
          </cell>
        </row>
        <row r="21">
          <cell r="A21">
            <v>41820</v>
          </cell>
          <cell r="H21">
            <v>1980</v>
          </cell>
          <cell r="I21">
            <v>2427.8200000000002</v>
          </cell>
          <cell r="J21">
            <v>-1.39</v>
          </cell>
          <cell r="K21" t="str">
            <v>B</v>
          </cell>
        </row>
        <row r="22">
          <cell r="A22">
            <v>41820</v>
          </cell>
          <cell r="H22">
            <v>2303</v>
          </cell>
          <cell r="I22">
            <v>2427.8200000000002</v>
          </cell>
          <cell r="J22">
            <v>-0.39</v>
          </cell>
          <cell r="K22" t="str">
            <v>A</v>
          </cell>
        </row>
        <row r="23">
          <cell r="A23">
            <v>41820</v>
          </cell>
          <cell r="H23">
            <v>0</v>
          </cell>
          <cell r="I23" t="str">
            <v>N/A</v>
          </cell>
          <cell r="K23" t="str">
            <v>NUL</v>
          </cell>
        </row>
        <row r="24">
          <cell r="A24">
            <v>41820</v>
          </cell>
          <cell r="H24">
            <v>910</v>
          </cell>
          <cell r="I24">
            <v>2955</v>
          </cell>
          <cell r="J24">
            <v>-5.01</v>
          </cell>
          <cell r="K24" t="str">
            <v>D</v>
          </cell>
        </row>
        <row r="25">
          <cell r="A25">
            <v>41820</v>
          </cell>
          <cell r="H25">
            <v>260</v>
          </cell>
          <cell r="I25">
            <v>444.55</v>
          </cell>
          <cell r="J25">
            <v>-1.98</v>
          </cell>
          <cell r="K25" t="str">
            <v>B</v>
          </cell>
        </row>
        <row r="26">
          <cell r="A26">
            <v>41820</v>
          </cell>
          <cell r="H26">
            <v>306</v>
          </cell>
          <cell r="I26">
            <v>1251</v>
          </cell>
          <cell r="J26">
            <v>-5.57</v>
          </cell>
          <cell r="K26" t="str">
            <v>D</v>
          </cell>
        </row>
        <row r="27">
          <cell r="A27">
            <v>41820</v>
          </cell>
          <cell r="H27">
            <v>684</v>
          </cell>
          <cell r="I27">
            <v>2810</v>
          </cell>
          <cell r="J27">
            <v>-5.56</v>
          </cell>
          <cell r="K27" t="str">
            <v>D</v>
          </cell>
        </row>
        <row r="28">
          <cell r="A28">
            <v>41820</v>
          </cell>
          <cell r="H28">
            <v>203</v>
          </cell>
          <cell r="I28">
            <v>900</v>
          </cell>
          <cell r="J28">
            <v>-5.26</v>
          </cell>
          <cell r="K28" t="str">
            <v>D</v>
          </cell>
        </row>
        <row r="29">
          <cell r="A29">
            <v>41820</v>
          </cell>
          <cell r="H29">
            <v>460</v>
          </cell>
          <cell r="I29">
            <v>1272.75</v>
          </cell>
          <cell r="J29">
            <v>-4.7</v>
          </cell>
          <cell r="K29" t="str">
            <v>D</v>
          </cell>
        </row>
        <row r="30">
          <cell r="A30">
            <v>41820</v>
          </cell>
          <cell r="H30">
            <v>560</v>
          </cell>
          <cell r="I30">
            <v>1290</v>
          </cell>
          <cell r="J30">
            <v>-4.2</v>
          </cell>
          <cell r="K30" t="str">
            <v>D</v>
          </cell>
        </row>
        <row r="31">
          <cell r="A31">
            <v>41820</v>
          </cell>
          <cell r="H31">
            <v>548</v>
          </cell>
          <cell r="I31">
            <v>552.44000000000005</v>
          </cell>
          <cell r="J31">
            <v>-0.04</v>
          </cell>
          <cell r="K31" t="str">
            <v>A</v>
          </cell>
        </row>
        <row r="32">
          <cell r="A32">
            <v>42185</v>
          </cell>
          <cell r="H32">
            <v>500</v>
          </cell>
          <cell r="I32">
            <v>1697.8</v>
          </cell>
          <cell r="J32">
            <v>-5.38</v>
          </cell>
          <cell r="K32" t="str">
            <v>D</v>
          </cell>
        </row>
        <row r="33">
          <cell r="A33">
            <v>42185</v>
          </cell>
          <cell r="H33">
            <v>1900</v>
          </cell>
          <cell r="I33">
            <v>2290.46</v>
          </cell>
          <cell r="J33">
            <v>-1.29</v>
          </cell>
          <cell r="K33" t="str">
            <v>B</v>
          </cell>
        </row>
        <row r="34">
          <cell r="A34">
            <v>42185</v>
          </cell>
          <cell r="H34">
            <v>1018</v>
          </cell>
          <cell r="I34">
            <v>720</v>
          </cell>
          <cell r="J34">
            <v>2.5499999999999998</v>
          </cell>
          <cell r="K34" t="str">
            <v>C</v>
          </cell>
        </row>
        <row r="35">
          <cell r="A35">
            <v>42185</v>
          </cell>
          <cell r="H35">
            <v>874</v>
          </cell>
          <cell r="I35">
            <v>1006.48</v>
          </cell>
          <cell r="J35">
            <v>-0.92</v>
          </cell>
          <cell r="K35" t="str">
            <v>A</v>
          </cell>
        </row>
        <row r="36">
          <cell r="A36">
            <v>42185</v>
          </cell>
          <cell r="H36">
            <v>1259</v>
          </cell>
          <cell r="I36">
            <v>1400</v>
          </cell>
          <cell r="J36">
            <v>-0.75</v>
          </cell>
          <cell r="K36" t="str">
            <v>A</v>
          </cell>
        </row>
        <row r="37">
          <cell r="A37">
            <v>42185</v>
          </cell>
          <cell r="H37">
            <v>2203</v>
          </cell>
          <cell r="I37">
            <v>2090</v>
          </cell>
          <cell r="J37">
            <v>0.41</v>
          </cell>
          <cell r="K37" t="str">
            <v>A</v>
          </cell>
        </row>
        <row r="38">
          <cell r="A38">
            <v>42185</v>
          </cell>
          <cell r="H38" t="str">
            <v>&lt;1,00</v>
          </cell>
          <cell r="I38" t="str">
            <v>N/A</v>
          </cell>
          <cell r="K38" t="str">
            <v>NUL</v>
          </cell>
        </row>
        <row r="39">
          <cell r="A39">
            <v>42185</v>
          </cell>
          <cell r="H39">
            <v>2300</v>
          </cell>
          <cell r="I39">
            <v>2272.0500000000002</v>
          </cell>
          <cell r="J39">
            <v>0.09</v>
          </cell>
          <cell r="K39" t="str">
            <v>A</v>
          </cell>
        </row>
        <row r="40">
          <cell r="A40">
            <v>42185</v>
          </cell>
          <cell r="H40">
            <v>365</v>
          </cell>
          <cell r="I40">
            <v>350</v>
          </cell>
          <cell r="J40">
            <v>0.17</v>
          </cell>
          <cell r="K40" t="str">
            <v>A</v>
          </cell>
        </row>
        <row r="41">
          <cell r="A41">
            <v>42185</v>
          </cell>
          <cell r="H41">
            <v>1223</v>
          </cell>
          <cell r="I41">
            <v>990</v>
          </cell>
          <cell r="J41">
            <v>1.63</v>
          </cell>
          <cell r="K41" t="str">
            <v>B</v>
          </cell>
        </row>
        <row r="42">
          <cell r="A42">
            <v>42185</v>
          </cell>
          <cell r="H42">
            <v>1242</v>
          </cell>
          <cell r="I42">
            <v>1356.08</v>
          </cell>
          <cell r="J42">
            <v>-0.63</v>
          </cell>
          <cell r="K42" t="str">
            <v>A</v>
          </cell>
        </row>
        <row r="43">
          <cell r="A43">
            <v>42185</v>
          </cell>
          <cell r="H43">
            <v>654</v>
          </cell>
          <cell r="I43">
            <v>563.89</v>
          </cell>
          <cell r="J43">
            <v>0.87</v>
          </cell>
          <cell r="K43" t="str">
            <v>A</v>
          </cell>
        </row>
        <row r="44">
          <cell r="A44">
            <v>42370</v>
          </cell>
          <cell r="H44">
            <v>1744</v>
          </cell>
          <cell r="I44">
            <v>1714.62</v>
          </cell>
          <cell r="J44">
            <v>0.13</v>
          </cell>
          <cell r="K44" t="str">
            <v>A</v>
          </cell>
        </row>
        <row r="45">
          <cell r="A45">
            <v>42370</v>
          </cell>
          <cell r="H45">
            <v>1303</v>
          </cell>
          <cell r="I45">
            <v>1483.96</v>
          </cell>
          <cell r="J45">
            <v>-0.92</v>
          </cell>
          <cell r="K45" t="str">
            <v>A</v>
          </cell>
        </row>
        <row r="46">
          <cell r="A46">
            <v>42370</v>
          </cell>
          <cell r="H46">
            <v>3131</v>
          </cell>
          <cell r="I46">
            <v>2295</v>
          </cell>
          <cell r="J46">
            <v>2.75</v>
          </cell>
          <cell r="K46" t="str">
            <v>C</v>
          </cell>
        </row>
        <row r="47">
          <cell r="A47">
            <v>42370</v>
          </cell>
          <cell r="H47">
            <v>3279</v>
          </cell>
          <cell r="I47">
            <v>2418</v>
          </cell>
          <cell r="J47">
            <v>2.67</v>
          </cell>
          <cell r="K47" t="str">
            <v>C</v>
          </cell>
        </row>
        <row r="48">
          <cell r="A48">
            <v>42735</v>
          </cell>
          <cell r="H48">
            <v>1491</v>
          </cell>
          <cell r="I48">
            <v>1380</v>
          </cell>
          <cell r="J48">
            <v>0.6</v>
          </cell>
          <cell r="K48" t="str">
            <v>A</v>
          </cell>
        </row>
        <row r="49">
          <cell r="A49">
            <v>42736</v>
          </cell>
          <cell r="H49">
            <v>341</v>
          </cell>
          <cell r="I49">
            <v>316.86</v>
          </cell>
          <cell r="J49">
            <v>0.14000000000000001</v>
          </cell>
          <cell r="K49" t="str">
            <v>A</v>
          </cell>
        </row>
        <row r="50">
          <cell r="A50">
            <v>42736</v>
          </cell>
          <cell r="H50">
            <v>706</v>
          </cell>
          <cell r="I50">
            <v>652.44000000000005</v>
          </cell>
          <cell r="J50">
            <v>0.89</v>
          </cell>
          <cell r="K50" t="str">
            <v>A</v>
          </cell>
        </row>
        <row r="51">
          <cell r="A51">
            <v>42736</v>
          </cell>
          <cell r="H51">
            <v>709</v>
          </cell>
          <cell r="I51">
            <v>811.16</v>
          </cell>
          <cell r="J51">
            <v>-0.81</v>
          </cell>
          <cell r="K51" t="str">
            <v>A</v>
          </cell>
        </row>
        <row r="52">
          <cell r="A52">
            <v>42736</v>
          </cell>
          <cell r="H52">
            <v>1734</v>
          </cell>
          <cell r="I52">
            <v>2235</v>
          </cell>
          <cell r="J52">
            <v>-1.7</v>
          </cell>
          <cell r="K52" t="str">
            <v>B</v>
          </cell>
        </row>
        <row r="53">
          <cell r="A53">
            <v>43136</v>
          </cell>
          <cell r="H53">
            <v>1107</v>
          </cell>
          <cell r="I53">
            <v>1150.5</v>
          </cell>
          <cell r="J53">
            <v>-0.28000000000000003</v>
          </cell>
          <cell r="K53" t="str">
            <v>A</v>
          </cell>
        </row>
        <row r="54">
          <cell r="A54">
            <v>43185</v>
          </cell>
          <cell r="H54">
            <v>0.74</v>
          </cell>
          <cell r="I54">
            <v>804</v>
          </cell>
          <cell r="J54">
            <v>-6.44</v>
          </cell>
          <cell r="K54" t="str">
            <v>D</v>
          </cell>
        </row>
        <row r="55">
          <cell r="A55">
            <v>43185</v>
          </cell>
          <cell r="H55">
            <v>2529</v>
          </cell>
          <cell r="I55">
            <v>2385</v>
          </cell>
          <cell r="J55">
            <v>0.45</v>
          </cell>
          <cell r="K55" t="str">
            <v>A</v>
          </cell>
        </row>
        <row r="56">
          <cell r="A56">
            <v>43185</v>
          </cell>
          <cell r="H56">
            <v>1485.8</v>
          </cell>
          <cell r="I56">
            <v>1295.2</v>
          </cell>
          <cell r="J56">
            <v>1.0900000000000001</v>
          </cell>
          <cell r="K56" t="str">
            <v>B</v>
          </cell>
        </row>
        <row r="57">
          <cell r="A57">
            <v>43185</v>
          </cell>
          <cell r="H57">
            <v>519.70000000000005</v>
          </cell>
          <cell r="I57">
            <v>540</v>
          </cell>
          <cell r="J57">
            <v>-0.2</v>
          </cell>
          <cell r="K57" t="str">
            <v>A</v>
          </cell>
        </row>
        <row r="58">
          <cell r="A58">
            <v>43185</v>
          </cell>
          <cell r="H58">
            <v>1961</v>
          </cell>
          <cell r="I58">
            <v>1850</v>
          </cell>
          <cell r="J58">
            <v>0.46</v>
          </cell>
          <cell r="K58" t="str">
            <v>A</v>
          </cell>
        </row>
        <row r="59">
          <cell r="A59">
            <v>43139</v>
          </cell>
          <cell r="H59">
            <v>1003.5</v>
          </cell>
          <cell r="I59">
            <v>1170</v>
          </cell>
          <cell r="J59">
            <v>-0.76</v>
          </cell>
          <cell r="K59" t="str">
            <v>A</v>
          </cell>
        </row>
        <row r="60">
          <cell r="A60">
            <v>43139</v>
          </cell>
          <cell r="H60">
            <v>872.2</v>
          </cell>
          <cell r="I60">
            <v>1030</v>
          </cell>
          <cell r="J60">
            <v>-0.54</v>
          </cell>
          <cell r="K60" t="str">
            <v>A</v>
          </cell>
        </row>
        <row r="61">
          <cell r="A61">
            <v>43198</v>
          </cell>
          <cell r="H61">
            <v>227.9</v>
          </cell>
          <cell r="I61">
            <v>280</v>
          </cell>
          <cell r="J61">
            <v>-1.25</v>
          </cell>
          <cell r="K61" t="str">
            <v>B</v>
          </cell>
        </row>
        <row r="62">
          <cell r="A62">
            <v>43198</v>
          </cell>
          <cell r="H62">
            <v>332.4</v>
          </cell>
          <cell r="I62">
            <v>340</v>
          </cell>
          <cell r="J62">
            <v>-0.11</v>
          </cell>
          <cell r="K62" t="str">
            <v>A</v>
          </cell>
        </row>
        <row r="63">
          <cell r="A63">
            <v>43259</v>
          </cell>
          <cell r="H63">
            <v>115.7</v>
          </cell>
          <cell r="I63">
            <v>130</v>
          </cell>
          <cell r="J63">
            <v>-0.54</v>
          </cell>
          <cell r="K63" t="str">
            <v>A</v>
          </cell>
        </row>
        <row r="64">
          <cell r="A64">
            <v>43259</v>
          </cell>
          <cell r="H64">
            <v>126.4</v>
          </cell>
          <cell r="I64">
            <v>840</v>
          </cell>
          <cell r="J64">
            <v>-2.99</v>
          </cell>
          <cell r="K64" t="str">
            <v>C</v>
          </cell>
        </row>
        <row r="65">
          <cell r="A65">
            <v>43342</v>
          </cell>
          <cell r="H65">
            <v>1661</v>
          </cell>
          <cell r="I65">
            <v>1677.5</v>
          </cell>
          <cell r="J65">
            <v>-7.0000000000000007E-2</v>
          </cell>
          <cell r="K65" t="str">
            <v>A</v>
          </cell>
        </row>
        <row r="66">
          <cell r="A66" t="str">
            <v>09/10/2018</v>
          </cell>
          <cell r="H66" t="str">
            <v>2680.00</v>
          </cell>
          <cell r="I66" t="str">
            <v>2630.89</v>
          </cell>
          <cell r="J66">
            <v>0.14000000000000001</v>
          </cell>
          <cell r="K66" t="str">
            <v>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</sheetDataSet>
  </externalBook>
</externalLink>
</file>

<file path=xl/tables/table1.xml><?xml version="1.0" encoding="utf-8"?>
<table xmlns="http://schemas.openxmlformats.org/spreadsheetml/2006/main" id="1" name="Tableau1" displayName="Tableau1" ref="A1:W5" totalsRowShown="0" headerRowDxfId="54" headerRowBorderDxfId="53">
  <autoFilter ref="A1:W5"/>
  <tableColumns count="23">
    <tableColumn id="1" name="Date" dataDxfId="52"/>
    <tableColumn id="2" name="Enquête" dataDxfId="51"/>
    <tableColumn id="3" name="N° échantillon" dataDxfId="50"/>
    <tableColumn id="4" name="Analyte" dataDxfId="49"/>
    <tableColumn id="5" name="Analyseur" dataDxfId="48"/>
    <tableColumn id="6" name="Méthode " dataDxfId="47"/>
    <tableColumn id="7" name="Unités" dataDxfId="46"/>
    <tableColumn id="8" name="d (%)" dataDxfId="45"/>
    <tableColumn id="9" name="Résultat" dataDxfId="44"/>
    <tableColumn id="10" name="Valeur Méthode" dataDxfId="43"/>
    <tableColumn id="11" name="Z-score" dataDxfId="42"/>
    <tableColumn id="12" name="Performance" dataDxfId="41">
      <calculatedColumnFormula>IF(OR(ISBLANK(I2),(I2="NR")),"NUL",IF(AND(ABS(K2)&lt;1,0&lt;=ABS(K2)),"A",IF(AND(ABS(K2)&lt;2,ABS(K2)&gt;=1),"B",IF(AND(2&lt;=ABS(K2),ABS(K2)&lt;3),"C","D"))))</calculatedColumnFormula>
    </tableColumn>
    <tableColumn id="13" name="A" dataDxfId="40">
      <calculatedColumnFormula>COUNTIF($L$2:$L2,Tableau1[[#Headers],[A]])</calculatedColumnFormula>
    </tableColumn>
    <tableColumn id="14" name="B" dataDxfId="39">
      <calculatedColumnFormula>COUNTIF($L$2:$L2,Tableau1[[#Headers],[B]])</calculatedColumnFormula>
    </tableColumn>
    <tableColumn id="15" name="C" dataDxfId="38">
      <calculatedColumnFormula>COUNTIF($L$2:$L2,Tableau1[[#Headers],[C]])</calculatedColumnFormula>
    </tableColumn>
    <tableColumn id="16" name="D" dataDxfId="37">
      <calculatedColumnFormula>COUNTIF($L$2:$L2,Tableau1[[#Headers],[D]])</calculatedColumnFormula>
    </tableColumn>
    <tableColumn id="17" name="IQZEEQ" dataDxfId="36">
      <calculatedColumnFormula>(4*M2+3*N2+1*O2+0*P2)/(4*(M2+N2+O2+P2))</calculatedColumnFormula>
    </tableColumn>
    <tableColumn id="18" name="IQZEEQAB" dataDxfId="0">
      <calculatedColumnFormula>(4*M2+4*N2+O2)/(4*(M2+N2+O2+P2))</calculatedColumnFormula>
    </tableColumn>
    <tableColumn id="19" name="U-Score" dataDxfId="35"/>
    <tableColumn id="20" name="Performance U" dataDxfId="34">
      <calculatedColumnFormula>IF(ABS(S2)&gt;H2,"KO",IF(ABS(S2)&lt;H2,"OK"))</calculatedColumnFormula>
    </tableColumn>
    <tableColumn id="22" name="OK" dataDxfId="33">
      <calculatedColumnFormula>COUNTIF($T$2:$T2,Tableau1[[#Headers],[OK]])</calculatedColumnFormula>
    </tableColumn>
    <tableColumn id="23" name="KO" dataDxfId="32">
      <calculatedColumnFormula>COUNTIF($T$2:$T2,Tableau1[[#Headers],[KO]])</calculatedColumnFormula>
    </tableColumn>
    <tableColumn id="24" name="IQUEEQ" dataDxfId="31">
      <calculatedColumnFormula>$U2/SUM($U2,$V2)</calculatedColumnFormula>
    </tableColumn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W6" totalsRowShown="0" headerRowDxfId="25" headerRowBorderDxfId="24">
  <autoFilter ref="A1:W6"/>
  <tableColumns count="23">
    <tableColumn id="1" name="Date" dataDxfId="23"/>
    <tableColumn id="2" name="Enquête" dataDxfId="22"/>
    <tableColumn id="3" name="N° échantillon" dataDxfId="21"/>
    <tableColumn id="4" name="Analyte" dataDxfId="20"/>
    <tableColumn id="5" name="Analyseur" dataDxfId="19"/>
    <tableColumn id="6" name="Méthode " dataDxfId="18"/>
    <tableColumn id="7" name="Unités" dataDxfId="17"/>
    <tableColumn id="8" name="d (%)" dataDxfId="16"/>
    <tableColumn id="9" name="Résultat" dataDxfId="15"/>
    <tableColumn id="10" name="Valeur Méthode" dataDxfId="14"/>
    <tableColumn id="11" name="Z-score" dataDxfId="13"/>
    <tableColumn id="12" name="Performance" dataDxfId="12">
      <calculatedColumnFormula>IF(OR(ISBLANK(I2),(I2="NR")),"NUL",IF(AND(ABS(K2)&lt;1,0&lt;=ABS(K2)),"A",IF(AND(ABS(K2)&lt;2,ABS(K2)&gt;=1),"B",IF(AND(2&lt;=ABS(K2),ABS(K2)&lt;3),"C","D"))))</calculatedColumnFormula>
    </tableColumn>
    <tableColumn id="13" name="A" dataDxfId="11">
      <calculatedColumnFormula>COUNTIF($L$2:$L2,Tableau13[[#Headers],[A]])</calculatedColumnFormula>
    </tableColumn>
    <tableColumn id="14" name="B" dataDxfId="10">
      <calculatedColumnFormula>COUNTIF($L$2:$L2,Tableau13[[#Headers],[B]])</calculatedColumnFormula>
    </tableColumn>
    <tableColumn id="15" name="C" dataDxfId="9">
      <calculatedColumnFormula>COUNTIF($L$2:$L2,Tableau13[[#Headers],[C]])</calculatedColumnFormula>
    </tableColumn>
    <tableColumn id="16" name="D" dataDxfId="8">
      <calculatedColumnFormula>COUNTIF($L$2:$L2,Tableau13[[#Headers],[D]])</calculatedColumnFormula>
    </tableColumn>
    <tableColumn id="17" name="IQZEEQ" dataDxfId="7">
      <calculatedColumnFormula>(4*M2+3*N2+1*O2+0*P2)/(4*(M2+N2+O2+P2))</calculatedColumnFormula>
    </tableColumn>
    <tableColumn id="18" name="IQZEEQAB" dataDxfId="6">
      <calculatedColumnFormula>(4*M2+4*N2+1*O2+0*P2)/(4*(M2+N2+O2+P2))</calculatedColumnFormula>
    </tableColumn>
    <tableColumn id="19" name="U-Score" dataDxfId="5"/>
    <tableColumn id="20" name="Performance U" dataDxfId="4">
      <calculatedColumnFormula>IF(ABS(S2)&gt;H2,"KO",IF(ABS(S2)&lt;H2,"OK"))</calculatedColumnFormula>
    </tableColumn>
    <tableColumn id="22" name="OK" dataDxfId="3">
      <calculatedColumnFormula>COUNTIF($T$2:$T2,Tableau13[[#Headers],[OK]])</calculatedColumnFormula>
    </tableColumn>
    <tableColumn id="23" name="KO" dataDxfId="2">
      <calculatedColumnFormula>COUNTIF($T$2:$T2,Tableau13[[#Headers],[KO]])</calculatedColumnFormula>
    </tableColumn>
    <tableColumn id="24" name="IQUEEQ" dataDxfId="1">
      <calculatedColumnFormula>$U2/SUM($U2,$V2)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43"/>
  <sheetViews>
    <sheetView tabSelected="1" workbookViewId="0">
      <selection activeCell="B34" sqref="B34"/>
    </sheetView>
  </sheetViews>
  <sheetFormatPr baseColWidth="10" defaultRowHeight="15"/>
  <cols>
    <col min="1" max="1" width="25" customWidth="1"/>
    <col min="2" max="4" width="22.28515625" customWidth="1"/>
    <col min="6" max="6" width="22.7109375" bestFit="1" customWidth="1"/>
  </cols>
  <sheetData>
    <row r="1" spans="1:12" ht="15.75">
      <c r="A1" s="104" t="s">
        <v>64</v>
      </c>
      <c r="B1" s="104"/>
      <c r="C1" s="104"/>
      <c r="D1" s="104"/>
      <c r="E1" s="42"/>
      <c r="F1" s="43"/>
    </row>
    <row r="2" spans="1:12" ht="15.75">
      <c r="A2" s="43"/>
      <c r="B2" s="44"/>
      <c r="C2" s="44"/>
      <c r="D2" s="45"/>
      <c r="E2" s="42"/>
    </row>
    <row r="3" spans="1:12" ht="15.75">
      <c r="A3" s="43" t="s">
        <v>65</v>
      </c>
      <c r="B3" s="46" t="s">
        <v>46</v>
      </c>
      <c r="C3" s="47"/>
      <c r="D3" s="48"/>
      <c r="E3" s="49"/>
    </row>
    <row r="4" spans="1:12" ht="15.75">
      <c r="A4" s="50" t="s">
        <v>66</v>
      </c>
      <c r="B4" s="51"/>
      <c r="C4" s="52"/>
      <c r="D4" s="49"/>
      <c r="E4" s="49"/>
      <c r="F4" s="16" t="s">
        <v>67</v>
      </c>
      <c r="G4" s="18">
        <v>42736</v>
      </c>
      <c r="H4" s="53" t="s">
        <v>68</v>
      </c>
      <c r="I4" s="18">
        <v>43100</v>
      </c>
    </row>
    <row r="5" spans="1:12" ht="15.75">
      <c r="A5" s="54"/>
      <c r="B5" s="55" t="s">
        <v>69</v>
      </c>
      <c r="C5" s="55" t="s">
        <v>70</v>
      </c>
      <c r="D5" s="55" t="s">
        <v>71</v>
      </c>
      <c r="E5" s="56"/>
      <c r="F5" s="16" t="s">
        <v>72</v>
      </c>
      <c r="G5" s="16" t="s">
        <v>73</v>
      </c>
      <c r="H5" s="16" t="s">
        <v>74</v>
      </c>
      <c r="I5" s="16" t="s">
        <v>73</v>
      </c>
      <c r="J5" s="16" t="s">
        <v>74</v>
      </c>
      <c r="K5" s="16" t="s">
        <v>73</v>
      </c>
      <c r="L5" s="16" t="s">
        <v>74</v>
      </c>
    </row>
    <row r="6" spans="1:12">
      <c r="A6" s="57" t="s">
        <v>75</v>
      </c>
      <c r="B6" s="58"/>
      <c r="C6" s="58"/>
      <c r="D6" s="58"/>
      <c r="E6" s="48"/>
      <c r="F6" s="16" t="s">
        <v>76</v>
      </c>
      <c r="G6" s="59">
        <v>688</v>
      </c>
      <c r="H6" s="59">
        <v>721.19</v>
      </c>
      <c r="I6" s="59">
        <v>1893</v>
      </c>
      <c r="J6" s="59">
        <v>2132.1</v>
      </c>
      <c r="K6" s="59">
        <v>721.19</v>
      </c>
      <c r="L6" s="59">
        <v>1893</v>
      </c>
    </row>
    <row r="7" spans="1:12">
      <c r="A7" s="57" t="s">
        <v>6</v>
      </c>
      <c r="B7" s="60" t="s">
        <v>24</v>
      </c>
      <c r="C7" s="60" t="s">
        <v>24</v>
      </c>
      <c r="D7" s="60" t="s">
        <v>24</v>
      </c>
      <c r="E7" s="61"/>
      <c r="F7" s="16" t="s">
        <v>77</v>
      </c>
      <c r="G7" s="59">
        <v>1.41</v>
      </c>
      <c r="H7" s="59">
        <v>64.569999999999993</v>
      </c>
      <c r="I7" s="59">
        <v>69.3</v>
      </c>
      <c r="J7" s="59">
        <v>193.45</v>
      </c>
      <c r="K7" s="59">
        <v>64.569999999999993</v>
      </c>
      <c r="L7" s="59">
        <v>69.3</v>
      </c>
    </row>
    <row r="8" spans="1:12">
      <c r="A8" s="57" t="s">
        <v>78</v>
      </c>
      <c r="B8" s="58">
        <f>H9</f>
        <v>26</v>
      </c>
      <c r="C8" s="58">
        <f>J9</f>
        <v>29</v>
      </c>
      <c r="D8" s="58">
        <f>L9</f>
        <v>2</v>
      </c>
      <c r="E8" s="61"/>
      <c r="F8" s="16" t="s">
        <v>79</v>
      </c>
      <c r="G8" s="59">
        <v>0.21</v>
      </c>
      <c r="H8" s="59">
        <v>8.9499999999999993</v>
      </c>
      <c r="I8" s="59">
        <v>3.66</v>
      </c>
      <c r="J8" s="59">
        <v>9.07</v>
      </c>
      <c r="K8" s="59">
        <v>8.9499999999999993</v>
      </c>
      <c r="L8" s="59">
        <v>3.66</v>
      </c>
    </row>
    <row r="9" spans="1:12">
      <c r="A9" s="57" t="s">
        <v>80</v>
      </c>
      <c r="B9" s="62" t="str">
        <f>TEXT(G4,"jj/mm/aaaa")&amp;" - "&amp;TEXT(I4,"jj/mm/aaaa")</f>
        <v>01/01/2017 - 31/12/2017</v>
      </c>
      <c r="C9" s="63" t="str">
        <f>TEXT(G4,"jj/mm/aaaa")&amp;" - "&amp;TEXT(I4,"jj/mm/aaaa")</f>
        <v>01/01/2017 - 31/12/2017</v>
      </c>
      <c r="D9" s="63" t="str">
        <f>TEXT(G4,"jj/mm/aaaa")&amp;" - "&amp;TEXT(I4,"jj/mm/aaaa")</f>
        <v>01/01/2017 - 31/12/2017</v>
      </c>
      <c r="E9" s="61"/>
      <c r="F9" s="16" t="s">
        <v>81</v>
      </c>
      <c r="G9" s="59">
        <v>2</v>
      </c>
      <c r="H9" s="59">
        <v>26</v>
      </c>
      <c r="I9" s="59">
        <v>2</v>
      </c>
      <c r="J9" s="59">
        <v>29</v>
      </c>
      <c r="K9" s="59">
        <v>26</v>
      </c>
      <c r="L9" s="59">
        <v>2</v>
      </c>
    </row>
    <row r="10" spans="1:12">
      <c r="A10" s="64" t="s">
        <v>82</v>
      </c>
      <c r="B10" s="65">
        <f>H6</f>
        <v>721.19</v>
      </c>
      <c r="C10" s="65">
        <f>J6</f>
        <v>2132.1</v>
      </c>
      <c r="D10" s="65">
        <f>L6</f>
        <v>1893</v>
      </c>
      <c r="E10" s="48"/>
      <c r="F10" s="61"/>
    </row>
    <row r="11" spans="1:12">
      <c r="A11" s="64" t="s">
        <v>83</v>
      </c>
      <c r="B11" s="65">
        <f>H7</f>
        <v>64.569999999999993</v>
      </c>
      <c r="C11" s="65">
        <f>J7</f>
        <v>193.45</v>
      </c>
      <c r="D11" s="65">
        <f>L7</f>
        <v>69.3</v>
      </c>
      <c r="E11" s="48"/>
      <c r="F11" s="61"/>
      <c r="J11" s="66"/>
    </row>
    <row r="12" spans="1:12">
      <c r="A12" s="64" t="s">
        <v>79</v>
      </c>
      <c r="B12" s="67">
        <f>B11/B10</f>
        <v>8.9532578100084567E-2</v>
      </c>
      <c r="C12" s="67">
        <f>C11/C10</f>
        <v>9.0732142019605083E-2</v>
      </c>
      <c r="D12" s="67">
        <f>D11/D10</f>
        <v>3.6608557844690963E-2</v>
      </c>
      <c r="E12" s="68" t="s">
        <v>84</v>
      </c>
      <c r="F12" s="68"/>
    </row>
    <row r="13" spans="1:12">
      <c r="A13" s="61"/>
      <c r="B13" s="69"/>
      <c r="C13" s="69"/>
      <c r="D13" s="69"/>
      <c r="E13" s="61"/>
      <c r="F13" s="61"/>
      <c r="G13" s="70"/>
      <c r="H13" s="66"/>
    </row>
    <row r="14" spans="1:12">
      <c r="A14" s="64" t="s">
        <v>85</v>
      </c>
      <c r="B14" s="71">
        <f t="array" ref="B14">AVERAGE(IF((('[1]LGC Amiodarone'!$A$2:$A$5000)&gt;=B$30)*(('[1]LGC Amiodarone'!$A$2:$A$5000)&lt;=B$31)*((LEN('[1]LGC Amiodarone'!$J$2:$J$5000)=0)+((('[1]LGC Amiodarone'!$J$2:$J$5000)&gt;=(-B$41))*(('[1]LGC Amiodarone'!$J$2:$J$5000)&lt;=(B$41))))*((('[1]LGC Amiodarone'!$I$2:$I$5000)&gt;=(B$10-B$42))*(('[1]LGC Amiodarone'!$I$2:$I$5000)&lt;=(B$10+B$42))),'[1]LGC Amiodarone'!$H$2:$H$5000,""))</f>
        <v>707.5</v>
      </c>
      <c r="C14" s="72">
        <f t="array" ref="C14">AVERAGE(IF((('[1]LGC Amiodarone'!$A$2:$A$5000)&gt;=C$30)*(('[1]LGC Amiodarone'!$A$2:$A$5000)&lt;=C$31)*((LEN('[1]LGC Amiodarone'!$J$2:$J$5000)=0)+((('[1]LGC Amiodarone'!$J$2:$J$5000)&gt;=(-C$41))*(('[1]LGC Amiodarone'!$J$2:$J$5000)&lt;=(C$41))))*((('[1]LGC Amiodarone'!$I$2:$I$5000)&gt;=(C$10-C$42))*(('[1]LGC Amiodarone'!$I$2:$I$5000)&lt;=(C$10+C$42))),'[1]LGC Amiodarone'!$H$2:$H$5000,""))</f>
        <v>1734</v>
      </c>
      <c r="D14" s="72">
        <f t="array" ref="D14">AVERAGE(IF((('[1]LGC Amiodarone'!$A$2:$A$5000)&gt;=D$30)*(('[1]LGC Amiodarone'!$A$2:$A$5000)&lt;=D$31)*((LEN('[1]LGC Amiodarone'!$J$2:$J$5000)=0)+((('[1]LGC Amiodarone'!$J$2:$J$5000)&gt;=(-D$41))*(('[1]LGC Amiodarone'!$J$2:$J$5000)&lt;=(D$41))))*((('[1]LGC Amiodarone'!$I$2:$I$5000)&gt;=(D$10-D$42))*(('[1]LGC Amiodarone'!$I$2:$I$5000)&lt;=(D$10+D$42))),'[1]LGC Amiodarone'!$H$2:$H$5000,""))</f>
        <v>1074.109090909091</v>
      </c>
      <c r="E14" s="48"/>
      <c r="F14" s="48"/>
      <c r="H14" s="66"/>
    </row>
    <row r="15" spans="1:12">
      <c r="A15" s="64" t="s">
        <v>86</v>
      </c>
      <c r="B15" s="71">
        <f t="array" ref="B15">AVERAGE(IF((('[1]LGC Amiodarone'!$A$2:$A$5000)&gt;=B$30)*(('[1]LGC Amiodarone'!$A$2:$A$5000)&lt;=B$31)*((LEN('[1]LGC Amiodarone'!$J$2:$J$5000)=0)+((('[1]LGC Amiodarone'!$J$2:$J$5000)&gt;=(-B$41))*(('[1]LGC Amiodarone'!$J$2:$J$5000)&lt;=(B$41))))*((('[1]LGC Amiodarone'!$I$2:$I$5000)&gt;=(B$10-B$42))*(('[1]LGC Amiodarone'!$I$2:$I$5000)&lt;=(B$10+B$42))),'[1]LGC Amiodarone'!$I$2:$I$5000,""))</f>
        <v>731.8</v>
      </c>
      <c r="C15" s="72">
        <f t="array" ref="C15">AVERAGE(IF((('[1]LGC Amiodarone'!$A$2:$A$5000)&gt;=C$30)*(('[1]LGC Amiodarone'!$A$2:$A$5000)&lt;=C$31)*((LEN('[1]LGC Amiodarone'!$J$2:$J$5000)=0)+((('[1]LGC Amiodarone'!$J$2:$J$5000)&gt;=(-C$41))*(('[1]LGC Amiodarone'!$J$2:$J$5000)&lt;=(C$41))))*((('[1]LGC Amiodarone'!$I$2:$I$5000)&gt;=(C$10-C$42))*(('[1]LGC Amiodarone'!$I$2:$I$5000)&lt;=(C$10+C$42))),'[1]LGC Amiodarone'!$I$2:$I$5000,""))</f>
        <v>2235</v>
      </c>
      <c r="D15" s="72">
        <f t="array" ref="D15">AVERAGE(IF((('[1]LGC Amiodarone'!$A$2:$A$5000)&gt;=D$30)*(('[1]LGC Amiodarone'!$A$2:$A$5000)&lt;=D$31)*((LEN('[1]LGC Amiodarone'!$J$2:$J$5000)=0)+((('[1]LGC Amiodarone'!$J$2:$J$5000)&gt;=(-D$41))*(('[1]LGC Amiodarone'!$J$2:$J$5000)&lt;=(D$41))))*((('[1]LGC Amiodarone'!$I$2:$I$5000)&gt;=(D$10-D$42))*(('[1]LGC Amiodarone'!$I$2:$I$5000)&lt;=(D$10+D$42))),'[1]LGC Amiodarone'!$I$2:$I$5000,""))</f>
        <v>1077.109090909091</v>
      </c>
      <c r="E15" s="48"/>
      <c r="F15" s="48"/>
    </row>
    <row r="16" spans="1:12">
      <c r="A16" s="73" t="s">
        <v>87</v>
      </c>
      <c r="B16" s="74">
        <f>B14-B15</f>
        <v>-24.299999999999955</v>
      </c>
      <c r="C16" s="74">
        <f>C14-C15</f>
        <v>-501</v>
      </c>
      <c r="D16" s="74">
        <f>D14-D15</f>
        <v>-3</v>
      </c>
      <c r="E16" s="68" t="s">
        <v>88</v>
      </c>
      <c r="F16" s="61"/>
      <c r="G16" s="70"/>
    </row>
    <row r="17" spans="1:7">
      <c r="A17" s="73" t="s">
        <v>89</v>
      </c>
      <c r="B17" s="75" t="e">
        <f ca="1">_xlfn.STDEV.S(IF(((ISP_Lipase!$A$2:$A$5000)&gt;=B$30)*((ISP_Lipase!$A$2:$A$5000)&lt;=B$31)*((LEN(ISP_Lipase!$K$2:$K$5000)=0)+(((ISP_Lipase!$K$2:$K$5000)&gt;=(-B$41))*((ISP_Lipase!$K$2:$K$5000)&lt;=(B$41))))*(((ISP_Lipase!$J$2:$J$5000)&gt;=(B$10-B$42))*((ISP_Lipase!$J$2:$J$5000)&lt;=(B$10+B$42))),ISP_Lipase!$I$2:$I$5000-ISP_Lipase!$J$2:$J$5000,""))</f>
        <v>#NAME?</v>
      </c>
      <c r="C17" s="76" t="e">
        <f t="array" ref="C17">_xlfn.STDEV.S(IF((('[1]LGC Amiodarone'!$A$2:$A$5000)&gt;=C$30)*(('[1]LGC Amiodarone'!$A$2:$A$5000)&lt;=C$31)*((LEN('[1]LGC Amiodarone'!$J$2:$J$5000)=0)+((('[1]LGC Amiodarone'!$J$2:$J$5000)&gt;=(-C$41))*(('[1]LGC Amiodarone'!$J$2:$J$5000)&lt;=(C$41))))*((('[1]LGC Amiodarone'!$I$2:$I$5000)&gt;=(C$10-C$42))*(('[1]LGC Amiodarone'!$I$2:$I$5000)&lt;=(C$10+C$42))),'[1]LGC Amiodarone'!$H$2:$H$5000-'[1]LGC Amiodarone'!$I$2:$I$5000,""))</f>
        <v>#DIV/0!</v>
      </c>
      <c r="D17" s="76">
        <f t="array" ref="D17">_xlfn.STDEV.S(IF((('[1]LGC Amiodarone'!$A$2:$A$5000)&gt;=D$30)*(('[1]LGC Amiodarone'!$A$2:$A$5000)&lt;=D$31)*((LEN('[1]LGC Amiodarone'!$J$2:$J$5000)=0)+((('[1]LGC Amiodarone'!$J$2:$J$5000)&gt;=(-D$41))*(('[1]LGC Amiodarone'!$J$2:$J$5000)&lt;=(D$41))))*((('[1]LGC Amiodarone'!$I$2:$I$5000)&gt;=(D$10-D$42))*(('[1]LGC Amiodarone'!$I$2:$I$5000)&lt;=(D$10+D$42))),'[1]LGC Amiodarone'!$H$2:$H$5000-'[1]LGC Amiodarone'!$I$2:$I$5000,""))</f>
        <v>112.89937998058268</v>
      </c>
      <c r="E17" s="61"/>
      <c r="F17" s="38" t="s">
        <v>116</v>
      </c>
      <c r="G17" s="70"/>
    </row>
    <row r="18" spans="1:7">
      <c r="A18" s="77" t="s">
        <v>90</v>
      </c>
      <c r="B18" s="78">
        <f>B11</f>
        <v>64.569999999999993</v>
      </c>
      <c r="C18" s="78">
        <f>C11</f>
        <v>193.45</v>
      </c>
      <c r="D18" s="78">
        <f>D11</f>
        <v>69.3</v>
      </c>
      <c r="E18" s="56"/>
      <c r="F18" s="56"/>
    </row>
    <row r="19" spans="1:7">
      <c r="A19" s="77" t="s">
        <v>91</v>
      </c>
      <c r="B19" s="78" t="e">
        <f ca="1">SQRT(POWER((B16/1.732),2)+POWER(B17,2))</f>
        <v>#NAME?</v>
      </c>
      <c r="C19" s="78" t="e">
        <f>SQRT(POWER((C16/1.732),2)+POWER(C17,2))</f>
        <v>#DIV/0!</v>
      </c>
      <c r="D19" s="78">
        <f>SQRT(POWER((D16/1.732),2)+POWER(D17,2))</f>
        <v>112.91266614516867</v>
      </c>
      <c r="E19" s="56" t="s">
        <v>92</v>
      </c>
      <c r="F19" s="56"/>
    </row>
    <row r="20" spans="1:7">
      <c r="A20" s="77" t="s">
        <v>93</v>
      </c>
      <c r="B20" s="78" t="e">
        <f ca="1">SQRT(POWER(B18,2)+(POWER(B19,2)))</f>
        <v>#NAME?</v>
      </c>
      <c r="C20" s="78" t="e">
        <f>SQRT(POWER(C18,2)+(POWER(C19,2)))</f>
        <v>#DIV/0!</v>
      </c>
      <c r="D20" s="78">
        <f>SQRT(POWER(D18,2)+(POWER(D19,2)))</f>
        <v>132.48305618459412</v>
      </c>
      <c r="E20" s="56" t="s">
        <v>94</v>
      </c>
      <c r="F20" s="56"/>
    </row>
    <row r="21" spans="1:7">
      <c r="A21" s="77" t="s">
        <v>95</v>
      </c>
      <c r="B21" s="78" t="e">
        <f ca="1">2*B20</f>
        <v>#NAME?</v>
      </c>
      <c r="C21" s="78" t="e">
        <f>2*C20</f>
        <v>#DIV/0!</v>
      </c>
      <c r="D21" s="78">
        <f>2*D20</f>
        <v>264.96611236918824</v>
      </c>
      <c r="E21" s="56" t="s">
        <v>96</v>
      </c>
      <c r="F21" s="56"/>
    </row>
    <row r="22" spans="1:7">
      <c r="A22" s="79" t="s">
        <v>97</v>
      </c>
      <c r="B22" s="80">
        <f>B10</f>
        <v>721.19</v>
      </c>
      <c r="C22" s="80">
        <f>C10</f>
        <v>2132.1</v>
      </c>
      <c r="D22" s="80">
        <f>D10</f>
        <v>1893</v>
      </c>
      <c r="E22" s="56"/>
      <c r="F22" s="56"/>
    </row>
    <row r="23" spans="1:7">
      <c r="A23" s="79" t="s">
        <v>98</v>
      </c>
      <c r="B23" s="80" t="e">
        <f ca="1">B21</f>
        <v>#NAME?</v>
      </c>
      <c r="C23" s="80" t="e">
        <f>C21</f>
        <v>#DIV/0!</v>
      </c>
      <c r="D23" s="80">
        <f>D21</f>
        <v>264.96611236918824</v>
      </c>
      <c r="E23" s="56"/>
      <c r="F23" s="56"/>
    </row>
    <row r="24" spans="1:7">
      <c r="A24" s="81" t="s">
        <v>99</v>
      </c>
      <c r="B24" s="82" t="e">
        <f ca="1">B23/B22</f>
        <v>#NAME?</v>
      </c>
      <c r="C24" s="82" t="e">
        <f>C23/C22</f>
        <v>#DIV/0!</v>
      </c>
      <c r="D24" s="82">
        <f>D23/D22</f>
        <v>0.13997153321140424</v>
      </c>
      <c r="E24" s="56" t="s">
        <v>100</v>
      </c>
      <c r="F24" s="56"/>
    </row>
    <row r="25" spans="1:7">
      <c r="A25" s="56"/>
      <c r="B25" s="47"/>
      <c r="C25" s="47"/>
      <c r="D25" s="56"/>
      <c r="E25" s="56"/>
    </row>
    <row r="26" spans="1:7">
      <c r="A26" s="83" t="s">
        <v>101</v>
      </c>
      <c r="B26" s="84"/>
      <c r="C26" s="52"/>
      <c r="D26" s="56"/>
      <c r="E26" s="85"/>
    </row>
    <row r="27" spans="1:7">
      <c r="A27" s="86" t="s">
        <v>102</v>
      </c>
      <c r="B27" s="87"/>
      <c r="C27" s="88"/>
      <c r="D27" s="56"/>
      <c r="E27" s="85"/>
    </row>
    <row r="28" spans="1:7">
      <c r="A28" s="56"/>
      <c r="B28" s="56"/>
      <c r="C28" s="56"/>
      <c r="D28" s="56"/>
      <c r="E28" s="56"/>
    </row>
    <row r="29" spans="1:7">
      <c r="A29" s="89" t="s">
        <v>103</v>
      </c>
      <c r="B29" s="90"/>
      <c r="C29" s="90"/>
      <c r="D29" s="90"/>
      <c r="E29" s="56"/>
    </row>
    <row r="30" spans="1:7">
      <c r="A30" s="91" t="s">
        <v>104</v>
      </c>
      <c r="B30" s="92">
        <v>42736</v>
      </c>
      <c r="C30" s="92">
        <v>42736</v>
      </c>
      <c r="D30" s="92">
        <v>43101</v>
      </c>
    </row>
    <row r="31" spans="1:7">
      <c r="A31" s="91" t="s">
        <v>105</v>
      </c>
      <c r="B31" s="92">
        <v>43100</v>
      </c>
      <c r="C31" s="92">
        <v>43100</v>
      </c>
      <c r="D31" s="92">
        <v>43465</v>
      </c>
    </row>
    <row r="32" spans="1:7">
      <c r="A32" s="93" t="s">
        <v>106</v>
      </c>
      <c r="B32" s="94"/>
      <c r="C32" s="94"/>
      <c r="D32" s="94"/>
    </row>
    <row r="33" spans="1:6">
      <c r="A33" s="95" t="s">
        <v>107</v>
      </c>
      <c r="B33" s="96">
        <f>COUNTIFS(ISP_Lipase!$A:$A,"&gt;="&amp;B30,ISP_Lipase!$A:$A,"&lt;="&amp;B31)</f>
        <v>4</v>
      </c>
      <c r="C33" s="94">
        <f>SUM(IF(((ISP_Lipase!$A$2:$A$5000)&gt;=C$30)*((ISP_Lipase!$A$2:$A$5000)&lt;=C$31),1,0))</f>
        <v>0</v>
      </c>
      <c r="D33" s="94">
        <f>SUM(IF(((ISP_Lipase!$A$2:$A$5000)&gt;=C$30)*((ISP_Lipase!$A$2:$A$5000)&lt;=C$31),1,0))</f>
        <v>0</v>
      </c>
      <c r="F33" s="38" t="s">
        <v>116</v>
      </c>
    </row>
    <row r="34" spans="1:6">
      <c r="A34" s="95" t="s">
        <v>108</v>
      </c>
      <c r="B34" s="96">
        <f>COUNTIFS(ISP_Lipase!$A:$A,"&gt;="&amp;B30,ISP_Lipase!$A:$A,"&lt;="&amp;B31,ISP_Lipase!$L:$L,"&lt;&gt;")</f>
        <v>4</v>
      </c>
      <c r="C34" s="94">
        <f t="array" ref="C34">SUM(IF((('[1]LGC Amiodarone'!$A$2:$A$5000)&gt;=C$30)*(('[1]LGC Amiodarone'!$A$2:$A$5000)&lt;=C$31)*((('[1]LGC Amiodarone'!$K$2:$K$5000)="A")+(('[1]LGC Amiodarone'!$K$2:$K$5000)="B")+(('[1]LGC Amiodarone'!$K$2:$K$5000)="C")+(('[1]LGC Amiodarone'!$K$2:$K$5000)="D")),1,0))</f>
        <v>4</v>
      </c>
      <c r="D34" s="94">
        <f t="array" ref="D34">SUM(IF((('[1]LGC Amiodarone'!$A$2:$A$5000)&gt;=D$30)*(('[1]LGC Amiodarone'!$A$2:$A$5000)&lt;=D$31)*((('[1]LGC Amiodarone'!$K$2:$K$5000)="A")+(('[1]LGC Amiodarone'!$K$2:$K$5000)="B")+(('[1]LGC Amiodarone'!$K$2:$K$5000)="C")+(('[1]LGC Amiodarone'!$K$2:$K$5000)="D")),1,0))</f>
        <v>13</v>
      </c>
      <c r="F34" s="38" t="s">
        <v>116</v>
      </c>
    </row>
    <row r="35" spans="1:6">
      <c r="A35" s="95" t="s">
        <v>109</v>
      </c>
      <c r="B35" s="97">
        <f>(COUNTIFS(ISP_Lipase!$A:$A,"&gt;="&amp;B30,ISP_Lipase!$A:$A,"&lt;="&amp;B31,ISP_Lipase!$L:$L,"A")+COUNTIFS(ISP_Lipase!$A:$A,"&gt;="&amp;B30,ISP_Lipase!$A:$A,"&lt;="&amp;B31,ISP_Lipase!$L:$L,"B"))/B34</f>
        <v>1</v>
      </c>
      <c r="C35" s="98">
        <f t="array" ref="C35">SUM(IF((('[1]LGC Amiodarone'!$A$2:$A$5000)&gt;=C$30)*(('[1]LGC Amiodarone'!$A$2:$A$5000)&lt;=C$31)*((('[1]LGC Amiodarone'!$K$2:$K$5000)="A")+(('[1]LGC Amiodarone'!$K$2:$K$5000)="B")),1,0))/C$34</f>
        <v>1</v>
      </c>
      <c r="D35" s="98">
        <f t="array" ref="D35">SUM(IF((('[1]LGC Amiodarone'!$A$2:$A$5000)&gt;=D$30)*(('[1]LGC Amiodarone'!$A$2:$A$5000)&lt;=D$31)*((('[1]LGC Amiodarone'!$K$2:$K$5000)="A")+(('[1]LGC Amiodarone'!$K$2:$K$5000)="B")),1,0))/D$34</f>
        <v>0.84615384615384615</v>
      </c>
      <c r="F35" s="38" t="s">
        <v>116</v>
      </c>
    </row>
    <row r="36" spans="1:6">
      <c r="A36" s="95" t="s">
        <v>110</v>
      </c>
      <c r="B36" s="97">
        <f>COUNTIFS(ISP_Lipase!$A:$A,"&gt;="&amp;B30,ISP_Lipase!$A:$A,"&lt;="&amp;B31,ISP_Lipase!$L:$L,"C")/B34</f>
        <v>0</v>
      </c>
      <c r="C36" s="98">
        <f t="array" ref="C36">SUM(IF((('[1]LGC Amiodarone'!$A$2:$A$5000)&gt;=C$30)*(('[1]LGC Amiodarone'!$A$2:$A$5000)&lt;=C$31)*((('[1]LGC Amiodarone'!$K$2:$K$5000)="C")),1,0))/C$34</f>
        <v>0</v>
      </c>
      <c r="D36" s="98">
        <f t="array" ref="D36">SUM(IF((('[1]LGC Amiodarone'!$A$2:$A$5000)&gt;=D$30)*(('[1]LGC Amiodarone'!$A$2:$A$5000)&lt;=D$31)*((('[1]LGC Amiodarone'!$K$2:$K$5000)="C")),1,0))/D$34</f>
        <v>7.6923076923076927E-2</v>
      </c>
      <c r="F36" s="38" t="s">
        <v>116</v>
      </c>
    </row>
    <row r="37" spans="1:6">
      <c r="A37" s="95" t="s">
        <v>111</v>
      </c>
      <c r="B37" s="97">
        <f>COUNTIFS(ISP_Lipase!$A:$A,"&gt;="&amp;B30,ISP_Lipase!$A:$A,"&lt;="&amp;B31,ISP_Lipase!$L:$L,"D")/B34</f>
        <v>0</v>
      </c>
      <c r="C37" s="98">
        <f t="array" ref="C37">SUM(IF((('[1]LGC Amiodarone'!$A$2:$A$5000)&gt;=C$30)*(('[1]LGC Amiodarone'!$A$2:$A$5000)&lt;=C$31)*((('[1]LGC Amiodarone'!$K$2:$K$5000)="D")),1,0))/C$34</f>
        <v>0</v>
      </c>
      <c r="D37" s="98">
        <f t="array" ref="D37">SUM(IF((('[1]LGC Amiodarone'!$A$2:$A$5000)&gt;=D$30)*(('[1]LGC Amiodarone'!$A$2:$A$5000)&lt;=D$31)*((('[1]LGC Amiodarone'!$K$2:$K$5000)="D")),1,0))/D$34</f>
        <v>7.6923076923076927E-2</v>
      </c>
      <c r="F37" s="38" t="s">
        <v>116</v>
      </c>
    </row>
    <row r="38" spans="1:6" ht="15.75">
      <c r="A38" s="95" t="s">
        <v>39</v>
      </c>
      <c r="B38" s="97">
        <f>(4*COUNTIFS(ISP_Lipase!$A:$A,"&gt;="&amp;B30,ISP_Lipase!$A:$A,"&lt;="&amp;B31,ISP_Lipase!$L:$L,"A")+3*COUNTIFS(ISP_Lipase!$A:$A,"&gt;="&amp;B30,ISP_Lipase!$A:$A,"&lt;="&amp;B31,ISP_Lipase!$L:$L,"B")+B33*B36)/(4*(COUNTIFS(ISP_Lipase!$A:$A,"&gt;="&amp;B30,ISP_Lipase!$A:$A,"&lt;="&amp;B31,ISP_Lipase!$L:$L,"A")+COUNTIFS(ISP_Lipase!$A:$A,"&gt;="&amp;B30,ISP_Lipase!$A:$A,"&lt;="&amp;B31,ISP_Lipase!$L:$L,"A")+B33*(B36+B37)))</f>
        <v>0.875</v>
      </c>
      <c r="C38" s="98">
        <f t="array" ref="C38">(4*SUM(IF((('[1]LGC Amiodarone'!$A$2:$A$5000)&gt;=C$30)*(('[1]LGC Amiodarone'!$A$2:$A$5000)&lt;=C$31)*((('[1]LGC Amiodarone'!$K$2:$K$5000)="A")),1,0))+3*SUM(IF((('[1]LGC Amiodarone'!$A$2:$A$5000)&gt;=C$30)*(('[1]LGC Amiodarone'!$A$2:$A$5000)&lt;=C$31)*((('[1]LGC Amiodarone'!$K$2:$K$5000)="B")),1,0))+SUM(IF((('[1]LGC Amiodarone'!$A$2:$A$5000)&gt;=C$30)*(('[1]LGC Amiodarone'!$A$2:$A$5000)&lt;=C$31)*((('[1]LGC Amiodarone'!$K$2:$K$5000)="C")),1,0)))/(4*SUM(IF((('[1]LGC Amiodarone'!$A$2:$A$5000)&gt;=C$30)*(('[1]LGC Amiodarone'!$A$2:$A$5000)&lt;=C$31)*((('[1]LGC Amiodarone'!$K$2:$K$5000)="A")+(('[1]LGC Amiodarone'!$K$2:$K$5000)="B")+(('[1]LGC Amiodarone'!$K$2:$K$5000)="C")+(('[1]LGC Amiodarone'!$K$2:$K$5000)="D")),1,0)))</f>
        <v>0.9375</v>
      </c>
      <c r="D38" s="98">
        <f t="array" ref="D38">(4*SUM(IF((('[1]LGC Amiodarone'!$A$2:$A$5000)&gt;=D$30)*(('[1]LGC Amiodarone'!$A$2:$A$5000)&lt;=D$31)*((('[1]LGC Amiodarone'!$K$2:$K$5000)="A")),1,0))+3*SUM(IF((('[1]LGC Amiodarone'!$A$2:$A$5000)&gt;=D$30)*(('[1]LGC Amiodarone'!$A$2:$A$5000)&lt;=D$31)*((('[1]LGC Amiodarone'!$K$2:$K$5000)="B")),1,0))+SUM(IF((('[1]LGC Amiodarone'!$A$2:$A$5000)&gt;=D$30)*(('[1]LGC Amiodarone'!$A$2:$A$5000)&lt;=D$31)*((('[1]LGC Amiodarone'!$K$2:$K$5000)="C")),1,0)))/(4*SUM(IF((('[1]LGC Amiodarone'!$A$2:$A$5000)&gt;=D$30)*(('[1]LGC Amiodarone'!$A$2:$A$5000)&lt;=D$31)*((('[1]LGC Amiodarone'!$K$2:$K$5000)="A")+(('[1]LGC Amiodarone'!$K$2:$K$5000)="B")+(('[1]LGC Amiodarone'!$K$2:$K$5000)="C")+(('[1]LGC Amiodarone'!$K$2:$K$5000)="D")),1,0)))</f>
        <v>0.82692307692307687</v>
      </c>
      <c r="F38" s="38" t="s">
        <v>116</v>
      </c>
    </row>
    <row r="39" spans="1:6" ht="15.75">
      <c r="A39" s="95" t="s">
        <v>40</v>
      </c>
      <c r="B39" s="97">
        <f>(4*COUNTIFS(ISP_Lipase!$A:$A,"&gt;="&amp;B30,ISP_Lipase!$A:$A,"&lt;="&amp;B31,ISP_Lipase!$L:$L,"A")+4*COUNTIFS(ISP_Lipase!$A:$A,"&gt;="&amp;B30,ISP_Lipase!$A:$A,"&lt;="&amp;B31,ISP_Lipase!$L:$L,"B")+B33*B36)/(4*(COUNTIFS(ISP_Lipase!$A:$A,"&gt;="&amp;B30,ISP_Lipase!$A:$A,"&lt;="&amp;B31,ISP_Lipase!$L:$L,"A")+COUNTIFS(ISP_Lipase!$A:$A,"&gt;="&amp;B30,ISP_Lipase!$A:$A,"&lt;="&amp;B31,ISP_Lipase!$L:$L,"A")+B33*(B36+B37)))</f>
        <v>1</v>
      </c>
      <c r="C39" s="98">
        <f t="array" ref="C39">(4*SUM(IF((('[1]LGC Amiodarone'!$A$2:$A$5000)&gt;=C$30)*(('[1]LGC Amiodarone'!$A$2:$A$5000)&lt;=C$31)*((('[1]LGC Amiodarone'!$K$2:$K$5000)="A")),1,0))+4*SUM(IF((('[1]LGC Amiodarone'!$A$2:$A$5000)&gt;=C$30)*(('[1]LGC Amiodarone'!$A$2:$A$5000)&lt;=C$31)*((('[1]LGC Amiodarone'!$K$2:$K$5000)="B")),1,0))+SUM(IF((('[1]LGC Amiodarone'!$A$2:$A$5000)&gt;=C$30)*(('[1]LGC Amiodarone'!$A$2:$A$5000)&lt;=C$31)*((('[1]LGC Amiodarone'!$K$2:$K$5000)="C")),1,0)))/(4*SUM(IF((('[1]LGC Amiodarone'!$A$2:$A$5000)&gt;=C$30)*(('[1]LGC Amiodarone'!$A$2:$A$5000)&lt;=C$31)*((('[1]LGC Amiodarone'!$K$2:$K$5000)="A")+(('[1]LGC Amiodarone'!$K$2:$K$5000)="B")+(('[1]LGC Amiodarone'!$K$2:$K$5000)="C")+(('[1]LGC Amiodarone'!$K$2:$K$5000)="D")),1,0)))</f>
        <v>1</v>
      </c>
      <c r="D39" s="98">
        <f t="array" ref="D39">(4*SUM(IF((('[1]LGC Amiodarone'!$A$2:$A$5000)&gt;=D$30)*(('[1]LGC Amiodarone'!$A$2:$A$5000)&lt;=D$31)*((('[1]LGC Amiodarone'!$K$2:$K$5000)="A")),1,0))+4*SUM(IF((('[1]LGC Amiodarone'!$A$2:$A$5000)&gt;=D$30)*(('[1]LGC Amiodarone'!$A$2:$A$5000)&lt;=D$31)*((('[1]LGC Amiodarone'!$K$2:$K$5000)="B")),1,0))+SUM(IF((('[1]LGC Amiodarone'!$A$2:$A$5000)&gt;=D$30)*(('[1]LGC Amiodarone'!$A$2:$A$5000)&lt;=D$31)*((('[1]LGC Amiodarone'!$K$2:$K$5000)="C")),1,0)))/(4*SUM(IF((('[1]LGC Amiodarone'!$A$2:$A$5000)&gt;=D$30)*(('[1]LGC Amiodarone'!$A$2:$A$5000)&lt;=D$31)*((('[1]LGC Amiodarone'!$K$2:$K$5000)="A")+(('[1]LGC Amiodarone'!$K$2:$K$5000)="B")+(('[1]LGC Amiodarone'!$K$2:$K$5000)="C")+(('[1]LGC Amiodarone'!$K$2:$K$5000)="D")),1,0)))</f>
        <v>0.86538461538461542</v>
      </c>
      <c r="F39" s="38" t="s">
        <v>116</v>
      </c>
    </row>
    <row r="40" spans="1:6">
      <c r="A40" s="99" t="s">
        <v>112</v>
      </c>
      <c r="B40" s="100"/>
      <c r="C40" s="100"/>
      <c r="D40" s="100"/>
    </row>
    <row r="41" spans="1:6">
      <c r="A41" s="101" t="s">
        <v>113</v>
      </c>
      <c r="B41" s="102">
        <v>3</v>
      </c>
      <c r="C41" s="102">
        <v>2</v>
      </c>
      <c r="D41" s="102">
        <v>2</v>
      </c>
    </row>
    <row r="42" spans="1:6">
      <c r="A42" s="101" t="s">
        <v>114</v>
      </c>
      <c r="B42" s="102">
        <v>200</v>
      </c>
      <c r="C42" s="102">
        <v>300</v>
      </c>
      <c r="D42" s="102">
        <v>2000</v>
      </c>
    </row>
    <row r="43" spans="1:6">
      <c r="A43" s="101" t="s">
        <v>115</v>
      </c>
      <c r="B43" s="102">
        <f t="array" ref="B43">SUM(IF((('[1]LGC Amiodarone'!$A$2:$A$5000)&gt;=B$30)*(('[1]LGC Amiodarone'!$A$2:$A$5000)&lt;=B$31)*((LEN('[1]LGC Amiodarone'!$J$2:$J$5000)=0)+((('[1]LGC Amiodarone'!$J$2:$J$5000)&gt;=(-B$41))*(('[1]LGC Amiodarone'!$J$2:$J$5000)&lt;=(B$41))))*((('[1]LGC Amiodarone'!$I$2:$I$5000)&gt;=(B$10-B$42))*(('[1]LGC Amiodarone'!$I$2:$I$5000)&lt;=(B$10+B$42))),1,0))</f>
        <v>2</v>
      </c>
      <c r="C43" s="103">
        <f t="array" ref="C43">SUM(IF((('[1]LGC Amiodarone'!$A$2:$A$5000)&gt;=C$30)*(('[1]LGC Amiodarone'!$A$2:$A$5000)&lt;=C$31)*((LEN('[1]LGC Amiodarone'!$J$2:$J$5000)=0)+((('[1]LGC Amiodarone'!$J$2:$J$5000)&gt;=(-C$41))*(('[1]LGC Amiodarone'!$J$2:$J$5000)&lt;=(C$41))))*((('[1]LGC Amiodarone'!$I$2:$I$5000)&gt;=(C$10-C$42))*(('[1]LGC Amiodarone'!$I$2:$I$5000)&lt;=(C$10+C$42))),1,0))</f>
        <v>1</v>
      </c>
      <c r="D43" s="103">
        <f t="array" ref="D43">SUM(IF((('[1]LGC Amiodarone'!$A$2:$A$5000)&gt;=D$30)*(('[1]LGC Amiodarone'!$A$2:$A$5000)&lt;=D$31)*((LEN('[1]LGC Amiodarone'!$J$2:$J$5000)=0)+((('[1]LGC Amiodarone'!$J$2:$J$5000)&gt;=(-D$41))*(('[1]LGC Amiodarone'!$J$2:$J$5000)&lt;=(D$41))))*((('[1]LGC Amiodarone'!$I$2:$I$5000)&gt;=(D$10-D$42))*(('[1]LGC Amiodarone'!$I$2:$I$5000)&lt;=(D$10+D$42))),1,0))</f>
        <v>11</v>
      </c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1"/>
    <pageSetUpPr fitToPage="1"/>
  </sheetPr>
  <dimension ref="A1:S10"/>
  <sheetViews>
    <sheetView workbookViewId="0">
      <selection activeCell="C3" sqref="C3"/>
    </sheetView>
  </sheetViews>
  <sheetFormatPr baseColWidth="10" defaultColWidth="19.5703125" defaultRowHeight="15"/>
  <cols>
    <col min="1" max="1" width="30" bestFit="1" customWidth="1"/>
    <col min="2" max="2" width="8.5703125" bestFit="1" customWidth="1"/>
    <col min="3" max="3" width="12" bestFit="1" customWidth="1"/>
    <col min="4" max="13" width="8.7109375" customWidth="1"/>
    <col min="14" max="14" width="10.85546875" bestFit="1" customWidth="1"/>
    <col min="15" max="19" width="8.7109375" customWidth="1"/>
  </cols>
  <sheetData>
    <row r="1" spans="1:19">
      <c r="A1" s="15" t="s">
        <v>30</v>
      </c>
    </row>
    <row r="2" spans="1:19">
      <c r="H2" s="9">
        <f>SUM(C9:C9)</f>
        <v>5</v>
      </c>
      <c r="I2" s="9">
        <f>SUM(D9:D9)</f>
        <v>2</v>
      </c>
      <c r="J2" s="9">
        <f>SUM(E9:E9)</f>
        <v>2</v>
      </c>
      <c r="K2" s="9">
        <f>SUM(F9:F9)</f>
        <v>1</v>
      </c>
      <c r="L2" s="9">
        <f>SUM(G9:G9)</f>
        <v>0</v>
      </c>
    </row>
    <row r="3" spans="1:19">
      <c r="A3" s="41" t="s">
        <v>31</v>
      </c>
      <c r="C3" s="41" t="s">
        <v>32</v>
      </c>
      <c r="D3" s="17"/>
    </row>
    <row r="4" spans="1:19">
      <c r="A4" s="18">
        <v>42736</v>
      </c>
      <c r="B4" s="1"/>
      <c r="C4" s="18">
        <v>43100</v>
      </c>
      <c r="D4" s="19"/>
    </row>
    <row r="5" spans="1:19">
      <c r="A5" s="40"/>
      <c r="B5" s="1"/>
      <c r="C5" s="40"/>
      <c r="D5" s="19"/>
    </row>
    <row r="6" spans="1:19">
      <c r="D6" s="105" t="s">
        <v>62</v>
      </c>
      <c r="E6" s="106"/>
      <c r="F6" s="106"/>
      <c r="G6" s="106"/>
      <c r="H6" s="106"/>
      <c r="I6" s="106"/>
      <c r="J6" s="106"/>
      <c r="K6" s="106"/>
      <c r="L6" s="106"/>
      <c r="M6" s="106"/>
      <c r="N6" s="107"/>
      <c r="O6" s="108" t="s">
        <v>63</v>
      </c>
      <c r="P6" s="108"/>
      <c r="Q6" s="108"/>
      <c r="R6" s="108"/>
      <c r="S6" s="108"/>
    </row>
    <row r="7" spans="1:19" ht="15.75">
      <c r="A7" s="16" t="s">
        <v>3</v>
      </c>
      <c r="B7" s="28" t="s">
        <v>33</v>
      </c>
      <c r="C7" s="28" t="s">
        <v>34</v>
      </c>
      <c r="D7" s="29" t="s">
        <v>35</v>
      </c>
      <c r="E7" s="29" t="s">
        <v>36</v>
      </c>
      <c r="F7" s="30" t="s">
        <v>37</v>
      </c>
      <c r="G7" s="31" t="s">
        <v>38</v>
      </c>
      <c r="H7" s="32" t="s">
        <v>60</v>
      </c>
      <c r="I7" s="32" t="s">
        <v>61</v>
      </c>
      <c r="J7" s="29" t="s">
        <v>41</v>
      </c>
      <c r="K7" s="29" t="s">
        <v>42</v>
      </c>
      <c r="L7" s="30" t="s">
        <v>43</v>
      </c>
      <c r="M7" s="31" t="s">
        <v>44</v>
      </c>
      <c r="N7" s="29" t="s">
        <v>45</v>
      </c>
      <c r="O7" s="34" t="s">
        <v>55</v>
      </c>
      <c r="P7" s="35" t="s">
        <v>56</v>
      </c>
      <c r="Q7" s="34" t="s">
        <v>57</v>
      </c>
      <c r="R7" s="36" t="s">
        <v>58</v>
      </c>
      <c r="S7" s="32" t="s">
        <v>59</v>
      </c>
    </row>
    <row r="8" spans="1:19">
      <c r="A8" s="20" t="s">
        <v>46</v>
      </c>
      <c r="B8" s="21"/>
      <c r="C8" s="21">
        <f>SUM(D8:G8)</f>
        <v>4</v>
      </c>
      <c r="D8" s="21">
        <f>SUMPRODUCT(--(ISP_Lipase!$L$2:$L$4999="A")*(ISP_Lipase!$A$2:$A$4999&gt;=$A$4)*(ISP_Lipase!$A$2:$A$4999&lt;=$C$4))</f>
        <v>2</v>
      </c>
      <c r="E8" s="21">
        <f>SUMPRODUCT(--(ISP_Lipase!$L$2:$L$4999="B")*(ISP_Lipase!$A$2:$A$4999&gt;=$A$4)*(ISP_Lipase!$A$2:$A$4999&lt;=$C$4))</f>
        <v>2</v>
      </c>
      <c r="F8" s="21">
        <f>SUMPRODUCT(--(ISP_Lipase!$L$2:$L$4999="C")*(ISP_Lipase!$A$2:$A$4999&gt;=$A$4)*(ISP_Lipase!$A$2:$A$4999&lt;=$C$4))</f>
        <v>0</v>
      </c>
      <c r="G8" s="21">
        <f>SUMPRODUCT(--(ISP_Lipase!$L$2:$L$4999="D")*(ISP_Lipase!$A$2:$A$4999&gt;=$A$4)*(ISP_Lipase!$A$2:$A$4999&lt;=$C$4))</f>
        <v>0</v>
      </c>
      <c r="H8" s="22">
        <f>(4*D8+3*E8+1*F8+0*G8)/(4*(D8+E8+F8+G8))</f>
        <v>0.875</v>
      </c>
      <c r="I8" s="22">
        <f>(4*D8+4*E8+1*F8+0*G8)/(4*(D8+E8+F8+G8))</f>
        <v>1</v>
      </c>
      <c r="J8" s="33">
        <f>$D8/SUM($D8,$E8,$F8,$G8)</f>
        <v>0.5</v>
      </c>
      <c r="K8" s="33">
        <f>$E8/SUM($D8,$E8,$F8,$G8)</f>
        <v>0.5</v>
      </c>
      <c r="L8" s="33">
        <f>$F8/SUM($D8,$E8,$F8,$G8)</f>
        <v>0</v>
      </c>
      <c r="M8" s="33">
        <f>$G8/SUM($D8,$E8,$F8,$G8)</f>
        <v>0</v>
      </c>
      <c r="N8" s="22">
        <f>SUM(D8:E8)/(SUM(D8:G8))</f>
        <v>1</v>
      </c>
      <c r="O8" s="37">
        <f>SUMPRODUCT(--(ISP_Lipase!$T$2:$T$4999="OK")*(ISP_Lipase!$A$2:$A$4999&gt;=$A$4)*(ISP_Lipase!$A$2:$A$4999&lt;=$C$4))</f>
        <v>4</v>
      </c>
      <c r="P8" s="37">
        <f>SUMPRODUCT(--(ISP_Lipase!$T$2:$T$4999="KO")*(ISP_Lipase!$A$2:$A$4999&gt;=$A$4)*(ISP_Lipase!$A$2:$A$4999&lt;=$C$4))</f>
        <v>0</v>
      </c>
      <c r="Q8" s="22">
        <f>$O8/SUM($O8,$P8)</f>
        <v>1</v>
      </c>
      <c r="R8" s="39">
        <f>$P8/SUM($O8,$P8)</f>
        <v>0</v>
      </c>
      <c r="S8" s="22">
        <f>$Q8/SUM($Q8,$R8)</f>
        <v>1</v>
      </c>
    </row>
    <row r="9" spans="1:19">
      <c r="A9" s="20" t="s">
        <v>54</v>
      </c>
      <c r="B9" s="21"/>
      <c r="C9" s="21">
        <f>SUM(D9:G9)</f>
        <v>5</v>
      </c>
      <c r="D9" s="21">
        <f>SUMPRODUCT(--(ISP_Cholesterol!$L$2:$L$5000="A")*(ISP_Cholesterol!$A$2:$A$5000&gt;=$A$4)*(ISP_Cholesterol!$A$2:$A$5000&lt;=$C$4))</f>
        <v>2</v>
      </c>
      <c r="E9" s="21">
        <f>SUMPRODUCT(--(ISP_Cholesterol!$L$2:$L$5000="B")*(ISP_Cholesterol!$A$2:$A$5000&gt;=$A$4)*(ISP_Cholesterol!$A$2:$A$5000&lt;=$C$4))</f>
        <v>2</v>
      </c>
      <c r="F9" s="21">
        <f>SUMPRODUCT(--(ISP_Cholesterol!$L$2:$L$5000="C")*(ISP_Cholesterol!$A$2:$A$5000&gt;=$A$4)*(ISP_Cholesterol!$A$2:$A$5000&lt;=$C$4))</f>
        <v>1</v>
      </c>
      <c r="G9" s="21">
        <f>SUMPRODUCT(--(ISP_Cholesterol!$L$2:$L$5000="D")*(ISP_Cholesterol!$A$2:$A$5000&gt;=$A$4)*(ISP_Cholesterol!$A$2:$A$5000&lt;=$C$4))</f>
        <v>0</v>
      </c>
      <c r="H9" s="22">
        <f>(4*D9+3*E9+1*F9+0*G9)/(4*(D9+E9+F9+G9))</f>
        <v>0.75</v>
      </c>
      <c r="I9" s="22">
        <f>(4*D9+4*E9+1*F9+0*G9)/(4*(D9+E9+F9+G9))</f>
        <v>0.85</v>
      </c>
      <c r="J9" s="33">
        <f>$D9/SUM($D9,$E9,$F9,$G9)</f>
        <v>0.4</v>
      </c>
      <c r="K9" s="33">
        <f>$E9/SUM($D9,$E9,$F9,$G9)</f>
        <v>0.4</v>
      </c>
      <c r="L9" s="33">
        <f>$F9/SUM($D9,$E9,$F9,$G9)</f>
        <v>0.2</v>
      </c>
      <c r="M9" s="33">
        <f>$G9/SUM($D9,$E9,$F9,$G9)</f>
        <v>0</v>
      </c>
      <c r="N9" s="22">
        <f>SUM(D9:E9)/(SUM(D9:G9))</f>
        <v>0.8</v>
      </c>
      <c r="O9" s="37">
        <f>SUMPRODUCT(--(ISP_Cholesterol!$T$2:$T$4999="OK")*(ISP_Cholesterol!$A$2:$A$4999&gt;=$A$4)*(ISP_Cholesterol!$A$2:$A$4999&lt;=$C$4))</f>
        <v>4</v>
      </c>
      <c r="P9" s="37">
        <f>SUMPRODUCT(--(ISP_Cholesterol!$T$2:$T$4999="KO")*(ISP_Cholesterol!$A$2:$A$4999&gt;=$A$4)*(ISP_Cholesterol!$A$2:$A$4999&lt;=$C$4))</f>
        <v>1</v>
      </c>
      <c r="Q9" s="22">
        <f>$O9/SUM($O9,$P9)</f>
        <v>0.8</v>
      </c>
      <c r="R9" s="39">
        <f>$P9/SUM($O9,$P9)</f>
        <v>0.2</v>
      </c>
      <c r="S9" s="22">
        <f>$Q9/SUM($Q9,$R9)</f>
        <v>0.8</v>
      </c>
    </row>
    <row r="10" spans="1:19">
      <c r="H10" s="9"/>
      <c r="I10" s="9"/>
      <c r="J10" s="9"/>
      <c r="K10" s="9"/>
      <c r="L10" s="9"/>
      <c r="M10" s="9"/>
      <c r="N10" s="9"/>
      <c r="O10" s="9"/>
    </row>
  </sheetData>
  <mergeCells count="2">
    <mergeCell ref="D6:N6"/>
    <mergeCell ref="O6:S6"/>
  </mergeCells>
  <conditionalFormatting sqref="H9">
    <cfRule type="cellIs" dxfId="83" priority="22" operator="lessThan">
      <formula>0.75</formula>
    </cfRule>
    <cfRule type="cellIs" dxfId="82" priority="23" operator="between">
      <formula>0.75</formula>
      <formula>0.85</formula>
    </cfRule>
    <cfRule type="cellIs" dxfId="81" priority="24" operator="greaterThan">
      <formula>0.85</formula>
    </cfRule>
  </conditionalFormatting>
  <conditionalFormatting sqref="N9">
    <cfRule type="cellIs" dxfId="80" priority="19" operator="lessThan">
      <formula>0.75</formula>
    </cfRule>
    <cfRule type="cellIs" dxfId="79" priority="20" operator="between">
      <formula>0.75</formula>
      <formula>0.85</formula>
    </cfRule>
    <cfRule type="cellIs" dxfId="78" priority="21" operator="greaterThan">
      <formula>0.85</formula>
    </cfRule>
  </conditionalFormatting>
  <conditionalFormatting sqref="I9">
    <cfRule type="cellIs" dxfId="77" priority="16" operator="lessThan">
      <formula>0.75</formula>
    </cfRule>
    <cfRule type="cellIs" dxfId="76" priority="17" operator="between">
      <formula>0.75</formula>
      <formula>0.85</formula>
    </cfRule>
    <cfRule type="cellIs" dxfId="75" priority="18" operator="greaterThan">
      <formula>0.85</formula>
    </cfRule>
  </conditionalFormatting>
  <conditionalFormatting sqref="H8">
    <cfRule type="cellIs" dxfId="74" priority="13" operator="lessThan">
      <formula>0.75</formula>
    </cfRule>
    <cfRule type="cellIs" dxfId="73" priority="14" operator="between">
      <formula>0.75</formula>
      <formula>0.85</formula>
    </cfRule>
    <cfRule type="cellIs" dxfId="72" priority="15" operator="greaterThan">
      <formula>0.85</formula>
    </cfRule>
  </conditionalFormatting>
  <conditionalFormatting sqref="N8">
    <cfRule type="cellIs" dxfId="71" priority="10" operator="lessThan">
      <formula>0.75</formula>
    </cfRule>
    <cfRule type="cellIs" dxfId="70" priority="11" operator="between">
      <formula>0.75</formula>
      <formula>0.85</formula>
    </cfRule>
    <cfRule type="cellIs" dxfId="69" priority="12" operator="greaterThan">
      <formula>0.85</formula>
    </cfRule>
  </conditionalFormatting>
  <conditionalFormatting sqref="I8">
    <cfRule type="cellIs" dxfId="68" priority="7" operator="lessThan">
      <formula>0.75</formula>
    </cfRule>
    <cfRule type="cellIs" dxfId="67" priority="8" operator="between">
      <formula>0.75</formula>
      <formula>0.85</formula>
    </cfRule>
    <cfRule type="cellIs" dxfId="66" priority="9" operator="greaterThan">
      <formula>0.85</formula>
    </cfRule>
  </conditionalFormatting>
  <conditionalFormatting sqref="Q8:Q9">
    <cfRule type="cellIs" dxfId="65" priority="4" operator="lessThan">
      <formula>0.75</formula>
    </cfRule>
    <cfRule type="cellIs" dxfId="64" priority="5" operator="between">
      <formula>0.75</formula>
      <formula>0.85</formula>
    </cfRule>
    <cfRule type="cellIs" dxfId="63" priority="6" operator="greaterThan">
      <formula>0.85</formula>
    </cfRule>
  </conditionalFormatting>
  <conditionalFormatting sqref="S8:S9">
    <cfRule type="cellIs" dxfId="62" priority="1" operator="lessThan">
      <formula>0.75</formula>
    </cfRule>
    <cfRule type="cellIs" dxfId="61" priority="2" operator="between">
      <formula>0.75</formula>
      <formula>0.85</formula>
    </cfRule>
    <cfRule type="cellIs" dxfId="60" priority="3" operator="greaterThan">
      <formula>0.85</formula>
    </cfRule>
  </conditionalFormatting>
  <pageMargins left="0.7" right="0.7" top="0.75" bottom="0.75" header="0.3" footer="0.3"/>
  <pageSetup paperSize="9" scale="59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W5"/>
  <sheetViews>
    <sheetView workbookViewId="0">
      <selection activeCell="Q5" sqref="Q5"/>
    </sheetView>
  </sheetViews>
  <sheetFormatPr baseColWidth="10" defaultRowHeight="15"/>
  <cols>
    <col min="1" max="1" width="11.5703125" customWidth="1"/>
    <col min="2" max="2" width="10" customWidth="1"/>
    <col min="3" max="3" width="11.28515625" customWidth="1"/>
    <col min="4" max="4" width="13.7109375" customWidth="1"/>
    <col min="5" max="5" width="16.28515625" customWidth="1"/>
    <col min="6" max="6" width="19" customWidth="1"/>
    <col min="7" max="23" width="8.7109375" customWidth="1"/>
  </cols>
  <sheetData>
    <row r="1" spans="1:23" s="2" customFormat="1" ht="68.45" customHeight="1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15</v>
      </c>
      <c r="I1" s="3" t="s">
        <v>7</v>
      </c>
      <c r="J1" s="3" t="s">
        <v>16</v>
      </c>
      <c r="K1" s="10" t="s">
        <v>8</v>
      </c>
      <c r="L1" s="11" t="s">
        <v>9</v>
      </c>
      <c r="M1" s="12" t="s">
        <v>10</v>
      </c>
      <c r="N1" s="12" t="s">
        <v>11</v>
      </c>
      <c r="O1" s="13" t="s">
        <v>12</v>
      </c>
      <c r="P1" s="14" t="s">
        <v>13</v>
      </c>
      <c r="Q1" s="3" t="s">
        <v>47</v>
      </c>
      <c r="R1" s="3" t="s">
        <v>48</v>
      </c>
      <c r="S1" s="10" t="s">
        <v>17</v>
      </c>
      <c r="T1" s="11" t="s">
        <v>18</v>
      </c>
      <c r="U1" s="12" t="s">
        <v>19</v>
      </c>
      <c r="V1" s="14" t="s">
        <v>52</v>
      </c>
      <c r="W1" s="3" t="s">
        <v>49</v>
      </c>
    </row>
    <row r="2" spans="1:23">
      <c r="A2" s="6">
        <v>42736</v>
      </c>
      <c r="B2" s="4" t="s">
        <v>14</v>
      </c>
      <c r="C2" s="4" t="s">
        <v>20</v>
      </c>
      <c r="D2" s="4" t="s">
        <v>21</v>
      </c>
      <c r="E2" s="4" t="s">
        <v>22</v>
      </c>
      <c r="F2" s="4" t="s">
        <v>23</v>
      </c>
      <c r="G2" s="4" t="s">
        <v>24</v>
      </c>
      <c r="H2" s="4">
        <v>14.3</v>
      </c>
      <c r="I2" s="4">
        <v>34</v>
      </c>
      <c r="J2" s="5">
        <v>33</v>
      </c>
      <c r="K2" s="5">
        <v>1.35</v>
      </c>
      <c r="L2" s="7" t="str">
        <f>IF(OR(ISBLANK(I2),(I2="NR")),"NUL",IF(AND(ABS(K2)&lt;1,0&lt;=ABS(K2)),"A",IF(AND(ABS(K2)&lt;2,ABS(K2)&gt;=1),"B",IF(AND(2&lt;=ABS(K2),ABS(K2)&lt;3),"C","D"))))</f>
        <v>B</v>
      </c>
      <c r="M2" s="7">
        <f>COUNTIF($L$2:$L2,Tableau1[[#Headers],[A]])</f>
        <v>0</v>
      </c>
      <c r="N2" s="7">
        <f>COUNTIF($L$2:$L2,Tableau1[[#Headers],[B]])</f>
        <v>1</v>
      </c>
      <c r="O2" s="7">
        <f>COUNTIF($L$2:$L2,Tableau1[[#Headers],[C]])</f>
        <v>0</v>
      </c>
      <c r="P2" s="7">
        <f>COUNTIF($L$2:$L2,Tableau1[[#Headers],[D]])</f>
        <v>0</v>
      </c>
      <c r="Q2" s="8">
        <f>(4*M2+3*N2+1*O2+0*P2)/(4*(M2+N2+O2+P2))</f>
        <v>0.75</v>
      </c>
      <c r="R2" s="8">
        <f t="shared" ref="R2:R5" si="0">(4*M2+4*N2+O2)/(4*(M2+N2+O2+P2))</f>
        <v>1</v>
      </c>
      <c r="S2" s="5">
        <v>3.03</v>
      </c>
      <c r="T2" s="7" t="str">
        <f>IF(ABS(S2)&gt;H2,"KO",IF(ABS(S2)&lt;H2,"OK"))</f>
        <v>OK</v>
      </c>
      <c r="U2" s="7">
        <f>COUNTIF($T$2:$T2,Tableau1[[#Headers],[OK]])</f>
        <v>1</v>
      </c>
      <c r="V2" s="7">
        <f>COUNTIF($T$2:$T2,Tableau1[[#Headers],[KO]])</f>
        <v>0</v>
      </c>
      <c r="W2" s="8">
        <f>$U2/SUM($U2,$V2)</f>
        <v>1</v>
      </c>
    </row>
    <row r="3" spans="1:23">
      <c r="A3" s="6">
        <v>42795</v>
      </c>
      <c r="B3" s="4" t="s">
        <v>25</v>
      </c>
      <c r="C3" s="4" t="s">
        <v>26</v>
      </c>
      <c r="D3" s="4" t="s">
        <v>21</v>
      </c>
      <c r="E3" s="4" t="s">
        <v>22</v>
      </c>
      <c r="F3" s="4" t="s">
        <v>23</v>
      </c>
      <c r="G3" s="4" t="s">
        <v>24</v>
      </c>
      <c r="H3" s="4">
        <v>14.3</v>
      </c>
      <c r="I3" s="4">
        <v>19</v>
      </c>
      <c r="J3" s="5">
        <v>19</v>
      </c>
      <c r="K3" s="5">
        <v>0</v>
      </c>
      <c r="L3" s="7" t="str">
        <f>IF(OR(ISBLANK(I3),(I3="NR")),"NUL",IF(AND(ABS(K3)&lt;1,0&lt;=ABS(K3)),"A",IF(AND(ABS(K3)&lt;2,ABS(K3)&gt;=1),"B",IF(AND(2&lt;=ABS(K3),ABS(K3)&lt;3),"C","D"))))</f>
        <v>A</v>
      </c>
      <c r="M3" s="7">
        <f>COUNTIF($L$2:$L3,Tableau1[[#Headers],[A]])</f>
        <v>1</v>
      </c>
      <c r="N3" s="7">
        <f>COUNTIF($L$2:$L3,Tableau1[[#Headers],[B]])</f>
        <v>1</v>
      </c>
      <c r="O3" s="7">
        <f>COUNTIF($L$2:$L3,Tableau1[[#Headers],[C]])</f>
        <v>0</v>
      </c>
      <c r="P3" s="7">
        <f>COUNTIF($L$2:$L3,Tableau1[[#Headers],[D]])</f>
        <v>0</v>
      </c>
      <c r="Q3" s="8">
        <f>(4*M3+3*N3+1*O3+0*P3)/(4*(M3+N3+O3+P3))</f>
        <v>0.875</v>
      </c>
      <c r="R3" s="8">
        <f t="shared" si="0"/>
        <v>1</v>
      </c>
      <c r="S3" s="5">
        <v>0</v>
      </c>
      <c r="T3" s="7" t="str">
        <f>IF(ABS(S3)&gt;H3,"KO",IF(ABS(S3)&lt;H3,"OK"))</f>
        <v>OK</v>
      </c>
      <c r="U3" s="7">
        <f>COUNTIF($T$2:$T3,Tableau1[[#Headers],[OK]])</f>
        <v>2</v>
      </c>
      <c r="V3" s="7">
        <f>COUNTIF($T$2:$T3,Tableau1[[#Headers],[KO]])</f>
        <v>0</v>
      </c>
      <c r="W3" s="8">
        <f>$U3/SUM($U3,$V3)</f>
        <v>1</v>
      </c>
    </row>
    <row r="4" spans="1:23">
      <c r="A4" s="6">
        <v>43070</v>
      </c>
      <c r="B4" s="4" t="s">
        <v>27</v>
      </c>
      <c r="C4" s="4" t="s">
        <v>28</v>
      </c>
      <c r="D4" s="4" t="s">
        <v>21</v>
      </c>
      <c r="E4" s="4" t="s">
        <v>22</v>
      </c>
      <c r="F4" s="4" t="s">
        <v>23</v>
      </c>
      <c r="G4" s="4" t="s">
        <v>24</v>
      </c>
      <c r="H4" s="4">
        <v>14.3</v>
      </c>
      <c r="I4" s="4">
        <v>56</v>
      </c>
      <c r="J4" s="5">
        <v>56</v>
      </c>
      <c r="K4" s="5">
        <v>0</v>
      </c>
      <c r="L4" s="7" t="str">
        <f>IF(OR(ISBLANK(I4),(I4="NR")),"NUL",IF(AND(ABS(K4)&lt;1,0&lt;=ABS(K4)),"A",IF(AND(ABS(K4)&lt;2,ABS(K4)&gt;=1),"B",IF(AND(2&lt;=ABS(K4),ABS(K4)&lt;3),"C","D"))))</f>
        <v>A</v>
      </c>
      <c r="M4" s="7">
        <f>COUNTIF($L$2:$L4,Tableau1[[#Headers],[A]])</f>
        <v>2</v>
      </c>
      <c r="N4" s="7">
        <f>COUNTIF($L$2:$L4,Tableau1[[#Headers],[B]])</f>
        <v>1</v>
      </c>
      <c r="O4" s="7">
        <f>COUNTIF($L$2:$L4,Tableau1[[#Headers],[C]])</f>
        <v>0</v>
      </c>
      <c r="P4" s="7">
        <f>COUNTIF($L$2:$L4,Tableau1[[#Headers],[D]])</f>
        <v>0</v>
      </c>
      <c r="Q4" s="8">
        <f>(4*M4+3*N4+1*O4+0*P4)/(4*(M4+N4+O4+P4))</f>
        <v>0.91666666666666663</v>
      </c>
      <c r="R4" s="8">
        <f t="shared" si="0"/>
        <v>1</v>
      </c>
      <c r="S4" s="5">
        <v>0</v>
      </c>
      <c r="T4" s="7" t="str">
        <f>IF(ABS(S4)&gt;H4,"KO",IF(ABS(S4)&lt;H4,"OK"))</f>
        <v>OK</v>
      </c>
      <c r="U4" s="7">
        <f>COUNTIF($T$2:$T4,Tableau1[[#Headers],[OK]])</f>
        <v>3</v>
      </c>
      <c r="V4" s="7">
        <f>COUNTIF($T$2:$T4,Tableau1[[#Headers],[KO]])</f>
        <v>0</v>
      </c>
      <c r="W4" s="8">
        <f>$U4/SUM($U4,$V4)</f>
        <v>1</v>
      </c>
    </row>
    <row r="5" spans="1:23">
      <c r="A5" s="6">
        <v>43070</v>
      </c>
      <c r="B5" s="4" t="s">
        <v>27</v>
      </c>
      <c r="C5" s="4" t="s">
        <v>29</v>
      </c>
      <c r="D5" s="4" t="s">
        <v>21</v>
      </c>
      <c r="E5" s="4" t="s">
        <v>22</v>
      </c>
      <c r="F5" s="4" t="s">
        <v>23</v>
      </c>
      <c r="G5" s="4" t="s">
        <v>24</v>
      </c>
      <c r="H5" s="4">
        <v>14.3</v>
      </c>
      <c r="I5" s="4">
        <v>35</v>
      </c>
      <c r="J5" s="5">
        <v>34</v>
      </c>
      <c r="K5" s="5">
        <v>1.35</v>
      </c>
      <c r="L5" s="7" t="str">
        <f>IF(OR(ISBLANK(I5),(I5="NR")),"NUL",IF(AND(ABS(K5)&lt;1,0&lt;=ABS(K5)),"A",IF(AND(ABS(K5)&lt;2,ABS(K5)&gt;=1),"B",IF(AND(2&lt;=ABS(K5),ABS(K5)&lt;3),"C","D"))))</f>
        <v>B</v>
      </c>
      <c r="M5" s="7">
        <f>COUNTIF($L$2:$L5,Tableau1[[#Headers],[A]])</f>
        <v>2</v>
      </c>
      <c r="N5" s="7">
        <f>COUNTIF($L$2:$L5,Tableau1[[#Headers],[B]])</f>
        <v>2</v>
      </c>
      <c r="O5" s="7">
        <f>COUNTIF($L$2:$L5,Tableau1[[#Headers],[C]])</f>
        <v>0</v>
      </c>
      <c r="P5" s="7">
        <f>COUNTIF($L$2:$L5,Tableau1[[#Headers],[D]])</f>
        <v>0</v>
      </c>
      <c r="Q5" s="8">
        <f>(4*M5+3*N5+1*O5+0*P5)/(4*(M5+N5+O5+P5))</f>
        <v>0.875</v>
      </c>
      <c r="R5" s="8">
        <f t="shared" si="0"/>
        <v>1</v>
      </c>
      <c r="S5" s="5">
        <v>2.94</v>
      </c>
      <c r="T5" s="7" t="str">
        <f>IF(ABS(S5)&gt;H5,"KO",IF(ABS(S5)&lt;H5,"OK"))</f>
        <v>OK</v>
      </c>
      <c r="U5" s="7">
        <f>COUNTIF($T$2:$T5,Tableau1[[#Headers],[OK]])</f>
        <v>4</v>
      </c>
      <c r="V5" s="7">
        <f>COUNTIF($T$2:$T5,Tableau1[[#Headers],[KO]])</f>
        <v>0</v>
      </c>
      <c r="W5" s="8">
        <f>$U5/SUM($U5,$V5)</f>
        <v>1</v>
      </c>
    </row>
  </sheetData>
  <conditionalFormatting sqref="L2:L5">
    <cfRule type="cellIs" dxfId="59" priority="3" operator="equal">
      <formula>"D"</formula>
    </cfRule>
    <cfRule type="cellIs" dxfId="58" priority="5" operator="equal">
      <formula>"C"</formula>
    </cfRule>
    <cfRule type="cellIs" dxfId="57" priority="6" operator="between">
      <formula>"A"</formula>
      <formula>"B"</formula>
    </cfRule>
  </conditionalFormatting>
  <conditionalFormatting sqref="T2:T5">
    <cfRule type="cellIs" dxfId="56" priority="1" operator="equal">
      <formula>"KO"</formula>
    </cfRule>
    <cfRule type="cellIs" dxfId="55" priority="2" operator="equal">
      <formula>"OK"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W6"/>
  <sheetViews>
    <sheetView workbookViewId="0">
      <selection activeCell="P9" sqref="P9:R9"/>
    </sheetView>
  </sheetViews>
  <sheetFormatPr baseColWidth="10" defaultRowHeight="15"/>
  <cols>
    <col min="1" max="1" width="9.7109375" customWidth="1"/>
    <col min="2" max="2" width="10" customWidth="1"/>
    <col min="3" max="3" width="11.28515625" customWidth="1"/>
    <col min="4" max="4" width="13.7109375" customWidth="1"/>
    <col min="5" max="5" width="16.28515625" customWidth="1"/>
    <col min="6" max="6" width="19" customWidth="1"/>
    <col min="7" max="23" width="8.7109375" customWidth="1"/>
  </cols>
  <sheetData>
    <row r="1" spans="1:23" s="2" customFormat="1" ht="68.45" customHeight="1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15</v>
      </c>
      <c r="I1" s="3" t="s">
        <v>7</v>
      </c>
      <c r="J1" s="3" t="s">
        <v>16</v>
      </c>
      <c r="K1" s="10" t="s">
        <v>8</v>
      </c>
      <c r="L1" s="11" t="s">
        <v>9</v>
      </c>
      <c r="M1" s="12" t="s">
        <v>10</v>
      </c>
      <c r="N1" s="12" t="s">
        <v>11</v>
      </c>
      <c r="O1" s="13" t="s">
        <v>12</v>
      </c>
      <c r="P1" s="14" t="s">
        <v>13</v>
      </c>
      <c r="Q1" s="3" t="s">
        <v>47</v>
      </c>
      <c r="R1" s="3" t="s">
        <v>48</v>
      </c>
      <c r="S1" s="10" t="s">
        <v>17</v>
      </c>
      <c r="T1" s="11" t="s">
        <v>18</v>
      </c>
      <c r="U1" s="12" t="s">
        <v>19</v>
      </c>
      <c r="V1" s="14" t="s">
        <v>52</v>
      </c>
      <c r="W1" s="3" t="s">
        <v>49</v>
      </c>
    </row>
    <row r="2" spans="1:23">
      <c r="A2" s="6">
        <v>42736</v>
      </c>
      <c r="B2" s="4" t="s">
        <v>14</v>
      </c>
      <c r="C2" s="4" t="s">
        <v>20</v>
      </c>
      <c r="D2" s="4" t="s">
        <v>53</v>
      </c>
      <c r="E2" s="4" t="s">
        <v>22</v>
      </c>
      <c r="F2" s="4" t="s">
        <v>23</v>
      </c>
      <c r="G2" s="4" t="s">
        <v>24</v>
      </c>
      <c r="H2" s="4">
        <v>14.3</v>
      </c>
      <c r="I2" s="4">
        <v>34</v>
      </c>
      <c r="J2" s="5">
        <v>33</v>
      </c>
      <c r="K2" s="5">
        <v>1.2</v>
      </c>
      <c r="L2" s="7" t="str">
        <f>IF(OR(ISBLANK(I2),(I2="NR")),"NUL",IF(AND(ABS(K2)&lt;1,0&lt;=ABS(K2)),"A",IF(AND(ABS(K2)&lt;2,ABS(K2)&gt;=1),"B",IF(AND(2&lt;=ABS(K2),ABS(K2)&lt;3),"C","D"))))</f>
        <v>B</v>
      </c>
      <c r="M2" s="7">
        <f>COUNTIF($L$2:$L2,Tableau13[[#Headers],[A]])</f>
        <v>0</v>
      </c>
      <c r="N2" s="7">
        <f>COUNTIF($L$2:$L2,Tableau13[[#Headers],[B]])</f>
        <v>1</v>
      </c>
      <c r="O2" s="7">
        <f>COUNTIF($L$2:$L2,Tableau13[[#Headers],[C]])</f>
        <v>0</v>
      </c>
      <c r="P2" s="7">
        <f>COUNTIF($L$2:$L2,Tableau13[[#Headers],[D]])</f>
        <v>0</v>
      </c>
      <c r="Q2" s="8">
        <f>(4*M2+3*N2+1*O2+0*P2)/(4*(M2+N2+O2+P2))</f>
        <v>0.75</v>
      </c>
      <c r="R2" s="8">
        <f>(4*M2+4*N2+1*O2+0*P2)/(4*(M2+N2+O2+P2))</f>
        <v>1</v>
      </c>
      <c r="S2" s="5">
        <v>3.03</v>
      </c>
      <c r="T2" s="7" t="str">
        <f>IF(ABS(S2)&gt;H2,"KO",IF(ABS(S2)&lt;H2,"OK"))</f>
        <v>OK</v>
      </c>
      <c r="U2" s="7">
        <f>COUNTIF($T$2:$T2,Tableau13[[#Headers],[OK]])</f>
        <v>1</v>
      </c>
      <c r="V2" s="7">
        <f>COUNTIF($T$2:$T2,Tableau13[[#Headers],[KO]])</f>
        <v>0</v>
      </c>
      <c r="W2" s="8">
        <f>$U2/SUM($U2,$V2)</f>
        <v>1</v>
      </c>
    </row>
    <row r="3" spans="1:23">
      <c r="A3" s="6">
        <v>42795</v>
      </c>
      <c r="B3" s="4" t="s">
        <v>25</v>
      </c>
      <c r="C3" s="4" t="s">
        <v>26</v>
      </c>
      <c r="D3" s="4" t="s">
        <v>53</v>
      </c>
      <c r="E3" s="4" t="s">
        <v>22</v>
      </c>
      <c r="F3" s="4" t="s">
        <v>23</v>
      </c>
      <c r="G3" s="4" t="s">
        <v>24</v>
      </c>
      <c r="H3" s="4">
        <v>14.3</v>
      </c>
      <c r="I3" s="4">
        <v>19</v>
      </c>
      <c r="J3" s="5">
        <v>19</v>
      </c>
      <c r="K3" s="5">
        <v>0.1</v>
      </c>
      <c r="L3" s="7" t="str">
        <f>IF(OR(ISBLANK(I3),(I3="NR")),"NUL",IF(AND(ABS(K3)&lt;1,0&lt;=ABS(K3)),"A",IF(AND(ABS(K3)&lt;2,ABS(K3)&gt;=1),"B",IF(AND(2&lt;=ABS(K3),ABS(K3)&lt;3),"C","D"))))</f>
        <v>A</v>
      </c>
      <c r="M3" s="7">
        <f>COUNTIF($L$2:$L3,Tableau13[[#Headers],[A]])</f>
        <v>1</v>
      </c>
      <c r="N3" s="7">
        <f>COUNTIF($L$2:$L3,Tableau13[[#Headers],[B]])</f>
        <v>1</v>
      </c>
      <c r="O3" s="7">
        <f>COUNTIF($L$2:$L3,Tableau13[[#Headers],[C]])</f>
        <v>0</v>
      </c>
      <c r="P3" s="7">
        <f>COUNTIF($L$2:$L3,Tableau13[[#Headers],[D]])</f>
        <v>0</v>
      </c>
      <c r="Q3" s="8">
        <f>(4*M3+3*N3+1*O3+0*P3)/(4*(M3+N3+O3+P3))</f>
        <v>0.875</v>
      </c>
      <c r="R3" s="8">
        <f>(4*M3+4*N3+1*O3+0*P3)/(4*(M3+N3+O3+P3))</f>
        <v>1</v>
      </c>
      <c r="S3" s="5">
        <v>0</v>
      </c>
      <c r="T3" s="7" t="str">
        <f>IF(ABS(S3)&gt;H3,"KO",IF(ABS(S3)&lt;H3,"OK"))</f>
        <v>OK</v>
      </c>
      <c r="U3" s="7">
        <f>COUNTIF($T$2:$T3,Tableau13[[#Headers],[OK]])</f>
        <v>2</v>
      </c>
      <c r="V3" s="7">
        <f>COUNTIF($T$2:$T3,Tableau13[[#Headers],[KO]])</f>
        <v>0</v>
      </c>
      <c r="W3" s="8">
        <f>$U3/SUM($U3,$V3)</f>
        <v>1</v>
      </c>
    </row>
    <row r="4" spans="1:23">
      <c r="A4" s="6">
        <v>43070</v>
      </c>
      <c r="B4" s="4" t="s">
        <v>27</v>
      </c>
      <c r="C4" s="4" t="s">
        <v>28</v>
      </c>
      <c r="D4" s="4" t="s">
        <v>53</v>
      </c>
      <c r="E4" s="4" t="s">
        <v>22</v>
      </c>
      <c r="F4" s="4" t="s">
        <v>23</v>
      </c>
      <c r="G4" s="4" t="s">
        <v>24</v>
      </c>
      <c r="H4" s="4">
        <v>14.3</v>
      </c>
      <c r="I4" s="4">
        <v>56</v>
      </c>
      <c r="J4" s="5">
        <v>56</v>
      </c>
      <c r="K4" s="5">
        <v>0</v>
      </c>
      <c r="L4" s="7" t="str">
        <f>IF(OR(ISBLANK(I4),(I4="NR")),"NUL",IF(AND(ABS(K4)&lt;1,0&lt;=ABS(K4)),"A",IF(AND(ABS(K4)&lt;2,ABS(K4)&gt;=1),"B",IF(AND(2&lt;=ABS(K4),ABS(K4)&lt;3),"C","D"))))</f>
        <v>A</v>
      </c>
      <c r="M4" s="7">
        <f>COUNTIF($L$2:$L4,Tableau13[[#Headers],[A]])</f>
        <v>2</v>
      </c>
      <c r="N4" s="7">
        <f>COUNTIF($L$2:$L4,Tableau13[[#Headers],[B]])</f>
        <v>1</v>
      </c>
      <c r="O4" s="7">
        <f>COUNTIF($L$2:$L4,Tableau13[[#Headers],[C]])</f>
        <v>0</v>
      </c>
      <c r="P4" s="7">
        <f>COUNTIF($L$2:$L4,Tableau13[[#Headers],[D]])</f>
        <v>0</v>
      </c>
      <c r="Q4" s="8">
        <f>(4*M4+3*N4+1*O4+0*P4)/(4*(M4+N4+O4+P4))</f>
        <v>0.91666666666666663</v>
      </c>
      <c r="R4" s="8">
        <f>(4*M4+4*N4+1*O4+0*P4)/(4*(M4+N4+O4+P4))</f>
        <v>1</v>
      </c>
      <c r="S4" s="5">
        <v>0</v>
      </c>
      <c r="T4" s="7" t="str">
        <f>IF(ABS(S4)&gt;H4,"KO",IF(ABS(S4)&lt;H4,"OK"))</f>
        <v>OK</v>
      </c>
      <c r="U4" s="7">
        <f>COUNTIF($T$2:$T4,Tableau13[[#Headers],[OK]])</f>
        <v>3</v>
      </c>
      <c r="V4" s="7">
        <f>COUNTIF($T$2:$T4,Tableau13[[#Headers],[KO]])</f>
        <v>0</v>
      </c>
      <c r="W4" s="8">
        <f>$U4/SUM($U4,$V4)</f>
        <v>1</v>
      </c>
    </row>
    <row r="5" spans="1:23">
      <c r="A5" s="6">
        <v>43070</v>
      </c>
      <c r="B5" s="4" t="s">
        <v>27</v>
      </c>
      <c r="C5" s="4" t="s">
        <v>29</v>
      </c>
      <c r="D5" s="4" t="s">
        <v>53</v>
      </c>
      <c r="E5" s="4" t="s">
        <v>22</v>
      </c>
      <c r="F5" s="4" t="s">
        <v>23</v>
      </c>
      <c r="G5" s="4" t="s">
        <v>24</v>
      </c>
      <c r="H5" s="4">
        <v>14.3</v>
      </c>
      <c r="I5" s="4">
        <v>35</v>
      </c>
      <c r="J5" s="5">
        <v>34</v>
      </c>
      <c r="K5" s="5">
        <v>1.35</v>
      </c>
      <c r="L5" s="7" t="str">
        <f>IF(OR(ISBLANK(I5),(I5="NR")),"NUL",IF(AND(ABS(K5)&lt;1,0&lt;=ABS(K5)),"A",IF(AND(ABS(K5)&lt;2,ABS(K5)&gt;=1),"B",IF(AND(2&lt;=ABS(K5),ABS(K5)&lt;3),"C","D"))))</f>
        <v>B</v>
      </c>
      <c r="M5" s="7">
        <f>COUNTIF($L$2:$L5,Tableau13[[#Headers],[A]])</f>
        <v>2</v>
      </c>
      <c r="N5" s="7">
        <f>COUNTIF($L$2:$L5,Tableau13[[#Headers],[B]])</f>
        <v>2</v>
      </c>
      <c r="O5" s="7">
        <f>COUNTIF($L$2:$L5,Tableau13[[#Headers],[C]])</f>
        <v>0</v>
      </c>
      <c r="P5" s="7">
        <f>COUNTIF($L$2:$L5,Tableau13[[#Headers],[D]])</f>
        <v>0</v>
      </c>
      <c r="Q5" s="8">
        <f>(4*M5+3*N5+1*O5+0*P5)/(4*(M5+N5+O5+P5))</f>
        <v>0.875</v>
      </c>
      <c r="R5" s="8">
        <f>(4*M5+4*N5+1*O5+0*P5)/(4*(M5+N5+O5+P5))</f>
        <v>1</v>
      </c>
      <c r="S5" s="5">
        <v>2.94</v>
      </c>
      <c r="T5" s="7" t="str">
        <f>IF(ABS(S5)&gt;H5,"KO",IF(ABS(S5)&lt;H5,"OK"))</f>
        <v>OK</v>
      </c>
      <c r="U5" s="7">
        <f>COUNTIF($T$2:$T5,Tableau13[[#Headers],[OK]])</f>
        <v>4</v>
      </c>
      <c r="V5" s="7">
        <f>COUNTIF($T$2:$T5,Tableau13[[#Headers],[KO]])</f>
        <v>0</v>
      </c>
      <c r="W5" s="8">
        <f>$U5/SUM($U5,$V5)</f>
        <v>1</v>
      </c>
    </row>
    <row r="6" spans="1:23">
      <c r="A6" s="23">
        <v>43070</v>
      </c>
      <c r="B6" s="24" t="s">
        <v>50</v>
      </c>
      <c r="C6" s="24" t="s">
        <v>51</v>
      </c>
      <c r="D6" s="4" t="s">
        <v>53</v>
      </c>
      <c r="E6" s="24" t="s">
        <v>22</v>
      </c>
      <c r="F6" s="24" t="s">
        <v>23</v>
      </c>
      <c r="G6" s="24" t="s">
        <v>24</v>
      </c>
      <c r="H6" s="24">
        <v>14.3</v>
      </c>
      <c r="I6" s="24">
        <v>48</v>
      </c>
      <c r="J6" s="25">
        <v>52</v>
      </c>
      <c r="K6" s="25">
        <v>2.1</v>
      </c>
      <c r="L6" s="26" t="str">
        <f>IF(OR(ISBLANK(I6),(I6="NR")),"NUL",IF(AND(ABS(K6)&lt;1,0&lt;=ABS(K6)),"A",IF(AND(ABS(K6)&lt;2,ABS(K6)&gt;=1),"B",IF(AND(2&lt;=ABS(K6),ABS(K6)&lt;3),"C","D"))))</f>
        <v>C</v>
      </c>
      <c r="M6" s="7">
        <f>COUNTIF($L$2:$L6,Tableau13[[#Headers],[A]])</f>
        <v>2</v>
      </c>
      <c r="N6" s="7">
        <f>COUNTIF($L$2:$L6,Tableau13[[#Headers],[B]])</f>
        <v>2</v>
      </c>
      <c r="O6" s="7">
        <f>COUNTIF($L$2:$L6,Tableau13[[#Headers],[C]])</f>
        <v>1</v>
      </c>
      <c r="P6" s="7">
        <f>COUNTIF($L$2:$L6,Tableau13[[#Headers],[D]])</f>
        <v>0</v>
      </c>
      <c r="Q6" s="27">
        <f>(4*M6+3*N6+1*O6+0*P6)/(4*(M6+N6+O6+P6))</f>
        <v>0.75</v>
      </c>
      <c r="R6" s="27">
        <f>(4*M6+4*N6+1*O6+0*P6)/(4*(M6+N6+O6+P6))</f>
        <v>0.85</v>
      </c>
      <c r="S6" s="25">
        <v>15.5</v>
      </c>
      <c r="T6" s="7" t="str">
        <f>IF(ABS(S6)&gt;H6,"KO",IF(ABS(S6)&lt;H6,"OK"))</f>
        <v>KO</v>
      </c>
      <c r="U6" s="7">
        <f>COUNTIF($T$2:$T6,Tableau13[[#Headers],[OK]])</f>
        <v>4</v>
      </c>
      <c r="V6" s="24">
        <f>COUNTIF($T$2:$T6,Tableau13[[#Headers],[KO]])</f>
        <v>1</v>
      </c>
      <c r="W6" s="8">
        <f>$U6/SUM($U6,$V6)</f>
        <v>0.8</v>
      </c>
    </row>
  </sheetData>
  <conditionalFormatting sqref="L2:L6">
    <cfRule type="cellIs" dxfId="30" priority="3" operator="equal">
      <formula>"D"</formula>
    </cfRule>
    <cfRule type="cellIs" dxfId="29" priority="4" operator="equal">
      <formula>"C"</formula>
    </cfRule>
    <cfRule type="cellIs" dxfId="28" priority="5" operator="between">
      <formula>"A"</formula>
      <formula>"B"</formula>
    </cfRule>
  </conditionalFormatting>
  <conditionalFormatting sqref="T2:T6">
    <cfRule type="cellIs" dxfId="27" priority="1" operator="equal">
      <formula>"KO"</formula>
    </cfRule>
    <cfRule type="cellIs" dxfId="26" priority="2" operator="equal">
      <formula>"OK"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IM_Lipase</vt:lpstr>
      <vt:lpstr>Calcul IQ</vt:lpstr>
      <vt:lpstr>ISP_Lipase</vt:lpstr>
      <vt:lpstr>ISP_Cholesterol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Devivier</dc:creator>
  <cp:lastModifiedBy>Eléo Trop beau</cp:lastModifiedBy>
  <dcterms:created xsi:type="dcterms:W3CDTF">2018-10-25T10:15:19Z</dcterms:created>
  <dcterms:modified xsi:type="dcterms:W3CDTF">2018-10-26T08:58:15Z</dcterms:modified>
</cp:coreProperties>
</file>